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3\Рішення від .07.2023 №\Рішення МВК від 13.07.2023\"/>
    </mc:Choice>
  </mc:AlternateContent>
  <bookViews>
    <workbookView xWindow="0" yWindow="0" windowWidth="28800" windowHeight="12360" tabRatio="583" activeTab="2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97" r:id="rId9"/>
    <sheet name="d1П" sheetId="198" r:id="rId10"/>
    <sheet name="d1РП" sheetId="200" r:id="rId11"/>
    <sheet name="d3П" sheetId="199" r:id="rId12"/>
    <sheet name="d3РП" sheetId="201" r:id="rId13"/>
  </sheets>
  <externalReferences>
    <externalReference r:id="rId14"/>
  </externalReferences>
  <definedNames>
    <definedName name="_GoBack" localSheetId="5">'d6'!#REF!</definedName>
    <definedName name="_xlnm.Print_Titles" localSheetId="2">'d3'!$11:$14</definedName>
    <definedName name="_xlnm.Print_Titles" localSheetId="11">d3П!$11:$14</definedName>
    <definedName name="_xlnm.Print_Titles" localSheetId="12">d3РП!$11:$14</definedName>
    <definedName name="_xlnm.Print_Titles" localSheetId="5">'d6'!$9:$10</definedName>
    <definedName name="_xlnm.Print_Titles" localSheetId="6">'d7'!$12:$14</definedName>
    <definedName name="_xlnm.Print_Area" localSheetId="0">'d1'!$A$1:$F$148</definedName>
    <definedName name="_xlnm.Print_Area" localSheetId="9">d1П!$A$1:$F$146</definedName>
    <definedName name="_xlnm.Print_Area" localSheetId="10">d1РП!$A$1:$F$143</definedName>
    <definedName name="_xlnm.Print_Area" localSheetId="1">'d2'!$A$1:$F$55</definedName>
    <definedName name="_xlnm.Print_Area" localSheetId="2">'d3'!$A$1:$P$419</definedName>
    <definedName name="_xlnm.Print_Area" localSheetId="11">d3П!$A$1:$P$414</definedName>
    <definedName name="_xlnm.Print_Area" localSheetId="12">d3РП!$A$1:$P$419</definedName>
    <definedName name="_xlnm.Print_Area" localSheetId="3">'d4'!$B$1:$Q$32</definedName>
    <definedName name="_xlnm.Print_Area" localSheetId="4">'d5'!$A$1:$D$106</definedName>
    <definedName name="_xlnm.Print_Area" localSheetId="5">'d6'!$B$1:$K$118</definedName>
    <definedName name="_xlnm.Print_Area" localSheetId="6">'d7'!$A$1:$J$339</definedName>
    <definedName name="_xlnm.Print_Area" localSheetId="7">'d8'!$A$1:$D$40</definedName>
    <definedName name="_xlnm.Print_Area" localSheetId="8">'d9'!$A$1:$F$34</definedName>
    <definedName name="С16" localSheetId="0">#REF!</definedName>
    <definedName name="С16" localSheetId="9">#REF!</definedName>
    <definedName name="С16" localSheetId="10">#REF!</definedName>
    <definedName name="С16" localSheetId="1">#REF!</definedName>
    <definedName name="С16" localSheetId="12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97" l="1"/>
  <c r="J416" i="165"/>
  <c r="J424" i="165" s="1"/>
  <c r="M416" i="165"/>
  <c r="M226" i="165"/>
  <c r="M174" i="165"/>
  <c r="H174" i="165"/>
  <c r="H87" i="165"/>
  <c r="K18" i="165" l="1"/>
  <c r="F18" i="165"/>
  <c r="F18" i="201" s="1"/>
  <c r="F407" i="165"/>
  <c r="O416" i="165"/>
  <c r="K416" i="165"/>
  <c r="F416" i="165"/>
  <c r="N113" i="184"/>
  <c r="M113" i="184"/>
  <c r="J20" i="184"/>
  <c r="I20" i="184"/>
  <c r="H20" i="184"/>
  <c r="H32" i="184"/>
  <c r="H46" i="184"/>
  <c r="H55" i="184"/>
  <c r="N328" i="167"/>
  <c r="M328" i="167"/>
  <c r="L328" i="167"/>
  <c r="K328" i="167"/>
  <c r="J219" i="167"/>
  <c r="I219" i="167"/>
  <c r="H219" i="167"/>
  <c r="G220" i="167"/>
  <c r="F260" i="165"/>
  <c r="F260" i="201" s="1"/>
  <c r="J425" i="165"/>
  <c r="P416" i="165"/>
  <c r="L416" i="165"/>
  <c r="H416" i="165"/>
  <c r="N416" i="165"/>
  <c r="G416" i="165"/>
  <c r="P413" i="201"/>
  <c r="O413" i="201"/>
  <c r="N413" i="201"/>
  <c r="M413" i="201"/>
  <c r="L413" i="201"/>
  <c r="K413" i="201"/>
  <c r="J413" i="201"/>
  <c r="I413" i="201"/>
  <c r="H413" i="201"/>
  <c r="G413" i="201"/>
  <c r="F413" i="201"/>
  <c r="E413" i="201"/>
  <c r="P412" i="201"/>
  <c r="O412" i="201"/>
  <c r="N412" i="201"/>
  <c r="M412" i="201"/>
  <c r="L412" i="201"/>
  <c r="K412" i="201"/>
  <c r="J412" i="201"/>
  <c r="I412" i="201"/>
  <c r="H412" i="201"/>
  <c r="G412" i="201"/>
  <c r="F412" i="201"/>
  <c r="E412" i="201"/>
  <c r="P411" i="201"/>
  <c r="O411" i="201"/>
  <c r="N411" i="201"/>
  <c r="M411" i="201"/>
  <c r="L411" i="201"/>
  <c r="K411" i="201"/>
  <c r="J411" i="201"/>
  <c r="I411" i="201"/>
  <c r="H411" i="201"/>
  <c r="G411" i="201"/>
  <c r="F411" i="201"/>
  <c r="E411" i="201"/>
  <c r="P410" i="201"/>
  <c r="O410" i="201"/>
  <c r="N410" i="201"/>
  <c r="M410" i="201"/>
  <c r="L410" i="201"/>
  <c r="K410" i="201"/>
  <c r="J410" i="201"/>
  <c r="I410" i="201"/>
  <c r="H410" i="201"/>
  <c r="G410" i="201"/>
  <c r="F410" i="201"/>
  <c r="E410" i="201"/>
  <c r="P409" i="201"/>
  <c r="O409" i="201"/>
  <c r="N409" i="201"/>
  <c r="M409" i="201"/>
  <c r="L409" i="201"/>
  <c r="K409" i="201"/>
  <c r="J409" i="201"/>
  <c r="I409" i="201"/>
  <c r="H409" i="201"/>
  <c r="G409" i="201"/>
  <c r="F409" i="201"/>
  <c r="E409" i="201"/>
  <c r="P408" i="201"/>
  <c r="O408" i="201"/>
  <c r="N408" i="201"/>
  <c r="M408" i="201"/>
  <c r="L408" i="201"/>
  <c r="K408" i="201"/>
  <c r="J408" i="201"/>
  <c r="I408" i="201"/>
  <c r="H408" i="201"/>
  <c r="G408" i="201"/>
  <c r="F408" i="201"/>
  <c r="E408" i="201"/>
  <c r="O407" i="201"/>
  <c r="N407" i="201"/>
  <c r="M407" i="201"/>
  <c r="L407" i="201"/>
  <c r="K407" i="201"/>
  <c r="J407" i="201"/>
  <c r="I407" i="201"/>
  <c r="H407" i="201"/>
  <c r="G407" i="201"/>
  <c r="F407" i="201"/>
  <c r="O406" i="201"/>
  <c r="N406" i="201"/>
  <c r="M406" i="201"/>
  <c r="L406" i="201"/>
  <c r="K406" i="201"/>
  <c r="J406" i="201"/>
  <c r="I406" i="201"/>
  <c r="H406" i="201"/>
  <c r="G406" i="201"/>
  <c r="P405" i="201"/>
  <c r="O405" i="201"/>
  <c r="N405" i="201"/>
  <c r="M405" i="201"/>
  <c r="L405" i="201"/>
  <c r="K405" i="201"/>
  <c r="J405" i="201"/>
  <c r="I405" i="201"/>
  <c r="H405" i="201"/>
  <c r="G405" i="201"/>
  <c r="F405" i="201"/>
  <c r="E405" i="201"/>
  <c r="O404" i="201"/>
  <c r="N404" i="201"/>
  <c r="M404" i="201"/>
  <c r="L404" i="201"/>
  <c r="K404" i="201"/>
  <c r="J404" i="201"/>
  <c r="I404" i="201"/>
  <c r="H404" i="201"/>
  <c r="G404" i="201"/>
  <c r="P403" i="201"/>
  <c r="O403" i="201"/>
  <c r="N403" i="201"/>
  <c r="M403" i="201"/>
  <c r="L403" i="201"/>
  <c r="K403" i="201"/>
  <c r="J403" i="201"/>
  <c r="I403" i="201"/>
  <c r="H403" i="201"/>
  <c r="G403" i="201"/>
  <c r="F403" i="201"/>
  <c r="E403" i="201"/>
  <c r="P402" i="201"/>
  <c r="O402" i="201"/>
  <c r="N402" i="201"/>
  <c r="M402" i="201"/>
  <c r="L402" i="201"/>
  <c r="K402" i="201"/>
  <c r="J402" i="201"/>
  <c r="I402" i="201"/>
  <c r="H402" i="201"/>
  <c r="G402" i="201"/>
  <c r="F402" i="201"/>
  <c r="E402" i="201"/>
  <c r="P401" i="201"/>
  <c r="O401" i="201"/>
  <c r="N401" i="201"/>
  <c r="M401" i="201"/>
  <c r="L401" i="201"/>
  <c r="K401" i="201"/>
  <c r="J401" i="201"/>
  <c r="I401" i="201"/>
  <c r="H401" i="201"/>
  <c r="G401" i="201"/>
  <c r="F401" i="201"/>
  <c r="E401" i="201"/>
  <c r="P400" i="201"/>
  <c r="O400" i="201"/>
  <c r="N400" i="201"/>
  <c r="M400" i="201"/>
  <c r="L400" i="201"/>
  <c r="K400" i="201"/>
  <c r="J400" i="201"/>
  <c r="I400" i="201"/>
  <c r="H400" i="201"/>
  <c r="G400" i="201"/>
  <c r="F400" i="201"/>
  <c r="E400" i="201"/>
  <c r="P399" i="201"/>
  <c r="O399" i="201"/>
  <c r="N399" i="201"/>
  <c r="M399" i="201"/>
  <c r="L399" i="201"/>
  <c r="K399" i="201"/>
  <c r="J399" i="201"/>
  <c r="I399" i="201"/>
  <c r="H399" i="201"/>
  <c r="G399" i="201"/>
  <c r="F399" i="201"/>
  <c r="E399" i="201"/>
  <c r="P398" i="201"/>
  <c r="O398" i="201"/>
  <c r="N398" i="201"/>
  <c r="M398" i="201"/>
  <c r="L398" i="201"/>
  <c r="K398" i="201"/>
  <c r="J398" i="201"/>
  <c r="I398" i="201"/>
  <c r="H398" i="201"/>
  <c r="G398" i="201"/>
  <c r="F398" i="201"/>
  <c r="E398" i="201"/>
  <c r="P395" i="201"/>
  <c r="O395" i="201"/>
  <c r="N395" i="201"/>
  <c r="M395" i="201"/>
  <c r="L395" i="201"/>
  <c r="K395" i="201"/>
  <c r="J395" i="201"/>
  <c r="I395" i="201"/>
  <c r="H395" i="201"/>
  <c r="G395" i="201"/>
  <c r="F395" i="201"/>
  <c r="E395" i="201"/>
  <c r="P394" i="201"/>
  <c r="O394" i="201"/>
  <c r="N394" i="201"/>
  <c r="M394" i="201"/>
  <c r="L394" i="201"/>
  <c r="K394" i="201"/>
  <c r="J394" i="201"/>
  <c r="I394" i="201"/>
  <c r="H394" i="201"/>
  <c r="G394" i="201"/>
  <c r="F394" i="201"/>
  <c r="E394" i="201"/>
  <c r="P393" i="201"/>
  <c r="O393" i="201"/>
  <c r="N393" i="201"/>
  <c r="M393" i="201"/>
  <c r="L393" i="201"/>
  <c r="K393" i="201"/>
  <c r="J393" i="201"/>
  <c r="I393" i="201"/>
  <c r="H393" i="201"/>
  <c r="G393" i="201"/>
  <c r="F393" i="201"/>
  <c r="E393" i="201"/>
  <c r="P392" i="201"/>
  <c r="O392" i="201"/>
  <c r="N392" i="201"/>
  <c r="M392" i="201"/>
  <c r="L392" i="201"/>
  <c r="K392" i="201"/>
  <c r="J392" i="201"/>
  <c r="I392" i="201"/>
  <c r="H392" i="201"/>
  <c r="G392" i="201"/>
  <c r="F392" i="201"/>
  <c r="E392" i="201"/>
  <c r="P391" i="201"/>
  <c r="O391" i="201"/>
  <c r="N391" i="201"/>
  <c r="M391" i="201"/>
  <c r="L391" i="201"/>
  <c r="K391" i="201"/>
  <c r="J391" i="201"/>
  <c r="I391" i="201"/>
  <c r="H391" i="201"/>
  <c r="G391" i="201"/>
  <c r="F391" i="201"/>
  <c r="E391" i="201"/>
  <c r="P390" i="201"/>
  <c r="O390" i="201"/>
  <c r="N390" i="201"/>
  <c r="M390" i="201"/>
  <c r="L390" i="201"/>
  <c r="K390" i="201"/>
  <c r="J390" i="201"/>
  <c r="I390" i="201"/>
  <c r="H390" i="201"/>
  <c r="G390" i="201"/>
  <c r="F390" i="201"/>
  <c r="E390" i="201"/>
  <c r="P389" i="201"/>
  <c r="O389" i="201"/>
  <c r="N389" i="201"/>
  <c r="M389" i="201"/>
  <c r="M388" i="201" s="1"/>
  <c r="M387" i="201" s="1"/>
  <c r="L389" i="201"/>
  <c r="K389" i="201"/>
  <c r="J389" i="201"/>
  <c r="I389" i="201"/>
  <c r="H389" i="201"/>
  <c r="G389" i="201"/>
  <c r="F389" i="201"/>
  <c r="E389" i="201"/>
  <c r="E388" i="201" s="1"/>
  <c r="E387" i="201" s="1"/>
  <c r="P386" i="201"/>
  <c r="O386" i="201"/>
  <c r="N386" i="201"/>
  <c r="M386" i="201"/>
  <c r="L386" i="201"/>
  <c r="K386" i="201"/>
  <c r="J386" i="201"/>
  <c r="I386" i="201"/>
  <c r="H386" i="201"/>
  <c r="G386" i="201"/>
  <c r="F386" i="201"/>
  <c r="E386" i="201"/>
  <c r="P385" i="201"/>
  <c r="O385" i="201"/>
  <c r="N385" i="201"/>
  <c r="M385" i="201"/>
  <c r="L385" i="201"/>
  <c r="K385" i="201"/>
  <c r="J385" i="201"/>
  <c r="I385" i="201"/>
  <c r="H385" i="201"/>
  <c r="G385" i="201"/>
  <c r="F385" i="201"/>
  <c r="E385" i="201"/>
  <c r="P384" i="201"/>
  <c r="O384" i="201"/>
  <c r="N384" i="201"/>
  <c r="M384" i="201"/>
  <c r="L384" i="201"/>
  <c r="K384" i="201"/>
  <c r="J384" i="201"/>
  <c r="I384" i="201"/>
  <c r="H384" i="201"/>
  <c r="G384" i="201"/>
  <c r="F384" i="201"/>
  <c r="E384" i="201"/>
  <c r="P383" i="201"/>
  <c r="O383" i="201"/>
  <c r="N383" i="201"/>
  <c r="M383" i="201"/>
  <c r="L383" i="201"/>
  <c r="K383" i="201"/>
  <c r="J383" i="201"/>
  <c r="I383" i="201"/>
  <c r="H383" i="201"/>
  <c r="G383" i="201"/>
  <c r="F383" i="201"/>
  <c r="E383" i="201"/>
  <c r="P382" i="201"/>
  <c r="O382" i="201"/>
  <c r="N382" i="201"/>
  <c r="M382" i="201"/>
  <c r="L382" i="201"/>
  <c r="K382" i="201"/>
  <c r="J382" i="201"/>
  <c r="I382" i="201"/>
  <c r="H382" i="201"/>
  <c r="G382" i="201"/>
  <c r="F382" i="201"/>
  <c r="E382" i="201"/>
  <c r="P381" i="201"/>
  <c r="O381" i="201"/>
  <c r="N381" i="201"/>
  <c r="M381" i="201"/>
  <c r="L381" i="201"/>
  <c r="K381" i="201"/>
  <c r="J381" i="201"/>
  <c r="I381" i="201"/>
  <c r="H381" i="201"/>
  <c r="G381" i="201"/>
  <c r="F381" i="201"/>
  <c r="E381" i="201"/>
  <c r="P380" i="201"/>
  <c r="O380" i="201"/>
  <c r="N380" i="201"/>
  <c r="M380" i="201"/>
  <c r="L380" i="201"/>
  <c r="K380" i="201"/>
  <c r="J380" i="201"/>
  <c r="I380" i="201"/>
  <c r="H380" i="201"/>
  <c r="G380" i="201"/>
  <c r="F380" i="201"/>
  <c r="E380" i="201"/>
  <c r="P379" i="201"/>
  <c r="O379" i="201"/>
  <c r="N379" i="201"/>
  <c r="M379" i="201"/>
  <c r="M378" i="201" s="1"/>
  <c r="M377" i="201" s="1"/>
  <c r="L379" i="201"/>
  <c r="K379" i="201"/>
  <c r="J379" i="201"/>
  <c r="I379" i="201"/>
  <c r="I378" i="201" s="1"/>
  <c r="I377" i="201" s="1"/>
  <c r="H379" i="201"/>
  <c r="G379" i="201"/>
  <c r="F379" i="201"/>
  <c r="E379" i="201"/>
  <c r="P373" i="201"/>
  <c r="O373" i="201"/>
  <c r="N373" i="201"/>
  <c r="M373" i="201"/>
  <c r="L373" i="201"/>
  <c r="K373" i="201"/>
  <c r="J373" i="201"/>
  <c r="I373" i="201"/>
  <c r="H373" i="201"/>
  <c r="G373" i="201"/>
  <c r="F373" i="201"/>
  <c r="E373" i="201"/>
  <c r="P372" i="201"/>
  <c r="O372" i="201"/>
  <c r="N372" i="201"/>
  <c r="M372" i="201"/>
  <c r="L372" i="201"/>
  <c r="K372" i="201"/>
  <c r="J372" i="201"/>
  <c r="I372" i="201"/>
  <c r="H372" i="201"/>
  <c r="G372" i="201"/>
  <c r="F372" i="201"/>
  <c r="E372" i="201"/>
  <c r="P371" i="201"/>
  <c r="O371" i="201"/>
  <c r="N371" i="201"/>
  <c r="M371" i="201"/>
  <c r="L371" i="201"/>
  <c r="K371" i="201"/>
  <c r="J371" i="201"/>
  <c r="I371" i="201"/>
  <c r="H371" i="201"/>
  <c r="G371" i="201"/>
  <c r="F371" i="201"/>
  <c r="E371" i="201"/>
  <c r="P370" i="201"/>
  <c r="O370" i="201"/>
  <c r="N370" i="201"/>
  <c r="M370" i="201"/>
  <c r="L370" i="201"/>
  <c r="K370" i="201"/>
  <c r="J370" i="201"/>
  <c r="I370" i="201"/>
  <c r="H370" i="201"/>
  <c r="G370" i="201"/>
  <c r="F370" i="201"/>
  <c r="E370" i="201"/>
  <c r="P369" i="201"/>
  <c r="O369" i="201"/>
  <c r="N369" i="201"/>
  <c r="M369" i="201"/>
  <c r="L369" i="201"/>
  <c r="K369" i="201"/>
  <c r="J369" i="201"/>
  <c r="I369" i="201"/>
  <c r="H369" i="201"/>
  <c r="G369" i="201"/>
  <c r="F369" i="201"/>
  <c r="E369" i="201"/>
  <c r="P368" i="201"/>
  <c r="O368" i="201"/>
  <c r="N368" i="201"/>
  <c r="M368" i="201"/>
  <c r="L368" i="201"/>
  <c r="K368" i="201"/>
  <c r="J368" i="201"/>
  <c r="I368" i="201"/>
  <c r="H368" i="201"/>
  <c r="G368" i="201"/>
  <c r="F368" i="201"/>
  <c r="E368" i="201"/>
  <c r="P367" i="201"/>
  <c r="O367" i="201"/>
  <c r="N367" i="201"/>
  <c r="M367" i="201"/>
  <c r="L367" i="201"/>
  <c r="K367" i="201"/>
  <c r="J367" i="201"/>
  <c r="I367" i="201"/>
  <c r="H367" i="201"/>
  <c r="G367" i="201"/>
  <c r="F367" i="201"/>
  <c r="E367" i="201"/>
  <c r="P366" i="201"/>
  <c r="O366" i="201"/>
  <c r="N366" i="201"/>
  <c r="M366" i="201"/>
  <c r="L366" i="201"/>
  <c r="K366" i="201"/>
  <c r="J366" i="201"/>
  <c r="I366" i="201"/>
  <c r="H366" i="201"/>
  <c r="G366" i="201"/>
  <c r="F366" i="201"/>
  <c r="E366" i="201"/>
  <c r="P365" i="201"/>
  <c r="O365" i="201"/>
  <c r="N365" i="201"/>
  <c r="M365" i="201"/>
  <c r="L365" i="201"/>
  <c r="K365" i="201"/>
  <c r="J365" i="201"/>
  <c r="I365" i="201"/>
  <c r="H365" i="201"/>
  <c r="G365" i="201"/>
  <c r="F365" i="201"/>
  <c r="E365" i="201"/>
  <c r="P364" i="201"/>
  <c r="O364" i="201"/>
  <c r="N364" i="201"/>
  <c r="M364" i="201"/>
  <c r="L364" i="201"/>
  <c r="K364" i="201"/>
  <c r="J364" i="201"/>
  <c r="I364" i="201"/>
  <c r="H364" i="201"/>
  <c r="G364" i="201"/>
  <c r="F364" i="201"/>
  <c r="E364" i="201"/>
  <c r="P363" i="201"/>
  <c r="O363" i="201"/>
  <c r="N363" i="201"/>
  <c r="M363" i="201"/>
  <c r="L363" i="201"/>
  <c r="K363" i="201"/>
  <c r="J363" i="201"/>
  <c r="I363" i="201"/>
  <c r="H363" i="201"/>
  <c r="G363" i="201"/>
  <c r="F363" i="201"/>
  <c r="E363" i="201"/>
  <c r="P362" i="201"/>
  <c r="O362" i="201"/>
  <c r="N362" i="201"/>
  <c r="N359" i="201" s="1"/>
  <c r="N358" i="201" s="1"/>
  <c r="M362" i="201"/>
  <c r="M359" i="201" s="1"/>
  <c r="M358" i="201" s="1"/>
  <c r="L362" i="201"/>
  <c r="K362" i="201"/>
  <c r="J362" i="201"/>
  <c r="I362" i="201"/>
  <c r="H362" i="201"/>
  <c r="G362" i="201"/>
  <c r="F362" i="201"/>
  <c r="E362" i="201"/>
  <c r="P361" i="201"/>
  <c r="O361" i="201"/>
  <c r="N361" i="201"/>
  <c r="M361" i="201"/>
  <c r="L361" i="201"/>
  <c r="K361" i="201"/>
  <c r="J361" i="201"/>
  <c r="I361" i="201"/>
  <c r="H361" i="201"/>
  <c r="G361" i="201"/>
  <c r="F361" i="201"/>
  <c r="E361" i="201"/>
  <c r="P360" i="201"/>
  <c r="O360" i="201"/>
  <c r="N360" i="201"/>
  <c r="M360" i="201"/>
  <c r="L360" i="201"/>
  <c r="K360" i="201"/>
  <c r="J360" i="201"/>
  <c r="I360" i="201"/>
  <c r="H360" i="201"/>
  <c r="G360" i="201"/>
  <c r="F360" i="201"/>
  <c r="E360" i="201"/>
  <c r="P357" i="201"/>
  <c r="O357" i="201"/>
  <c r="N357" i="201"/>
  <c r="M357" i="201"/>
  <c r="L357" i="201"/>
  <c r="K357" i="201"/>
  <c r="J357" i="201"/>
  <c r="I357" i="201"/>
  <c r="H357" i="201"/>
  <c r="G357" i="201"/>
  <c r="F357" i="201"/>
  <c r="E357" i="201"/>
  <c r="P356" i="201"/>
  <c r="O356" i="201"/>
  <c r="N356" i="201"/>
  <c r="M356" i="201"/>
  <c r="L356" i="201"/>
  <c r="K356" i="201"/>
  <c r="J356" i="201"/>
  <c r="I356" i="201"/>
  <c r="H356" i="201"/>
  <c r="G356" i="201"/>
  <c r="F356" i="201"/>
  <c r="E356" i="201"/>
  <c r="P355" i="201"/>
  <c r="O355" i="201"/>
  <c r="N355" i="201"/>
  <c r="M355" i="201"/>
  <c r="L355" i="201"/>
  <c r="K355" i="201"/>
  <c r="J355" i="201"/>
  <c r="I355" i="201"/>
  <c r="H355" i="201"/>
  <c r="G355" i="201"/>
  <c r="F355" i="201"/>
  <c r="E355" i="201"/>
  <c r="P354" i="201"/>
  <c r="O354" i="201"/>
  <c r="N354" i="201"/>
  <c r="M354" i="201"/>
  <c r="L354" i="201"/>
  <c r="K354" i="201"/>
  <c r="J354" i="201"/>
  <c r="I354" i="201"/>
  <c r="H354" i="201"/>
  <c r="G354" i="201"/>
  <c r="F354" i="201"/>
  <c r="E354" i="201"/>
  <c r="P353" i="201"/>
  <c r="O353" i="201"/>
  <c r="N353" i="201"/>
  <c r="M353" i="201"/>
  <c r="L353" i="201"/>
  <c r="K353" i="201"/>
  <c r="J353" i="201"/>
  <c r="I353" i="201"/>
  <c r="H353" i="201"/>
  <c r="G353" i="201"/>
  <c r="F353" i="201"/>
  <c r="E353" i="201"/>
  <c r="P352" i="201"/>
  <c r="O352" i="201"/>
  <c r="N352" i="201"/>
  <c r="M352" i="201"/>
  <c r="L352" i="201"/>
  <c r="K352" i="201"/>
  <c r="J352" i="201"/>
  <c r="I352" i="201"/>
  <c r="H352" i="201"/>
  <c r="G352" i="201"/>
  <c r="F352" i="201"/>
  <c r="E352" i="201"/>
  <c r="P351" i="201"/>
  <c r="O351" i="201"/>
  <c r="N351" i="201"/>
  <c r="M351" i="201"/>
  <c r="L351" i="201"/>
  <c r="K351" i="201"/>
  <c r="J351" i="201"/>
  <c r="I351" i="201"/>
  <c r="H351" i="201"/>
  <c r="G351" i="201"/>
  <c r="F351" i="201"/>
  <c r="E351" i="201"/>
  <c r="P350" i="201"/>
  <c r="O350" i="201"/>
  <c r="N350" i="201"/>
  <c r="M350" i="201"/>
  <c r="L350" i="201"/>
  <c r="K350" i="201"/>
  <c r="J350" i="201"/>
  <c r="I350" i="201"/>
  <c r="H350" i="201"/>
  <c r="G350" i="201"/>
  <c r="F350" i="201"/>
  <c r="E350" i="201"/>
  <c r="P349" i="201"/>
  <c r="O349" i="201"/>
  <c r="N349" i="201"/>
  <c r="M349" i="201"/>
  <c r="L349" i="201"/>
  <c r="K349" i="201"/>
  <c r="J349" i="201"/>
  <c r="I349" i="201"/>
  <c r="H349" i="201"/>
  <c r="G349" i="201"/>
  <c r="F349" i="201"/>
  <c r="E349" i="201"/>
  <c r="P348" i="201"/>
  <c r="O348" i="201"/>
  <c r="N348" i="201"/>
  <c r="M348" i="201"/>
  <c r="L348" i="201"/>
  <c r="K348" i="201"/>
  <c r="J348" i="201"/>
  <c r="I348" i="201"/>
  <c r="H348" i="201"/>
  <c r="G348" i="201"/>
  <c r="F348" i="201"/>
  <c r="E348" i="201"/>
  <c r="P347" i="201"/>
  <c r="O347" i="201"/>
  <c r="N347" i="201"/>
  <c r="M347" i="201"/>
  <c r="L347" i="201"/>
  <c r="K347" i="201"/>
  <c r="J347" i="201"/>
  <c r="I347" i="201"/>
  <c r="H347" i="201"/>
  <c r="G347" i="201"/>
  <c r="F347" i="201"/>
  <c r="E347" i="201"/>
  <c r="P346" i="201"/>
  <c r="O346" i="201"/>
  <c r="N346" i="201"/>
  <c r="M346" i="201"/>
  <c r="L346" i="201"/>
  <c r="K346" i="201"/>
  <c r="J346" i="201"/>
  <c r="I346" i="201"/>
  <c r="H346" i="201"/>
  <c r="G346" i="201"/>
  <c r="F346" i="201"/>
  <c r="E346" i="201"/>
  <c r="P345" i="201"/>
  <c r="O345" i="201"/>
  <c r="N345" i="201"/>
  <c r="M345" i="201"/>
  <c r="L345" i="201"/>
  <c r="K345" i="201"/>
  <c r="J345" i="201"/>
  <c r="I345" i="201"/>
  <c r="H345" i="201"/>
  <c r="G345" i="201"/>
  <c r="F345" i="201"/>
  <c r="E345" i="201"/>
  <c r="P344" i="201"/>
  <c r="O344" i="201"/>
  <c r="N344" i="201"/>
  <c r="M344" i="201"/>
  <c r="L344" i="201"/>
  <c r="K344" i="201"/>
  <c r="J344" i="201"/>
  <c r="I344" i="201"/>
  <c r="H344" i="201"/>
  <c r="G344" i="201"/>
  <c r="F344" i="201"/>
  <c r="E344" i="201"/>
  <c r="P343" i="201"/>
  <c r="O343" i="201"/>
  <c r="N343" i="201"/>
  <c r="M343" i="201"/>
  <c r="L343" i="201"/>
  <c r="K343" i="201"/>
  <c r="J343" i="201"/>
  <c r="I343" i="201"/>
  <c r="H343" i="201"/>
  <c r="G343" i="201"/>
  <c r="F343" i="201"/>
  <c r="E343" i="201"/>
  <c r="P342" i="201"/>
  <c r="O342" i="201"/>
  <c r="N342" i="201"/>
  <c r="M342" i="201"/>
  <c r="L342" i="201"/>
  <c r="K342" i="201"/>
  <c r="J342" i="201"/>
  <c r="I342" i="201"/>
  <c r="H342" i="201"/>
  <c r="G342" i="201"/>
  <c r="F342" i="201"/>
  <c r="E342" i="201"/>
  <c r="P341" i="201"/>
  <c r="O341" i="201"/>
  <c r="N341" i="201"/>
  <c r="N340" i="201" s="1"/>
  <c r="N339" i="201" s="1"/>
  <c r="M341" i="201"/>
  <c r="M340" i="201" s="1"/>
  <c r="M339" i="201" s="1"/>
  <c r="L341" i="201"/>
  <c r="K341" i="201"/>
  <c r="J341" i="201"/>
  <c r="I341" i="201"/>
  <c r="I340" i="201" s="1"/>
  <c r="I339" i="201" s="1"/>
  <c r="H341" i="201"/>
  <c r="G341" i="201"/>
  <c r="F341" i="201"/>
  <c r="E341" i="201"/>
  <c r="P338" i="201"/>
  <c r="O338" i="201"/>
  <c r="N338" i="201"/>
  <c r="M338" i="201"/>
  <c r="L338" i="201"/>
  <c r="K338" i="201"/>
  <c r="J338" i="201"/>
  <c r="I338" i="201"/>
  <c r="H338" i="201"/>
  <c r="G338" i="201"/>
  <c r="F338" i="201"/>
  <c r="E338" i="201"/>
  <c r="P337" i="201"/>
  <c r="O337" i="201"/>
  <c r="N337" i="201"/>
  <c r="M337" i="201"/>
  <c r="L337" i="201"/>
  <c r="K337" i="201"/>
  <c r="J337" i="201"/>
  <c r="I337" i="201"/>
  <c r="H337" i="201"/>
  <c r="G337" i="201"/>
  <c r="F337" i="201"/>
  <c r="E337" i="201"/>
  <c r="P336" i="201"/>
  <c r="O336" i="201"/>
  <c r="N336" i="201"/>
  <c r="M336" i="201"/>
  <c r="L336" i="201"/>
  <c r="K336" i="201"/>
  <c r="J336" i="201"/>
  <c r="I336" i="201"/>
  <c r="H336" i="201"/>
  <c r="G336" i="201"/>
  <c r="F336" i="201"/>
  <c r="E336" i="201"/>
  <c r="P335" i="201"/>
  <c r="O335" i="201"/>
  <c r="N335" i="201"/>
  <c r="M335" i="201"/>
  <c r="L335" i="201"/>
  <c r="K335" i="201"/>
  <c r="J335" i="201"/>
  <c r="I335" i="201"/>
  <c r="H335" i="201"/>
  <c r="G335" i="201"/>
  <c r="F335" i="201"/>
  <c r="E335" i="201"/>
  <c r="P334" i="201"/>
  <c r="O334" i="201"/>
  <c r="N334" i="201"/>
  <c r="M334" i="201"/>
  <c r="L334" i="201"/>
  <c r="K334" i="201"/>
  <c r="J334" i="201"/>
  <c r="I334" i="201"/>
  <c r="H334" i="201"/>
  <c r="G334" i="201"/>
  <c r="F334" i="201"/>
  <c r="E334" i="201"/>
  <c r="P333" i="201"/>
  <c r="O333" i="201"/>
  <c r="N333" i="201"/>
  <c r="M333" i="201"/>
  <c r="L333" i="201"/>
  <c r="K333" i="201"/>
  <c r="J333" i="201"/>
  <c r="I333" i="201"/>
  <c r="H333" i="201"/>
  <c r="G333" i="201"/>
  <c r="F333" i="201"/>
  <c r="E333" i="201"/>
  <c r="P332" i="201"/>
  <c r="O332" i="201"/>
  <c r="N332" i="201"/>
  <c r="M332" i="201"/>
  <c r="M331" i="201" s="1"/>
  <c r="M330" i="201" s="1"/>
  <c r="L332" i="201"/>
  <c r="K332" i="201"/>
  <c r="J332" i="201"/>
  <c r="I332" i="201"/>
  <c r="I331" i="201" s="1"/>
  <c r="I330" i="201" s="1"/>
  <c r="H332" i="201"/>
  <c r="G332" i="201"/>
  <c r="F332" i="201"/>
  <c r="E332" i="201"/>
  <c r="P323" i="201"/>
  <c r="O323" i="201"/>
  <c r="N323" i="201"/>
  <c r="M323" i="201"/>
  <c r="L323" i="201"/>
  <c r="K323" i="201"/>
  <c r="J323" i="201"/>
  <c r="I323" i="201"/>
  <c r="H323" i="201"/>
  <c r="G323" i="201"/>
  <c r="F323" i="201"/>
  <c r="E323" i="201"/>
  <c r="P322" i="201"/>
  <c r="O322" i="201"/>
  <c r="N322" i="201"/>
  <c r="M322" i="201"/>
  <c r="L322" i="201"/>
  <c r="K322" i="201"/>
  <c r="J322" i="201"/>
  <c r="I322" i="201"/>
  <c r="H322" i="201"/>
  <c r="G322" i="201"/>
  <c r="F322" i="201"/>
  <c r="E322" i="201"/>
  <c r="P321" i="201"/>
  <c r="O321" i="201"/>
  <c r="N321" i="201"/>
  <c r="M321" i="201"/>
  <c r="L321" i="201"/>
  <c r="K321" i="201"/>
  <c r="J321" i="201"/>
  <c r="I321" i="201"/>
  <c r="H321" i="201"/>
  <c r="G321" i="201"/>
  <c r="F321" i="201"/>
  <c r="E321" i="201"/>
  <c r="P320" i="201"/>
  <c r="O320" i="201"/>
  <c r="N320" i="201"/>
  <c r="M320" i="201"/>
  <c r="L320" i="201"/>
  <c r="K320" i="201"/>
  <c r="J320" i="201"/>
  <c r="I320" i="201"/>
  <c r="H320" i="201"/>
  <c r="G320" i="201"/>
  <c r="F320" i="201"/>
  <c r="E320" i="201"/>
  <c r="P319" i="201"/>
  <c r="O319" i="201"/>
  <c r="N319" i="201"/>
  <c r="M319" i="201"/>
  <c r="L319" i="201"/>
  <c r="K319" i="201"/>
  <c r="J319" i="201"/>
  <c r="I319" i="201"/>
  <c r="H319" i="201"/>
  <c r="G319" i="201"/>
  <c r="F319" i="201"/>
  <c r="E319" i="201"/>
  <c r="P318" i="201"/>
  <c r="O318" i="201"/>
  <c r="N318" i="201"/>
  <c r="M318" i="201"/>
  <c r="L318" i="201"/>
  <c r="K318" i="201"/>
  <c r="J318" i="201"/>
  <c r="I318" i="201"/>
  <c r="H318" i="201"/>
  <c r="G318" i="201"/>
  <c r="F318" i="201"/>
  <c r="E318" i="201"/>
  <c r="P317" i="201"/>
  <c r="O317" i="201"/>
  <c r="N317" i="201"/>
  <c r="M317" i="201"/>
  <c r="L317" i="201"/>
  <c r="K317" i="201"/>
  <c r="J317" i="201"/>
  <c r="I317" i="201"/>
  <c r="H317" i="201"/>
  <c r="G317" i="201"/>
  <c r="F317" i="201"/>
  <c r="E317" i="201"/>
  <c r="P316" i="201"/>
  <c r="O316" i="201"/>
  <c r="N316" i="201"/>
  <c r="M316" i="201"/>
  <c r="L316" i="201"/>
  <c r="K316" i="201"/>
  <c r="J316" i="201"/>
  <c r="I316" i="201"/>
  <c r="H316" i="201"/>
  <c r="G316" i="201"/>
  <c r="F316" i="201"/>
  <c r="E316" i="201"/>
  <c r="P315" i="201"/>
  <c r="O315" i="201"/>
  <c r="N315" i="201"/>
  <c r="M315" i="201"/>
  <c r="L315" i="201"/>
  <c r="K315" i="201"/>
  <c r="J315" i="201"/>
  <c r="I315" i="201"/>
  <c r="H315" i="201"/>
  <c r="G315" i="201"/>
  <c r="F315" i="201"/>
  <c r="E315" i="201"/>
  <c r="P314" i="201"/>
  <c r="O314" i="201"/>
  <c r="N314" i="201"/>
  <c r="M314" i="201"/>
  <c r="L314" i="201"/>
  <c r="K314" i="201"/>
  <c r="J314" i="201"/>
  <c r="I314" i="201"/>
  <c r="H314" i="201"/>
  <c r="G314" i="201"/>
  <c r="F314" i="201"/>
  <c r="E314" i="201"/>
  <c r="P313" i="201"/>
  <c r="O313" i="201"/>
  <c r="N313" i="201"/>
  <c r="M313" i="201"/>
  <c r="L313" i="201"/>
  <c r="K313" i="201"/>
  <c r="J313" i="201"/>
  <c r="I313" i="201"/>
  <c r="H313" i="201"/>
  <c r="G313" i="201"/>
  <c r="F313" i="201"/>
  <c r="E313" i="201"/>
  <c r="P312" i="201"/>
  <c r="O312" i="201"/>
  <c r="N312" i="201"/>
  <c r="M312" i="201"/>
  <c r="L312" i="201"/>
  <c r="K312" i="201"/>
  <c r="J312" i="201"/>
  <c r="I312" i="201"/>
  <c r="H312" i="201"/>
  <c r="G312" i="201"/>
  <c r="F312" i="201"/>
  <c r="E312" i="201"/>
  <c r="P311" i="201"/>
  <c r="O311" i="201"/>
  <c r="N311" i="201"/>
  <c r="M311" i="201"/>
  <c r="L311" i="201"/>
  <c r="K311" i="201"/>
  <c r="J311" i="201"/>
  <c r="I311" i="201"/>
  <c r="H311" i="201"/>
  <c r="G311" i="201"/>
  <c r="F311" i="201"/>
  <c r="E311" i="201"/>
  <c r="P310" i="201"/>
  <c r="O310" i="201"/>
  <c r="N310" i="201"/>
  <c r="M310" i="201"/>
  <c r="L310" i="201"/>
  <c r="K310" i="201"/>
  <c r="J310" i="201"/>
  <c r="I310" i="201"/>
  <c r="H310" i="201"/>
  <c r="G310" i="201"/>
  <c r="F310" i="201"/>
  <c r="E310" i="201"/>
  <c r="P309" i="201"/>
  <c r="O309" i="201"/>
  <c r="N309" i="201"/>
  <c r="M309" i="201"/>
  <c r="L309" i="201"/>
  <c r="K309" i="201"/>
  <c r="J309" i="201"/>
  <c r="I309" i="201"/>
  <c r="H309" i="201"/>
  <c r="G309" i="201"/>
  <c r="F309" i="201"/>
  <c r="E309" i="201"/>
  <c r="P308" i="201"/>
  <c r="O308" i="201"/>
  <c r="N308" i="201"/>
  <c r="M308" i="201"/>
  <c r="L308" i="201"/>
  <c r="K308" i="201"/>
  <c r="J308" i="201"/>
  <c r="I308" i="201"/>
  <c r="H308" i="201"/>
  <c r="G308" i="201"/>
  <c r="F308" i="201"/>
  <c r="E308" i="201"/>
  <c r="P307" i="201"/>
  <c r="O307" i="201"/>
  <c r="N307" i="201"/>
  <c r="M307" i="201"/>
  <c r="M306" i="201" s="1"/>
  <c r="M305" i="201" s="1"/>
  <c r="L307" i="201"/>
  <c r="K307" i="201"/>
  <c r="J307" i="201"/>
  <c r="I307" i="201"/>
  <c r="I306" i="201" s="1"/>
  <c r="I305" i="201" s="1"/>
  <c r="H307" i="201"/>
  <c r="G307" i="201"/>
  <c r="F307" i="201"/>
  <c r="F306" i="201" s="1"/>
  <c r="F305" i="201" s="1"/>
  <c r="E307" i="201"/>
  <c r="P303" i="201"/>
  <c r="O303" i="201"/>
  <c r="N303" i="201"/>
  <c r="M303" i="201"/>
  <c r="L303" i="201"/>
  <c r="K303" i="201"/>
  <c r="J303" i="201"/>
  <c r="I303" i="201"/>
  <c r="H303" i="201"/>
  <c r="G303" i="201"/>
  <c r="F303" i="201"/>
  <c r="E303" i="201"/>
  <c r="P302" i="201"/>
  <c r="O302" i="201"/>
  <c r="N302" i="201"/>
  <c r="M302" i="201"/>
  <c r="L302" i="201"/>
  <c r="K302" i="201"/>
  <c r="J302" i="201"/>
  <c r="I302" i="201"/>
  <c r="H302" i="201"/>
  <c r="G302" i="201"/>
  <c r="F302" i="201"/>
  <c r="E302" i="201"/>
  <c r="P301" i="201"/>
  <c r="O301" i="201"/>
  <c r="N301" i="201"/>
  <c r="M301" i="201"/>
  <c r="L301" i="201"/>
  <c r="K301" i="201"/>
  <c r="J301" i="201"/>
  <c r="I301" i="201"/>
  <c r="H301" i="201"/>
  <c r="G301" i="201"/>
  <c r="F301" i="201"/>
  <c r="E301" i="201"/>
  <c r="P300" i="201"/>
  <c r="O300" i="201"/>
  <c r="N300" i="201"/>
  <c r="M300" i="201"/>
  <c r="L300" i="201"/>
  <c r="K300" i="201"/>
  <c r="J300" i="201"/>
  <c r="I300" i="201"/>
  <c r="H300" i="201"/>
  <c r="G300" i="201"/>
  <c r="F300" i="201"/>
  <c r="E300" i="201"/>
  <c r="P299" i="201"/>
  <c r="O299" i="201"/>
  <c r="N299" i="201"/>
  <c r="M299" i="201"/>
  <c r="L299" i="201"/>
  <c r="K299" i="201"/>
  <c r="J299" i="201"/>
  <c r="I299" i="201"/>
  <c r="H299" i="201"/>
  <c r="G299" i="201"/>
  <c r="F299" i="201"/>
  <c r="E299" i="201"/>
  <c r="P297" i="201"/>
  <c r="O297" i="201"/>
  <c r="N297" i="201"/>
  <c r="M297" i="201"/>
  <c r="L297" i="201"/>
  <c r="K297" i="201"/>
  <c r="J297" i="201"/>
  <c r="I297" i="201"/>
  <c r="H297" i="201"/>
  <c r="G297" i="201"/>
  <c r="F297" i="201"/>
  <c r="E297" i="201"/>
  <c r="P296" i="201"/>
  <c r="O296" i="201"/>
  <c r="N296" i="201"/>
  <c r="M296" i="201"/>
  <c r="L296" i="201"/>
  <c r="K296" i="201"/>
  <c r="J296" i="201"/>
  <c r="I296" i="201"/>
  <c r="H296" i="201"/>
  <c r="G296" i="201"/>
  <c r="F296" i="201"/>
  <c r="E296" i="201"/>
  <c r="P295" i="201"/>
  <c r="O295" i="201"/>
  <c r="N295" i="201"/>
  <c r="M295" i="201"/>
  <c r="L295" i="201"/>
  <c r="K295" i="201"/>
  <c r="J295" i="201"/>
  <c r="I295" i="201"/>
  <c r="H295" i="201"/>
  <c r="G295" i="201"/>
  <c r="F295" i="201"/>
  <c r="E295" i="201"/>
  <c r="P294" i="201"/>
  <c r="O294" i="201"/>
  <c r="N294" i="201"/>
  <c r="M294" i="201"/>
  <c r="L294" i="201"/>
  <c r="K294" i="201"/>
  <c r="J294" i="201"/>
  <c r="I294" i="201"/>
  <c r="H294" i="201"/>
  <c r="G294" i="201"/>
  <c r="F294" i="201"/>
  <c r="E294" i="201"/>
  <c r="P293" i="201"/>
  <c r="O293" i="201"/>
  <c r="N293" i="201"/>
  <c r="M293" i="201"/>
  <c r="L293" i="201"/>
  <c r="K293" i="201"/>
  <c r="J293" i="201"/>
  <c r="I293" i="201"/>
  <c r="H293" i="201"/>
  <c r="G293" i="201"/>
  <c r="F293" i="201"/>
  <c r="E293" i="201"/>
  <c r="P292" i="201"/>
  <c r="O292" i="201"/>
  <c r="N292" i="201"/>
  <c r="M292" i="201"/>
  <c r="L292" i="201"/>
  <c r="K292" i="201"/>
  <c r="J292" i="201"/>
  <c r="I292" i="201"/>
  <c r="H292" i="201"/>
  <c r="G292" i="201"/>
  <c r="F292" i="201"/>
  <c r="E292" i="201"/>
  <c r="P291" i="201"/>
  <c r="O291" i="201"/>
  <c r="N291" i="201"/>
  <c r="M291" i="201"/>
  <c r="L291" i="201"/>
  <c r="K291" i="201"/>
  <c r="J291" i="201"/>
  <c r="I291" i="201"/>
  <c r="H291" i="201"/>
  <c r="G291" i="201"/>
  <c r="F291" i="201"/>
  <c r="E291" i="201"/>
  <c r="P290" i="201"/>
  <c r="O290" i="201"/>
  <c r="N290" i="201"/>
  <c r="M290" i="201"/>
  <c r="L290" i="201"/>
  <c r="K290" i="201"/>
  <c r="J290" i="201"/>
  <c r="I290" i="201"/>
  <c r="H290" i="201"/>
  <c r="G290" i="201"/>
  <c r="F290" i="201"/>
  <c r="E290" i="201"/>
  <c r="P289" i="201"/>
  <c r="O289" i="201"/>
  <c r="N289" i="201"/>
  <c r="M289" i="201"/>
  <c r="L289" i="201"/>
  <c r="K289" i="201"/>
  <c r="J289" i="201"/>
  <c r="I289" i="201"/>
  <c r="H289" i="201"/>
  <c r="G289" i="201"/>
  <c r="F289" i="201"/>
  <c r="E289" i="201"/>
  <c r="P288" i="201"/>
  <c r="O288" i="201"/>
  <c r="N288" i="201"/>
  <c r="M288" i="201"/>
  <c r="L288" i="201"/>
  <c r="K288" i="201"/>
  <c r="J288" i="201"/>
  <c r="I288" i="201"/>
  <c r="H288" i="201"/>
  <c r="G288" i="201"/>
  <c r="F288" i="201"/>
  <c r="E288" i="201"/>
  <c r="P287" i="201"/>
  <c r="O287" i="201"/>
  <c r="N287" i="201"/>
  <c r="M287" i="201"/>
  <c r="L287" i="201"/>
  <c r="K287" i="201"/>
  <c r="J287" i="201"/>
  <c r="I287" i="201"/>
  <c r="H287" i="201"/>
  <c r="G287" i="201"/>
  <c r="F287" i="201"/>
  <c r="E287" i="201"/>
  <c r="P286" i="201"/>
  <c r="O286" i="201"/>
  <c r="N286" i="201"/>
  <c r="M286" i="201"/>
  <c r="L286" i="201"/>
  <c r="K286" i="201"/>
  <c r="J286" i="201"/>
  <c r="I286" i="201"/>
  <c r="H286" i="201"/>
  <c r="G286" i="201"/>
  <c r="F286" i="201"/>
  <c r="E286" i="201"/>
  <c r="P285" i="201"/>
  <c r="O285" i="201"/>
  <c r="N285" i="201"/>
  <c r="M285" i="201"/>
  <c r="L285" i="201"/>
  <c r="K285" i="201"/>
  <c r="J285" i="201"/>
  <c r="I285" i="201"/>
  <c r="H285" i="201"/>
  <c r="G285" i="201"/>
  <c r="F285" i="201"/>
  <c r="E285" i="201"/>
  <c r="P284" i="201"/>
  <c r="O284" i="201"/>
  <c r="N284" i="201"/>
  <c r="M284" i="201"/>
  <c r="L284" i="201"/>
  <c r="K284" i="201"/>
  <c r="J284" i="201"/>
  <c r="I284" i="201"/>
  <c r="H284" i="201"/>
  <c r="G284" i="201"/>
  <c r="F284" i="201"/>
  <c r="E284" i="201"/>
  <c r="P283" i="201"/>
  <c r="O283" i="201"/>
  <c r="N283" i="201"/>
  <c r="M283" i="201"/>
  <c r="L283" i="201"/>
  <c r="K283" i="201"/>
  <c r="J283" i="201"/>
  <c r="I283" i="201"/>
  <c r="H283" i="201"/>
  <c r="G283" i="201"/>
  <c r="F283" i="201"/>
  <c r="E283" i="201"/>
  <c r="P282" i="201"/>
  <c r="O282" i="201"/>
  <c r="N282" i="201"/>
  <c r="M282" i="201"/>
  <c r="L282" i="201"/>
  <c r="K282" i="201"/>
  <c r="J282" i="201"/>
  <c r="I282" i="201"/>
  <c r="H282" i="201"/>
  <c r="G282" i="201"/>
  <c r="F282" i="201"/>
  <c r="E282" i="201"/>
  <c r="P281" i="201"/>
  <c r="O281" i="201"/>
  <c r="N281" i="201"/>
  <c r="M281" i="201"/>
  <c r="L281" i="201"/>
  <c r="K281" i="201"/>
  <c r="J281" i="201"/>
  <c r="I281" i="201"/>
  <c r="H281" i="201"/>
  <c r="G281" i="201"/>
  <c r="F281" i="201"/>
  <c r="E281" i="201"/>
  <c r="P280" i="201"/>
  <c r="O280" i="201"/>
  <c r="N280" i="201"/>
  <c r="M280" i="201"/>
  <c r="L280" i="201"/>
  <c r="K280" i="201"/>
  <c r="J280" i="201"/>
  <c r="I280" i="201"/>
  <c r="H280" i="201"/>
  <c r="G280" i="201"/>
  <c r="F280" i="201"/>
  <c r="E280" i="201"/>
  <c r="P279" i="201"/>
  <c r="O279" i="201"/>
  <c r="N279" i="201"/>
  <c r="N274" i="201" s="1"/>
  <c r="N273" i="201" s="1"/>
  <c r="M279" i="201"/>
  <c r="L279" i="201"/>
  <c r="K279" i="201"/>
  <c r="J279" i="201"/>
  <c r="I279" i="201"/>
  <c r="I274" i="201" s="1"/>
  <c r="I273" i="201" s="1"/>
  <c r="H279" i="201"/>
  <c r="G279" i="201"/>
  <c r="F279" i="201"/>
  <c r="E279" i="201"/>
  <c r="P278" i="201"/>
  <c r="O278" i="201"/>
  <c r="N278" i="201"/>
  <c r="M278" i="201"/>
  <c r="L278" i="201"/>
  <c r="K278" i="201"/>
  <c r="J278" i="201"/>
  <c r="I278" i="201"/>
  <c r="H278" i="201"/>
  <c r="G278" i="201"/>
  <c r="F278" i="201"/>
  <c r="E278" i="201"/>
  <c r="P276" i="201"/>
  <c r="O276" i="201"/>
  <c r="N276" i="201"/>
  <c r="M276" i="201"/>
  <c r="L276" i="201"/>
  <c r="K276" i="201"/>
  <c r="J276" i="201"/>
  <c r="I276" i="201"/>
  <c r="H276" i="201"/>
  <c r="G276" i="201"/>
  <c r="F276" i="201"/>
  <c r="E276" i="201"/>
  <c r="P275" i="201"/>
  <c r="O275" i="201"/>
  <c r="N275" i="201"/>
  <c r="M275" i="201"/>
  <c r="M274" i="201" s="1"/>
  <c r="M273" i="201" s="1"/>
  <c r="L275" i="201"/>
  <c r="K275" i="201"/>
  <c r="J275" i="201"/>
  <c r="I275" i="201"/>
  <c r="H275" i="201"/>
  <c r="G275" i="201"/>
  <c r="F275" i="201"/>
  <c r="E275" i="201"/>
  <c r="P268" i="201"/>
  <c r="O268" i="201"/>
  <c r="N268" i="201"/>
  <c r="M268" i="201"/>
  <c r="L268" i="201"/>
  <c r="K268" i="201"/>
  <c r="J268" i="201"/>
  <c r="I268" i="201"/>
  <c r="H268" i="201"/>
  <c r="G268" i="201"/>
  <c r="F268" i="201"/>
  <c r="E268" i="201"/>
  <c r="P267" i="201"/>
  <c r="O267" i="201"/>
  <c r="N267" i="201"/>
  <c r="M267" i="201"/>
  <c r="L267" i="201"/>
  <c r="K267" i="201"/>
  <c r="J267" i="201"/>
  <c r="I267" i="201"/>
  <c r="H267" i="201"/>
  <c r="G267" i="201"/>
  <c r="F267" i="201"/>
  <c r="E267" i="201"/>
  <c r="P266" i="201"/>
  <c r="O266" i="201"/>
  <c r="N266" i="201"/>
  <c r="M266" i="201"/>
  <c r="L266" i="201"/>
  <c r="K266" i="201"/>
  <c r="J266" i="201"/>
  <c r="I266" i="201"/>
  <c r="H266" i="201"/>
  <c r="G266" i="201"/>
  <c r="F266" i="201"/>
  <c r="E266" i="201"/>
  <c r="P265" i="201"/>
  <c r="O265" i="201"/>
  <c r="N265" i="201"/>
  <c r="M265" i="201"/>
  <c r="L265" i="201"/>
  <c r="K265" i="201"/>
  <c r="J265" i="201"/>
  <c r="I265" i="201"/>
  <c r="H265" i="201"/>
  <c r="G265" i="201"/>
  <c r="F265" i="201"/>
  <c r="E265" i="201"/>
  <c r="P264" i="201"/>
  <c r="O264" i="201"/>
  <c r="N264" i="201"/>
  <c r="M264" i="201"/>
  <c r="L264" i="201"/>
  <c r="K264" i="201"/>
  <c r="J264" i="201"/>
  <c r="I264" i="201"/>
  <c r="H264" i="201"/>
  <c r="G264" i="201"/>
  <c r="F264" i="201"/>
  <c r="E264" i="201"/>
  <c r="P263" i="201"/>
  <c r="O263" i="201"/>
  <c r="N263" i="201"/>
  <c r="M263" i="201"/>
  <c r="L263" i="201"/>
  <c r="K263" i="201"/>
  <c r="J263" i="201"/>
  <c r="I263" i="201"/>
  <c r="H263" i="201"/>
  <c r="G263" i="201"/>
  <c r="F263" i="201"/>
  <c r="E263" i="201"/>
  <c r="P262" i="201"/>
  <c r="O262" i="201"/>
  <c r="N262" i="201"/>
  <c r="M262" i="201"/>
  <c r="L262" i="201"/>
  <c r="K262" i="201"/>
  <c r="J262" i="201"/>
  <c r="I262" i="201"/>
  <c r="H262" i="201"/>
  <c r="G262" i="201"/>
  <c r="F262" i="201"/>
  <c r="E262" i="201"/>
  <c r="P261" i="201"/>
  <c r="O261" i="201"/>
  <c r="N261" i="201"/>
  <c r="M261" i="201"/>
  <c r="L261" i="201"/>
  <c r="K261" i="201"/>
  <c r="J261" i="201"/>
  <c r="I261" i="201"/>
  <c r="H261" i="201"/>
  <c r="G261" i="201"/>
  <c r="F261" i="201"/>
  <c r="E261" i="201"/>
  <c r="O260" i="201"/>
  <c r="N260" i="201"/>
  <c r="M260" i="201"/>
  <c r="L260" i="201"/>
  <c r="K260" i="201"/>
  <c r="J260" i="201"/>
  <c r="I260" i="201"/>
  <c r="H260" i="201"/>
  <c r="G260" i="201"/>
  <c r="P259" i="201"/>
  <c r="O259" i="201"/>
  <c r="N259" i="201"/>
  <c r="M259" i="201"/>
  <c r="L259" i="201"/>
  <c r="K259" i="201"/>
  <c r="J259" i="201"/>
  <c r="I259" i="201"/>
  <c r="H259" i="201"/>
  <c r="G259" i="201"/>
  <c r="F259" i="201"/>
  <c r="E259" i="201"/>
  <c r="P258" i="201"/>
  <c r="O258" i="201"/>
  <c r="N258" i="201"/>
  <c r="M258" i="201"/>
  <c r="L258" i="201"/>
  <c r="K258" i="201"/>
  <c r="J258" i="201"/>
  <c r="I258" i="201"/>
  <c r="H258" i="201"/>
  <c r="G258" i="201"/>
  <c r="F258" i="201"/>
  <c r="E258" i="201"/>
  <c r="P257" i="201"/>
  <c r="O257" i="201"/>
  <c r="N257" i="201"/>
  <c r="M257" i="201"/>
  <c r="L257" i="201"/>
  <c r="K257" i="201"/>
  <c r="J257" i="201"/>
  <c r="I257" i="201"/>
  <c r="H257" i="201"/>
  <c r="G257" i="201"/>
  <c r="F257" i="201"/>
  <c r="E257" i="201"/>
  <c r="P256" i="201"/>
  <c r="O256" i="201"/>
  <c r="N256" i="201"/>
  <c r="M256" i="201"/>
  <c r="L256" i="201"/>
  <c r="K256" i="201"/>
  <c r="J256" i="201"/>
  <c r="I256" i="201"/>
  <c r="H256" i="201"/>
  <c r="G256" i="201"/>
  <c r="F256" i="201"/>
  <c r="E256" i="201"/>
  <c r="P255" i="201"/>
  <c r="O255" i="201"/>
  <c r="N255" i="201"/>
  <c r="M255" i="201"/>
  <c r="L255" i="201"/>
  <c r="K255" i="201"/>
  <c r="J255" i="201"/>
  <c r="I255" i="201"/>
  <c r="H255" i="201"/>
  <c r="G255" i="201"/>
  <c r="F255" i="201"/>
  <c r="E255" i="201"/>
  <c r="P254" i="201"/>
  <c r="O254" i="201"/>
  <c r="N254" i="201"/>
  <c r="M254" i="201"/>
  <c r="L254" i="201"/>
  <c r="K254" i="201"/>
  <c r="J254" i="201"/>
  <c r="I254" i="201"/>
  <c r="H254" i="201"/>
  <c r="G254" i="201"/>
  <c r="F254" i="201"/>
  <c r="E254" i="201"/>
  <c r="O253" i="201"/>
  <c r="N253" i="201"/>
  <c r="M253" i="201"/>
  <c r="L253" i="201"/>
  <c r="K253" i="201"/>
  <c r="J253" i="201"/>
  <c r="I253" i="201"/>
  <c r="H253" i="201"/>
  <c r="G253" i="201"/>
  <c r="O252" i="201"/>
  <c r="N252" i="201"/>
  <c r="M252" i="201"/>
  <c r="L252" i="201"/>
  <c r="K252" i="201"/>
  <c r="I252" i="201"/>
  <c r="H252" i="201"/>
  <c r="G252" i="201"/>
  <c r="F252" i="201"/>
  <c r="P251" i="201"/>
  <c r="O251" i="201"/>
  <c r="N251" i="201"/>
  <c r="M251" i="201"/>
  <c r="L251" i="201"/>
  <c r="K251" i="201"/>
  <c r="J251" i="201"/>
  <c r="I251" i="201"/>
  <c r="H251" i="201"/>
  <c r="G251" i="201"/>
  <c r="F251" i="201"/>
  <c r="E251" i="201"/>
  <c r="P250" i="201"/>
  <c r="O250" i="201"/>
  <c r="N250" i="201"/>
  <c r="M250" i="201"/>
  <c r="L250" i="201"/>
  <c r="K250" i="201"/>
  <c r="J250" i="201"/>
  <c r="I250" i="201"/>
  <c r="H250" i="201"/>
  <c r="G250" i="201"/>
  <c r="F250" i="201"/>
  <c r="E250" i="201"/>
  <c r="P243" i="201"/>
  <c r="O243" i="201"/>
  <c r="N243" i="201"/>
  <c r="M243" i="201"/>
  <c r="L243" i="201"/>
  <c r="K243" i="201"/>
  <c r="J243" i="201"/>
  <c r="I243" i="201"/>
  <c r="H243" i="201"/>
  <c r="G243" i="201"/>
  <c r="F243" i="201"/>
  <c r="E243" i="201"/>
  <c r="P242" i="201"/>
  <c r="O242" i="201"/>
  <c r="N242" i="201"/>
  <c r="M242" i="201"/>
  <c r="L242" i="201"/>
  <c r="K242" i="201"/>
  <c r="J242" i="201"/>
  <c r="I242" i="201"/>
  <c r="H242" i="201"/>
  <c r="G242" i="201"/>
  <c r="F242" i="201"/>
  <c r="E242" i="201"/>
  <c r="P241" i="201"/>
  <c r="O241" i="201"/>
  <c r="N241" i="201"/>
  <c r="M241" i="201"/>
  <c r="L241" i="201"/>
  <c r="K241" i="201"/>
  <c r="J241" i="201"/>
  <c r="I241" i="201"/>
  <c r="H241" i="201"/>
  <c r="G241" i="201"/>
  <c r="F241" i="201"/>
  <c r="E241" i="201"/>
  <c r="P240" i="201"/>
  <c r="O240" i="201"/>
  <c r="N240" i="201"/>
  <c r="M240" i="201"/>
  <c r="L240" i="201"/>
  <c r="K240" i="201"/>
  <c r="J240" i="201"/>
  <c r="I240" i="201"/>
  <c r="H240" i="201"/>
  <c r="G240" i="201"/>
  <c r="F240" i="201"/>
  <c r="E240" i="201"/>
  <c r="P239" i="201"/>
  <c r="O239" i="201"/>
  <c r="N239" i="201"/>
  <c r="M239" i="201"/>
  <c r="L239" i="201"/>
  <c r="K239" i="201"/>
  <c r="J239" i="201"/>
  <c r="I239" i="201"/>
  <c r="H239" i="201"/>
  <c r="G239" i="201"/>
  <c r="F239" i="201"/>
  <c r="E239" i="201"/>
  <c r="P238" i="201"/>
  <c r="O238" i="201"/>
  <c r="N238" i="201"/>
  <c r="M238" i="201"/>
  <c r="L238" i="201"/>
  <c r="K238" i="201"/>
  <c r="J238" i="201"/>
  <c r="I238" i="201"/>
  <c r="H238" i="201"/>
  <c r="G238" i="201"/>
  <c r="F238" i="201"/>
  <c r="E238" i="201"/>
  <c r="P237" i="201"/>
  <c r="O237" i="201"/>
  <c r="N237" i="201"/>
  <c r="M237" i="201"/>
  <c r="L237" i="201"/>
  <c r="K237" i="201"/>
  <c r="J237" i="201"/>
  <c r="I237" i="201"/>
  <c r="H237" i="201"/>
  <c r="G237" i="201"/>
  <c r="F237" i="201"/>
  <c r="E237" i="201"/>
  <c r="P236" i="201"/>
  <c r="O236" i="201"/>
  <c r="N236" i="201"/>
  <c r="M236" i="201"/>
  <c r="L236" i="201"/>
  <c r="K236" i="201"/>
  <c r="J236" i="201"/>
  <c r="I236" i="201"/>
  <c r="H236" i="201"/>
  <c r="G236" i="201"/>
  <c r="F236" i="201"/>
  <c r="E236" i="201"/>
  <c r="P235" i="201"/>
  <c r="O235" i="201"/>
  <c r="N235" i="201"/>
  <c r="M235" i="201"/>
  <c r="L235" i="201"/>
  <c r="K235" i="201"/>
  <c r="J235" i="201"/>
  <c r="I235" i="201"/>
  <c r="H235" i="201"/>
  <c r="G235" i="201"/>
  <c r="F235" i="201"/>
  <c r="E235" i="201"/>
  <c r="P234" i="201"/>
  <c r="O234" i="201"/>
  <c r="N234" i="201"/>
  <c r="M234" i="201"/>
  <c r="L234" i="201"/>
  <c r="K234" i="201"/>
  <c r="J234" i="201"/>
  <c r="I234" i="201"/>
  <c r="H234" i="201"/>
  <c r="G234" i="201"/>
  <c r="F234" i="201"/>
  <c r="E234" i="201"/>
  <c r="P233" i="201"/>
  <c r="O233" i="201"/>
  <c r="N233" i="201"/>
  <c r="M233" i="201"/>
  <c r="L233" i="201"/>
  <c r="K233" i="201"/>
  <c r="J233" i="201"/>
  <c r="I233" i="201"/>
  <c r="H233" i="201"/>
  <c r="G233" i="201"/>
  <c r="F233" i="201"/>
  <c r="E233" i="201"/>
  <c r="P232" i="201"/>
  <c r="O232" i="201"/>
  <c r="N232" i="201"/>
  <c r="M232" i="201"/>
  <c r="L232" i="201"/>
  <c r="K232" i="201"/>
  <c r="J232" i="201"/>
  <c r="I232" i="201"/>
  <c r="H232" i="201"/>
  <c r="G232" i="201"/>
  <c r="F232" i="201"/>
  <c r="E232" i="201"/>
  <c r="P231" i="201"/>
  <c r="O231" i="201"/>
  <c r="N231" i="201"/>
  <c r="M231" i="201"/>
  <c r="L231" i="201"/>
  <c r="K231" i="201"/>
  <c r="J231" i="201"/>
  <c r="I231" i="201"/>
  <c r="H231" i="201"/>
  <c r="G231" i="201"/>
  <c r="F231" i="201"/>
  <c r="E231" i="201"/>
  <c r="P230" i="201"/>
  <c r="O230" i="201"/>
  <c r="N230" i="201"/>
  <c r="M230" i="201"/>
  <c r="L230" i="201"/>
  <c r="K230" i="201"/>
  <c r="J230" i="201"/>
  <c r="I230" i="201"/>
  <c r="H230" i="201"/>
  <c r="G230" i="201"/>
  <c r="F230" i="201"/>
  <c r="E230" i="201"/>
  <c r="P229" i="201"/>
  <c r="O229" i="201"/>
  <c r="N229" i="201"/>
  <c r="M229" i="201"/>
  <c r="L229" i="201"/>
  <c r="K229" i="201"/>
  <c r="J229" i="201"/>
  <c r="I229" i="201"/>
  <c r="H229" i="201"/>
  <c r="G229" i="201"/>
  <c r="F229" i="201"/>
  <c r="E229" i="201"/>
  <c r="P228" i="201"/>
  <c r="O228" i="201"/>
  <c r="N228" i="201"/>
  <c r="M228" i="201"/>
  <c r="L228" i="201"/>
  <c r="K228" i="201"/>
  <c r="J228" i="201"/>
  <c r="I228" i="201"/>
  <c r="H228" i="201"/>
  <c r="G228" i="201"/>
  <c r="F228" i="201"/>
  <c r="E228" i="201"/>
  <c r="P227" i="201"/>
  <c r="O227" i="201"/>
  <c r="N227" i="201"/>
  <c r="M227" i="201"/>
  <c r="L227" i="201"/>
  <c r="K227" i="201"/>
  <c r="J227" i="201"/>
  <c r="I227" i="201"/>
  <c r="H227" i="201"/>
  <c r="G227" i="201"/>
  <c r="F227" i="201"/>
  <c r="E227" i="201"/>
  <c r="P226" i="201"/>
  <c r="O226" i="201"/>
  <c r="N226" i="201"/>
  <c r="M226" i="201"/>
  <c r="L226" i="201"/>
  <c r="K226" i="201"/>
  <c r="J226" i="201"/>
  <c r="I226" i="201"/>
  <c r="H226" i="201"/>
  <c r="G226" i="201"/>
  <c r="F226" i="201"/>
  <c r="E226" i="201"/>
  <c r="P225" i="201"/>
  <c r="O225" i="201"/>
  <c r="N225" i="201"/>
  <c r="M225" i="201"/>
  <c r="L225" i="201"/>
  <c r="K225" i="201"/>
  <c r="J225" i="201"/>
  <c r="I225" i="201"/>
  <c r="H225" i="201"/>
  <c r="G225" i="201"/>
  <c r="F225" i="201"/>
  <c r="E225" i="201"/>
  <c r="P224" i="201"/>
  <c r="O224" i="201"/>
  <c r="N224" i="201"/>
  <c r="M224" i="201"/>
  <c r="L224" i="201"/>
  <c r="K224" i="201"/>
  <c r="J224" i="201"/>
  <c r="I224" i="201"/>
  <c r="H224" i="201"/>
  <c r="G224" i="201"/>
  <c r="F224" i="201"/>
  <c r="E224" i="201"/>
  <c r="P223" i="201"/>
  <c r="O223" i="201"/>
  <c r="N223" i="201"/>
  <c r="M223" i="201"/>
  <c r="L223" i="201"/>
  <c r="K223" i="201"/>
  <c r="J223" i="201"/>
  <c r="I223" i="201"/>
  <c r="H223" i="201"/>
  <c r="G223" i="201"/>
  <c r="F223" i="201"/>
  <c r="E223" i="201"/>
  <c r="P222" i="201"/>
  <c r="O222" i="201"/>
  <c r="N222" i="201"/>
  <c r="M222" i="201"/>
  <c r="L222" i="201"/>
  <c r="K222" i="201"/>
  <c r="J222" i="201"/>
  <c r="I222" i="201"/>
  <c r="H222" i="201"/>
  <c r="G222" i="201"/>
  <c r="F222" i="201"/>
  <c r="E222" i="201"/>
  <c r="P221" i="201"/>
  <c r="O221" i="201"/>
  <c r="N221" i="201"/>
  <c r="M221" i="201"/>
  <c r="L221" i="201"/>
  <c r="K221" i="201"/>
  <c r="J221" i="201"/>
  <c r="I221" i="201"/>
  <c r="H221" i="201"/>
  <c r="G221" i="201"/>
  <c r="F221" i="201"/>
  <c r="E221" i="201"/>
  <c r="P220" i="201"/>
  <c r="O220" i="201"/>
  <c r="N220" i="201"/>
  <c r="M220" i="201"/>
  <c r="L220" i="201"/>
  <c r="K220" i="201"/>
  <c r="J220" i="201"/>
  <c r="I220" i="201"/>
  <c r="H220" i="201"/>
  <c r="G220" i="201"/>
  <c r="F220" i="201"/>
  <c r="E220" i="201"/>
  <c r="P219" i="201"/>
  <c r="O219" i="201"/>
  <c r="N219" i="201"/>
  <c r="M219" i="201"/>
  <c r="L219" i="201"/>
  <c r="K219" i="201"/>
  <c r="J219" i="201"/>
  <c r="I219" i="201"/>
  <c r="H219" i="201"/>
  <c r="G219" i="201"/>
  <c r="F219" i="201"/>
  <c r="E219" i="201"/>
  <c r="P218" i="201"/>
  <c r="O218" i="201"/>
  <c r="N218" i="201"/>
  <c r="M218" i="201"/>
  <c r="L218" i="201"/>
  <c r="K218" i="201"/>
  <c r="J218" i="201"/>
  <c r="I218" i="201"/>
  <c r="H218" i="201"/>
  <c r="G218" i="201"/>
  <c r="F218" i="201"/>
  <c r="E218" i="201"/>
  <c r="P217" i="201"/>
  <c r="O217" i="201"/>
  <c r="N217" i="201"/>
  <c r="M217" i="201"/>
  <c r="L217" i="201"/>
  <c r="K217" i="201"/>
  <c r="J217" i="201"/>
  <c r="I217" i="201"/>
  <c r="H217" i="201"/>
  <c r="G217" i="201"/>
  <c r="F217" i="201"/>
  <c r="E217" i="201"/>
  <c r="P216" i="201"/>
  <c r="O216" i="201"/>
  <c r="N216" i="201"/>
  <c r="M216" i="201"/>
  <c r="L216" i="201"/>
  <c r="K216" i="201"/>
  <c r="J216" i="201"/>
  <c r="I216" i="201"/>
  <c r="H216" i="201"/>
  <c r="G216" i="201"/>
  <c r="F216" i="201"/>
  <c r="E216" i="201"/>
  <c r="P215" i="201"/>
  <c r="O215" i="201"/>
  <c r="N215" i="201"/>
  <c r="M215" i="201"/>
  <c r="L215" i="201"/>
  <c r="K215" i="201"/>
  <c r="J215" i="201"/>
  <c r="I215" i="201"/>
  <c r="H215" i="201"/>
  <c r="G215" i="201"/>
  <c r="F215" i="201"/>
  <c r="E215" i="201"/>
  <c r="P214" i="201"/>
  <c r="O214" i="201"/>
  <c r="N214" i="201"/>
  <c r="M214" i="201"/>
  <c r="L214" i="201"/>
  <c r="K214" i="201"/>
  <c r="J214" i="201"/>
  <c r="I214" i="201"/>
  <c r="H214" i="201"/>
  <c r="G214" i="201"/>
  <c r="F214" i="201"/>
  <c r="E214" i="201"/>
  <c r="P213" i="201"/>
  <c r="O213" i="201"/>
  <c r="N213" i="201"/>
  <c r="M213" i="201"/>
  <c r="L213" i="201"/>
  <c r="K213" i="201"/>
  <c r="J213" i="201"/>
  <c r="I213" i="201"/>
  <c r="H213" i="201"/>
  <c r="G213" i="201"/>
  <c r="F213" i="201"/>
  <c r="E213" i="201"/>
  <c r="P207" i="201"/>
  <c r="O207" i="201"/>
  <c r="N207" i="201"/>
  <c r="M207" i="201"/>
  <c r="L207" i="201"/>
  <c r="K207" i="201"/>
  <c r="J207" i="201"/>
  <c r="I207" i="201"/>
  <c r="H207" i="201"/>
  <c r="G207" i="201"/>
  <c r="F207" i="201"/>
  <c r="E207" i="201"/>
  <c r="P206" i="201"/>
  <c r="O206" i="201"/>
  <c r="N206" i="201"/>
  <c r="M206" i="201"/>
  <c r="L206" i="201"/>
  <c r="K206" i="201"/>
  <c r="J206" i="201"/>
  <c r="I206" i="201"/>
  <c r="H206" i="201"/>
  <c r="G206" i="201"/>
  <c r="F206" i="201"/>
  <c r="E206" i="201"/>
  <c r="P205" i="201"/>
  <c r="O205" i="201"/>
  <c r="N205" i="201"/>
  <c r="M205" i="201"/>
  <c r="L205" i="201"/>
  <c r="K205" i="201"/>
  <c r="J205" i="201"/>
  <c r="I205" i="201"/>
  <c r="H205" i="201"/>
  <c r="G205" i="201"/>
  <c r="F205" i="201"/>
  <c r="E205" i="201"/>
  <c r="P204" i="201"/>
  <c r="O204" i="201"/>
  <c r="N204" i="201"/>
  <c r="M204" i="201"/>
  <c r="L204" i="201"/>
  <c r="K204" i="201"/>
  <c r="J204" i="201"/>
  <c r="I204" i="201"/>
  <c r="H204" i="201"/>
  <c r="G204" i="201"/>
  <c r="F204" i="201"/>
  <c r="E204" i="201"/>
  <c r="P203" i="201"/>
  <c r="O203" i="201"/>
  <c r="N203" i="201"/>
  <c r="M203" i="201"/>
  <c r="L203" i="201"/>
  <c r="K203" i="201"/>
  <c r="J203" i="201"/>
  <c r="I203" i="201"/>
  <c r="H203" i="201"/>
  <c r="G203" i="201"/>
  <c r="F203" i="201"/>
  <c r="E203" i="201"/>
  <c r="P202" i="201"/>
  <c r="O202" i="201"/>
  <c r="N202" i="201"/>
  <c r="M202" i="201"/>
  <c r="L202" i="201"/>
  <c r="K202" i="201"/>
  <c r="J202" i="201"/>
  <c r="I202" i="201"/>
  <c r="H202" i="201"/>
  <c r="G202" i="201"/>
  <c r="F202" i="201"/>
  <c r="E202" i="201"/>
  <c r="P201" i="201"/>
  <c r="O201" i="201"/>
  <c r="N201" i="201"/>
  <c r="M201" i="201"/>
  <c r="L201" i="201"/>
  <c r="K201" i="201"/>
  <c r="J201" i="201"/>
  <c r="I201" i="201"/>
  <c r="H201" i="201"/>
  <c r="G201" i="201"/>
  <c r="F201" i="201"/>
  <c r="E201" i="201"/>
  <c r="P200" i="201"/>
  <c r="O200" i="201"/>
  <c r="N200" i="201"/>
  <c r="M200" i="201"/>
  <c r="L200" i="201"/>
  <c r="K200" i="201"/>
  <c r="J200" i="201"/>
  <c r="I200" i="201"/>
  <c r="H200" i="201"/>
  <c r="G200" i="201"/>
  <c r="F200" i="201"/>
  <c r="E200" i="201"/>
  <c r="P199" i="201"/>
  <c r="O199" i="201"/>
  <c r="N199" i="201"/>
  <c r="M199" i="201"/>
  <c r="L199" i="201"/>
  <c r="K199" i="201"/>
  <c r="J199" i="201"/>
  <c r="I199" i="201"/>
  <c r="H199" i="201"/>
  <c r="G199" i="201"/>
  <c r="F199" i="201"/>
  <c r="E199" i="201"/>
  <c r="P198" i="201"/>
  <c r="O198" i="201"/>
  <c r="N198" i="201"/>
  <c r="M198" i="201"/>
  <c r="L198" i="201"/>
  <c r="K198" i="201"/>
  <c r="J198" i="201"/>
  <c r="I198" i="201"/>
  <c r="H198" i="201"/>
  <c r="G198" i="201"/>
  <c r="F198" i="201"/>
  <c r="E198" i="201"/>
  <c r="P197" i="201"/>
  <c r="O197" i="201"/>
  <c r="N197" i="201"/>
  <c r="M197" i="201"/>
  <c r="L197" i="201"/>
  <c r="K197" i="201"/>
  <c r="J197" i="201"/>
  <c r="I197" i="201"/>
  <c r="H197" i="201"/>
  <c r="G197" i="201"/>
  <c r="F197" i="201"/>
  <c r="E197" i="201"/>
  <c r="P196" i="201"/>
  <c r="O196" i="201"/>
  <c r="N196" i="201"/>
  <c r="M196" i="201"/>
  <c r="L196" i="201"/>
  <c r="K196" i="201"/>
  <c r="J196" i="201"/>
  <c r="I196" i="201"/>
  <c r="H196" i="201"/>
  <c r="G196" i="201"/>
  <c r="F196" i="201"/>
  <c r="E196" i="201"/>
  <c r="P195" i="201"/>
  <c r="O195" i="201"/>
  <c r="N195" i="201"/>
  <c r="M195" i="201"/>
  <c r="L195" i="201"/>
  <c r="K195" i="201"/>
  <c r="J195" i="201"/>
  <c r="I195" i="201"/>
  <c r="H195" i="201"/>
  <c r="G195" i="201"/>
  <c r="F195" i="201"/>
  <c r="E195" i="201"/>
  <c r="P194" i="201"/>
  <c r="O194" i="201"/>
  <c r="N194" i="201"/>
  <c r="M194" i="201"/>
  <c r="L194" i="201"/>
  <c r="K194" i="201"/>
  <c r="J194" i="201"/>
  <c r="I194" i="201"/>
  <c r="H194" i="201"/>
  <c r="G194" i="201"/>
  <c r="F194" i="201"/>
  <c r="E194" i="201"/>
  <c r="P193" i="201"/>
  <c r="O193" i="201"/>
  <c r="N193" i="201"/>
  <c r="M193" i="201"/>
  <c r="L193" i="201"/>
  <c r="K193" i="201"/>
  <c r="J193" i="201"/>
  <c r="I193" i="201"/>
  <c r="H193" i="201"/>
  <c r="G193" i="201"/>
  <c r="F193" i="201"/>
  <c r="E193" i="201"/>
  <c r="P192" i="201"/>
  <c r="O192" i="201"/>
  <c r="N192" i="201"/>
  <c r="M192" i="201"/>
  <c r="L192" i="201"/>
  <c r="K192" i="201"/>
  <c r="J192" i="201"/>
  <c r="I192" i="201"/>
  <c r="H192" i="201"/>
  <c r="G192" i="201"/>
  <c r="F192" i="201"/>
  <c r="E192" i="201"/>
  <c r="P191" i="201"/>
  <c r="O191" i="201"/>
  <c r="N191" i="201"/>
  <c r="M191" i="201"/>
  <c r="L191" i="201"/>
  <c r="K191" i="201"/>
  <c r="J191" i="201"/>
  <c r="I191" i="201"/>
  <c r="H191" i="201"/>
  <c r="G191" i="201"/>
  <c r="F191" i="201"/>
  <c r="E191" i="201"/>
  <c r="F174" i="165"/>
  <c r="P185" i="201"/>
  <c r="O185" i="201"/>
  <c r="N185" i="201"/>
  <c r="M185" i="201"/>
  <c r="L185" i="201"/>
  <c r="K185" i="201"/>
  <c r="J185" i="201"/>
  <c r="I185" i="201"/>
  <c r="H185" i="201"/>
  <c r="G185" i="201"/>
  <c r="F185" i="201"/>
  <c r="E185" i="201"/>
  <c r="P184" i="201"/>
  <c r="O184" i="201"/>
  <c r="N184" i="201"/>
  <c r="M184" i="201"/>
  <c r="L184" i="201"/>
  <c r="K184" i="201"/>
  <c r="J184" i="201"/>
  <c r="I184" i="201"/>
  <c r="H184" i="201"/>
  <c r="G184" i="201"/>
  <c r="F184" i="201"/>
  <c r="E184" i="201"/>
  <c r="N183" i="201"/>
  <c r="M183" i="201"/>
  <c r="L183" i="201"/>
  <c r="K183" i="201"/>
  <c r="I183" i="201"/>
  <c r="H183" i="201"/>
  <c r="G183" i="201"/>
  <c r="F183" i="201"/>
  <c r="E183" i="201"/>
  <c r="P179" i="201"/>
  <c r="O179" i="201"/>
  <c r="N179" i="201"/>
  <c r="M179" i="201"/>
  <c r="L179" i="201"/>
  <c r="K179" i="201"/>
  <c r="J179" i="201"/>
  <c r="I179" i="201"/>
  <c r="H179" i="201"/>
  <c r="G179" i="201"/>
  <c r="F179" i="201"/>
  <c r="E179" i="201"/>
  <c r="P178" i="201"/>
  <c r="O178" i="201"/>
  <c r="N178" i="201"/>
  <c r="M178" i="201"/>
  <c r="L178" i="201"/>
  <c r="K178" i="201"/>
  <c r="J178" i="201"/>
  <c r="I178" i="201"/>
  <c r="H178" i="201"/>
  <c r="G178" i="201"/>
  <c r="F178" i="201"/>
  <c r="E178" i="201"/>
  <c r="P177" i="201"/>
  <c r="O177" i="201"/>
  <c r="N177" i="201"/>
  <c r="M177" i="201"/>
  <c r="L177" i="201"/>
  <c r="K177" i="201"/>
  <c r="J177" i="201"/>
  <c r="I177" i="201"/>
  <c r="H177" i="201"/>
  <c r="G177" i="201"/>
  <c r="F177" i="201"/>
  <c r="E177" i="201"/>
  <c r="P176" i="201"/>
  <c r="O176" i="201"/>
  <c r="N176" i="201"/>
  <c r="M176" i="201"/>
  <c r="L176" i="201"/>
  <c r="K176" i="201"/>
  <c r="J176" i="201"/>
  <c r="I176" i="201"/>
  <c r="H176" i="201"/>
  <c r="G176" i="201"/>
  <c r="F176" i="201"/>
  <c r="E176" i="201"/>
  <c r="P175" i="201"/>
  <c r="O175" i="201"/>
  <c r="N175" i="201"/>
  <c r="M175" i="201"/>
  <c r="L175" i="201"/>
  <c r="K175" i="201"/>
  <c r="J175" i="201"/>
  <c r="I175" i="201"/>
  <c r="H175" i="201"/>
  <c r="G175" i="201"/>
  <c r="F175" i="201"/>
  <c r="E175" i="201"/>
  <c r="O174" i="201"/>
  <c r="N174" i="201"/>
  <c r="M174" i="201"/>
  <c r="L174" i="201"/>
  <c r="K174" i="201"/>
  <c r="J174" i="201"/>
  <c r="I174" i="201"/>
  <c r="H174" i="201"/>
  <c r="G174" i="201"/>
  <c r="F174" i="201"/>
  <c r="O173" i="201"/>
  <c r="N173" i="201"/>
  <c r="M173" i="201"/>
  <c r="L173" i="201"/>
  <c r="K173" i="201"/>
  <c r="J173" i="201"/>
  <c r="I173" i="201"/>
  <c r="G173" i="201"/>
  <c r="P172" i="201"/>
  <c r="O172" i="201"/>
  <c r="N172" i="201"/>
  <c r="M172" i="201"/>
  <c r="L172" i="201"/>
  <c r="K172" i="201"/>
  <c r="J172" i="201"/>
  <c r="I172" i="201"/>
  <c r="H172" i="201"/>
  <c r="G172" i="201"/>
  <c r="F172" i="201"/>
  <c r="E172" i="201"/>
  <c r="P171" i="201"/>
  <c r="O171" i="201"/>
  <c r="N171" i="201"/>
  <c r="M171" i="201"/>
  <c r="L171" i="201"/>
  <c r="K171" i="201"/>
  <c r="J171" i="201"/>
  <c r="I171" i="201"/>
  <c r="H171" i="201"/>
  <c r="G171" i="201"/>
  <c r="F171" i="201"/>
  <c r="E171" i="201"/>
  <c r="P170" i="201"/>
  <c r="O170" i="201"/>
  <c r="N170" i="201"/>
  <c r="M170" i="201"/>
  <c r="L170" i="201"/>
  <c r="K170" i="201"/>
  <c r="J170" i="201"/>
  <c r="I170" i="201"/>
  <c r="H170" i="201"/>
  <c r="G170" i="201"/>
  <c r="F170" i="201"/>
  <c r="E170" i="201"/>
  <c r="P169" i="201"/>
  <c r="O169" i="201"/>
  <c r="N169" i="201"/>
  <c r="M169" i="201"/>
  <c r="L169" i="201"/>
  <c r="K169" i="201"/>
  <c r="J169" i="201"/>
  <c r="I169" i="201"/>
  <c r="H169" i="201"/>
  <c r="G169" i="201"/>
  <c r="F169" i="201"/>
  <c r="E169" i="201"/>
  <c r="P168" i="201"/>
  <c r="O168" i="201"/>
  <c r="N168" i="201"/>
  <c r="M168" i="201"/>
  <c r="L168" i="201"/>
  <c r="K168" i="201"/>
  <c r="J168" i="201"/>
  <c r="I168" i="201"/>
  <c r="H168" i="201"/>
  <c r="G168" i="201"/>
  <c r="F168" i="201"/>
  <c r="E168" i="201"/>
  <c r="P167" i="201"/>
  <c r="O167" i="201"/>
  <c r="N167" i="201"/>
  <c r="M167" i="201"/>
  <c r="L167" i="201"/>
  <c r="K167" i="201"/>
  <c r="J167" i="201"/>
  <c r="I167" i="201"/>
  <c r="H167" i="201"/>
  <c r="G167" i="201"/>
  <c r="F167" i="201"/>
  <c r="E167" i="201"/>
  <c r="P166" i="201"/>
  <c r="O166" i="201"/>
  <c r="N166" i="201"/>
  <c r="M166" i="201"/>
  <c r="L166" i="201"/>
  <c r="K166" i="201"/>
  <c r="J166" i="201"/>
  <c r="I166" i="201"/>
  <c r="H166" i="201"/>
  <c r="G166" i="201"/>
  <c r="F166" i="201"/>
  <c r="E166" i="201"/>
  <c r="P165" i="201"/>
  <c r="O165" i="201"/>
  <c r="N165" i="201"/>
  <c r="M165" i="201"/>
  <c r="L165" i="201"/>
  <c r="K165" i="201"/>
  <c r="J165" i="201"/>
  <c r="I165" i="201"/>
  <c r="H165" i="201"/>
  <c r="G165" i="201"/>
  <c r="F165" i="201"/>
  <c r="E165" i="201"/>
  <c r="P164" i="201"/>
  <c r="O164" i="201"/>
  <c r="N164" i="201"/>
  <c r="M164" i="201"/>
  <c r="L164" i="201"/>
  <c r="K164" i="201"/>
  <c r="J164" i="201"/>
  <c r="I164" i="201"/>
  <c r="H164" i="201"/>
  <c r="G164" i="201"/>
  <c r="F164" i="201"/>
  <c r="E164" i="201"/>
  <c r="P163" i="201"/>
  <c r="O163" i="201"/>
  <c r="N163" i="201"/>
  <c r="M163" i="201"/>
  <c r="L163" i="201"/>
  <c r="K163" i="201"/>
  <c r="J163" i="201"/>
  <c r="I163" i="201"/>
  <c r="H163" i="201"/>
  <c r="G163" i="201"/>
  <c r="F163" i="201"/>
  <c r="E163" i="201"/>
  <c r="P162" i="201"/>
  <c r="O162" i="201"/>
  <c r="N162" i="201"/>
  <c r="M162" i="201"/>
  <c r="L162" i="201"/>
  <c r="K162" i="201"/>
  <c r="J162" i="201"/>
  <c r="I162" i="201"/>
  <c r="H162" i="201"/>
  <c r="G162" i="201"/>
  <c r="F162" i="201"/>
  <c r="E162" i="201"/>
  <c r="P161" i="201"/>
  <c r="O161" i="201"/>
  <c r="N161" i="201"/>
  <c r="M161" i="201"/>
  <c r="L161" i="201"/>
  <c r="K161" i="201"/>
  <c r="J161" i="201"/>
  <c r="I161" i="201"/>
  <c r="H161" i="201"/>
  <c r="G161" i="201"/>
  <c r="F161" i="201"/>
  <c r="E161" i="201"/>
  <c r="P160" i="201"/>
  <c r="O160" i="201"/>
  <c r="N160" i="201"/>
  <c r="M160" i="201"/>
  <c r="L160" i="201"/>
  <c r="K160" i="201"/>
  <c r="J160" i="201"/>
  <c r="I160" i="201"/>
  <c r="H160" i="201"/>
  <c r="G160" i="201"/>
  <c r="F160" i="201"/>
  <c r="E160" i="201"/>
  <c r="P159" i="201"/>
  <c r="O159" i="201"/>
  <c r="N159" i="201"/>
  <c r="M159" i="201"/>
  <c r="L159" i="201"/>
  <c r="K159" i="201"/>
  <c r="J159" i="201"/>
  <c r="I159" i="201"/>
  <c r="H159" i="201"/>
  <c r="G159" i="201"/>
  <c r="F159" i="201"/>
  <c r="E159" i="201"/>
  <c r="P158" i="201"/>
  <c r="O158" i="201"/>
  <c r="N158" i="201"/>
  <c r="M158" i="201"/>
  <c r="L158" i="201"/>
  <c r="K158" i="201"/>
  <c r="J158" i="201"/>
  <c r="I158" i="201"/>
  <c r="H158" i="201"/>
  <c r="G158" i="201"/>
  <c r="F158" i="201"/>
  <c r="E158" i="201"/>
  <c r="P157" i="201"/>
  <c r="O157" i="201"/>
  <c r="N157" i="201"/>
  <c r="M157" i="201"/>
  <c r="L157" i="201"/>
  <c r="K157" i="201"/>
  <c r="J157" i="201"/>
  <c r="I157" i="201"/>
  <c r="H157" i="201"/>
  <c r="G157" i="201"/>
  <c r="F157" i="201"/>
  <c r="E157" i="201"/>
  <c r="P156" i="201"/>
  <c r="O156" i="201"/>
  <c r="N156" i="201"/>
  <c r="M156" i="201"/>
  <c r="L156" i="201"/>
  <c r="K156" i="201"/>
  <c r="J156" i="201"/>
  <c r="I156" i="201"/>
  <c r="H156" i="201"/>
  <c r="G156" i="201"/>
  <c r="F156" i="201"/>
  <c r="E156" i="201"/>
  <c r="P155" i="201"/>
  <c r="O155" i="201"/>
  <c r="N155" i="201"/>
  <c r="M155" i="201"/>
  <c r="L155" i="201"/>
  <c r="K155" i="201"/>
  <c r="J155" i="201"/>
  <c r="I155" i="201"/>
  <c r="H155" i="201"/>
  <c r="G155" i="201"/>
  <c r="F155" i="201"/>
  <c r="E155" i="201"/>
  <c r="P154" i="201"/>
  <c r="O154" i="201"/>
  <c r="N154" i="201"/>
  <c r="M154" i="201"/>
  <c r="L154" i="201"/>
  <c r="K154" i="201"/>
  <c r="J154" i="201"/>
  <c r="I154" i="201"/>
  <c r="H154" i="201"/>
  <c r="G154" i="201"/>
  <c r="F154" i="201"/>
  <c r="E154" i="201"/>
  <c r="P153" i="201"/>
  <c r="O153" i="201"/>
  <c r="N153" i="201"/>
  <c r="M153" i="201"/>
  <c r="L153" i="201"/>
  <c r="K153" i="201"/>
  <c r="J153" i="201"/>
  <c r="I153" i="201"/>
  <c r="H153" i="201"/>
  <c r="G153" i="201"/>
  <c r="F153" i="201"/>
  <c r="E153" i="201"/>
  <c r="P152" i="201"/>
  <c r="O152" i="201"/>
  <c r="N152" i="201"/>
  <c r="M152" i="201"/>
  <c r="L152" i="201"/>
  <c r="K152" i="201"/>
  <c r="J152" i="201"/>
  <c r="I152" i="201"/>
  <c r="H152" i="201"/>
  <c r="G152" i="201"/>
  <c r="F152" i="201"/>
  <c r="E152" i="201"/>
  <c r="P151" i="201"/>
  <c r="O151" i="201"/>
  <c r="N151" i="201"/>
  <c r="M151" i="201"/>
  <c r="L151" i="201"/>
  <c r="K151" i="201"/>
  <c r="J151" i="201"/>
  <c r="I151" i="201"/>
  <c r="H151" i="201"/>
  <c r="G151" i="201"/>
  <c r="F151" i="201"/>
  <c r="E151" i="201"/>
  <c r="P150" i="201"/>
  <c r="O150" i="201"/>
  <c r="N150" i="201"/>
  <c r="M150" i="201"/>
  <c r="L150" i="201"/>
  <c r="K150" i="201"/>
  <c r="J150" i="201"/>
  <c r="I150" i="201"/>
  <c r="H150" i="201"/>
  <c r="G150" i="201"/>
  <c r="F150" i="201"/>
  <c r="E150" i="201"/>
  <c r="P149" i="201"/>
  <c r="O149" i="201"/>
  <c r="N149" i="201"/>
  <c r="M149" i="201"/>
  <c r="L149" i="201"/>
  <c r="K149" i="201"/>
  <c r="J149" i="201"/>
  <c r="I149" i="201"/>
  <c r="H149" i="201"/>
  <c r="G149" i="201"/>
  <c r="F149" i="201"/>
  <c r="E149" i="201"/>
  <c r="P148" i="201"/>
  <c r="O148" i="201"/>
  <c r="N148" i="201"/>
  <c r="M148" i="201"/>
  <c r="L148" i="201"/>
  <c r="K148" i="201"/>
  <c r="J148" i="201"/>
  <c r="I148" i="201"/>
  <c r="H148" i="201"/>
  <c r="G148" i="201"/>
  <c r="F148" i="201"/>
  <c r="E148" i="201"/>
  <c r="P147" i="201"/>
  <c r="O147" i="201"/>
  <c r="N147" i="201"/>
  <c r="M147" i="201"/>
  <c r="L147" i="201"/>
  <c r="K147" i="201"/>
  <c r="J147" i="201"/>
  <c r="I147" i="201"/>
  <c r="H147" i="201"/>
  <c r="G147" i="201"/>
  <c r="F147" i="201"/>
  <c r="E147" i="201"/>
  <c r="P146" i="201"/>
  <c r="O146" i="201"/>
  <c r="N146" i="201"/>
  <c r="M146" i="201"/>
  <c r="L146" i="201"/>
  <c r="K146" i="201"/>
  <c r="J146" i="201"/>
  <c r="I146" i="201"/>
  <c r="H146" i="201"/>
  <c r="G146" i="201"/>
  <c r="F146" i="201"/>
  <c r="E146" i="201"/>
  <c r="P145" i="201"/>
  <c r="O145" i="201"/>
  <c r="N145" i="201"/>
  <c r="M145" i="201"/>
  <c r="L145" i="201"/>
  <c r="K145" i="201"/>
  <c r="J145" i="201"/>
  <c r="I145" i="201"/>
  <c r="H145" i="201"/>
  <c r="G145" i="201"/>
  <c r="F145" i="201"/>
  <c r="E145" i="201"/>
  <c r="P144" i="201"/>
  <c r="O144" i="201"/>
  <c r="N144" i="201"/>
  <c r="M144" i="201"/>
  <c r="L144" i="201"/>
  <c r="K144" i="201"/>
  <c r="J144" i="201"/>
  <c r="I144" i="201"/>
  <c r="H144" i="201"/>
  <c r="G144" i="201"/>
  <c r="F144" i="201"/>
  <c r="E144" i="201"/>
  <c r="P143" i="201"/>
  <c r="O143" i="201"/>
  <c r="N143" i="201"/>
  <c r="M143" i="201"/>
  <c r="L143" i="201"/>
  <c r="K143" i="201"/>
  <c r="J143" i="201"/>
  <c r="I143" i="201"/>
  <c r="H143" i="201"/>
  <c r="G143" i="201"/>
  <c r="F143" i="201"/>
  <c r="E143" i="201"/>
  <c r="P142" i="201"/>
  <c r="O142" i="201"/>
  <c r="N142" i="201"/>
  <c r="M142" i="201"/>
  <c r="L142" i="201"/>
  <c r="K142" i="201"/>
  <c r="J142" i="201"/>
  <c r="I142" i="201"/>
  <c r="H142" i="201"/>
  <c r="G142" i="201"/>
  <c r="F142" i="201"/>
  <c r="E142" i="201"/>
  <c r="P141" i="201"/>
  <c r="O141" i="201"/>
  <c r="N141" i="201"/>
  <c r="M141" i="201"/>
  <c r="L141" i="201"/>
  <c r="K141" i="201"/>
  <c r="J141" i="201"/>
  <c r="I141" i="201"/>
  <c r="H141" i="201"/>
  <c r="G141" i="201"/>
  <c r="F141" i="201"/>
  <c r="E141" i="201"/>
  <c r="P140" i="201"/>
  <c r="O140" i="201"/>
  <c r="N140" i="201"/>
  <c r="M140" i="201"/>
  <c r="L140" i="201"/>
  <c r="K140" i="201"/>
  <c r="J140" i="201"/>
  <c r="I140" i="201"/>
  <c r="H140" i="201"/>
  <c r="G140" i="201"/>
  <c r="F140" i="201"/>
  <c r="E140" i="201"/>
  <c r="P139" i="201"/>
  <c r="O139" i="201"/>
  <c r="N139" i="201"/>
  <c r="M139" i="201"/>
  <c r="L139" i="201"/>
  <c r="K139" i="201"/>
  <c r="J139" i="201"/>
  <c r="I139" i="201"/>
  <c r="H139" i="201"/>
  <c r="G139" i="201"/>
  <c r="F139" i="201"/>
  <c r="E139" i="201"/>
  <c r="P138" i="201"/>
  <c r="O138" i="201"/>
  <c r="N138" i="201"/>
  <c r="M138" i="201"/>
  <c r="L138" i="201"/>
  <c r="K138" i="201"/>
  <c r="J138" i="201"/>
  <c r="I138" i="201"/>
  <c r="H138" i="201"/>
  <c r="G138" i="201"/>
  <c r="F138" i="201"/>
  <c r="E138" i="201"/>
  <c r="P137" i="201"/>
  <c r="O137" i="201"/>
  <c r="N137" i="201"/>
  <c r="M137" i="201"/>
  <c r="L137" i="201"/>
  <c r="K137" i="201"/>
  <c r="J137" i="201"/>
  <c r="I137" i="201"/>
  <c r="H137" i="201"/>
  <c r="G137" i="201"/>
  <c r="F137" i="201"/>
  <c r="E137" i="201"/>
  <c r="O136" i="201"/>
  <c r="N136" i="201"/>
  <c r="M136" i="201"/>
  <c r="L136" i="201"/>
  <c r="K136" i="201"/>
  <c r="J136" i="201"/>
  <c r="I136" i="201"/>
  <c r="G136" i="201"/>
  <c r="P135" i="201"/>
  <c r="O135" i="201"/>
  <c r="N135" i="201"/>
  <c r="M135" i="201"/>
  <c r="L135" i="201"/>
  <c r="K135" i="201"/>
  <c r="J135" i="201"/>
  <c r="I135" i="201"/>
  <c r="H135" i="201"/>
  <c r="G135" i="201"/>
  <c r="F135" i="201"/>
  <c r="E135" i="201"/>
  <c r="P134" i="201"/>
  <c r="O134" i="201"/>
  <c r="N134" i="201"/>
  <c r="M134" i="201"/>
  <c r="L134" i="201"/>
  <c r="K134" i="201"/>
  <c r="J134" i="201"/>
  <c r="I134" i="201"/>
  <c r="H134" i="201"/>
  <c r="G134" i="201"/>
  <c r="F134" i="201"/>
  <c r="E134" i="201"/>
  <c r="P133" i="201"/>
  <c r="O133" i="201"/>
  <c r="N133" i="201"/>
  <c r="M133" i="201"/>
  <c r="L133" i="201"/>
  <c r="K133" i="201"/>
  <c r="J133" i="201"/>
  <c r="I133" i="201"/>
  <c r="H133" i="201"/>
  <c r="G133" i="201"/>
  <c r="F133" i="201"/>
  <c r="E133" i="201"/>
  <c r="P132" i="201"/>
  <c r="O132" i="201"/>
  <c r="N132" i="201"/>
  <c r="M132" i="201"/>
  <c r="L132" i="201"/>
  <c r="K132" i="201"/>
  <c r="J132" i="201"/>
  <c r="I132" i="201"/>
  <c r="H132" i="201"/>
  <c r="G132" i="201"/>
  <c r="F132" i="201"/>
  <c r="E132" i="201"/>
  <c r="P127" i="201"/>
  <c r="O127" i="201"/>
  <c r="N127" i="201"/>
  <c r="M127" i="201"/>
  <c r="L127" i="201"/>
  <c r="K127" i="201"/>
  <c r="J127" i="201"/>
  <c r="I127" i="201"/>
  <c r="H127" i="201"/>
  <c r="G127" i="201"/>
  <c r="F127" i="201"/>
  <c r="E127" i="201"/>
  <c r="P126" i="201"/>
  <c r="O126" i="201"/>
  <c r="N126" i="201"/>
  <c r="M126" i="201"/>
  <c r="L126" i="201"/>
  <c r="K126" i="201"/>
  <c r="J126" i="201"/>
  <c r="I126" i="201"/>
  <c r="H126" i="201"/>
  <c r="G126" i="201"/>
  <c r="F126" i="201"/>
  <c r="E126" i="201"/>
  <c r="P125" i="201"/>
  <c r="O125" i="201"/>
  <c r="N125" i="201"/>
  <c r="M125" i="201"/>
  <c r="L125" i="201"/>
  <c r="K125" i="201"/>
  <c r="J125" i="201"/>
  <c r="I125" i="201"/>
  <c r="H125" i="201"/>
  <c r="G125" i="201"/>
  <c r="F125" i="201"/>
  <c r="E125" i="201"/>
  <c r="P124" i="201"/>
  <c r="O124" i="201"/>
  <c r="N124" i="201"/>
  <c r="M124" i="201"/>
  <c r="L124" i="201"/>
  <c r="K124" i="201"/>
  <c r="J124" i="201"/>
  <c r="I124" i="201"/>
  <c r="H124" i="201"/>
  <c r="G124" i="201"/>
  <c r="F124" i="201"/>
  <c r="E124" i="201"/>
  <c r="P123" i="201"/>
  <c r="O123" i="201"/>
  <c r="N123" i="201"/>
  <c r="M123" i="201"/>
  <c r="L123" i="201"/>
  <c r="K123" i="201"/>
  <c r="J123" i="201"/>
  <c r="I123" i="201"/>
  <c r="H123" i="201"/>
  <c r="G123" i="201"/>
  <c r="F123" i="201"/>
  <c r="E123" i="201"/>
  <c r="P122" i="201"/>
  <c r="O122" i="201"/>
  <c r="N122" i="201"/>
  <c r="M122" i="201"/>
  <c r="L122" i="201"/>
  <c r="K122" i="201"/>
  <c r="J122" i="201"/>
  <c r="I122" i="201"/>
  <c r="H122" i="201"/>
  <c r="G122" i="201"/>
  <c r="F122" i="201"/>
  <c r="E122" i="201"/>
  <c r="P121" i="201"/>
  <c r="O121" i="201"/>
  <c r="N121" i="201"/>
  <c r="M121" i="201"/>
  <c r="L121" i="201"/>
  <c r="K121" i="201"/>
  <c r="J121" i="201"/>
  <c r="I121" i="201"/>
  <c r="H121" i="201"/>
  <c r="G121" i="201"/>
  <c r="F121" i="201"/>
  <c r="E121" i="201"/>
  <c r="P120" i="201"/>
  <c r="O120" i="201"/>
  <c r="N120" i="201"/>
  <c r="M120" i="201"/>
  <c r="L120" i="201"/>
  <c r="K120" i="201"/>
  <c r="J120" i="201"/>
  <c r="I120" i="201"/>
  <c r="H120" i="201"/>
  <c r="G120" i="201"/>
  <c r="F120" i="201"/>
  <c r="E120" i="201"/>
  <c r="P119" i="201"/>
  <c r="O119" i="201"/>
  <c r="N119" i="201"/>
  <c r="M119" i="201"/>
  <c r="L119" i="201"/>
  <c r="K119" i="201"/>
  <c r="J119" i="201"/>
  <c r="I119" i="201"/>
  <c r="H119" i="201"/>
  <c r="G119" i="201"/>
  <c r="F119" i="201"/>
  <c r="E119" i="201"/>
  <c r="P118" i="201"/>
  <c r="O118" i="201"/>
  <c r="N118" i="201"/>
  <c r="M118" i="201"/>
  <c r="L118" i="201"/>
  <c r="K118" i="201"/>
  <c r="J118" i="201"/>
  <c r="I118" i="201"/>
  <c r="H118" i="201"/>
  <c r="G118" i="201"/>
  <c r="F118" i="201"/>
  <c r="E118" i="201"/>
  <c r="P117" i="201"/>
  <c r="O117" i="201"/>
  <c r="N117" i="201"/>
  <c r="M117" i="201"/>
  <c r="L117" i="201"/>
  <c r="K117" i="201"/>
  <c r="J117" i="201"/>
  <c r="I117" i="201"/>
  <c r="H117" i="201"/>
  <c r="G117" i="201"/>
  <c r="F117" i="201"/>
  <c r="E117" i="201"/>
  <c r="P116" i="201"/>
  <c r="O116" i="201"/>
  <c r="N116" i="201"/>
  <c r="M116" i="201"/>
  <c r="L116" i="201"/>
  <c r="K116" i="201"/>
  <c r="J116" i="201"/>
  <c r="I116" i="201"/>
  <c r="H116" i="201"/>
  <c r="G116" i="201"/>
  <c r="F116" i="201"/>
  <c r="E116" i="201"/>
  <c r="P115" i="201"/>
  <c r="O115" i="201"/>
  <c r="N115" i="201"/>
  <c r="M115" i="201"/>
  <c r="L115" i="201"/>
  <c r="K115" i="201"/>
  <c r="J115" i="201"/>
  <c r="I115" i="201"/>
  <c r="H115" i="201"/>
  <c r="G115" i="201"/>
  <c r="F115" i="201"/>
  <c r="E115" i="201"/>
  <c r="P114" i="201"/>
  <c r="O114" i="201"/>
  <c r="N114" i="201"/>
  <c r="M114" i="201"/>
  <c r="L114" i="201"/>
  <c r="K114" i="201"/>
  <c r="J114" i="201"/>
  <c r="I114" i="201"/>
  <c r="H114" i="201"/>
  <c r="G114" i="201"/>
  <c r="F114" i="201"/>
  <c r="E114" i="201"/>
  <c r="P113" i="201"/>
  <c r="O113" i="201"/>
  <c r="N113" i="201"/>
  <c r="M113" i="201"/>
  <c r="L113" i="201"/>
  <c r="K113" i="201"/>
  <c r="J113" i="201"/>
  <c r="I113" i="201"/>
  <c r="H113" i="201"/>
  <c r="G113" i="201"/>
  <c r="F113" i="201"/>
  <c r="E113" i="201"/>
  <c r="P112" i="201"/>
  <c r="O112" i="201"/>
  <c r="N112" i="201"/>
  <c r="M112" i="201"/>
  <c r="L112" i="201"/>
  <c r="K112" i="201"/>
  <c r="J112" i="201"/>
  <c r="I112" i="201"/>
  <c r="H112" i="201"/>
  <c r="G112" i="201"/>
  <c r="F112" i="201"/>
  <c r="E112" i="201"/>
  <c r="P111" i="201"/>
  <c r="O111" i="201"/>
  <c r="N111" i="201"/>
  <c r="M111" i="201"/>
  <c r="L111" i="201"/>
  <c r="K111" i="201"/>
  <c r="J111" i="201"/>
  <c r="I111" i="201"/>
  <c r="H111" i="201"/>
  <c r="G111" i="201"/>
  <c r="F111" i="201"/>
  <c r="E111" i="201"/>
  <c r="P110" i="201"/>
  <c r="O110" i="201"/>
  <c r="N110" i="201"/>
  <c r="M110" i="201"/>
  <c r="L110" i="201"/>
  <c r="K110" i="201"/>
  <c r="J110" i="201"/>
  <c r="I110" i="201"/>
  <c r="H110" i="201"/>
  <c r="G110" i="201"/>
  <c r="F110" i="201"/>
  <c r="E110" i="201"/>
  <c r="P109" i="201"/>
  <c r="O109" i="201"/>
  <c r="N109" i="201"/>
  <c r="M109" i="201"/>
  <c r="L109" i="201"/>
  <c r="K109" i="201"/>
  <c r="J109" i="201"/>
  <c r="I109" i="201"/>
  <c r="H109" i="201"/>
  <c r="G109" i="201"/>
  <c r="F109" i="201"/>
  <c r="E109" i="201"/>
  <c r="P108" i="201"/>
  <c r="O108" i="201"/>
  <c r="N108" i="201"/>
  <c r="M108" i="201"/>
  <c r="L108" i="201"/>
  <c r="K108" i="201"/>
  <c r="J108" i="201"/>
  <c r="I108" i="201"/>
  <c r="H108" i="201"/>
  <c r="G108" i="201"/>
  <c r="F108" i="201"/>
  <c r="E108" i="201"/>
  <c r="P107" i="201"/>
  <c r="O107" i="201"/>
  <c r="N107" i="201"/>
  <c r="M107" i="201"/>
  <c r="L107" i="201"/>
  <c r="K107" i="201"/>
  <c r="J107" i="201"/>
  <c r="I107" i="201"/>
  <c r="H107" i="201"/>
  <c r="G107" i="201"/>
  <c r="F107" i="201"/>
  <c r="E107" i="201"/>
  <c r="P106" i="201"/>
  <c r="O106" i="201"/>
  <c r="N106" i="201"/>
  <c r="M106" i="201"/>
  <c r="L106" i="201"/>
  <c r="K106" i="201"/>
  <c r="J106" i="201"/>
  <c r="I106" i="201"/>
  <c r="H106" i="201"/>
  <c r="G106" i="201"/>
  <c r="F106" i="201"/>
  <c r="E106" i="201"/>
  <c r="P105" i="201"/>
  <c r="O105" i="201"/>
  <c r="N105" i="201"/>
  <c r="M105" i="201"/>
  <c r="L105" i="201"/>
  <c r="K105" i="201"/>
  <c r="J105" i="201"/>
  <c r="I105" i="201"/>
  <c r="H105" i="201"/>
  <c r="G105" i="201"/>
  <c r="F105" i="201"/>
  <c r="E105" i="201"/>
  <c r="P104" i="201"/>
  <c r="O104" i="201"/>
  <c r="N104" i="201"/>
  <c r="M104" i="201"/>
  <c r="L104" i="201"/>
  <c r="K104" i="201"/>
  <c r="J104" i="201"/>
  <c r="I104" i="201"/>
  <c r="H104" i="201"/>
  <c r="G104" i="201"/>
  <c r="F104" i="201"/>
  <c r="E104" i="201"/>
  <c r="P103" i="201"/>
  <c r="O103" i="201"/>
  <c r="N103" i="201"/>
  <c r="M103" i="201"/>
  <c r="L103" i="201"/>
  <c r="K103" i="201"/>
  <c r="J103" i="201"/>
  <c r="I103" i="201"/>
  <c r="H103" i="201"/>
  <c r="G103" i="201"/>
  <c r="F103" i="201"/>
  <c r="E103" i="201"/>
  <c r="P102" i="201"/>
  <c r="O102" i="201"/>
  <c r="N102" i="201"/>
  <c r="M102" i="201"/>
  <c r="L102" i="201"/>
  <c r="K102" i="201"/>
  <c r="J102" i="201"/>
  <c r="I102" i="201"/>
  <c r="H102" i="201"/>
  <c r="G102" i="201"/>
  <c r="F102" i="201"/>
  <c r="E102" i="201"/>
  <c r="F48" i="165"/>
  <c r="P96" i="201"/>
  <c r="O96" i="201"/>
  <c r="N96" i="201"/>
  <c r="M96" i="201"/>
  <c r="L96" i="201"/>
  <c r="K96" i="201"/>
  <c r="J96" i="201"/>
  <c r="I96" i="201"/>
  <c r="H96" i="201"/>
  <c r="G96" i="201"/>
  <c r="F96" i="201"/>
  <c r="E96" i="201"/>
  <c r="P95" i="201"/>
  <c r="O95" i="201"/>
  <c r="N95" i="201"/>
  <c r="M95" i="201"/>
  <c r="L95" i="201"/>
  <c r="K95" i="201"/>
  <c r="J95" i="201"/>
  <c r="I95" i="201"/>
  <c r="H95" i="201"/>
  <c r="G95" i="201"/>
  <c r="F95" i="201"/>
  <c r="E95" i="201"/>
  <c r="P94" i="201"/>
  <c r="O94" i="201"/>
  <c r="N94" i="201"/>
  <c r="M94" i="201"/>
  <c r="L94" i="201"/>
  <c r="K94" i="201"/>
  <c r="J94" i="201"/>
  <c r="I94" i="201"/>
  <c r="H94" i="201"/>
  <c r="G94" i="201"/>
  <c r="F94" i="201"/>
  <c r="E94" i="201"/>
  <c r="P93" i="201"/>
  <c r="O93" i="201"/>
  <c r="N93" i="201"/>
  <c r="M93" i="201"/>
  <c r="L93" i="201"/>
  <c r="K93" i="201"/>
  <c r="J93" i="201"/>
  <c r="I93" i="201"/>
  <c r="H93" i="201"/>
  <c r="G93" i="201"/>
  <c r="F93" i="201"/>
  <c r="E93" i="201"/>
  <c r="P92" i="201"/>
  <c r="O92" i="201"/>
  <c r="N92" i="201"/>
  <c r="M92" i="201"/>
  <c r="L92" i="201"/>
  <c r="K92" i="201"/>
  <c r="J92" i="201"/>
  <c r="I92" i="201"/>
  <c r="H92" i="201"/>
  <c r="G92" i="201"/>
  <c r="F92" i="201"/>
  <c r="E92" i="201"/>
  <c r="P91" i="201"/>
  <c r="O91" i="201"/>
  <c r="N91" i="201"/>
  <c r="M91" i="201"/>
  <c r="L91" i="201"/>
  <c r="K91" i="201"/>
  <c r="J91" i="201"/>
  <c r="I91" i="201"/>
  <c r="H91" i="201"/>
  <c r="G91" i="201"/>
  <c r="F91" i="201"/>
  <c r="E91" i="201"/>
  <c r="P90" i="201"/>
  <c r="O90" i="201"/>
  <c r="N90" i="201"/>
  <c r="M90" i="201"/>
  <c r="L90" i="201"/>
  <c r="K90" i="201"/>
  <c r="J90" i="201"/>
  <c r="I90" i="201"/>
  <c r="H90" i="201"/>
  <c r="G90" i="201"/>
  <c r="F90" i="201"/>
  <c r="E90" i="201"/>
  <c r="P89" i="201"/>
  <c r="O89" i="201"/>
  <c r="N89" i="201"/>
  <c r="M89" i="201"/>
  <c r="L89" i="201"/>
  <c r="K89" i="201"/>
  <c r="J89" i="201"/>
  <c r="I89" i="201"/>
  <c r="H89" i="201"/>
  <c r="G89" i="201"/>
  <c r="F89" i="201"/>
  <c r="E89" i="201"/>
  <c r="P88" i="201"/>
  <c r="O88" i="201"/>
  <c r="N88" i="201"/>
  <c r="M88" i="201"/>
  <c r="L88" i="201"/>
  <c r="K88" i="201"/>
  <c r="J88" i="201"/>
  <c r="I88" i="201"/>
  <c r="H88" i="201"/>
  <c r="G88" i="201"/>
  <c r="F88" i="201"/>
  <c r="E88" i="201"/>
  <c r="P87" i="201"/>
  <c r="O87" i="201"/>
  <c r="N87" i="201"/>
  <c r="M87" i="201"/>
  <c r="L87" i="201"/>
  <c r="K87" i="201"/>
  <c r="J87" i="201"/>
  <c r="I87" i="201"/>
  <c r="H87" i="201"/>
  <c r="G87" i="201"/>
  <c r="F87" i="201"/>
  <c r="E87" i="201"/>
  <c r="P86" i="201"/>
  <c r="O86" i="201"/>
  <c r="N86" i="201"/>
  <c r="M86" i="201"/>
  <c r="L86" i="201"/>
  <c r="K86" i="201"/>
  <c r="J86" i="201"/>
  <c r="I86" i="201"/>
  <c r="H86" i="201"/>
  <c r="G86" i="201"/>
  <c r="F86" i="201"/>
  <c r="E86" i="201"/>
  <c r="P85" i="201"/>
  <c r="O85" i="201"/>
  <c r="N85" i="201"/>
  <c r="M85" i="201"/>
  <c r="L85" i="201"/>
  <c r="K85" i="201"/>
  <c r="J85" i="201"/>
  <c r="I85" i="201"/>
  <c r="H85" i="201"/>
  <c r="G85" i="201"/>
  <c r="F85" i="201"/>
  <c r="E85" i="201"/>
  <c r="P84" i="201"/>
  <c r="O84" i="201"/>
  <c r="N84" i="201"/>
  <c r="M84" i="201"/>
  <c r="L84" i="201"/>
  <c r="K84" i="201"/>
  <c r="J84" i="201"/>
  <c r="I84" i="201"/>
  <c r="H84" i="201"/>
  <c r="G84" i="201"/>
  <c r="F84" i="201"/>
  <c r="E84" i="201"/>
  <c r="P83" i="201"/>
  <c r="O83" i="201"/>
  <c r="N83" i="201"/>
  <c r="M83" i="201"/>
  <c r="L83" i="201"/>
  <c r="K83" i="201"/>
  <c r="J83" i="201"/>
  <c r="I83" i="201"/>
  <c r="H83" i="201"/>
  <c r="G83" i="201"/>
  <c r="F83" i="201"/>
  <c r="E83" i="201"/>
  <c r="P82" i="201"/>
  <c r="O82" i="201"/>
  <c r="N82" i="201"/>
  <c r="M82" i="201"/>
  <c r="L82" i="201"/>
  <c r="K82" i="201"/>
  <c r="J82" i="201"/>
  <c r="I82" i="201"/>
  <c r="H82" i="201"/>
  <c r="G82" i="201"/>
  <c r="F82" i="201"/>
  <c r="E82" i="201"/>
  <c r="P81" i="201"/>
  <c r="O81" i="201"/>
  <c r="N81" i="201"/>
  <c r="M81" i="201"/>
  <c r="L81" i="201"/>
  <c r="K81" i="201"/>
  <c r="J81" i="201"/>
  <c r="I81" i="201"/>
  <c r="H81" i="201"/>
  <c r="G81" i="201"/>
  <c r="F81" i="201"/>
  <c r="E81" i="201"/>
  <c r="P80" i="201"/>
  <c r="O80" i="201"/>
  <c r="N80" i="201"/>
  <c r="M80" i="201"/>
  <c r="L80" i="201"/>
  <c r="K80" i="201"/>
  <c r="J80" i="201"/>
  <c r="I80" i="201"/>
  <c r="H80" i="201"/>
  <c r="G80" i="201"/>
  <c r="F80" i="201"/>
  <c r="E80" i="201"/>
  <c r="P79" i="201"/>
  <c r="O79" i="201"/>
  <c r="N79" i="201"/>
  <c r="M79" i="201"/>
  <c r="L79" i="201"/>
  <c r="K79" i="201"/>
  <c r="J79" i="201"/>
  <c r="I79" i="201"/>
  <c r="H79" i="201"/>
  <c r="G79" i="201"/>
  <c r="F79" i="201"/>
  <c r="E79" i="201"/>
  <c r="P78" i="201"/>
  <c r="O78" i="201"/>
  <c r="N78" i="201"/>
  <c r="M78" i="201"/>
  <c r="L78" i="201"/>
  <c r="K78" i="201"/>
  <c r="J78" i="201"/>
  <c r="I78" i="201"/>
  <c r="H78" i="201"/>
  <c r="G78" i="201"/>
  <c r="F78" i="201"/>
  <c r="E78" i="201"/>
  <c r="P77" i="201"/>
  <c r="O77" i="201"/>
  <c r="N77" i="201"/>
  <c r="M77" i="201"/>
  <c r="L77" i="201"/>
  <c r="K77" i="201"/>
  <c r="J77" i="201"/>
  <c r="I77" i="201"/>
  <c r="H77" i="201"/>
  <c r="G77" i="201"/>
  <c r="F77" i="201"/>
  <c r="E77" i="201"/>
  <c r="P76" i="201"/>
  <c r="O76" i="201"/>
  <c r="N76" i="201"/>
  <c r="M76" i="201"/>
  <c r="L76" i="201"/>
  <c r="K76" i="201"/>
  <c r="J76" i="201"/>
  <c r="I76" i="201"/>
  <c r="H76" i="201"/>
  <c r="G76" i="201"/>
  <c r="F76" i="201"/>
  <c r="E76" i="201"/>
  <c r="P75" i="201"/>
  <c r="O75" i="201"/>
  <c r="N75" i="201"/>
  <c r="M75" i="201"/>
  <c r="L75" i="201"/>
  <c r="K75" i="201"/>
  <c r="J75" i="201"/>
  <c r="I75" i="201"/>
  <c r="H75" i="201"/>
  <c r="G75" i="201"/>
  <c r="F75" i="201"/>
  <c r="E75" i="201"/>
  <c r="P74" i="201"/>
  <c r="O74" i="201"/>
  <c r="N74" i="201"/>
  <c r="M74" i="201"/>
  <c r="L74" i="201"/>
  <c r="K74" i="201"/>
  <c r="J74" i="201"/>
  <c r="I74" i="201"/>
  <c r="H74" i="201"/>
  <c r="G74" i="201"/>
  <c r="F74" i="201"/>
  <c r="E74" i="201"/>
  <c r="P73" i="201"/>
  <c r="O73" i="201"/>
  <c r="N73" i="201"/>
  <c r="M73" i="201"/>
  <c r="L73" i="201"/>
  <c r="K73" i="201"/>
  <c r="J73" i="201"/>
  <c r="I73" i="201"/>
  <c r="H73" i="201"/>
  <c r="G73" i="201"/>
  <c r="F73" i="201"/>
  <c r="E73" i="201"/>
  <c r="P72" i="201"/>
  <c r="O72" i="201"/>
  <c r="N72" i="201"/>
  <c r="M72" i="201"/>
  <c r="L72" i="201"/>
  <c r="K72" i="201"/>
  <c r="J72" i="201"/>
  <c r="I72" i="201"/>
  <c r="H72" i="201"/>
  <c r="G72" i="201"/>
  <c r="F72" i="201"/>
  <c r="E72" i="201"/>
  <c r="P71" i="201"/>
  <c r="O71" i="201"/>
  <c r="N71" i="201"/>
  <c r="M71" i="201"/>
  <c r="L71" i="201"/>
  <c r="K71" i="201"/>
  <c r="J71" i="201"/>
  <c r="I71" i="201"/>
  <c r="H71" i="201"/>
  <c r="G71" i="201"/>
  <c r="F71" i="201"/>
  <c r="E71" i="201"/>
  <c r="P70" i="201"/>
  <c r="O70" i="201"/>
  <c r="N70" i="201"/>
  <c r="M70" i="201"/>
  <c r="L70" i="201"/>
  <c r="K70" i="201"/>
  <c r="J70" i="201"/>
  <c r="I70" i="201"/>
  <c r="H70" i="201"/>
  <c r="G70" i="201"/>
  <c r="F70" i="201"/>
  <c r="E70" i="201"/>
  <c r="P69" i="201"/>
  <c r="O69" i="201"/>
  <c r="N69" i="201"/>
  <c r="M69" i="201"/>
  <c r="L69" i="201"/>
  <c r="K69" i="201"/>
  <c r="J69" i="201"/>
  <c r="I69" i="201"/>
  <c r="H69" i="201"/>
  <c r="G69" i="201"/>
  <c r="F69" i="201"/>
  <c r="E69" i="201"/>
  <c r="P68" i="201"/>
  <c r="O68" i="201"/>
  <c r="N68" i="201"/>
  <c r="M68" i="201"/>
  <c r="L68" i="201"/>
  <c r="K68" i="201"/>
  <c r="J68" i="201"/>
  <c r="I68" i="201"/>
  <c r="H68" i="201"/>
  <c r="G68" i="201"/>
  <c r="F68" i="201"/>
  <c r="E68" i="201"/>
  <c r="P67" i="201"/>
  <c r="O67" i="201"/>
  <c r="N67" i="201"/>
  <c r="M67" i="201"/>
  <c r="L67" i="201"/>
  <c r="K67" i="201"/>
  <c r="J67" i="201"/>
  <c r="I67" i="201"/>
  <c r="H67" i="201"/>
  <c r="G67" i="201"/>
  <c r="F67" i="201"/>
  <c r="E67" i="201"/>
  <c r="P66" i="201"/>
  <c r="O66" i="201"/>
  <c r="N66" i="201"/>
  <c r="M66" i="201"/>
  <c r="L66" i="201"/>
  <c r="K66" i="201"/>
  <c r="J66" i="201"/>
  <c r="I66" i="201"/>
  <c r="H66" i="201"/>
  <c r="G66" i="201"/>
  <c r="F66" i="201"/>
  <c r="E66" i="201"/>
  <c r="P65" i="201"/>
  <c r="O65" i="201"/>
  <c r="N65" i="201"/>
  <c r="M65" i="201"/>
  <c r="L65" i="201"/>
  <c r="K65" i="201"/>
  <c r="J65" i="201"/>
  <c r="I65" i="201"/>
  <c r="H65" i="201"/>
  <c r="G65" i="201"/>
  <c r="F65" i="201"/>
  <c r="E65" i="201"/>
  <c r="P64" i="201"/>
  <c r="O64" i="201"/>
  <c r="N64" i="201"/>
  <c r="M64" i="201"/>
  <c r="L64" i="201"/>
  <c r="K64" i="201"/>
  <c r="J64" i="201"/>
  <c r="I64" i="201"/>
  <c r="H64" i="201"/>
  <c r="G64" i="201"/>
  <c r="F64" i="201"/>
  <c r="E64" i="201"/>
  <c r="P63" i="201"/>
  <c r="O63" i="201"/>
  <c r="N63" i="201"/>
  <c r="M63" i="201"/>
  <c r="L63" i="201"/>
  <c r="K63" i="201"/>
  <c r="J63" i="201"/>
  <c r="I63" i="201"/>
  <c r="H63" i="201"/>
  <c r="G63" i="201"/>
  <c r="F63" i="201"/>
  <c r="E63" i="201"/>
  <c r="P62" i="201"/>
  <c r="O62" i="201"/>
  <c r="N62" i="201"/>
  <c r="M62" i="201"/>
  <c r="L62" i="201"/>
  <c r="K62" i="201"/>
  <c r="J62" i="201"/>
  <c r="I62" i="201"/>
  <c r="H62" i="201"/>
  <c r="G62" i="201"/>
  <c r="F62" i="201"/>
  <c r="E62" i="201"/>
  <c r="P61" i="201"/>
  <c r="O61" i="201"/>
  <c r="N61" i="201"/>
  <c r="M61" i="201"/>
  <c r="L61" i="201"/>
  <c r="K61" i="201"/>
  <c r="J61" i="201"/>
  <c r="I61" i="201"/>
  <c r="H61" i="201"/>
  <c r="G61" i="201"/>
  <c r="F61" i="201"/>
  <c r="E61" i="201"/>
  <c r="P60" i="201"/>
  <c r="O60" i="201"/>
  <c r="N60" i="201"/>
  <c r="M60" i="201"/>
  <c r="L60" i="201"/>
  <c r="K60" i="201"/>
  <c r="J60" i="201"/>
  <c r="I60" i="201"/>
  <c r="H60" i="201"/>
  <c r="G60" i="201"/>
  <c r="F60" i="201"/>
  <c r="E60" i="201"/>
  <c r="P59" i="201"/>
  <c r="O59" i="201"/>
  <c r="N59" i="201"/>
  <c r="M59" i="201"/>
  <c r="L59" i="201"/>
  <c r="K59" i="201"/>
  <c r="J59" i="201"/>
  <c r="I59" i="201"/>
  <c r="H59" i="201"/>
  <c r="G59" i="201"/>
  <c r="F59" i="201"/>
  <c r="E59" i="201"/>
  <c r="P58" i="201"/>
  <c r="O58" i="201"/>
  <c r="N58" i="201"/>
  <c r="M58" i="201"/>
  <c r="L58" i="201"/>
  <c r="K58" i="201"/>
  <c r="J58" i="201"/>
  <c r="I58" i="201"/>
  <c r="H58" i="201"/>
  <c r="G58" i="201"/>
  <c r="F58" i="201"/>
  <c r="E58" i="201"/>
  <c r="P57" i="201"/>
  <c r="O57" i="201"/>
  <c r="N57" i="201"/>
  <c r="M57" i="201"/>
  <c r="L57" i="201"/>
  <c r="K57" i="201"/>
  <c r="J57" i="201"/>
  <c r="I57" i="201"/>
  <c r="H57" i="201"/>
  <c r="G57" i="201"/>
  <c r="F57" i="201"/>
  <c r="E57" i="201"/>
  <c r="P56" i="201"/>
  <c r="O56" i="201"/>
  <c r="N56" i="201"/>
  <c r="M56" i="201"/>
  <c r="L56" i="201"/>
  <c r="K56" i="201"/>
  <c r="J56" i="201"/>
  <c r="I56" i="201"/>
  <c r="H56" i="201"/>
  <c r="G56" i="201"/>
  <c r="F56" i="201"/>
  <c r="E56" i="201"/>
  <c r="P55" i="201"/>
  <c r="O55" i="201"/>
  <c r="N55" i="201"/>
  <c r="M55" i="201"/>
  <c r="L55" i="201"/>
  <c r="K55" i="201"/>
  <c r="J55" i="201"/>
  <c r="I55" i="201"/>
  <c r="H55" i="201"/>
  <c r="G55" i="201"/>
  <c r="F55" i="201"/>
  <c r="E55" i="201"/>
  <c r="P54" i="201"/>
  <c r="O54" i="201"/>
  <c r="N54" i="201"/>
  <c r="M54" i="201"/>
  <c r="L54" i="201"/>
  <c r="K54" i="201"/>
  <c r="J54" i="201"/>
  <c r="I54" i="201"/>
  <c r="H54" i="201"/>
  <c r="G54" i="201"/>
  <c r="F54" i="201"/>
  <c r="E54" i="201"/>
  <c r="P53" i="201"/>
  <c r="O53" i="201"/>
  <c r="N53" i="201"/>
  <c r="M53" i="201"/>
  <c r="L53" i="201"/>
  <c r="K53" i="201"/>
  <c r="J53" i="201"/>
  <c r="I53" i="201"/>
  <c r="H53" i="201"/>
  <c r="G53" i="201"/>
  <c r="F53" i="201"/>
  <c r="E53" i="201"/>
  <c r="P52" i="201"/>
  <c r="O52" i="201"/>
  <c r="N52" i="201"/>
  <c r="M52" i="201"/>
  <c r="L52" i="201"/>
  <c r="K52" i="201"/>
  <c r="J52" i="201"/>
  <c r="I52" i="201"/>
  <c r="H52" i="201"/>
  <c r="G52" i="201"/>
  <c r="F52" i="201"/>
  <c r="E52" i="201"/>
  <c r="P51" i="201"/>
  <c r="O51" i="201"/>
  <c r="N51" i="201"/>
  <c r="M51" i="201"/>
  <c r="L51" i="201"/>
  <c r="K51" i="201"/>
  <c r="J51" i="201"/>
  <c r="I51" i="201"/>
  <c r="H51" i="201"/>
  <c r="G51" i="201"/>
  <c r="F51" i="201"/>
  <c r="E51" i="201"/>
  <c r="P50" i="201"/>
  <c r="O50" i="201"/>
  <c r="N50" i="201"/>
  <c r="M50" i="201"/>
  <c r="L50" i="201"/>
  <c r="K50" i="201"/>
  <c r="J50" i="201"/>
  <c r="I50" i="201"/>
  <c r="H50" i="201"/>
  <c r="G50" i="201"/>
  <c r="F50" i="201"/>
  <c r="E50" i="201"/>
  <c r="P49" i="201"/>
  <c r="O49" i="201"/>
  <c r="N49" i="201"/>
  <c r="M49" i="201"/>
  <c r="L49" i="201"/>
  <c r="K49" i="201"/>
  <c r="J49" i="201"/>
  <c r="I49" i="201"/>
  <c r="H49" i="201"/>
  <c r="G49" i="201"/>
  <c r="F49" i="201"/>
  <c r="E49" i="201"/>
  <c r="O48" i="201"/>
  <c r="N48" i="201"/>
  <c r="M48" i="201"/>
  <c r="L48" i="201"/>
  <c r="K48" i="201"/>
  <c r="J48" i="201"/>
  <c r="I48" i="201"/>
  <c r="H48" i="201"/>
  <c r="G48" i="201"/>
  <c r="F48" i="201"/>
  <c r="O47" i="201"/>
  <c r="N47" i="201"/>
  <c r="M47" i="201"/>
  <c r="L47" i="201"/>
  <c r="K47" i="201"/>
  <c r="J47" i="201"/>
  <c r="I47" i="201"/>
  <c r="H47" i="201"/>
  <c r="G47" i="201"/>
  <c r="P44" i="201"/>
  <c r="O44" i="201"/>
  <c r="N44" i="201"/>
  <c r="M44" i="201"/>
  <c r="L44" i="201"/>
  <c r="K44" i="201"/>
  <c r="J44" i="201"/>
  <c r="I44" i="201"/>
  <c r="H44" i="201"/>
  <c r="G44" i="201"/>
  <c r="F44" i="201"/>
  <c r="E44" i="201"/>
  <c r="P43" i="201"/>
  <c r="O43" i="201"/>
  <c r="N43" i="201"/>
  <c r="M43" i="201"/>
  <c r="L43" i="201"/>
  <c r="K43" i="201"/>
  <c r="J43" i="201"/>
  <c r="I43" i="201"/>
  <c r="H43" i="201"/>
  <c r="G43" i="201"/>
  <c r="F43" i="201"/>
  <c r="E43" i="201"/>
  <c r="P42" i="201"/>
  <c r="O42" i="201"/>
  <c r="N42" i="201"/>
  <c r="M42" i="201"/>
  <c r="L42" i="201"/>
  <c r="K42" i="201"/>
  <c r="J42" i="201"/>
  <c r="I42" i="201"/>
  <c r="H42" i="201"/>
  <c r="G42" i="201"/>
  <c r="F42" i="201"/>
  <c r="E42" i="201"/>
  <c r="P41" i="201"/>
  <c r="O41" i="201"/>
  <c r="N41" i="201"/>
  <c r="M41" i="201"/>
  <c r="L41" i="201"/>
  <c r="K41" i="201"/>
  <c r="J41" i="201"/>
  <c r="I41" i="201"/>
  <c r="H41" i="201"/>
  <c r="G41" i="201"/>
  <c r="F41" i="201"/>
  <c r="E41" i="201"/>
  <c r="P40" i="201"/>
  <c r="O40" i="201"/>
  <c r="N40" i="201"/>
  <c r="M40" i="201"/>
  <c r="L40" i="201"/>
  <c r="K40" i="201"/>
  <c r="J40" i="201"/>
  <c r="I40" i="201"/>
  <c r="H40" i="201"/>
  <c r="G40" i="201"/>
  <c r="F40" i="201"/>
  <c r="E40" i="201"/>
  <c r="P39" i="201"/>
  <c r="O39" i="201"/>
  <c r="N39" i="201"/>
  <c r="M39" i="201"/>
  <c r="L39" i="201"/>
  <c r="K39" i="201"/>
  <c r="J39" i="201"/>
  <c r="I39" i="201"/>
  <c r="H39" i="201"/>
  <c r="G39" i="201"/>
  <c r="F39" i="201"/>
  <c r="E39" i="201"/>
  <c r="P38" i="201"/>
  <c r="O38" i="201"/>
  <c r="N38" i="201"/>
  <c r="M38" i="201"/>
  <c r="L38" i="201"/>
  <c r="K38" i="201"/>
  <c r="J38" i="201"/>
  <c r="I38" i="201"/>
  <c r="H38" i="201"/>
  <c r="G38" i="201"/>
  <c r="F38" i="201"/>
  <c r="E38" i="201"/>
  <c r="P37" i="201"/>
  <c r="O37" i="201"/>
  <c r="N37" i="201"/>
  <c r="M37" i="201"/>
  <c r="L37" i="201"/>
  <c r="K37" i="201"/>
  <c r="J37" i="201"/>
  <c r="I37" i="201"/>
  <c r="H37" i="201"/>
  <c r="G37" i="201"/>
  <c r="F37" i="201"/>
  <c r="E37" i="201"/>
  <c r="P36" i="201"/>
  <c r="O36" i="201"/>
  <c r="N36" i="201"/>
  <c r="M36" i="201"/>
  <c r="L36" i="201"/>
  <c r="K36" i="201"/>
  <c r="J36" i="201"/>
  <c r="I36" i="201"/>
  <c r="H36" i="201"/>
  <c r="G36" i="201"/>
  <c r="F36" i="201"/>
  <c r="E36" i="201"/>
  <c r="P35" i="201"/>
  <c r="O35" i="201"/>
  <c r="N35" i="201"/>
  <c r="M35" i="201"/>
  <c r="L35" i="201"/>
  <c r="K35" i="201"/>
  <c r="J35" i="201"/>
  <c r="I35" i="201"/>
  <c r="H35" i="201"/>
  <c r="G35" i="201"/>
  <c r="F35" i="201"/>
  <c r="E35" i="201"/>
  <c r="P34" i="201"/>
  <c r="O34" i="201"/>
  <c r="N34" i="201"/>
  <c r="M34" i="201"/>
  <c r="L34" i="201"/>
  <c r="K34" i="201"/>
  <c r="J34" i="201"/>
  <c r="I34" i="201"/>
  <c r="H34" i="201"/>
  <c r="G34" i="201"/>
  <c r="F34" i="201"/>
  <c r="E34" i="201"/>
  <c r="P33" i="201"/>
  <c r="O33" i="201"/>
  <c r="N33" i="201"/>
  <c r="N16" i="201" s="1"/>
  <c r="M33" i="201"/>
  <c r="L33" i="201"/>
  <c r="K33" i="201"/>
  <c r="J33" i="201"/>
  <c r="I33" i="201"/>
  <c r="I16" i="201" s="1"/>
  <c r="H33" i="201"/>
  <c r="G33" i="201"/>
  <c r="F33" i="201"/>
  <c r="E33" i="201"/>
  <c r="P32" i="201"/>
  <c r="O32" i="201"/>
  <c r="N32" i="201"/>
  <c r="M32" i="201"/>
  <c r="L32" i="201"/>
  <c r="K32" i="201"/>
  <c r="J32" i="201"/>
  <c r="I32" i="201"/>
  <c r="H32" i="201"/>
  <c r="G32" i="201"/>
  <c r="F32" i="201"/>
  <c r="E32" i="201"/>
  <c r="P30" i="201"/>
  <c r="O30" i="201"/>
  <c r="N30" i="201"/>
  <c r="M30" i="201"/>
  <c r="L30" i="201"/>
  <c r="K30" i="201"/>
  <c r="J30" i="201"/>
  <c r="I30" i="201"/>
  <c r="H30" i="201"/>
  <c r="G30" i="201"/>
  <c r="F30" i="201"/>
  <c r="E30" i="201"/>
  <c r="P29" i="201"/>
  <c r="O29" i="201"/>
  <c r="N29" i="201"/>
  <c r="M29" i="201"/>
  <c r="L29" i="201"/>
  <c r="K29" i="201"/>
  <c r="J29" i="201"/>
  <c r="I29" i="201"/>
  <c r="H29" i="201"/>
  <c r="G29" i="201"/>
  <c r="F29" i="201"/>
  <c r="E29" i="201"/>
  <c r="P28" i="201"/>
  <c r="O28" i="201"/>
  <c r="N28" i="201"/>
  <c r="M28" i="201"/>
  <c r="L28" i="201"/>
  <c r="K28" i="201"/>
  <c r="J28" i="201"/>
  <c r="I28" i="201"/>
  <c r="H28" i="201"/>
  <c r="G28" i="201"/>
  <c r="F28" i="201"/>
  <c r="E28" i="201"/>
  <c r="P27" i="201"/>
  <c r="O27" i="201"/>
  <c r="N27" i="201"/>
  <c r="M27" i="201"/>
  <c r="L27" i="201"/>
  <c r="K27" i="201"/>
  <c r="J27" i="201"/>
  <c r="I27" i="201"/>
  <c r="H27" i="201"/>
  <c r="G27" i="201"/>
  <c r="F27" i="201"/>
  <c r="E27" i="201"/>
  <c r="P26" i="201"/>
  <c r="O26" i="201"/>
  <c r="N26" i="201"/>
  <c r="M26" i="201"/>
  <c r="L26" i="201"/>
  <c r="K26" i="201"/>
  <c r="J26" i="201"/>
  <c r="I26" i="201"/>
  <c r="H26" i="201"/>
  <c r="G26" i="201"/>
  <c r="F26" i="201"/>
  <c r="E26" i="201"/>
  <c r="P25" i="201"/>
  <c r="O25" i="201"/>
  <c r="N25" i="201"/>
  <c r="M25" i="201"/>
  <c r="L25" i="201"/>
  <c r="K25" i="201"/>
  <c r="J25" i="201"/>
  <c r="I25" i="201"/>
  <c r="H25" i="201"/>
  <c r="G25" i="201"/>
  <c r="F25" i="201"/>
  <c r="E25" i="201"/>
  <c r="P24" i="201"/>
  <c r="O24" i="201"/>
  <c r="N24" i="201"/>
  <c r="M24" i="201"/>
  <c r="L24" i="201"/>
  <c r="K24" i="201"/>
  <c r="J24" i="201"/>
  <c r="I24" i="201"/>
  <c r="H24" i="201"/>
  <c r="G24" i="201"/>
  <c r="F24" i="201"/>
  <c r="E24" i="201"/>
  <c r="P23" i="201"/>
  <c r="O23" i="201"/>
  <c r="N23" i="201"/>
  <c r="M23" i="201"/>
  <c r="L23" i="201"/>
  <c r="K23" i="201"/>
  <c r="J23" i="201"/>
  <c r="I23" i="201"/>
  <c r="H23" i="201"/>
  <c r="G23" i="201"/>
  <c r="F23" i="201"/>
  <c r="E23" i="201"/>
  <c r="P22" i="201"/>
  <c r="O22" i="201"/>
  <c r="N22" i="201"/>
  <c r="M22" i="201"/>
  <c r="M16" i="201" s="1"/>
  <c r="L22" i="201"/>
  <c r="K22" i="201"/>
  <c r="J22" i="201"/>
  <c r="I22" i="201"/>
  <c r="H22" i="201"/>
  <c r="G22" i="201"/>
  <c r="F22" i="201"/>
  <c r="E22" i="201"/>
  <c r="P21" i="201"/>
  <c r="O21" i="201"/>
  <c r="N21" i="201"/>
  <c r="M21" i="201"/>
  <c r="L21" i="201"/>
  <c r="K21" i="201"/>
  <c r="J21" i="201"/>
  <c r="I21" i="201"/>
  <c r="H21" i="201"/>
  <c r="G21" i="201"/>
  <c r="F21" i="201"/>
  <c r="E21" i="201"/>
  <c r="P20" i="201"/>
  <c r="O20" i="201"/>
  <c r="N20" i="201"/>
  <c r="M20" i="201"/>
  <c r="L20" i="201"/>
  <c r="K20" i="201"/>
  <c r="J20" i="201"/>
  <c r="I20" i="201"/>
  <c r="H20" i="201"/>
  <c r="G20" i="201"/>
  <c r="F20" i="201"/>
  <c r="E20" i="201"/>
  <c r="P19" i="201"/>
  <c r="O19" i="201"/>
  <c r="N19" i="201"/>
  <c r="M19" i="201"/>
  <c r="L19" i="201"/>
  <c r="K19" i="201"/>
  <c r="J19" i="201"/>
  <c r="I19" i="201"/>
  <c r="H19" i="201"/>
  <c r="G19" i="201"/>
  <c r="F19" i="201"/>
  <c r="E19" i="201"/>
  <c r="N18" i="201"/>
  <c r="M18" i="201"/>
  <c r="L18" i="201"/>
  <c r="K18" i="201"/>
  <c r="I18" i="201"/>
  <c r="H18" i="201"/>
  <c r="G18" i="201"/>
  <c r="N17" i="201"/>
  <c r="M17" i="201"/>
  <c r="L17" i="201"/>
  <c r="L16" i="201" s="1"/>
  <c r="I17" i="201"/>
  <c r="H17" i="201"/>
  <c r="G17" i="201"/>
  <c r="P416" i="201"/>
  <c r="O416" i="201"/>
  <c r="N416" i="201"/>
  <c r="M416" i="201"/>
  <c r="L416" i="201"/>
  <c r="K416" i="201"/>
  <c r="J416" i="201"/>
  <c r="H416" i="201"/>
  <c r="G416" i="201"/>
  <c r="F416" i="201"/>
  <c r="L388" i="201"/>
  <c r="N388" i="201"/>
  <c r="N387" i="201" s="1"/>
  <c r="I388" i="201"/>
  <c r="I387" i="201" s="1"/>
  <c r="H388" i="201"/>
  <c r="H387" i="201" s="1"/>
  <c r="E378" i="201"/>
  <c r="E377" i="201" s="1"/>
  <c r="N378" i="201"/>
  <c r="N377" i="201" s="1"/>
  <c r="H378" i="201"/>
  <c r="H377" i="201" s="1"/>
  <c r="P376" i="201"/>
  <c r="O376" i="201"/>
  <c r="J376" i="201"/>
  <c r="E376" i="201"/>
  <c r="P375" i="201"/>
  <c r="O375" i="201"/>
  <c r="N375" i="201"/>
  <c r="M375" i="201"/>
  <c r="L375" i="201"/>
  <c r="K375" i="201"/>
  <c r="J375" i="201"/>
  <c r="I375" i="201"/>
  <c r="H375" i="201"/>
  <c r="G375" i="201"/>
  <c r="F375" i="201"/>
  <c r="E375" i="201"/>
  <c r="P374" i="201"/>
  <c r="O374" i="201"/>
  <c r="N374" i="201"/>
  <c r="M374" i="201"/>
  <c r="L374" i="201"/>
  <c r="L359" i="201" s="1"/>
  <c r="K374" i="201"/>
  <c r="J374" i="201"/>
  <c r="I374" i="201"/>
  <c r="H374" i="201"/>
  <c r="G374" i="201"/>
  <c r="F374" i="201"/>
  <c r="E374" i="201"/>
  <c r="H359" i="201"/>
  <c r="H358" i="201" s="1"/>
  <c r="I359" i="201"/>
  <c r="I358" i="201" s="1"/>
  <c r="K340" i="201"/>
  <c r="K339" i="201" s="1"/>
  <c r="L340" i="201"/>
  <c r="L339" i="201" s="1"/>
  <c r="H340" i="201"/>
  <c r="H339" i="201" s="1"/>
  <c r="N331" i="201"/>
  <c r="N330" i="201" s="1"/>
  <c r="F331" i="201"/>
  <c r="F330" i="201" s="1"/>
  <c r="K331" i="201"/>
  <c r="K330" i="201" s="1"/>
  <c r="G331" i="201"/>
  <c r="G330" i="201" s="1"/>
  <c r="O329" i="201"/>
  <c r="J329" i="201" s="1"/>
  <c r="E329" i="201"/>
  <c r="P329" i="201" s="1"/>
  <c r="O327" i="201"/>
  <c r="J327" i="201" s="1"/>
  <c r="J326" i="201" s="1"/>
  <c r="J325" i="201" s="1"/>
  <c r="E327" i="201"/>
  <c r="N326" i="201"/>
  <c r="M326" i="201"/>
  <c r="M325" i="201" s="1"/>
  <c r="L326" i="201"/>
  <c r="K326" i="201"/>
  <c r="I326" i="201"/>
  <c r="I325" i="201" s="1"/>
  <c r="H326" i="201"/>
  <c r="G326" i="201"/>
  <c r="F326" i="201"/>
  <c r="E326" i="201"/>
  <c r="E325" i="201" s="1"/>
  <c r="N325" i="201"/>
  <c r="L325" i="201"/>
  <c r="K325" i="201"/>
  <c r="H325" i="201"/>
  <c r="G325" i="201"/>
  <c r="F325" i="201"/>
  <c r="O324" i="201"/>
  <c r="J324" i="201" s="1"/>
  <c r="E324" i="201"/>
  <c r="N306" i="201"/>
  <c r="N305" i="201" s="1"/>
  <c r="L306" i="201"/>
  <c r="H306" i="201"/>
  <c r="H305" i="201" s="1"/>
  <c r="G306" i="201"/>
  <c r="G305" i="201" s="1"/>
  <c r="O304" i="201"/>
  <c r="J304" i="201" s="1"/>
  <c r="P304" i="201" s="1"/>
  <c r="H304" i="201"/>
  <c r="G304" i="201"/>
  <c r="F304" i="201"/>
  <c r="E304" i="201"/>
  <c r="G274" i="201"/>
  <c r="G273" i="201" s="1"/>
  <c r="H274" i="201"/>
  <c r="H273" i="201" s="1"/>
  <c r="O272" i="201"/>
  <c r="J272" i="201" s="1"/>
  <c r="J271" i="201" s="1"/>
  <c r="J270" i="201" s="1"/>
  <c r="E272" i="201"/>
  <c r="P272" i="201" s="1"/>
  <c r="P271" i="201" s="1"/>
  <c r="P270" i="201" s="1"/>
  <c r="O271" i="201"/>
  <c r="O270" i="201" s="1"/>
  <c r="N271" i="201"/>
  <c r="M271" i="201"/>
  <c r="L271" i="201"/>
  <c r="K271" i="201"/>
  <c r="K270" i="201" s="1"/>
  <c r="I271" i="201"/>
  <c r="H271" i="201"/>
  <c r="G271" i="201"/>
  <c r="F271" i="201"/>
  <c r="E271" i="201"/>
  <c r="N270" i="201"/>
  <c r="M270" i="201"/>
  <c r="L270" i="201"/>
  <c r="I270" i="201"/>
  <c r="H270" i="201"/>
  <c r="G270" i="201"/>
  <c r="F270" i="201"/>
  <c r="E270" i="201"/>
  <c r="O246" i="201"/>
  <c r="J246" i="201"/>
  <c r="E246" i="201"/>
  <c r="P246" i="201" s="1"/>
  <c r="P245" i="201" s="1"/>
  <c r="P244" i="201" s="1"/>
  <c r="O245" i="201"/>
  <c r="N245" i="201"/>
  <c r="M245" i="201"/>
  <c r="L245" i="201"/>
  <c r="K245" i="201"/>
  <c r="J245" i="201"/>
  <c r="I245" i="201"/>
  <c r="H245" i="201"/>
  <c r="G245" i="201"/>
  <c r="F245" i="201"/>
  <c r="E245" i="201"/>
  <c r="O244" i="201"/>
  <c r="N244" i="201"/>
  <c r="M244" i="201"/>
  <c r="L244" i="201"/>
  <c r="K244" i="201"/>
  <c r="J244" i="201"/>
  <c r="I244" i="201"/>
  <c r="H244" i="201"/>
  <c r="G244" i="201"/>
  <c r="F244" i="201"/>
  <c r="E244" i="201"/>
  <c r="I212" i="201"/>
  <c r="I211" i="201" s="1"/>
  <c r="H212" i="201"/>
  <c r="G212" i="201"/>
  <c r="G211" i="201" s="1"/>
  <c r="L212" i="201"/>
  <c r="H211" i="201"/>
  <c r="P210" i="201"/>
  <c r="O210" i="201"/>
  <c r="J210" i="201"/>
  <c r="E210" i="201"/>
  <c r="P209" i="201"/>
  <c r="O209" i="201"/>
  <c r="N209" i="201"/>
  <c r="M209" i="201"/>
  <c r="L209" i="201"/>
  <c r="K209" i="201"/>
  <c r="J209" i="201"/>
  <c r="I209" i="201"/>
  <c r="H209" i="201"/>
  <c r="G209" i="201"/>
  <c r="F209" i="201"/>
  <c r="E209" i="201"/>
  <c r="P208" i="201"/>
  <c r="O208" i="201"/>
  <c r="N208" i="201"/>
  <c r="M208" i="201"/>
  <c r="L208" i="201"/>
  <c r="K208" i="201"/>
  <c r="J208" i="201"/>
  <c r="I208" i="201"/>
  <c r="H208" i="201"/>
  <c r="G208" i="201"/>
  <c r="F208" i="201"/>
  <c r="E208" i="201"/>
  <c r="L190" i="201"/>
  <c r="L189" i="201" s="1"/>
  <c r="G190" i="201"/>
  <c r="G189" i="201" s="1"/>
  <c r="N190" i="201"/>
  <c r="N189" i="201" s="1"/>
  <c r="O187" i="201"/>
  <c r="J187" i="201"/>
  <c r="J186" i="201" s="1"/>
  <c r="E187" i="201"/>
  <c r="O186" i="201"/>
  <c r="N186" i="201"/>
  <c r="M186" i="201"/>
  <c r="L186" i="201"/>
  <c r="K186" i="201"/>
  <c r="I186" i="201"/>
  <c r="H186" i="201"/>
  <c r="G186" i="201"/>
  <c r="F186" i="201"/>
  <c r="E186" i="201"/>
  <c r="O129" i="201"/>
  <c r="J129" i="201"/>
  <c r="E129" i="201"/>
  <c r="O128" i="201"/>
  <c r="J128" i="201" s="1"/>
  <c r="E128" i="201"/>
  <c r="P128" i="201" s="1"/>
  <c r="O99" i="201"/>
  <c r="J99" i="201" s="1"/>
  <c r="J98" i="201" s="1"/>
  <c r="J97" i="201" s="1"/>
  <c r="E99" i="201"/>
  <c r="O98" i="201"/>
  <c r="O97" i="201" s="1"/>
  <c r="N98" i="201"/>
  <c r="M98" i="201"/>
  <c r="L98" i="201"/>
  <c r="K98" i="201"/>
  <c r="K97" i="201" s="1"/>
  <c r="I98" i="201"/>
  <c r="I97" i="201" s="1"/>
  <c r="H98" i="201"/>
  <c r="G98" i="201"/>
  <c r="F98" i="201"/>
  <c r="E98" i="201"/>
  <c r="E97" i="201" s="1"/>
  <c r="N97" i="201"/>
  <c r="M97" i="201"/>
  <c r="L97" i="201"/>
  <c r="H97" i="201"/>
  <c r="G97" i="201"/>
  <c r="F97" i="201"/>
  <c r="N46" i="201"/>
  <c r="N45" i="201" s="1"/>
  <c r="J313" i="167"/>
  <c r="I313" i="167"/>
  <c r="H313" i="167"/>
  <c r="K370" i="165"/>
  <c r="F370" i="165"/>
  <c r="H309" i="167"/>
  <c r="F367" i="165"/>
  <c r="H307" i="167"/>
  <c r="F366" i="165"/>
  <c r="Q190" i="165"/>
  <c r="E203" i="165"/>
  <c r="F198" i="165"/>
  <c r="K197" i="165"/>
  <c r="F197" i="165"/>
  <c r="K206" i="165"/>
  <c r="F192" i="165"/>
  <c r="K192" i="165"/>
  <c r="F195" i="165"/>
  <c r="K195" i="165"/>
  <c r="E45" i="172"/>
  <c r="E21" i="172"/>
  <c r="J99" i="167"/>
  <c r="I99" i="167"/>
  <c r="K112" i="165"/>
  <c r="K103" i="165"/>
  <c r="K109" i="165"/>
  <c r="K127" i="165"/>
  <c r="K108" i="165"/>
  <c r="K106" i="165"/>
  <c r="J35" i="184"/>
  <c r="I35" i="184" s="1"/>
  <c r="J36" i="184"/>
  <c r="J32" i="184" s="1"/>
  <c r="K123" i="165"/>
  <c r="F107" i="165"/>
  <c r="I46" i="201" l="1"/>
  <c r="I45" i="201" s="1"/>
  <c r="E101" i="201"/>
  <c r="E100" i="201" s="1"/>
  <c r="G101" i="201"/>
  <c r="G100" i="201" s="1"/>
  <c r="I101" i="201"/>
  <c r="I100" i="201" s="1"/>
  <c r="M101" i="201"/>
  <c r="M100" i="201" s="1"/>
  <c r="I397" i="201"/>
  <c r="I396" i="201" s="1"/>
  <c r="H397" i="201"/>
  <c r="H396" i="201" s="1"/>
  <c r="N397" i="201"/>
  <c r="N396" i="201" s="1"/>
  <c r="G397" i="201"/>
  <c r="G396" i="201" s="1"/>
  <c r="M15" i="201"/>
  <c r="G16" i="201"/>
  <c r="G46" i="201"/>
  <c r="G45" i="201" s="1"/>
  <c r="H16" i="201"/>
  <c r="N15" i="201"/>
  <c r="I15" i="201"/>
  <c r="L15" i="201"/>
  <c r="H46" i="201"/>
  <c r="H45" i="201" s="1"/>
  <c r="M46" i="201"/>
  <c r="M45" i="201" s="1"/>
  <c r="P99" i="201"/>
  <c r="P98" i="201" s="1"/>
  <c r="P97" i="201" s="1"/>
  <c r="F101" i="201"/>
  <c r="F100" i="201" s="1"/>
  <c r="K46" i="201"/>
  <c r="K45" i="201" s="1"/>
  <c r="L211" i="201"/>
  <c r="L101" i="201"/>
  <c r="L100" i="201" s="1"/>
  <c r="L46" i="201"/>
  <c r="H101" i="201"/>
  <c r="H100" i="201" s="1"/>
  <c r="N101" i="201"/>
  <c r="N100" i="201" s="1"/>
  <c r="P129" i="201"/>
  <c r="I190" i="201"/>
  <c r="I189" i="201" s="1"/>
  <c r="E190" i="201"/>
  <c r="L274" i="201"/>
  <c r="K190" i="201"/>
  <c r="K189" i="201" s="1"/>
  <c r="P187" i="201"/>
  <c r="P186" i="201" s="1"/>
  <c r="M212" i="201"/>
  <c r="M211" i="201" s="1"/>
  <c r="K274" i="201"/>
  <c r="K273" i="201" s="1"/>
  <c r="L305" i="201"/>
  <c r="F359" i="201"/>
  <c r="F358" i="201" s="1"/>
  <c r="L358" i="201"/>
  <c r="K212" i="201"/>
  <c r="K211" i="201" s="1"/>
  <c r="N212" i="201"/>
  <c r="N211" i="201" s="1"/>
  <c r="F274" i="201"/>
  <c r="F273" i="201" s="1"/>
  <c r="P324" i="201"/>
  <c r="E306" i="201"/>
  <c r="E416" i="201"/>
  <c r="M190" i="201"/>
  <c r="M189" i="201" s="1"/>
  <c r="H190" i="201"/>
  <c r="H189" i="201" s="1"/>
  <c r="O306" i="201"/>
  <c r="O305" i="201" s="1"/>
  <c r="O326" i="201"/>
  <c r="O325" i="201" s="1"/>
  <c r="H331" i="201"/>
  <c r="H330" i="201" s="1"/>
  <c r="L331" i="201"/>
  <c r="E331" i="201"/>
  <c r="O331" i="201"/>
  <c r="O330" i="201" s="1"/>
  <c r="F340" i="201"/>
  <c r="F339" i="201" s="1"/>
  <c r="K359" i="201"/>
  <c r="K358" i="201" s="1"/>
  <c r="K388" i="201"/>
  <c r="K387" i="201" s="1"/>
  <c r="K306" i="201"/>
  <c r="K305" i="201" s="1"/>
  <c r="P327" i="201"/>
  <c r="P326" i="201" s="1"/>
  <c r="P325" i="201" s="1"/>
  <c r="G340" i="201"/>
  <c r="G339" i="201" s="1"/>
  <c r="O359" i="201"/>
  <c r="O358" i="201" s="1"/>
  <c r="G378" i="201"/>
  <c r="G377" i="201" s="1"/>
  <c r="L378" i="201"/>
  <c r="L377" i="201" s="1"/>
  <c r="G388" i="201"/>
  <c r="G387" i="201" s="1"/>
  <c r="L387" i="201"/>
  <c r="G359" i="201"/>
  <c r="G358" i="201" s="1"/>
  <c r="F378" i="201"/>
  <c r="F377" i="201" s="1"/>
  <c r="F388" i="201"/>
  <c r="F387" i="201" s="1"/>
  <c r="M397" i="201"/>
  <c r="M396" i="201" s="1"/>
  <c r="J425" i="201"/>
  <c r="K378" i="201"/>
  <c r="K377" i="201" s="1"/>
  <c r="L397" i="201"/>
  <c r="L396" i="201" s="1"/>
  <c r="K397" i="201"/>
  <c r="K396" i="201" s="1"/>
  <c r="F156" i="165"/>
  <c r="I151" i="167"/>
  <c r="H154" i="167"/>
  <c r="F175" i="165"/>
  <c r="F172" i="165"/>
  <c r="K172" i="165"/>
  <c r="K174" i="165"/>
  <c r="N174" i="165"/>
  <c r="G174" i="165"/>
  <c r="K150" i="165"/>
  <c r="F150" i="165"/>
  <c r="F148" i="165"/>
  <c r="K185" i="165"/>
  <c r="K147" i="165"/>
  <c r="F147" i="165"/>
  <c r="F138" i="165"/>
  <c r="K133" i="165"/>
  <c r="F133" i="165"/>
  <c r="J138" i="167"/>
  <c r="G139" i="167"/>
  <c r="K217" i="165"/>
  <c r="K242" i="165"/>
  <c r="J48" i="184"/>
  <c r="K226" i="165"/>
  <c r="F226" i="165"/>
  <c r="K338" i="165"/>
  <c r="F335" i="165"/>
  <c r="J300" i="167"/>
  <c r="I300" i="167"/>
  <c r="J299" i="167"/>
  <c r="I299" i="167"/>
  <c r="F349" i="165"/>
  <c r="K352" i="165"/>
  <c r="J333" i="167"/>
  <c r="J330" i="167" s="1"/>
  <c r="I333" i="167"/>
  <c r="I330" i="167" s="1"/>
  <c r="H333" i="167"/>
  <c r="I27" i="107"/>
  <c r="H27" i="107"/>
  <c r="G27" i="107"/>
  <c r="K95" i="184"/>
  <c r="K94" i="184"/>
  <c r="K93" i="184"/>
  <c r="K92" i="184"/>
  <c r="K91" i="184"/>
  <c r="J90" i="184"/>
  <c r="J82" i="184"/>
  <c r="J80" i="184"/>
  <c r="J77" i="184"/>
  <c r="J76" i="184"/>
  <c r="J75" i="184"/>
  <c r="J74" i="184"/>
  <c r="J73" i="184"/>
  <c r="J72" i="184"/>
  <c r="J56" i="184"/>
  <c r="I56" i="184"/>
  <c r="K56" i="184" s="1"/>
  <c r="D31" i="108"/>
  <c r="Q274" i="165"/>
  <c r="L297" i="165"/>
  <c r="K249" i="167"/>
  <c r="G256" i="167"/>
  <c r="J248" i="167"/>
  <c r="I248" i="167"/>
  <c r="J257" i="167"/>
  <c r="I257" i="167"/>
  <c r="J255" i="167"/>
  <c r="I255" i="167"/>
  <c r="J254" i="167"/>
  <c r="I254" i="167"/>
  <c r="J252" i="167"/>
  <c r="I252" i="167"/>
  <c r="J251" i="167"/>
  <c r="I251" i="167"/>
  <c r="J250" i="167"/>
  <c r="I250" i="167"/>
  <c r="F399" i="165"/>
  <c r="K393" i="165"/>
  <c r="K390" i="165"/>
  <c r="F390" i="165"/>
  <c r="J249" i="167"/>
  <c r="I249" i="167"/>
  <c r="K295" i="165"/>
  <c r="K292" i="165"/>
  <c r="K289" i="165"/>
  <c r="J241" i="167"/>
  <c r="I241" i="167"/>
  <c r="K285" i="165"/>
  <c r="K282" i="165"/>
  <c r="F292" i="165"/>
  <c r="H241" i="167"/>
  <c r="H242" i="167"/>
  <c r="K241" i="167" s="1"/>
  <c r="F285" i="165"/>
  <c r="H237" i="167"/>
  <c r="G237" i="167" s="1"/>
  <c r="O283" i="165"/>
  <c r="J283" i="165" s="1"/>
  <c r="E283" i="165"/>
  <c r="E280" i="165" s="1"/>
  <c r="N280" i="165"/>
  <c r="M280" i="165"/>
  <c r="L280" i="165"/>
  <c r="K280" i="165"/>
  <c r="I280" i="165"/>
  <c r="H280" i="165"/>
  <c r="G280" i="165"/>
  <c r="F280" i="165"/>
  <c r="H236" i="167"/>
  <c r="F282" i="165"/>
  <c r="K342" i="165"/>
  <c r="J287" i="167"/>
  <c r="I287" i="167"/>
  <c r="K333" i="165"/>
  <c r="F333" i="165"/>
  <c r="K250" i="165"/>
  <c r="J224" i="167"/>
  <c r="I224" i="167"/>
  <c r="H224" i="167"/>
  <c r="G225" i="167"/>
  <c r="K266" i="165"/>
  <c r="K263" i="165"/>
  <c r="K259" i="165"/>
  <c r="K257" i="165"/>
  <c r="K256" i="165"/>
  <c r="J212" i="167"/>
  <c r="I212" i="167"/>
  <c r="K255" i="165"/>
  <c r="F259" i="165"/>
  <c r="J216" i="167"/>
  <c r="I216" i="167"/>
  <c r="H216" i="167"/>
  <c r="G217" i="167"/>
  <c r="F258" i="165"/>
  <c r="J215" i="167"/>
  <c r="G214" i="167"/>
  <c r="F257" i="165"/>
  <c r="H212" i="167"/>
  <c r="F255" i="165"/>
  <c r="D15" i="108"/>
  <c r="J68" i="184"/>
  <c r="I68" i="184" s="1"/>
  <c r="K68" i="184" s="1"/>
  <c r="E79" i="170"/>
  <c r="D77" i="170"/>
  <c r="D91" i="170"/>
  <c r="J42" i="167"/>
  <c r="I42" i="167"/>
  <c r="H42" i="167"/>
  <c r="F43" i="165"/>
  <c r="K43" i="165"/>
  <c r="H28" i="167"/>
  <c r="F21" i="165"/>
  <c r="H51" i="167"/>
  <c r="H43" i="167"/>
  <c r="H52" i="167"/>
  <c r="G49" i="167"/>
  <c r="D86" i="170"/>
  <c r="F44" i="165"/>
  <c r="D30" i="108"/>
  <c r="O30" i="165"/>
  <c r="K38" i="165"/>
  <c r="F38" i="165"/>
  <c r="K24" i="165"/>
  <c r="F24" i="165"/>
  <c r="J38" i="167"/>
  <c r="I38" i="167"/>
  <c r="K36" i="165"/>
  <c r="H24" i="167"/>
  <c r="G27" i="167"/>
  <c r="M31" i="167"/>
  <c r="G31" i="167"/>
  <c r="O27" i="165"/>
  <c r="J27" i="165"/>
  <c r="L31" i="167" s="1"/>
  <c r="E27" i="165"/>
  <c r="K31" i="167" s="1"/>
  <c r="N26" i="165"/>
  <c r="M26" i="165"/>
  <c r="L26" i="165"/>
  <c r="K26" i="165"/>
  <c r="I26" i="165"/>
  <c r="H26" i="165"/>
  <c r="G26" i="165"/>
  <c r="F26" i="165"/>
  <c r="J397" i="201" l="1"/>
  <c r="J396" i="201" s="1"/>
  <c r="E189" i="201"/>
  <c r="O388" i="201"/>
  <c r="E305" i="201"/>
  <c r="F190" i="201"/>
  <c r="F189" i="201" s="1"/>
  <c r="O397" i="201"/>
  <c r="O396" i="201" s="1"/>
  <c r="O340" i="201"/>
  <c r="O339" i="201" s="1"/>
  <c r="E340" i="201"/>
  <c r="J331" i="201"/>
  <c r="J330" i="201" s="1"/>
  <c r="L330" i="201"/>
  <c r="O274" i="201"/>
  <c r="O273" i="201" s="1"/>
  <c r="O378" i="201"/>
  <c r="O377" i="201" s="1"/>
  <c r="J359" i="201"/>
  <c r="J358" i="201" s="1"/>
  <c r="E274" i="201"/>
  <c r="O190" i="201"/>
  <c r="H15" i="201"/>
  <c r="J306" i="201"/>
  <c r="J305" i="201" s="1"/>
  <c r="L273" i="201"/>
  <c r="L45" i="201"/>
  <c r="J340" i="201"/>
  <c r="J339" i="201" s="1"/>
  <c r="P378" i="201"/>
  <c r="J378" i="201"/>
  <c r="J377" i="201" s="1"/>
  <c r="E212" i="201"/>
  <c r="E330" i="201"/>
  <c r="Q416" i="201"/>
  <c r="E359" i="201"/>
  <c r="F212" i="201"/>
  <c r="F211" i="201" s="1"/>
  <c r="K101" i="201"/>
  <c r="K100" i="201" s="1"/>
  <c r="G15" i="201"/>
  <c r="G333" i="167"/>
  <c r="P283" i="165"/>
  <c r="P27" i="165"/>
  <c r="J22" i="167"/>
  <c r="I22" i="167"/>
  <c r="G144" i="188"/>
  <c r="D18" i="188"/>
  <c r="J17" i="167"/>
  <c r="I17" i="167"/>
  <c r="H21" i="167"/>
  <c r="J21" i="167"/>
  <c r="I21" i="167"/>
  <c r="F87" i="165"/>
  <c r="F59" i="165"/>
  <c r="F50" i="165"/>
  <c r="F51" i="165"/>
  <c r="F64" i="165"/>
  <c r="J279" i="167"/>
  <c r="I279" i="167"/>
  <c r="J106" i="184"/>
  <c r="K323" i="165"/>
  <c r="O384" i="165"/>
  <c r="L384" i="165"/>
  <c r="F26" i="197"/>
  <c r="F24" i="197"/>
  <c r="F19" i="197"/>
  <c r="F17" i="197"/>
  <c r="P377" i="201" l="1"/>
  <c r="Q378" i="201"/>
  <c r="E339" i="201"/>
  <c r="P340" i="201"/>
  <c r="P306" i="201"/>
  <c r="E211" i="201"/>
  <c r="O189" i="201"/>
  <c r="J190" i="201"/>
  <c r="E273" i="201"/>
  <c r="O387" i="201"/>
  <c r="J388" i="201"/>
  <c r="P359" i="201"/>
  <c r="E358" i="201"/>
  <c r="O101" i="201"/>
  <c r="O100" i="201" s="1"/>
  <c r="O46" i="201"/>
  <c r="J274" i="201"/>
  <c r="J273" i="201" s="1"/>
  <c r="O212" i="201"/>
  <c r="P331" i="201"/>
  <c r="P101" i="201"/>
  <c r="J101" i="201"/>
  <c r="J100" i="201" s="1"/>
  <c r="G21" i="167"/>
  <c r="J92" i="167"/>
  <c r="I92" i="167"/>
  <c r="K91" i="165"/>
  <c r="J387" i="201" l="1"/>
  <c r="P388" i="201"/>
  <c r="P274" i="201"/>
  <c r="P305" i="201"/>
  <c r="Q306" i="201"/>
  <c r="O45" i="201"/>
  <c r="J46" i="201"/>
  <c r="J189" i="201"/>
  <c r="P190" i="201"/>
  <c r="Q340" i="201"/>
  <c r="P339" i="201"/>
  <c r="P330" i="201"/>
  <c r="Q331" i="201"/>
  <c r="O211" i="201"/>
  <c r="J212" i="201"/>
  <c r="P100" i="201"/>
  <c r="Q101" i="201"/>
  <c r="P358" i="201"/>
  <c r="Q359" i="201"/>
  <c r="K50" i="165"/>
  <c r="F61" i="165"/>
  <c r="K93" i="165"/>
  <c r="F67" i="165"/>
  <c r="F69" i="165"/>
  <c r="K61" i="165"/>
  <c r="K51" i="165"/>
  <c r="Q274" i="201" l="1"/>
  <c r="P273" i="201"/>
  <c r="Q190" i="201"/>
  <c r="P189" i="201"/>
  <c r="Q388" i="201"/>
  <c r="P387" i="201"/>
  <c r="J211" i="201"/>
  <c r="P212" i="201"/>
  <c r="J45" i="201"/>
  <c r="O48" i="165"/>
  <c r="L48" i="165"/>
  <c r="K48" i="165"/>
  <c r="D49" i="170"/>
  <c r="J28" i="184"/>
  <c r="J89" i="167"/>
  <c r="J88" i="167"/>
  <c r="H89" i="167"/>
  <c r="H88" i="167"/>
  <c r="J26" i="184"/>
  <c r="K80" i="165"/>
  <c r="K52" i="165"/>
  <c r="J93" i="167"/>
  <c r="I93" i="167"/>
  <c r="J21" i="184"/>
  <c r="I21" i="184" s="1"/>
  <c r="Q212" i="201" l="1"/>
  <c r="P211" i="201"/>
  <c r="F142" i="200"/>
  <c r="E142" i="200"/>
  <c r="D142" i="200"/>
  <c r="C142" i="200"/>
  <c r="F141" i="200"/>
  <c r="E141" i="200"/>
  <c r="D141" i="200"/>
  <c r="C141" i="200"/>
  <c r="F138" i="200"/>
  <c r="E138" i="200"/>
  <c r="D138" i="200"/>
  <c r="C138" i="200"/>
  <c r="F137" i="200"/>
  <c r="E137" i="200"/>
  <c r="D137" i="200"/>
  <c r="C137" i="200"/>
  <c r="F136" i="200"/>
  <c r="E136" i="200"/>
  <c r="D136" i="200"/>
  <c r="C136" i="200"/>
  <c r="F135" i="200"/>
  <c r="E135" i="200"/>
  <c r="D135" i="200"/>
  <c r="C135" i="200"/>
  <c r="F134" i="200"/>
  <c r="E134" i="200"/>
  <c r="D134" i="200"/>
  <c r="C134" i="200"/>
  <c r="F133" i="200"/>
  <c r="E133" i="200"/>
  <c r="D133" i="200"/>
  <c r="C133" i="200"/>
  <c r="F132" i="200"/>
  <c r="E132" i="200"/>
  <c r="D132" i="200"/>
  <c r="C132" i="200"/>
  <c r="F131" i="200"/>
  <c r="E131" i="200"/>
  <c r="D131" i="200"/>
  <c r="C131" i="200"/>
  <c r="F130" i="200"/>
  <c r="E130" i="200"/>
  <c r="D130" i="200"/>
  <c r="C130" i="200"/>
  <c r="F129" i="200"/>
  <c r="E129" i="200"/>
  <c r="D129" i="200"/>
  <c r="C129" i="200"/>
  <c r="F128" i="200"/>
  <c r="E128" i="200"/>
  <c r="D128" i="200"/>
  <c r="C128" i="200"/>
  <c r="F127" i="200"/>
  <c r="E127" i="200"/>
  <c r="D127" i="200"/>
  <c r="C127" i="200"/>
  <c r="F126" i="200"/>
  <c r="E126" i="200"/>
  <c r="D126" i="200"/>
  <c r="C126" i="200"/>
  <c r="F125" i="200"/>
  <c r="E125" i="200"/>
  <c r="D125" i="200"/>
  <c r="C125" i="200"/>
  <c r="F124" i="200"/>
  <c r="E124" i="200"/>
  <c r="D124" i="200"/>
  <c r="C124" i="200"/>
  <c r="F123" i="200"/>
  <c r="E123" i="200"/>
  <c r="D123" i="200"/>
  <c r="C123" i="200"/>
  <c r="F122" i="200"/>
  <c r="E122" i="200"/>
  <c r="D122" i="200"/>
  <c r="C122" i="200"/>
  <c r="F121" i="200"/>
  <c r="E121" i="200"/>
  <c r="D121" i="200"/>
  <c r="C121" i="200"/>
  <c r="F120" i="200"/>
  <c r="E120" i="200"/>
  <c r="D120" i="200"/>
  <c r="C120" i="200"/>
  <c r="F119" i="200"/>
  <c r="E119" i="200"/>
  <c r="D119" i="200"/>
  <c r="C119" i="200"/>
  <c r="F118" i="200"/>
  <c r="E118" i="200"/>
  <c r="D118" i="200"/>
  <c r="C118" i="200"/>
  <c r="F117" i="200"/>
  <c r="E117" i="200"/>
  <c r="D117" i="200"/>
  <c r="C117" i="200"/>
  <c r="F116" i="200"/>
  <c r="E116" i="200"/>
  <c r="D116" i="200"/>
  <c r="C116" i="200"/>
  <c r="F115" i="200"/>
  <c r="E115" i="200"/>
  <c r="D115" i="200"/>
  <c r="C115" i="200"/>
  <c r="F114" i="200"/>
  <c r="E114" i="200"/>
  <c r="D114" i="200"/>
  <c r="C114" i="200"/>
  <c r="F113" i="200"/>
  <c r="E113" i="200"/>
  <c r="D113" i="200"/>
  <c r="C113" i="200"/>
  <c r="F112" i="200"/>
  <c r="E112" i="200"/>
  <c r="D112" i="200"/>
  <c r="C112" i="200"/>
  <c r="F111" i="200"/>
  <c r="E111" i="200"/>
  <c r="D111" i="200"/>
  <c r="C111" i="200"/>
  <c r="F110" i="200"/>
  <c r="E110" i="200"/>
  <c r="D110" i="200"/>
  <c r="C110" i="200"/>
  <c r="F109" i="200"/>
  <c r="E109" i="200"/>
  <c r="D109" i="200"/>
  <c r="C109" i="200"/>
  <c r="F108" i="200"/>
  <c r="E108" i="200"/>
  <c r="D108" i="200"/>
  <c r="C108" i="200"/>
  <c r="F107" i="200"/>
  <c r="E107" i="200"/>
  <c r="D107" i="200"/>
  <c r="C107" i="200"/>
  <c r="F104" i="200"/>
  <c r="E104" i="200"/>
  <c r="D104" i="200"/>
  <c r="C104" i="200"/>
  <c r="F102" i="200"/>
  <c r="E102" i="200"/>
  <c r="D102" i="200"/>
  <c r="C102" i="200"/>
  <c r="F101" i="200"/>
  <c r="E101" i="200"/>
  <c r="D101" i="200"/>
  <c r="C101" i="200"/>
  <c r="F100" i="200"/>
  <c r="E100" i="200"/>
  <c r="D100" i="200"/>
  <c r="C100" i="200"/>
  <c r="F99" i="200"/>
  <c r="E99" i="200"/>
  <c r="D99" i="200"/>
  <c r="C99" i="200"/>
  <c r="F97" i="200"/>
  <c r="E97" i="200"/>
  <c r="D97" i="200"/>
  <c r="C97" i="200"/>
  <c r="F96" i="200"/>
  <c r="E96" i="200"/>
  <c r="D96" i="200"/>
  <c r="C96" i="200"/>
  <c r="F95" i="200"/>
  <c r="E95" i="200"/>
  <c r="D95" i="200"/>
  <c r="C95" i="200"/>
  <c r="F94" i="200"/>
  <c r="E94" i="200"/>
  <c r="D94" i="200"/>
  <c r="C94" i="200"/>
  <c r="F93" i="200"/>
  <c r="E93" i="200"/>
  <c r="D93" i="200"/>
  <c r="C93" i="200"/>
  <c r="F92" i="200"/>
  <c r="E92" i="200"/>
  <c r="D92" i="200"/>
  <c r="C92" i="200"/>
  <c r="F91" i="200"/>
  <c r="E91" i="200"/>
  <c r="D91" i="200"/>
  <c r="C91" i="200"/>
  <c r="F90" i="200"/>
  <c r="E90" i="200"/>
  <c r="D90" i="200"/>
  <c r="C90" i="200"/>
  <c r="F89" i="200"/>
  <c r="E89" i="200"/>
  <c r="D89" i="200"/>
  <c r="C89" i="200"/>
  <c r="F88" i="200"/>
  <c r="E88" i="200"/>
  <c r="D88" i="200"/>
  <c r="C88" i="200"/>
  <c r="F87" i="200"/>
  <c r="E87" i="200"/>
  <c r="D87" i="200"/>
  <c r="C87" i="200"/>
  <c r="F86" i="200"/>
  <c r="E86" i="200"/>
  <c r="D86" i="200"/>
  <c r="C86" i="200"/>
  <c r="F85" i="200"/>
  <c r="E85" i="200"/>
  <c r="D85" i="200"/>
  <c r="C85" i="200"/>
  <c r="F84" i="200"/>
  <c r="E84" i="200"/>
  <c r="D84" i="200"/>
  <c r="C84" i="200"/>
  <c r="F83" i="200"/>
  <c r="E83" i="200"/>
  <c r="D83" i="200"/>
  <c r="C83" i="200"/>
  <c r="F82" i="200"/>
  <c r="E82" i="200"/>
  <c r="D82" i="200"/>
  <c r="C82" i="200"/>
  <c r="F81" i="200"/>
  <c r="E81" i="200"/>
  <c r="D81" i="200"/>
  <c r="C81" i="200"/>
  <c r="F80" i="200"/>
  <c r="E80" i="200"/>
  <c r="D80" i="200"/>
  <c r="C80" i="200"/>
  <c r="F79" i="200"/>
  <c r="E79" i="200"/>
  <c r="D79" i="200"/>
  <c r="C79" i="200"/>
  <c r="F78" i="200"/>
  <c r="E78" i="200"/>
  <c r="D78" i="200"/>
  <c r="C78" i="200"/>
  <c r="F77" i="200"/>
  <c r="E77" i="200"/>
  <c r="D77" i="200"/>
  <c r="C77" i="200"/>
  <c r="F76" i="200"/>
  <c r="E76" i="200"/>
  <c r="D76" i="200"/>
  <c r="C76" i="200"/>
  <c r="F75" i="200"/>
  <c r="E75" i="200"/>
  <c r="D75" i="200"/>
  <c r="C75" i="200"/>
  <c r="F74" i="200"/>
  <c r="E74" i="200"/>
  <c r="D74" i="200"/>
  <c r="C74" i="200"/>
  <c r="F73" i="200"/>
  <c r="E73" i="200"/>
  <c r="D73" i="200"/>
  <c r="C73" i="200"/>
  <c r="F72" i="200"/>
  <c r="E72" i="200"/>
  <c r="D72" i="200"/>
  <c r="C72" i="200"/>
  <c r="F71" i="200"/>
  <c r="E71" i="200"/>
  <c r="D71" i="200"/>
  <c r="C71" i="200"/>
  <c r="F70" i="200"/>
  <c r="E70" i="200"/>
  <c r="D70" i="200"/>
  <c r="C70" i="200"/>
  <c r="F69" i="200"/>
  <c r="E69" i="200"/>
  <c r="D69" i="200"/>
  <c r="C69" i="200"/>
  <c r="F68" i="200"/>
  <c r="E68" i="200"/>
  <c r="D68" i="200"/>
  <c r="C68" i="200"/>
  <c r="F67" i="200"/>
  <c r="E67" i="200"/>
  <c r="D67" i="200"/>
  <c r="C67" i="200"/>
  <c r="F66" i="200"/>
  <c r="E66" i="200"/>
  <c r="D66" i="200"/>
  <c r="C66" i="200"/>
  <c r="F65" i="200"/>
  <c r="E65" i="200"/>
  <c r="D65" i="200"/>
  <c r="C65" i="200"/>
  <c r="F64" i="200"/>
  <c r="E64" i="200"/>
  <c r="D64" i="200"/>
  <c r="C64" i="200"/>
  <c r="F62" i="200"/>
  <c r="E62" i="200"/>
  <c r="D62" i="200"/>
  <c r="C62" i="200"/>
  <c r="F61" i="200"/>
  <c r="E61" i="200"/>
  <c r="D61" i="200"/>
  <c r="C61" i="200"/>
  <c r="F60" i="200"/>
  <c r="E60" i="200"/>
  <c r="D60" i="200"/>
  <c r="C60" i="200"/>
  <c r="F59" i="200"/>
  <c r="E59" i="200"/>
  <c r="D59" i="200"/>
  <c r="C59" i="200"/>
  <c r="F58" i="200"/>
  <c r="E58" i="200"/>
  <c r="D58" i="200"/>
  <c r="C58" i="200"/>
  <c r="F57" i="200"/>
  <c r="E57" i="200"/>
  <c r="D57" i="200"/>
  <c r="C57" i="200"/>
  <c r="F56" i="200"/>
  <c r="E56" i="200"/>
  <c r="D56" i="200"/>
  <c r="C56" i="200"/>
  <c r="F55" i="200"/>
  <c r="E55" i="200"/>
  <c r="D55" i="200"/>
  <c r="C55" i="200"/>
  <c r="F54" i="200"/>
  <c r="E54" i="200"/>
  <c r="D54" i="200"/>
  <c r="C54" i="200"/>
  <c r="F53" i="200"/>
  <c r="E53" i="200"/>
  <c r="D53" i="200"/>
  <c r="C53" i="200"/>
  <c r="F52" i="200"/>
  <c r="E52" i="200"/>
  <c r="D52" i="200"/>
  <c r="C52" i="200"/>
  <c r="F51" i="200"/>
  <c r="E51" i="200"/>
  <c r="D51" i="200"/>
  <c r="C51" i="200"/>
  <c r="F50" i="200"/>
  <c r="E50" i="200"/>
  <c r="D50" i="200"/>
  <c r="C50" i="200"/>
  <c r="F49" i="200"/>
  <c r="E49" i="200"/>
  <c r="D49" i="200"/>
  <c r="C49" i="200"/>
  <c r="F48" i="200"/>
  <c r="E48" i="200"/>
  <c r="D48" i="200"/>
  <c r="C48" i="200"/>
  <c r="F47" i="200"/>
  <c r="E47" i="200"/>
  <c r="D47" i="200"/>
  <c r="C47" i="200"/>
  <c r="F46" i="200"/>
  <c r="E46" i="200"/>
  <c r="D46" i="200"/>
  <c r="C46" i="200"/>
  <c r="F45" i="200"/>
  <c r="E45" i="200"/>
  <c r="D45" i="200"/>
  <c r="C45" i="200"/>
  <c r="F44" i="200"/>
  <c r="E44" i="200"/>
  <c r="D44" i="200"/>
  <c r="C44" i="200"/>
  <c r="F43" i="200"/>
  <c r="E43" i="200"/>
  <c r="D43" i="200"/>
  <c r="C43" i="200"/>
  <c r="F42" i="200"/>
  <c r="E42" i="200"/>
  <c r="D42" i="200"/>
  <c r="C42" i="200"/>
  <c r="F41" i="200"/>
  <c r="E41" i="200"/>
  <c r="D41" i="200"/>
  <c r="C41" i="200"/>
  <c r="F40" i="200"/>
  <c r="E40" i="200"/>
  <c r="D40" i="200"/>
  <c r="C40" i="200"/>
  <c r="F39" i="200"/>
  <c r="E39" i="200"/>
  <c r="D39" i="200"/>
  <c r="C39" i="200"/>
  <c r="F38" i="200"/>
  <c r="E38" i="200"/>
  <c r="D38" i="200"/>
  <c r="C38" i="200"/>
  <c r="F37" i="200"/>
  <c r="E37" i="200"/>
  <c r="D37" i="200"/>
  <c r="C37" i="200"/>
  <c r="F36" i="200"/>
  <c r="E36" i="200"/>
  <c r="D36" i="200"/>
  <c r="C36" i="200"/>
  <c r="F35" i="200"/>
  <c r="E35" i="200"/>
  <c r="D35" i="200"/>
  <c r="C35" i="200"/>
  <c r="F34" i="200"/>
  <c r="E34" i="200"/>
  <c r="D34" i="200"/>
  <c r="C34" i="200"/>
  <c r="F33" i="200"/>
  <c r="E33" i="200"/>
  <c r="D33" i="200"/>
  <c r="C33" i="200"/>
  <c r="F32" i="200"/>
  <c r="E32" i="200"/>
  <c r="D32" i="200"/>
  <c r="C32" i="200"/>
  <c r="F31" i="200"/>
  <c r="E31" i="200"/>
  <c r="D31" i="200"/>
  <c r="C31" i="200"/>
  <c r="F30" i="200"/>
  <c r="E30" i="200"/>
  <c r="D30" i="200"/>
  <c r="C30" i="200"/>
  <c r="F29" i="200"/>
  <c r="E29" i="200"/>
  <c r="D29" i="200"/>
  <c r="C29" i="200"/>
  <c r="F28" i="200"/>
  <c r="E28" i="200"/>
  <c r="D28" i="200"/>
  <c r="C28" i="200"/>
  <c r="F27" i="200"/>
  <c r="E27" i="200"/>
  <c r="D27" i="200"/>
  <c r="C27" i="200"/>
  <c r="F26" i="200"/>
  <c r="E26" i="200"/>
  <c r="D26" i="200"/>
  <c r="C26" i="200"/>
  <c r="F25" i="200"/>
  <c r="E25" i="200"/>
  <c r="D25" i="200"/>
  <c r="C25" i="200"/>
  <c r="F24" i="200"/>
  <c r="E24" i="200"/>
  <c r="D24" i="200"/>
  <c r="C24" i="200"/>
  <c r="F23" i="200"/>
  <c r="E23" i="200"/>
  <c r="D23" i="200"/>
  <c r="C23" i="200"/>
  <c r="F22" i="200"/>
  <c r="E22" i="200"/>
  <c r="D22" i="200"/>
  <c r="C22" i="200"/>
  <c r="F21" i="200"/>
  <c r="E21" i="200"/>
  <c r="D21" i="200"/>
  <c r="C21" i="200"/>
  <c r="F20" i="200"/>
  <c r="E20" i="200"/>
  <c r="D20" i="200"/>
  <c r="C20" i="200"/>
  <c r="F19" i="200"/>
  <c r="E19" i="200"/>
  <c r="D19" i="200"/>
  <c r="C19" i="200"/>
  <c r="F18" i="200"/>
  <c r="E18" i="200"/>
  <c r="D18" i="200"/>
  <c r="F17" i="200"/>
  <c r="E17" i="200"/>
  <c r="F16" i="200"/>
  <c r="E16" i="200"/>
  <c r="F106" i="200"/>
  <c r="E106" i="200"/>
  <c r="E103" i="200"/>
  <c r="C103" i="200"/>
  <c r="F98" i="200"/>
  <c r="F63" i="200"/>
  <c r="F15" i="200"/>
  <c r="E15" i="200"/>
  <c r="J143" i="188"/>
  <c r="I143" i="188"/>
  <c r="D121" i="188"/>
  <c r="C142" i="188"/>
  <c r="D109" i="188"/>
  <c r="C109" i="188"/>
  <c r="C102" i="188"/>
  <c r="F99" i="188"/>
  <c r="E99" i="188"/>
  <c r="F105" i="200" l="1"/>
  <c r="F143" i="200" s="1"/>
  <c r="J143" i="200" s="1"/>
  <c r="E98" i="200"/>
  <c r="D106" i="200" l="1"/>
  <c r="C106" i="200" s="1"/>
  <c r="C98" i="200"/>
  <c r="D63" i="200"/>
  <c r="I28" i="184"/>
  <c r="K28" i="184" s="1"/>
  <c r="E63" i="200" l="1"/>
  <c r="C63" i="200" s="1"/>
  <c r="J280" i="167"/>
  <c r="J278" i="167" s="1"/>
  <c r="I280" i="167"/>
  <c r="H278" i="167"/>
  <c r="G279" i="167"/>
  <c r="G274" i="167"/>
  <c r="J273" i="167"/>
  <c r="H273" i="167"/>
  <c r="J275" i="167"/>
  <c r="I275" i="167"/>
  <c r="I273" i="167" s="1"/>
  <c r="J111" i="184"/>
  <c r="H103" i="184"/>
  <c r="H102" i="184"/>
  <c r="J112" i="184"/>
  <c r="J110" i="184"/>
  <c r="J107" i="184"/>
  <c r="J100" i="184"/>
  <c r="J103" i="184"/>
  <c r="I103" i="184" s="1"/>
  <c r="J102" i="184"/>
  <c r="I102" i="184" s="1"/>
  <c r="P411" i="199"/>
  <c r="O411" i="199"/>
  <c r="N411" i="199"/>
  <c r="M411" i="199"/>
  <c r="L411" i="199"/>
  <c r="K411" i="199"/>
  <c r="J411" i="199"/>
  <c r="H411" i="199"/>
  <c r="G411" i="199"/>
  <c r="F411" i="199"/>
  <c r="O408" i="199"/>
  <c r="E408" i="199"/>
  <c r="N407" i="199"/>
  <c r="M407" i="199"/>
  <c r="L407" i="199"/>
  <c r="K407" i="199"/>
  <c r="I407" i="199"/>
  <c r="H407" i="199"/>
  <c r="G407" i="199"/>
  <c r="G406" i="199" s="1"/>
  <c r="F407" i="199"/>
  <c r="E407" i="199"/>
  <c r="N406" i="199"/>
  <c r="M406" i="199"/>
  <c r="L406" i="199"/>
  <c r="K406" i="199"/>
  <c r="I406" i="199"/>
  <c r="H406" i="199"/>
  <c r="F406" i="199"/>
  <c r="E406" i="199"/>
  <c r="O405" i="199"/>
  <c r="F405" i="199"/>
  <c r="E405" i="199" s="1"/>
  <c r="E404" i="199" s="1"/>
  <c r="E403" i="199" s="1"/>
  <c r="N404" i="199"/>
  <c r="M404" i="199"/>
  <c r="L404" i="199"/>
  <c r="K404" i="199"/>
  <c r="I404" i="199"/>
  <c r="H404" i="199"/>
  <c r="G404" i="199"/>
  <c r="F404" i="199"/>
  <c r="N403" i="199"/>
  <c r="M403" i="199"/>
  <c r="L403" i="199"/>
  <c r="L399" i="199" s="1"/>
  <c r="L392" i="199" s="1"/>
  <c r="L391" i="199" s="1"/>
  <c r="K403" i="199"/>
  <c r="I403" i="199"/>
  <c r="H403" i="199"/>
  <c r="H399" i="199" s="1"/>
  <c r="G403" i="199"/>
  <c r="F403" i="199"/>
  <c r="O402" i="199"/>
  <c r="J402" i="199" s="1"/>
  <c r="J401" i="199" s="1"/>
  <c r="F402" i="199"/>
  <c r="E402" i="199"/>
  <c r="N401" i="199"/>
  <c r="M401" i="199"/>
  <c r="M399" i="199" s="1"/>
  <c r="L401" i="199"/>
  <c r="K401" i="199"/>
  <c r="K399" i="199" s="1"/>
  <c r="I401" i="199"/>
  <c r="I399" i="199" s="1"/>
  <c r="H401" i="199"/>
  <c r="G401" i="199"/>
  <c r="G399" i="199" s="1"/>
  <c r="F401" i="199"/>
  <c r="O400" i="199"/>
  <c r="J400" i="199" s="1"/>
  <c r="F400" i="199"/>
  <c r="N399" i="199"/>
  <c r="O398" i="199"/>
  <c r="J398" i="199"/>
  <c r="E398" i="199"/>
  <c r="O397" i="199"/>
  <c r="N397" i="199"/>
  <c r="N396" i="199" s="1"/>
  <c r="M397" i="199"/>
  <c r="L397" i="199"/>
  <c r="K397" i="199"/>
  <c r="J397" i="199"/>
  <c r="J396" i="199" s="1"/>
  <c r="I397" i="199"/>
  <c r="H397" i="199"/>
  <c r="G397" i="199"/>
  <c r="F397" i="199"/>
  <c r="F396" i="199" s="1"/>
  <c r="E397" i="199"/>
  <c r="O396" i="199"/>
  <c r="M396" i="199"/>
  <c r="L396" i="199"/>
  <c r="K396" i="199"/>
  <c r="I396" i="199"/>
  <c r="H396" i="199"/>
  <c r="G396" i="199"/>
  <c r="E396" i="199"/>
  <c r="O395" i="199"/>
  <c r="J395" i="199"/>
  <c r="P395" i="199" s="1"/>
  <c r="E395" i="199"/>
  <c r="O394" i="199"/>
  <c r="J394" i="199"/>
  <c r="J393" i="199" s="1"/>
  <c r="H394" i="199"/>
  <c r="H393" i="199" s="1"/>
  <c r="E394" i="199"/>
  <c r="O393" i="199"/>
  <c r="N393" i="199"/>
  <c r="M393" i="199"/>
  <c r="L393" i="199"/>
  <c r="K393" i="199"/>
  <c r="I393" i="199"/>
  <c r="I392" i="199" s="1"/>
  <c r="I391" i="199" s="1"/>
  <c r="G393" i="199"/>
  <c r="F393" i="199"/>
  <c r="E393" i="199"/>
  <c r="H392" i="199"/>
  <c r="H391" i="199" s="1"/>
  <c r="K390" i="199"/>
  <c r="O390" i="199" s="1"/>
  <c r="E390" i="199"/>
  <c r="N389" i="199"/>
  <c r="M389" i="199"/>
  <c r="L389" i="199"/>
  <c r="K389" i="199"/>
  <c r="I389" i="199"/>
  <c r="H389" i="199"/>
  <c r="G389" i="199"/>
  <c r="F389" i="199"/>
  <c r="O388" i="199"/>
  <c r="J388" i="199" s="1"/>
  <c r="J387" i="199" s="1"/>
  <c r="E388" i="199"/>
  <c r="O387" i="199"/>
  <c r="N387" i="199"/>
  <c r="M387" i="199"/>
  <c r="M386" i="199" s="1"/>
  <c r="L387" i="199"/>
  <c r="L386" i="199" s="1"/>
  <c r="K387" i="199"/>
  <c r="I387" i="199"/>
  <c r="H387" i="199"/>
  <c r="H386" i="199" s="1"/>
  <c r="G387" i="199"/>
  <c r="G386" i="199" s="1"/>
  <c r="F387" i="199"/>
  <c r="N386" i="199"/>
  <c r="K386" i="199"/>
  <c r="I386" i="199"/>
  <c r="F386" i="199"/>
  <c r="O385" i="199"/>
  <c r="J385" i="199" s="1"/>
  <c r="H385" i="199"/>
  <c r="H384" i="199" s="1"/>
  <c r="F385" i="199"/>
  <c r="O384" i="199"/>
  <c r="N384" i="199"/>
  <c r="N383" i="199" s="1"/>
  <c r="N382" i="199" s="1"/>
  <c r="M384" i="199"/>
  <c r="L384" i="199"/>
  <c r="K384" i="199"/>
  <c r="J384" i="199"/>
  <c r="I384" i="199"/>
  <c r="I383" i="199" s="1"/>
  <c r="I382" i="199" s="1"/>
  <c r="G384" i="199"/>
  <c r="L383" i="199"/>
  <c r="K383" i="199"/>
  <c r="K382" i="199" s="1"/>
  <c r="G383" i="199"/>
  <c r="G382" i="199" s="1"/>
  <c r="L382" i="199"/>
  <c r="K381" i="199"/>
  <c r="F381" i="199"/>
  <c r="E381" i="199"/>
  <c r="N380" i="199"/>
  <c r="M380" i="199"/>
  <c r="L380" i="199"/>
  <c r="I380" i="199"/>
  <c r="H380" i="199"/>
  <c r="G380" i="199"/>
  <c r="F380" i="199"/>
  <c r="E380" i="199"/>
  <c r="O379" i="199"/>
  <c r="O378" i="199" s="1"/>
  <c r="L379" i="199"/>
  <c r="L378" i="199" s="1"/>
  <c r="L377" i="199" s="1"/>
  <c r="N378" i="199"/>
  <c r="M378" i="199"/>
  <c r="M377" i="199" s="1"/>
  <c r="M373" i="199" s="1"/>
  <c r="K378" i="199"/>
  <c r="K377" i="199" s="1"/>
  <c r="I378" i="199"/>
  <c r="H378" i="199"/>
  <c r="G378" i="199"/>
  <c r="G377" i="199" s="1"/>
  <c r="G373" i="199" s="1"/>
  <c r="G372" i="199" s="1"/>
  <c r="F378" i="199"/>
  <c r="E378" i="199"/>
  <c r="O377" i="199"/>
  <c r="N377" i="199"/>
  <c r="I377" i="199"/>
  <c r="H377" i="199"/>
  <c r="F377" i="199"/>
  <c r="E377" i="199"/>
  <c r="O376" i="199"/>
  <c r="J376" i="199"/>
  <c r="E376" i="199"/>
  <c r="E374" i="199" s="1"/>
  <c r="E373" i="199" s="1"/>
  <c r="E372" i="199" s="1"/>
  <c r="O375" i="199"/>
  <c r="H375" i="199"/>
  <c r="E375" i="199"/>
  <c r="N374" i="199"/>
  <c r="M374" i="199"/>
  <c r="L374" i="199"/>
  <c r="L373" i="199" s="1"/>
  <c r="L372" i="199" s="1"/>
  <c r="K374" i="199"/>
  <c r="I374" i="199"/>
  <c r="H374" i="199"/>
  <c r="H373" i="199" s="1"/>
  <c r="G374" i="199"/>
  <c r="F374" i="199"/>
  <c r="M372" i="199"/>
  <c r="H372" i="199"/>
  <c r="O371" i="199"/>
  <c r="E371" i="199"/>
  <c r="N370" i="199"/>
  <c r="M370" i="199"/>
  <c r="L370" i="199"/>
  <c r="K370" i="199"/>
  <c r="K369" i="199" s="1"/>
  <c r="I370" i="199"/>
  <c r="I369" i="199" s="1"/>
  <c r="H370" i="199"/>
  <c r="G370" i="199"/>
  <c r="F370" i="199"/>
  <c r="N369" i="199"/>
  <c r="M369" i="199"/>
  <c r="L369" i="199"/>
  <c r="H369" i="199"/>
  <c r="G369" i="199"/>
  <c r="F369" i="199"/>
  <c r="O368" i="199"/>
  <c r="F368" i="199"/>
  <c r="E368" i="199"/>
  <c r="E367" i="199" s="1"/>
  <c r="E366" i="199" s="1"/>
  <c r="N367" i="199"/>
  <c r="M367" i="199"/>
  <c r="L367" i="199"/>
  <c r="L366" i="199" s="1"/>
  <c r="K367" i="199"/>
  <c r="I367" i="199"/>
  <c r="H367" i="199"/>
  <c r="H366" i="199" s="1"/>
  <c r="G367" i="199"/>
  <c r="F367" i="199"/>
  <c r="N366" i="199"/>
  <c r="M366" i="199"/>
  <c r="K366" i="199"/>
  <c r="I366" i="199"/>
  <c r="G366" i="199"/>
  <c r="F366" i="199"/>
  <c r="O365" i="199"/>
  <c r="J365" i="199"/>
  <c r="J364" i="199" s="1"/>
  <c r="J360" i="199" s="1"/>
  <c r="J357" i="199" s="1"/>
  <c r="E365" i="199"/>
  <c r="O364" i="199"/>
  <c r="N364" i="199"/>
  <c r="N360" i="199" s="1"/>
  <c r="M364" i="199"/>
  <c r="M360" i="199" s="1"/>
  <c r="M357" i="199" s="1"/>
  <c r="M354" i="199" s="1"/>
  <c r="M353" i="199" s="1"/>
  <c r="L364" i="199"/>
  <c r="K364" i="199"/>
  <c r="I364" i="199"/>
  <c r="I360" i="199" s="1"/>
  <c r="I357" i="199" s="1"/>
  <c r="I354" i="199" s="1"/>
  <c r="I353" i="199" s="1"/>
  <c r="H364" i="199"/>
  <c r="G364" i="199"/>
  <c r="F364" i="199"/>
  <c r="E364" i="199"/>
  <c r="E360" i="199" s="1"/>
  <c r="E357" i="199" s="1"/>
  <c r="O363" i="199"/>
  <c r="J363" i="199"/>
  <c r="F363" i="199"/>
  <c r="E363" i="199" s="1"/>
  <c r="P363" i="199" s="1"/>
  <c r="O362" i="199"/>
  <c r="J362" i="199"/>
  <c r="E362" i="199"/>
  <c r="O361" i="199"/>
  <c r="J361" i="199"/>
  <c r="F361" i="199"/>
  <c r="E361" i="199" s="1"/>
  <c r="P361" i="199" s="1"/>
  <c r="O360" i="199"/>
  <c r="L360" i="199"/>
  <c r="L357" i="199" s="1"/>
  <c r="K360" i="199"/>
  <c r="K357" i="199" s="1"/>
  <c r="H360" i="199"/>
  <c r="G360" i="199"/>
  <c r="G357" i="199" s="1"/>
  <c r="F360" i="199"/>
  <c r="F357" i="199" s="1"/>
  <c r="F354" i="199" s="1"/>
  <c r="F353" i="199" s="1"/>
  <c r="O359" i="199"/>
  <c r="J359" i="199"/>
  <c r="P359" i="199" s="1"/>
  <c r="P358" i="199" s="1"/>
  <c r="E359" i="199"/>
  <c r="O358" i="199"/>
  <c r="N358" i="199"/>
  <c r="M358" i="199"/>
  <c r="L358" i="199"/>
  <c r="K358" i="199"/>
  <c r="J358" i="199"/>
  <c r="I358" i="199"/>
  <c r="H358" i="199"/>
  <c r="G358" i="199"/>
  <c r="F358" i="199"/>
  <c r="E358" i="199"/>
  <c r="O357" i="199"/>
  <c r="N357" i="199"/>
  <c r="N354" i="199" s="1"/>
  <c r="N353" i="199" s="1"/>
  <c r="H357" i="199"/>
  <c r="O356" i="199"/>
  <c r="F356" i="199"/>
  <c r="E356" i="199"/>
  <c r="E355" i="199" s="1"/>
  <c r="N355" i="199"/>
  <c r="M355" i="199"/>
  <c r="L355" i="199"/>
  <c r="K355" i="199"/>
  <c r="I355" i="199"/>
  <c r="H355" i="199"/>
  <c r="G355" i="199"/>
  <c r="F355" i="199"/>
  <c r="O352" i="199"/>
  <c r="J352" i="199"/>
  <c r="E352" i="199"/>
  <c r="O351" i="199"/>
  <c r="N351" i="199"/>
  <c r="M351" i="199"/>
  <c r="L351" i="199"/>
  <c r="K351" i="199"/>
  <c r="J351" i="199"/>
  <c r="I351" i="199"/>
  <c r="H351" i="199"/>
  <c r="G351" i="199"/>
  <c r="F351" i="199"/>
  <c r="E351" i="199"/>
  <c r="O350" i="199"/>
  <c r="J350" i="199"/>
  <c r="J349" i="199" s="1"/>
  <c r="J348" i="199" s="1"/>
  <c r="F350" i="199"/>
  <c r="O349" i="199"/>
  <c r="N349" i="199"/>
  <c r="N348" i="199" s="1"/>
  <c r="M349" i="199"/>
  <c r="M348" i="199" s="1"/>
  <c r="L349" i="199"/>
  <c r="K349" i="199"/>
  <c r="I349" i="199"/>
  <c r="H349" i="199"/>
  <c r="G349" i="199"/>
  <c r="O348" i="199"/>
  <c r="L348" i="199"/>
  <c r="K348" i="199"/>
  <c r="I348" i="199"/>
  <c r="H348" i="199"/>
  <c r="G348" i="199"/>
  <c r="P347" i="199"/>
  <c r="O347" i="199"/>
  <c r="J347" i="199" s="1"/>
  <c r="J346" i="199" s="1"/>
  <c r="E347" i="199"/>
  <c r="P346" i="199"/>
  <c r="O346" i="199"/>
  <c r="N346" i="199"/>
  <c r="M346" i="199"/>
  <c r="L346" i="199"/>
  <c r="L339" i="199" s="1"/>
  <c r="L335" i="199" s="1"/>
  <c r="L334" i="199" s="1"/>
  <c r="K346" i="199"/>
  <c r="I346" i="199"/>
  <c r="H346" i="199"/>
  <c r="H339" i="199" s="1"/>
  <c r="G346" i="199"/>
  <c r="F346" i="199"/>
  <c r="E346" i="199"/>
  <c r="O345" i="199"/>
  <c r="J345" i="199" s="1"/>
  <c r="E345" i="199"/>
  <c r="P345" i="199" s="1"/>
  <c r="O344" i="199"/>
  <c r="J344" i="199" s="1"/>
  <c r="F344" i="199"/>
  <c r="F343" i="199" s="1"/>
  <c r="E344" i="199"/>
  <c r="N343" i="199"/>
  <c r="M343" i="199"/>
  <c r="L343" i="199"/>
  <c r="K343" i="199"/>
  <c r="J343" i="199"/>
  <c r="I343" i="199"/>
  <c r="H343" i="199"/>
  <c r="G343" i="199"/>
  <c r="O342" i="199"/>
  <c r="J342" i="199"/>
  <c r="E342" i="199"/>
  <c r="O341" i="199"/>
  <c r="N341" i="199"/>
  <c r="N340" i="199" s="1"/>
  <c r="N339" i="199" s="1"/>
  <c r="N335" i="199" s="1"/>
  <c r="N334" i="199" s="1"/>
  <c r="M341" i="199"/>
  <c r="M340" i="199" s="1"/>
  <c r="M339" i="199" s="1"/>
  <c r="M335" i="199" s="1"/>
  <c r="M334" i="199" s="1"/>
  <c r="L341" i="199"/>
  <c r="K341" i="199"/>
  <c r="J341" i="199"/>
  <c r="I341" i="199"/>
  <c r="I340" i="199" s="1"/>
  <c r="H341" i="199"/>
  <c r="G341" i="199"/>
  <c r="F341" i="199"/>
  <c r="E341" i="199"/>
  <c r="L340" i="199"/>
  <c r="K340" i="199"/>
  <c r="H340" i="199"/>
  <c r="G340" i="199"/>
  <c r="K339" i="199"/>
  <c r="I339" i="199"/>
  <c r="G339" i="199"/>
  <c r="O338" i="199"/>
  <c r="J338" i="199"/>
  <c r="P338" i="199" s="1"/>
  <c r="E338" i="199"/>
  <c r="O337" i="199"/>
  <c r="J337" i="199"/>
  <c r="H337" i="199"/>
  <c r="H336" i="199" s="1"/>
  <c r="H335" i="199" s="1"/>
  <c r="H334" i="199" s="1"/>
  <c r="F337" i="199"/>
  <c r="E337" i="199" s="1"/>
  <c r="O336" i="199"/>
  <c r="N336" i="199"/>
  <c r="M336" i="199"/>
  <c r="L336" i="199"/>
  <c r="K336" i="199"/>
  <c r="K335" i="199" s="1"/>
  <c r="K334" i="199" s="1"/>
  <c r="I336" i="199"/>
  <c r="G336" i="199"/>
  <c r="G335" i="199" s="1"/>
  <c r="G334" i="199" s="1"/>
  <c r="F336" i="199"/>
  <c r="I335" i="199"/>
  <c r="I334" i="199" s="1"/>
  <c r="O333" i="199"/>
  <c r="J333" i="199"/>
  <c r="E333" i="199"/>
  <c r="E332" i="199" s="1"/>
  <c r="O332" i="199"/>
  <c r="N332" i="199"/>
  <c r="N331" i="199" s="1"/>
  <c r="M332" i="199"/>
  <c r="L332" i="199"/>
  <c r="K332" i="199"/>
  <c r="J332" i="199"/>
  <c r="J331" i="199" s="1"/>
  <c r="I332" i="199"/>
  <c r="H332" i="199"/>
  <c r="G332" i="199"/>
  <c r="F332" i="199"/>
  <c r="F331" i="199" s="1"/>
  <c r="O331" i="199"/>
  <c r="M331" i="199"/>
  <c r="M326" i="199" s="1"/>
  <c r="M325" i="199" s="1"/>
  <c r="L331" i="199"/>
  <c r="K331" i="199"/>
  <c r="I331" i="199"/>
  <c r="H331" i="199"/>
  <c r="G331" i="199"/>
  <c r="E331" i="199"/>
  <c r="O330" i="199"/>
  <c r="J330" i="199"/>
  <c r="E330" i="199"/>
  <c r="P330" i="199" s="1"/>
  <c r="O329" i="199"/>
  <c r="J329" i="199"/>
  <c r="E329" i="199"/>
  <c r="O328" i="199"/>
  <c r="J328" i="199"/>
  <c r="H328" i="199"/>
  <c r="H327" i="199" s="1"/>
  <c r="F328" i="199"/>
  <c r="E328" i="199" s="1"/>
  <c r="O327" i="199"/>
  <c r="N327" i="199"/>
  <c r="M327" i="199"/>
  <c r="L327" i="199"/>
  <c r="K327" i="199"/>
  <c r="K326" i="199" s="1"/>
  <c r="J327" i="199"/>
  <c r="I327" i="199"/>
  <c r="G327" i="199"/>
  <c r="G326" i="199" s="1"/>
  <c r="G325" i="199" s="1"/>
  <c r="F327" i="199"/>
  <c r="O326" i="199"/>
  <c r="O325" i="199" s="1"/>
  <c r="L326" i="199"/>
  <c r="L325" i="199" s="1"/>
  <c r="I326" i="199"/>
  <c r="I325" i="199" s="1"/>
  <c r="H326" i="199"/>
  <c r="H325" i="199" s="1"/>
  <c r="K325" i="199"/>
  <c r="O324" i="199"/>
  <c r="J324" i="199" s="1"/>
  <c r="E324" i="199"/>
  <c r="O322" i="199"/>
  <c r="J322" i="199" s="1"/>
  <c r="E322" i="199"/>
  <c r="O321" i="199"/>
  <c r="N321" i="199"/>
  <c r="M321" i="199"/>
  <c r="M320" i="199" s="1"/>
  <c r="L321" i="199"/>
  <c r="L320" i="199" s="1"/>
  <c r="K321" i="199"/>
  <c r="I321" i="199"/>
  <c r="I320" i="199" s="1"/>
  <c r="I311" i="199" s="1"/>
  <c r="H321" i="199"/>
  <c r="H320" i="199" s="1"/>
  <c r="H311" i="199" s="1"/>
  <c r="G321" i="199"/>
  <c r="F321" i="199"/>
  <c r="O320" i="199"/>
  <c r="N320" i="199"/>
  <c r="K320" i="199"/>
  <c r="G320" i="199"/>
  <c r="F320" i="199"/>
  <c r="O319" i="199"/>
  <c r="J319" i="199" s="1"/>
  <c r="E319" i="199"/>
  <c r="P319" i="199" s="1"/>
  <c r="O318" i="199"/>
  <c r="K318" i="199"/>
  <c r="J318" i="199"/>
  <c r="E318" i="199"/>
  <c r="P318" i="199" s="1"/>
  <c r="O317" i="199"/>
  <c r="J317" i="199"/>
  <c r="E317" i="199"/>
  <c r="K316" i="199"/>
  <c r="O316" i="199" s="1"/>
  <c r="J316" i="199"/>
  <c r="E316" i="199"/>
  <c r="P316" i="199" s="1"/>
  <c r="O315" i="199"/>
  <c r="J315" i="199" s="1"/>
  <c r="J314" i="199" s="1"/>
  <c r="K315" i="199"/>
  <c r="E315" i="199"/>
  <c r="O314" i="199"/>
  <c r="N314" i="199"/>
  <c r="M314" i="199"/>
  <c r="L314" i="199"/>
  <c r="L312" i="199" s="1"/>
  <c r="K314" i="199"/>
  <c r="K312" i="199" s="1"/>
  <c r="K311" i="199" s="1"/>
  <c r="I314" i="199"/>
  <c r="H314" i="199"/>
  <c r="G314" i="199"/>
  <c r="G312" i="199" s="1"/>
  <c r="G311" i="199" s="1"/>
  <c r="F314" i="199"/>
  <c r="E314" i="199"/>
  <c r="O313" i="199"/>
  <c r="J313" i="199" s="1"/>
  <c r="P313" i="199" s="1"/>
  <c r="K313" i="199"/>
  <c r="E313" i="199"/>
  <c r="N312" i="199"/>
  <c r="M312" i="199"/>
  <c r="M311" i="199" s="1"/>
  <c r="I312" i="199"/>
  <c r="H312" i="199"/>
  <c r="F312" i="199"/>
  <c r="N311" i="199"/>
  <c r="F311" i="199"/>
  <c r="P310" i="199"/>
  <c r="O310" i="199"/>
  <c r="J310" i="199"/>
  <c r="E310" i="199"/>
  <c r="P309" i="199"/>
  <c r="O309" i="199"/>
  <c r="N309" i="199"/>
  <c r="M309" i="199"/>
  <c r="L309" i="199"/>
  <c r="K309" i="199"/>
  <c r="J309" i="199"/>
  <c r="I309" i="199"/>
  <c r="H309" i="199"/>
  <c r="G309" i="199"/>
  <c r="F309" i="199"/>
  <c r="E309" i="199"/>
  <c r="P308" i="199"/>
  <c r="O308" i="199"/>
  <c r="N308" i="199"/>
  <c r="M308" i="199"/>
  <c r="L308" i="199"/>
  <c r="K308" i="199"/>
  <c r="J308" i="199"/>
  <c r="I308" i="199"/>
  <c r="H308" i="199"/>
  <c r="G308" i="199"/>
  <c r="F308" i="199"/>
  <c r="E308" i="199"/>
  <c r="O307" i="199"/>
  <c r="K307" i="199"/>
  <c r="J307" i="199"/>
  <c r="E307" i="199"/>
  <c r="E306" i="199" s="1"/>
  <c r="O306" i="199"/>
  <c r="N306" i="199"/>
  <c r="M306" i="199"/>
  <c r="L306" i="199"/>
  <c r="K306" i="199"/>
  <c r="J306" i="199"/>
  <c r="I306" i="199"/>
  <c r="H306" i="199"/>
  <c r="G306" i="199"/>
  <c r="F306" i="199"/>
  <c r="O305" i="199"/>
  <c r="J305" i="199"/>
  <c r="E305" i="199"/>
  <c r="O304" i="199"/>
  <c r="J304" i="199"/>
  <c r="E304" i="199"/>
  <c r="O303" i="199"/>
  <c r="J303" i="199"/>
  <c r="H303" i="199"/>
  <c r="H302" i="199" s="1"/>
  <c r="E303" i="199"/>
  <c r="P303" i="199" s="1"/>
  <c r="O302" i="199"/>
  <c r="N302" i="199"/>
  <c r="M302" i="199"/>
  <c r="L302" i="199"/>
  <c r="K302" i="199"/>
  <c r="I302" i="199"/>
  <c r="G302" i="199"/>
  <c r="F302" i="199"/>
  <c r="K301" i="199"/>
  <c r="K300" i="199" s="1"/>
  <c r="O299" i="199"/>
  <c r="J299" i="199" s="1"/>
  <c r="H299" i="199"/>
  <c r="G299" i="199"/>
  <c r="G296" i="199" s="1"/>
  <c r="G295" i="199" s="1"/>
  <c r="F299" i="199"/>
  <c r="E299" i="199" s="1"/>
  <c r="P299" i="199" s="1"/>
  <c r="O298" i="199"/>
  <c r="J298" i="199"/>
  <c r="H298" i="199"/>
  <c r="E298" i="199"/>
  <c r="O297" i="199"/>
  <c r="K297" i="199"/>
  <c r="F297" i="199"/>
  <c r="E297" i="199"/>
  <c r="N296" i="199"/>
  <c r="M296" i="199"/>
  <c r="M295" i="199" s="1"/>
  <c r="L296" i="199"/>
  <c r="K296" i="199"/>
  <c r="I296" i="199"/>
  <c r="I295" i="199" s="1"/>
  <c r="H296" i="199"/>
  <c r="F296" i="199"/>
  <c r="E296" i="199"/>
  <c r="N295" i="199"/>
  <c r="L295" i="199"/>
  <c r="K295" i="199"/>
  <c r="H295" i="199"/>
  <c r="F295" i="199"/>
  <c r="E295" i="199"/>
  <c r="O294" i="199"/>
  <c r="J294" i="199"/>
  <c r="J291" i="199" s="1"/>
  <c r="E294" i="199"/>
  <c r="J292" i="199"/>
  <c r="P292" i="199" s="1"/>
  <c r="O291" i="199"/>
  <c r="N291" i="199"/>
  <c r="M291" i="199"/>
  <c r="L291" i="199"/>
  <c r="K291" i="199"/>
  <c r="K288" i="199" s="1"/>
  <c r="I291" i="199"/>
  <c r="H291" i="199"/>
  <c r="H288" i="199" s="1"/>
  <c r="H282" i="199" s="1"/>
  <c r="G291" i="199"/>
  <c r="G288" i="199" s="1"/>
  <c r="F291" i="199"/>
  <c r="O290" i="199"/>
  <c r="J290" i="199" s="1"/>
  <c r="P290" i="199" s="1"/>
  <c r="K290" i="199"/>
  <c r="E290" i="199"/>
  <c r="O289" i="199"/>
  <c r="J289" i="199" s="1"/>
  <c r="P289" i="199" s="1"/>
  <c r="E289" i="199"/>
  <c r="N288" i="199"/>
  <c r="M288" i="199"/>
  <c r="M282" i="199" s="1"/>
  <c r="L288" i="199"/>
  <c r="L282" i="199" s="1"/>
  <c r="I288" i="199"/>
  <c r="I282" i="199" s="1"/>
  <c r="F288" i="199"/>
  <c r="O287" i="199"/>
  <c r="K287" i="199"/>
  <c r="J287" i="199"/>
  <c r="F287" i="199"/>
  <c r="O286" i="199"/>
  <c r="O285" i="199" s="1"/>
  <c r="N286" i="199"/>
  <c r="M286" i="199"/>
  <c r="L286" i="199"/>
  <c r="K286" i="199"/>
  <c r="K285" i="199" s="1"/>
  <c r="J286" i="199"/>
  <c r="I286" i="199"/>
  <c r="H286" i="199"/>
  <c r="G286" i="199"/>
  <c r="G285" i="199" s="1"/>
  <c r="N285" i="199"/>
  <c r="M285" i="199"/>
  <c r="L285" i="199"/>
  <c r="J285" i="199"/>
  <c r="I285" i="199"/>
  <c r="H285" i="199"/>
  <c r="O284" i="199"/>
  <c r="O283" i="199" s="1"/>
  <c r="J284" i="199"/>
  <c r="J283" i="199" s="1"/>
  <c r="E284" i="199"/>
  <c r="N283" i="199"/>
  <c r="M283" i="199"/>
  <c r="L283" i="199"/>
  <c r="K283" i="199"/>
  <c r="I283" i="199"/>
  <c r="H283" i="199"/>
  <c r="G283" i="199"/>
  <c r="G282" i="199" s="1"/>
  <c r="F283" i="199"/>
  <c r="E283" i="199"/>
  <c r="N282" i="199"/>
  <c r="K282" i="199"/>
  <c r="O281" i="199"/>
  <c r="J281" i="199" s="1"/>
  <c r="E281" i="199"/>
  <c r="O280" i="199"/>
  <c r="J280" i="199" s="1"/>
  <c r="K280" i="199"/>
  <c r="K275" i="199" s="1"/>
  <c r="F280" i="199"/>
  <c r="E280" i="199" s="1"/>
  <c r="O279" i="199"/>
  <c r="J279" i="199"/>
  <c r="P279" i="199" s="1"/>
  <c r="E279" i="199"/>
  <c r="O278" i="199"/>
  <c r="J278" i="199"/>
  <c r="P278" i="199" s="1"/>
  <c r="F278" i="199"/>
  <c r="E278" i="199"/>
  <c r="O277" i="199"/>
  <c r="F277" i="199"/>
  <c r="E277" i="199"/>
  <c r="E276" i="199" s="1"/>
  <c r="N276" i="199"/>
  <c r="N275" i="199" s="1"/>
  <c r="N270" i="199" s="1"/>
  <c r="N269" i="199" s="1"/>
  <c r="M276" i="199"/>
  <c r="L276" i="199"/>
  <c r="L275" i="199" s="1"/>
  <c r="K276" i="199"/>
  <c r="I276" i="199"/>
  <c r="H276" i="199"/>
  <c r="G276" i="199"/>
  <c r="F276" i="199"/>
  <c r="F275" i="199" s="1"/>
  <c r="M275" i="199"/>
  <c r="I275" i="199"/>
  <c r="H275" i="199"/>
  <c r="G275" i="199"/>
  <c r="E275" i="199"/>
  <c r="O274" i="199"/>
  <c r="J274" i="199"/>
  <c r="F274" i="199"/>
  <c r="F271" i="199" s="1"/>
  <c r="E274" i="199"/>
  <c r="P274" i="199" s="1"/>
  <c r="O273" i="199"/>
  <c r="J273" i="199"/>
  <c r="E273" i="199"/>
  <c r="O272" i="199"/>
  <c r="H272" i="199"/>
  <c r="F272" i="199"/>
  <c r="E272" i="199"/>
  <c r="N271" i="199"/>
  <c r="M271" i="199"/>
  <c r="M270" i="199" s="1"/>
  <c r="L271" i="199"/>
  <c r="K271" i="199"/>
  <c r="I271" i="199"/>
  <c r="I270" i="199" s="1"/>
  <c r="I269" i="199" s="1"/>
  <c r="H271" i="199"/>
  <c r="H270" i="199" s="1"/>
  <c r="H269" i="199" s="1"/>
  <c r="G271" i="199"/>
  <c r="L270" i="199"/>
  <c r="M269" i="199"/>
  <c r="O268" i="199"/>
  <c r="J268" i="199"/>
  <c r="P268" i="199" s="1"/>
  <c r="P267" i="199" s="1"/>
  <c r="P266" i="199" s="1"/>
  <c r="E268" i="199"/>
  <c r="O267" i="199"/>
  <c r="N267" i="199"/>
  <c r="N266" i="199" s="1"/>
  <c r="M267" i="199"/>
  <c r="L267" i="199"/>
  <c r="K267" i="199"/>
  <c r="J267" i="199"/>
  <c r="J266" i="199" s="1"/>
  <c r="I267" i="199"/>
  <c r="H267" i="199"/>
  <c r="G267" i="199"/>
  <c r="F267" i="199"/>
  <c r="F266" i="199" s="1"/>
  <c r="E267" i="199"/>
  <c r="O266" i="199"/>
  <c r="M266" i="199"/>
  <c r="L266" i="199"/>
  <c r="K266" i="199"/>
  <c r="I266" i="199"/>
  <c r="H266" i="199"/>
  <c r="G266" i="199"/>
  <c r="E266" i="199"/>
  <c r="O264" i="199"/>
  <c r="J264" i="199"/>
  <c r="P264" i="199" s="1"/>
  <c r="P263" i="199" s="1"/>
  <c r="E264" i="199"/>
  <c r="O263" i="199"/>
  <c r="N263" i="199"/>
  <c r="M263" i="199"/>
  <c r="L263" i="199"/>
  <c r="L260" i="199" s="1"/>
  <c r="L257" i="199" s="1"/>
  <c r="K263" i="199"/>
  <c r="J263" i="199"/>
  <c r="I263" i="199"/>
  <c r="H263" i="199"/>
  <c r="H260" i="199" s="1"/>
  <c r="H257" i="199" s="1"/>
  <c r="G263" i="199"/>
  <c r="F263" i="199"/>
  <c r="F260" i="199" s="1"/>
  <c r="E263" i="199"/>
  <c r="O262" i="199"/>
  <c r="J262" i="199"/>
  <c r="P262" i="199" s="1"/>
  <c r="E262" i="199"/>
  <c r="O261" i="199"/>
  <c r="J261" i="199"/>
  <c r="J260" i="199" s="1"/>
  <c r="J257" i="199" s="1"/>
  <c r="F261" i="199"/>
  <c r="E261" i="199"/>
  <c r="O260" i="199"/>
  <c r="N260" i="199"/>
  <c r="N257" i="199" s="1"/>
  <c r="M260" i="199"/>
  <c r="K260" i="199"/>
  <c r="I260" i="199"/>
  <c r="G260" i="199"/>
  <c r="E260" i="199"/>
  <c r="O259" i="199"/>
  <c r="J259" i="199" s="1"/>
  <c r="E259" i="199"/>
  <c r="O258" i="199"/>
  <c r="N258" i="199"/>
  <c r="M258" i="199"/>
  <c r="L258" i="199"/>
  <c r="K258" i="199"/>
  <c r="J258" i="199"/>
  <c r="I258" i="199"/>
  <c r="H258" i="199"/>
  <c r="G258" i="199"/>
  <c r="G257" i="199" s="1"/>
  <c r="F258" i="199"/>
  <c r="M257" i="199"/>
  <c r="I257" i="199"/>
  <c r="O256" i="199"/>
  <c r="J256" i="199"/>
  <c r="E256" i="199"/>
  <c r="O255" i="199"/>
  <c r="J255" i="199"/>
  <c r="F255" i="199"/>
  <c r="E255" i="199" s="1"/>
  <c r="P255" i="199" s="1"/>
  <c r="O254" i="199"/>
  <c r="J254" i="199"/>
  <c r="P254" i="199" s="1"/>
  <c r="E254" i="199"/>
  <c r="O253" i="199"/>
  <c r="J253" i="199"/>
  <c r="P253" i="199" s="1"/>
  <c r="F253" i="199"/>
  <c r="E253" i="199"/>
  <c r="O252" i="199"/>
  <c r="J252" i="199" s="1"/>
  <c r="P252" i="199" s="1"/>
  <c r="K252" i="199"/>
  <c r="E252" i="199"/>
  <c r="K251" i="199"/>
  <c r="O251" i="199" s="1"/>
  <c r="J251" i="199" s="1"/>
  <c r="P251" i="199" s="1"/>
  <c r="P250" i="199" s="1"/>
  <c r="F251" i="199"/>
  <c r="E251" i="199" s="1"/>
  <c r="E250" i="199" s="1"/>
  <c r="N250" i="199"/>
  <c r="M250" i="199"/>
  <c r="L250" i="199"/>
  <c r="L249" i="199" s="1"/>
  <c r="I250" i="199"/>
  <c r="H250" i="199"/>
  <c r="H249" i="199" s="1"/>
  <c r="G250" i="199"/>
  <c r="N249" i="199"/>
  <c r="M249" i="199"/>
  <c r="I249" i="199"/>
  <c r="G249" i="199"/>
  <c r="J248" i="199"/>
  <c r="E248" i="199"/>
  <c r="O247" i="199"/>
  <c r="J247" i="199" s="1"/>
  <c r="P247" i="199" s="1"/>
  <c r="E247" i="199"/>
  <c r="O246" i="199"/>
  <c r="J246" i="199"/>
  <c r="H246" i="199"/>
  <c r="F246" i="199"/>
  <c r="E246" i="199"/>
  <c r="N245" i="199"/>
  <c r="M245" i="199"/>
  <c r="L245" i="199"/>
  <c r="K245" i="199"/>
  <c r="I245" i="199"/>
  <c r="H245" i="199"/>
  <c r="G245" i="199"/>
  <c r="F245" i="199"/>
  <c r="O242" i="199"/>
  <c r="J242" i="199"/>
  <c r="P242" i="199" s="1"/>
  <c r="P241" i="199" s="1"/>
  <c r="P240" i="199" s="1"/>
  <c r="E242" i="199"/>
  <c r="O241" i="199"/>
  <c r="N241" i="199"/>
  <c r="M241" i="199"/>
  <c r="L241" i="199"/>
  <c r="K241" i="199"/>
  <c r="I241" i="199"/>
  <c r="H241" i="199"/>
  <c r="G241" i="199"/>
  <c r="F241" i="199"/>
  <c r="E241" i="199"/>
  <c r="O240" i="199"/>
  <c r="N240" i="199"/>
  <c r="M240" i="199"/>
  <c r="L240" i="199"/>
  <c r="K240" i="199"/>
  <c r="I240" i="199"/>
  <c r="H240" i="199"/>
  <c r="G240" i="199"/>
  <c r="F240" i="199"/>
  <c r="E240" i="199"/>
  <c r="O239" i="199"/>
  <c r="J239" i="199"/>
  <c r="P239" i="199" s="1"/>
  <c r="P237" i="199" s="1"/>
  <c r="E239" i="199"/>
  <c r="O238" i="199"/>
  <c r="J238" i="199"/>
  <c r="P238" i="199" s="1"/>
  <c r="E238" i="199"/>
  <c r="O237" i="199"/>
  <c r="N237" i="199"/>
  <c r="M237" i="199"/>
  <c r="L237" i="199"/>
  <c r="L233" i="199" s="1"/>
  <c r="K237" i="199"/>
  <c r="I237" i="199"/>
  <c r="H237" i="199"/>
  <c r="H233" i="199" s="1"/>
  <c r="G237" i="199"/>
  <c r="F237" i="199"/>
  <c r="E237" i="199"/>
  <c r="K236" i="199"/>
  <c r="E236" i="199"/>
  <c r="N235" i="199"/>
  <c r="N234" i="199" s="1"/>
  <c r="M235" i="199"/>
  <c r="L235" i="199"/>
  <c r="I235" i="199"/>
  <c r="I234" i="199" s="1"/>
  <c r="I233" i="199" s="1"/>
  <c r="H235" i="199"/>
  <c r="G235" i="199"/>
  <c r="G234" i="199" s="1"/>
  <c r="G233" i="199" s="1"/>
  <c r="F235" i="199"/>
  <c r="F234" i="199" s="1"/>
  <c r="E235" i="199"/>
  <c r="M234" i="199"/>
  <c r="M233" i="199" s="1"/>
  <c r="L234" i="199"/>
  <c r="H234" i="199"/>
  <c r="E234" i="199"/>
  <c r="E233" i="199" s="1"/>
  <c r="F233" i="199"/>
  <c r="O232" i="199"/>
  <c r="J232" i="199"/>
  <c r="J231" i="199" s="1"/>
  <c r="J230" i="199" s="1"/>
  <c r="E232" i="199"/>
  <c r="O231" i="199"/>
  <c r="O230" i="199" s="1"/>
  <c r="N231" i="199"/>
  <c r="M231" i="199"/>
  <c r="M230" i="199" s="1"/>
  <c r="L231" i="199"/>
  <c r="K231" i="199"/>
  <c r="I231" i="199"/>
  <c r="I230" i="199" s="1"/>
  <c r="H231" i="199"/>
  <c r="G231" i="199"/>
  <c r="F231" i="199"/>
  <c r="N230" i="199"/>
  <c r="L230" i="199"/>
  <c r="K230" i="199"/>
  <c r="H230" i="199"/>
  <c r="G230" i="199"/>
  <c r="F230" i="199"/>
  <c r="O229" i="199"/>
  <c r="J229" i="199"/>
  <c r="E229" i="199"/>
  <c r="P229" i="199" s="1"/>
  <c r="O228" i="199"/>
  <c r="J228" i="199"/>
  <c r="F228" i="199"/>
  <c r="O227" i="199"/>
  <c r="J227" i="199"/>
  <c r="F227" i="199"/>
  <c r="E227" i="199"/>
  <c r="O226" i="199"/>
  <c r="N226" i="199"/>
  <c r="M226" i="199"/>
  <c r="L226" i="199"/>
  <c r="K226" i="199"/>
  <c r="I226" i="199"/>
  <c r="H226" i="199"/>
  <c r="G226" i="199"/>
  <c r="P225" i="199"/>
  <c r="P224" i="199" s="1"/>
  <c r="O225" i="199"/>
  <c r="J225" i="199" s="1"/>
  <c r="J224" i="199" s="1"/>
  <c r="E225" i="199"/>
  <c r="O224" i="199"/>
  <c r="N224" i="199"/>
  <c r="M224" i="199"/>
  <c r="L224" i="199"/>
  <c r="K224" i="199"/>
  <c r="I224" i="199"/>
  <c r="H224" i="199"/>
  <c r="G224" i="199"/>
  <c r="F224" i="199"/>
  <c r="E224" i="199"/>
  <c r="O223" i="199"/>
  <c r="J223" i="199" s="1"/>
  <c r="E223" i="199"/>
  <c r="P223" i="199" s="1"/>
  <c r="P222" i="199"/>
  <c r="O222" i="199"/>
  <c r="K222" i="199"/>
  <c r="J222" i="199"/>
  <c r="J221" i="199" s="1"/>
  <c r="H222" i="199"/>
  <c r="H221" i="199" s="1"/>
  <c r="G222" i="199"/>
  <c r="F222" i="199"/>
  <c r="E222" i="199"/>
  <c r="E221" i="199" s="1"/>
  <c r="P221" i="199"/>
  <c r="N221" i="199"/>
  <c r="M221" i="199"/>
  <c r="L221" i="199"/>
  <c r="K221" i="199"/>
  <c r="I221" i="199"/>
  <c r="G221" i="199"/>
  <c r="G215" i="199" s="1"/>
  <c r="F221" i="199"/>
  <c r="O220" i="199"/>
  <c r="J220" i="199" s="1"/>
  <c r="J219" i="199" s="1"/>
  <c r="E220" i="199"/>
  <c r="O219" i="199"/>
  <c r="N219" i="199"/>
  <c r="M219" i="199"/>
  <c r="L219" i="199"/>
  <c r="K219" i="199"/>
  <c r="I219" i="199"/>
  <c r="H219" i="199"/>
  <c r="G219" i="199"/>
  <c r="F219" i="199"/>
  <c r="E219" i="199"/>
  <c r="O218" i="199"/>
  <c r="J218" i="199" s="1"/>
  <c r="F218" i="199"/>
  <c r="E218" i="199"/>
  <c r="P218" i="199" s="1"/>
  <c r="O217" i="199"/>
  <c r="J217" i="199"/>
  <c r="F217" i="199"/>
  <c r="E217" i="199" s="1"/>
  <c r="P217" i="199" s="1"/>
  <c r="O216" i="199"/>
  <c r="N216" i="199"/>
  <c r="N215" i="199" s="1"/>
  <c r="M216" i="199"/>
  <c r="L216" i="199"/>
  <c r="K216" i="199"/>
  <c r="J216" i="199"/>
  <c r="I216" i="199"/>
  <c r="I215" i="199" s="1"/>
  <c r="H216" i="199"/>
  <c r="G216" i="199"/>
  <c r="M215" i="199"/>
  <c r="K215" i="199"/>
  <c r="O214" i="199"/>
  <c r="J214" i="199"/>
  <c r="H214" i="199"/>
  <c r="F214" i="199"/>
  <c r="E214" i="199"/>
  <c r="O213" i="199"/>
  <c r="K213" i="199"/>
  <c r="H213" i="199"/>
  <c r="H212" i="199" s="1"/>
  <c r="H209" i="199" s="1"/>
  <c r="F213" i="199"/>
  <c r="E213" i="199" s="1"/>
  <c r="E212" i="199" s="1"/>
  <c r="N212" i="199"/>
  <c r="M212" i="199"/>
  <c r="L212" i="199"/>
  <c r="L209" i="199" s="1"/>
  <c r="K212" i="199"/>
  <c r="I212" i="199"/>
  <c r="G212" i="199"/>
  <c r="F212" i="199"/>
  <c r="P211" i="199"/>
  <c r="P210" i="199" s="1"/>
  <c r="O211" i="199"/>
  <c r="J211" i="199"/>
  <c r="H211" i="199"/>
  <c r="G211" i="199"/>
  <c r="F211" i="199"/>
  <c r="E211" i="199"/>
  <c r="E210" i="199" s="1"/>
  <c r="O210" i="199"/>
  <c r="N210" i="199"/>
  <c r="N209" i="199" s="1"/>
  <c r="M210" i="199"/>
  <c r="L210" i="199"/>
  <c r="K210" i="199"/>
  <c r="K209" i="199" s="1"/>
  <c r="J210" i="199"/>
  <c r="I210" i="199"/>
  <c r="H210" i="199"/>
  <c r="G210" i="199"/>
  <c r="G209" i="199" s="1"/>
  <c r="F210" i="199"/>
  <c r="M209" i="199"/>
  <c r="I209" i="199"/>
  <c r="O206" i="199"/>
  <c r="J206" i="199"/>
  <c r="P206" i="199" s="1"/>
  <c r="P205" i="199" s="1"/>
  <c r="P204" i="199" s="1"/>
  <c r="E206" i="199"/>
  <c r="O205" i="199"/>
  <c r="N205" i="199"/>
  <c r="N204" i="199" s="1"/>
  <c r="M205" i="199"/>
  <c r="L205" i="199"/>
  <c r="K205" i="199"/>
  <c r="J205" i="199"/>
  <c r="J204" i="199" s="1"/>
  <c r="I205" i="199"/>
  <c r="H205" i="199"/>
  <c r="G205" i="199"/>
  <c r="F205" i="199"/>
  <c r="F204" i="199" s="1"/>
  <c r="E205" i="199"/>
  <c r="O204" i="199"/>
  <c r="M204" i="199"/>
  <c r="L204" i="199"/>
  <c r="K204" i="199"/>
  <c r="I204" i="199"/>
  <c r="H204" i="199"/>
  <c r="G204" i="199"/>
  <c r="E204" i="199"/>
  <c r="O203" i="199"/>
  <c r="J203" i="199"/>
  <c r="P203" i="199" s="1"/>
  <c r="E203" i="199"/>
  <c r="K202" i="199"/>
  <c r="O202" i="199" s="1"/>
  <c r="J202" i="199" s="1"/>
  <c r="E202" i="199"/>
  <c r="O201" i="199"/>
  <c r="J201" i="199" s="1"/>
  <c r="J200" i="199" s="1"/>
  <c r="E201" i="199"/>
  <c r="N200" i="199"/>
  <c r="M200" i="199"/>
  <c r="M199" i="199" s="1"/>
  <c r="M198" i="199" s="1"/>
  <c r="L200" i="199"/>
  <c r="K200" i="199"/>
  <c r="I200" i="199"/>
  <c r="I199" i="199" s="1"/>
  <c r="H200" i="199"/>
  <c r="H199" i="199" s="1"/>
  <c r="H198" i="199" s="1"/>
  <c r="G200" i="199"/>
  <c r="G199" i="199" s="1"/>
  <c r="G198" i="199" s="1"/>
  <c r="F200" i="199"/>
  <c r="N199" i="199"/>
  <c r="L199" i="199"/>
  <c r="L198" i="199" s="1"/>
  <c r="L186" i="199" s="1"/>
  <c r="F199" i="199"/>
  <c r="N198" i="199"/>
  <c r="I198" i="199"/>
  <c r="F198" i="199"/>
  <c r="O197" i="199"/>
  <c r="J197" i="199" s="1"/>
  <c r="F197" i="199"/>
  <c r="F195" i="199" s="1"/>
  <c r="F189" i="199" s="1"/>
  <c r="E197" i="199"/>
  <c r="P197" i="199" s="1"/>
  <c r="O196" i="199"/>
  <c r="J196" i="199"/>
  <c r="H196" i="199"/>
  <c r="H195" i="199" s="1"/>
  <c r="H189" i="199" s="1"/>
  <c r="F196" i="199"/>
  <c r="E196" i="199" s="1"/>
  <c r="O195" i="199"/>
  <c r="O189" i="199" s="1"/>
  <c r="N195" i="199"/>
  <c r="M195" i="199"/>
  <c r="L195" i="199"/>
  <c r="K195" i="199"/>
  <c r="J195" i="199"/>
  <c r="I195" i="199"/>
  <c r="G195" i="199"/>
  <c r="G189" i="199" s="1"/>
  <c r="O194" i="199"/>
  <c r="J194" i="199"/>
  <c r="P194" i="199" s="1"/>
  <c r="E194" i="199"/>
  <c r="K193" i="199"/>
  <c r="O193" i="199" s="1"/>
  <c r="J193" i="199" s="1"/>
  <c r="H193" i="199"/>
  <c r="F193" i="199"/>
  <c r="E193" i="199"/>
  <c r="P193" i="199" s="1"/>
  <c r="O192" i="199"/>
  <c r="J192" i="199" s="1"/>
  <c r="H192" i="199"/>
  <c r="G192" i="199"/>
  <c r="F192" i="199"/>
  <c r="E192" i="199" s="1"/>
  <c r="P192" i="199" s="1"/>
  <c r="O191" i="199"/>
  <c r="J191" i="199"/>
  <c r="H191" i="199"/>
  <c r="F191" i="199"/>
  <c r="E191" i="199" s="1"/>
  <c r="O190" i="199"/>
  <c r="J190" i="199"/>
  <c r="P190" i="199" s="1"/>
  <c r="E190" i="199"/>
  <c r="N189" i="199"/>
  <c r="M189" i="199"/>
  <c r="L189" i="199"/>
  <c r="I189" i="199"/>
  <c r="K188" i="199"/>
  <c r="O188" i="199" s="1"/>
  <c r="J188" i="199" s="1"/>
  <c r="H188" i="199"/>
  <c r="H187" i="199" s="1"/>
  <c r="H186" i="199" s="1"/>
  <c r="H185" i="199" s="1"/>
  <c r="F188" i="199"/>
  <c r="E188" i="199"/>
  <c r="N187" i="199"/>
  <c r="N186" i="199" s="1"/>
  <c r="N185" i="199" s="1"/>
  <c r="M187" i="199"/>
  <c r="L187" i="199"/>
  <c r="K187" i="199"/>
  <c r="J187" i="199"/>
  <c r="I187" i="199"/>
  <c r="G187" i="199"/>
  <c r="F187" i="199"/>
  <c r="E187" i="199"/>
  <c r="P183" i="199"/>
  <c r="O183" i="199"/>
  <c r="J183" i="199" s="1"/>
  <c r="J182" i="199" s="1"/>
  <c r="E183" i="199"/>
  <c r="P182" i="199"/>
  <c r="O182" i="199"/>
  <c r="N182" i="199"/>
  <c r="N180" i="199" s="1"/>
  <c r="M182" i="199"/>
  <c r="L182" i="199"/>
  <c r="L180" i="199" s="1"/>
  <c r="K182" i="199"/>
  <c r="K180" i="199" s="1"/>
  <c r="K176" i="199" s="1"/>
  <c r="I182" i="199"/>
  <c r="H182" i="199"/>
  <c r="H180" i="199" s="1"/>
  <c r="G182" i="199"/>
  <c r="G180" i="199" s="1"/>
  <c r="G176" i="199" s="1"/>
  <c r="F182" i="199"/>
  <c r="F180" i="199" s="1"/>
  <c r="E182" i="199"/>
  <c r="O181" i="199"/>
  <c r="J181" i="199" s="1"/>
  <c r="P181" i="199" s="1"/>
  <c r="K181" i="199"/>
  <c r="E181" i="199"/>
  <c r="O180" i="199"/>
  <c r="O176" i="199" s="1"/>
  <c r="M180" i="199"/>
  <c r="I180" i="199"/>
  <c r="E180" i="199"/>
  <c r="E179" i="199" s="1"/>
  <c r="O179" i="199"/>
  <c r="O178" i="199" s="1"/>
  <c r="O177" i="199" s="1"/>
  <c r="K179" i="199"/>
  <c r="J179" i="199"/>
  <c r="J178" i="199" s="1"/>
  <c r="J177" i="199" s="1"/>
  <c r="N178" i="199"/>
  <c r="N177" i="199" s="1"/>
  <c r="M178" i="199"/>
  <c r="M177" i="199" s="1"/>
  <c r="M176" i="199" s="1"/>
  <c r="L178" i="199"/>
  <c r="K178" i="199"/>
  <c r="I178" i="199"/>
  <c r="I177" i="199" s="1"/>
  <c r="H178" i="199"/>
  <c r="H177" i="199" s="1"/>
  <c r="G178" i="199"/>
  <c r="F178" i="199"/>
  <c r="F177" i="199" s="1"/>
  <c r="F176" i="199" s="1"/>
  <c r="L177" i="199"/>
  <c r="K177" i="199"/>
  <c r="G177" i="199"/>
  <c r="N176" i="199"/>
  <c r="I176" i="199"/>
  <c r="O175" i="199"/>
  <c r="J175" i="199"/>
  <c r="E175" i="199"/>
  <c r="P175" i="199" s="1"/>
  <c r="O174" i="199"/>
  <c r="J174" i="199"/>
  <c r="E174" i="199"/>
  <c r="P174" i="199" s="1"/>
  <c r="P173" i="199" s="1"/>
  <c r="P172" i="199" s="1"/>
  <c r="O173" i="199"/>
  <c r="N173" i="199"/>
  <c r="M173" i="199"/>
  <c r="L173" i="199"/>
  <c r="K173" i="199"/>
  <c r="J173" i="199"/>
  <c r="I173" i="199"/>
  <c r="H173" i="199"/>
  <c r="G173" i="199"/>
  <c r="F173" i="199"/>
  <c r="E173" i="199"/>
  <c r="O172" i="199"/>
  <c r="N172" i="199"/>
  <c r="M172" i="199"/>
  <c r="L172" i="199"/>
  <c r="K172" i="199"/>
  <c r="J172" i="199"/>
  <c r="I172" i="199"/>
  <c r="H172" i="199"/>
  <c r="G172" i="199"/>
  <c r="F172" i="199"/>
  <c r="E172" i="199"/>
  <c r="K171" i="199"/>
  <c r="O171" i="199" s="1"/>
  <c r="J171" i="199"/>
  <c r="F171" i="199"/>
  <c r="E171" i="199" s="1"/>
  <c r="P171" i="199" s="1"/>
  <c r="N170" i="199"/>
  <c r="M170" i="199"/>
  <c r="L170" i="199"/>
  <c r="K170" i="199"/>
  <c r="O170" i="199" s="1"/>
  <c r="O169" i="199" s="1"/>
  <c r="H170" i="199"/>
  <c r="G170" i="199"/>
  <c r="G169" i="199" s="1"/>
  <c r="F170" i="199"/>
  <c r="E170" i="199"/>
  <c r="N169" i="199"/>
  <c r="M169" i="199"/>
  <c r="K169" i="199"/>
  <c r="I169" i="199"/>
  <c r="I132" i="199" s="1"/>
  <c r="H169" i="199"/>
  <c r="K168" i="199"/>
  <c r="O168" i="199" s="1"/>
  <c r="J168" i="199"/>
  <c r="F168" i="199"/>
  <c r="E168" i="199"/>
  <c r="O165" i="199"/>
  <c r="J165" i="199" s="1"/>
  <c r="E165" i="199"/>
  <c r="P165" i="199" s="1"/>
  <c r="O162" i="199"/>
  <c r="J162" i="199" s="1"/>
  <c r="E162" i="199"/>
  <c r="P162" i="199" s="1"/>
  <c r="P158" i="199"/>
  <c r="O158" i="199"/>
  <c r="J158" i="199" s="1"/>
  <c r="E158" i="199"/>
  <c r="O155" i="199"/>
  <c r="J155" i="199" s="1"/>
  <c r="J154" i="199" s="1"/>
  <c r="E155" i="199"/>
  <c r="N154" i="199"/>
  <c r="M154" i="199"/>
  <c r="L154" i="199"/>
  <c r="K154" i="199"/>
  <c r="I154" i="199"/>
  <c r="H154" i="199"/>
  <c r="G154" i="199"/>
  <c r="F154" i="199"/>
  <c r="O153" i="199"/>
  <c r="J153" i="199" s="1"/>
  <c r="E153" i="199"/>
  <c r="P153" i="199" s="1"/>
  <c r="O152" i="199"/>
  <c r="F152" i="199"/>
  <c r="F151" i="199" s="1"/>
  <c r="E152" i="199"/>
  <c r="E151" i="199" s="1"/>
  <c r="N151" i="199"/>
  <c r="M151" i="199"/>
  <c r="L151" i="199"/>
  <c r="K151" i="199"/>
  <c r="I151" i="199"/>
  <c r="H151" i="199"/>
  <c r="G151" i="199"/>
  <c r="P150" i="199"/>
  <c r="O150" i="199"/>
  <c r="J150" i="199"/>
  <c r="E150" i="199"/>
  <c r="P149" i="199"/>
  <c r="O149" i="199"/>
  <c r="J149" i="199"/>
  <c r="E149" i="199"/>
  <c r="N148" i="199"/>
  <c r="M148" i="199"/>
  <c r="L148" i="199"/>
  <c r="K148" i="199"/>
  <c r="O148" i="199" s="1"/>
  <c r="J148" i="199" s="1"/>
  <c r="P148" i="199" s="1"/>
  <c r="I148" i="199"/>
  <c r="H148" i="199"/>
  <c r="G148" i="199"/>
  <c r="F148" i="199"/>
  <c r="E148" i="199" s="1"/>
  <c r="O147" i="199"/>
  <c r="J147" i="199"/>
  <c r="P147" i="199" s="1"/>
  <c r="E147" i="199"/>
  <c r="K146" i="199"/>
  <c r="K145" i="199" s="1"/>
  <c r="H146" i="199"/>
  <c r="H145" i="199" s="1"/>
  <c r="F146" i="199"/>
  <c r="E146" i="199" s="1"/>
  <c r="E145" i="199" s="1"/>
  <c r="N145" i="199"/>
  <c r="M145" i="199"/>
  <c r="M132" i="199" s="1"/>
  <c r="L145" i="199"/>
  <c r="I145" i="199"/>
  <c r="G145" i="199"/>
  <c r="F145" i="199"/>
  <c r="K144" i="199"/>
  <c r="O144" i="199" s="1"/>
  <c r="J144" i="199"/>
  <c r="H144" i="199"/>
  <c r="G144" i="199"/>
  <c r="F144" i="199"/>
  <c r="F142" i="199" s="1"/>
  <c r="E144" i="199"/>
  <c r="O143" i="199"/>
  <c r="J143" i="199"/>
  <c r="H143" i="199"/>
  <c r="H142" i="199" s="1"/>
  <c r="H132" i="199" s="1"/>
  <c r="F143" i="199"/>
  <c r="E143" i="199"/>
  <c r="P143" i="199" s="1"/>
  <c r="O142" i="199"/>
  <c r="N142" i="199"/>
  <c r="M142" i="199"/>
  <c r="L142" i="199"/>
  <c r="K142" i="199"/>
  <c r="K132" i="199" s="1"/>
  <c r="K127" i="199" s="1"/>
  <c r="K126" i="199" s="1"/>
  <c r="I142" i="199"/>
  <c r="G142" i="199"/>
  <c r="O141" i="199"/>
  <c r="J141" i="199" s="1"/>
  <c r="P141" i="199" s="1"/>
  <c r="E141" i="199"/>
  <c r="O140" i="199"/>
  <c r="J140" i="199" s="1"/>
  <c r="F140" i="199"/>
  <c r="E140" i="199"/>
  <c r="P140" i="199" s="1"/>
  <c r="O139" i="199"/>
  <c r="J139" i="199"/>
  <c r="E139" i="199"/>
  <c r="P139" i="199" s="1"/>
  <c r="O138" i="199"/>
  <c r="J138" i="199"/>
  <c r="E138" i="199"/>
  <c r="P138" i="199" s="1"/>
  <c r="O137" i="199"/>
  <c r="J137" i="199"/>
  <c r="E137" i="199"/>
  <c r="P137" i="199" s="1"/>
  <c r="O136" i="199"/>
  <c r="J136" i="199"/>
  <c r="E136" i="199"/>
  <c r="P136" i="199" s="1"/>
  <c r="O135" i="199"/>
  <c r="J135" i="199"/>
  <c r="E135" i="199"/>
  <c r="P135" i="199" s="1"/>
  <c r="O134" i="199"/>
  <c r="J134" i="199"/>
  <c r="E134" i="199"/>
  <c r="P134" i="199" s="1"/>
  <c r="P133" i="199" s="1"/>
  <c r="O133" i="199"/>
  <c r="N133" i="199"/>
  <c r="M133" i="199"/>
  <c r="L133" i="199"/>
  <c r="K133" i="199"/>
  <c r="J133" i="199"/>
  <c r="I133" i="199"/>
  <c r="H133" i="199"/>
  <c r="G133" i="199"/>
  <c r="F133" i="199"/>
  <c r="E133" i="199"/>
  <c r="P131" i="199"/>
  <c r="J131" i="199"/>
  <c r="E131" i="199"/>
  <c r="O130" i="199"/>
  <c r="J130" i="199" s="1"/>
  <c r="P130" i="199" s="1"/>
  <c r="E130" i="199"/>
  <c r="O129" i="199"/>
  <c r="K129" i="199"/>
  <c r="H129" i="199"/>
  <c r="H128" i="199" s="1"/>
  <c r="E129" i="199"/>
  <c r="N128" i="199"/>
  <c r="M128" i="199"/>
  <c r="L128" i="199"/>
  <c r="K128" i="199"/>
  <c r="I128" i="199"/>
  <c r="G128" i="199"/>
  <c r="F128" i="199"/>
  <c r="E128" i="199"/>
  <c r="O125" i="199"/>
  <c r="J125" i="199" s="1"/>
  <c r="P125" i="199" s="1"/>
  <c r="E125" i="199"/>
  <c r="O124" i="199"/>
  <c r="J124" i="199"/>
  <c r="P124" i="199" s="1"/>
  <c r="E124" i="199"/>
  <c r="K123" i="199"/>
  <c r="O123" i="199" s="1"/>
  <c r="E123" i="199"/>
  <c r="N122" i="199"/>
  <c r="M122" i="199"/>
  <c r="L122" i="199"/>
  <c r="I122" i="199"/>
  <c r="H122" i="199"/>
  <c r="G122" i="199"/>
  <c r="F122" i="199"/>
  <c r="E122" i="199"/>
  <c r="P121" i="199"/>
  <c r="P120" i="199" s="1"/>
  <c r="O121" i="199"/>
  <c r="J121" i="199" s="1"/>
  <c r="J120" i="199" s="1"/>
  <c r="E121" i="199"/>
  <c r="O120" i="199"/>
  <c r="N120" i="199"/>
  <c r="M120" i="199"/>
  <c r="L120" i="199"/>
  <c r="K120" i="199"/>
  <c r="K117" i="199" s="1"/>
  <c r="I120" i="199"/>
  <c r="H120" i="199"/>
  <c r="G120" i="199"/>
  <c r="F120" i="199"/>
  <c r="E120" i="199"/>
  <c r="O119" i="199"/>
  <c r="J119" i="199" s="1"/>
  <c r="J118" i="199" s="1"/>
  <c r="E119" i="199"/>
  <c r="N118" i="199"/>
  <c r="M118" i="199"/>
  <c r="L118" i="199"/>
  <c r="K118" i="199"/>
  <c r="I118" i="199"/>
  <c r="H118" i="199"/>
  <c r="H117" i="199" s="1"/>
  <c r="H116" i="199" s="1"/>
  <c r="G118" i="199"/>
  <c r="F118" i="199"/>
  <c r="E118" i="199"/>
  <c r="N117" i="199"/>
  <c r="M117" i="199"/>
  <c r="L117" i="199"/>
  <c r="L116" i="199" s="1"/>
  <c r="I117" i="199"/>
  <c r="G117" i="199"/>
  <c r="G116" i="199" s="1"/>
  <c r="G97" i="199" s="1"/>
  <c r="G96" i="199" s="1"/>
  <c r="F117" i="199"/>
  <c r="E117" i="199"/>
  <c r="N116" i="199"/>
  <c r="M116" i="199"/>
  <c r="I116" i="199"/>
  <c r="F116" i="199"/>
  <c r="E116" i="199"/>
  <c r="O115" i="199"/>
  <c r="J115" i="199" s="1"/>
  <c r="J114" i="199" s="1"/>
  <c r="E115" i="199"/>
  <c r="N114" i="199"/>
  <c r="M114" i="199"/>
  <c r="L114" i="199"/>
  <c r="K114" i="199"/>
  <c r="I114" i="199"/>
  <c r="H114" i="199"/>
  <c r="G114" i="199"/>
  <c r="F114" i="199"/>
  <c r="E114" i="199"/>
  <c r="O113" i="199"/>
  <c r="F113" i="199"/>
  <c r="E113" i="199"/>
  <c r="P112" i="199"/>
  <c r="O112" i="199"/>
  <c r="J112" i="199"/>
  <c r="E112" i="199"/>
  <c r="E111" i="199" s="1"/>
  <c r="N111" i="199"/>
  <c r="M111" i="199"/>
  <c r="L111" i="199"/>
  <c r="L101" i="199" s="1"/>
  <c r="L97" i="199" s="1"/>
  <c r="L96" i="199" s="1"/>
  <c r="K111" i="199"/>
  <c r="I111" i="199"/>
  <c r="H111" i="199"/>
  <c r="G111" i="199"/>
  <c r="F111" i="199"/>
  <c r="O110" i="199"/>
  <c r="J110" i="199"/>
  <c r="E110" i="199"/>
  <c r="P110" i="199" s="1"/>
  <c r="P109" i="199" s="1"/>
  <c r="O109" i="199"/>
  <c r="N109" i="199"/>
  <c r="M109" i="199"/>
  <c r="L109" i="199"/>
  <c r="K109" i="199"/>
  <c r="J109" i="199"/>
  <c r="I109" i="199"/>
  <c r="H109" i="199"/>
  <c r="G109" i="199"/>
  <c r="F109" i="199"/>
  <c r="E109" i="199"/>
  <c r="O108" i="199"/>
  <c r="J108" i="199"/>
  <c r="E108" i="199"/>
  <c r="P108" i="199" s="1"/>
  <c r="P107" i="199" s="1"/>
  <c r="O107" i="199"/>
  <c r="N107" i="199"/>
  <c r="M107" i="199"/>
  <c r="L107" i="199"/>
  <c r="K107" i="199"/>
  <c r="J107" i="199"/>
  <c r="I107" i="199"/>
  <c r="H107" i="199"/>
  <c r="G107" i="199"/>
  <c r="F107" i="199"/>
  <c r="E107" i="199"/>
  <c r="K106" i="199"/>
  <c r="O106" i="199" s="1"/>
  <c r="J106" i="199"/>
  <c r="F106" i="199"/>
  <c r="E106" i="199" s="1"/>
  <c r="P106" i="199" s="1"/>
  <c r="O105" i="199"/>
  <c r="J105" i="199"/>
  <c r="F105" i="199"/>
  <c r="E105" i="199"/>
  <c r="O104" i="199"/>
  <c r="J104" i="199" s="1"/>
  <c r="K104" i="199"/>
  <c r="F104" i="199"/>
  <c r="E104" i="199" s="1"/>
  <c r="P104" i="199" s="1"/>
  <c r="O103" i="199"/>
  <c r="J103" i="199"/>
  <c r="F103" i="199"/>
  <c r="K102" i="199"/>
  <c r="K101" i="199" s="1"/>
  <c r="F102" i="199"/>
  <c r="E102" i="199"/>
  <c r="N101" i="199"/>
  <c r="M101" i="199"/>
  <c r="I101" i="199"/>
  <c r="H101" i="199"/>
  <c r="G101" i="199"/>
  <c r="O100" i="199"/>
  <c r="J100" i="199"/>
  <c r="E100" i="199"/>
  <c r="P100" i="199" s="1"/>
  <c r="O99" i="199"/>
  <c r="J99" i="199"/>
  <c r="H99" i="199"/>
  <c r="H98" i="199" s="1"/>
  <c r="E99" i="199"/>
  <c r="P99" i="199" s="1"/>
  <c r="P98" i="199" s="1"/>
  <c r="O98" i="199"/>
  <c r="N98" i="199"/>
  <c r="N97" i="199" s="1"/>
  <c r="N96" i="199" s="1"/>
  <c r="M98" i="199"/>
  <c r="L98" i="199"/>
  <c r="K98" i="199"/>
  <c r="J98" i="199"/>
  <c r="I98" i="199"/>
  <c r="I97" i="199" s="1"/>
  <c r="I96" i="199" s="1"/>
  <c r="G98" i="199"/>
  <c r="F98" i="199"/>
  <c r="E98" i="199"/>
  <c r="O95" i="199"/>
  <c r="J95" i="199" s="1"/>
  <c r="E95" i="199"/>
  <c r="O94" i="199"/>
  <c r="O93" i="199" s="1"/>
  <c r="N94" i="199"/>
  <c r="M94" i="199"/>
  <c r="L94" i="199"/>
  <c r="K94" i="199"/>
  <c r="K93" i="199" s="1"/>
  <c r="I94" i="199"/>
  <c r="H94" i="199"/>
  <c r="G94" i="199"/>
  <c r="G93" i="199" s="1"/>
  <c r="F94" i="199"/>
  <c r="E94" i="199"/>
  <c r="N93" i="199"/>
  <c r="M93" i="199"/>
  <c r="L93" i="199"/>
  <c r="I93" i="199"/>
  <c r="H93" i="199"/>
  <c r="F93" i="199"/>
  <c r="E93" i="199"/>
  <c r="O92" i="199"/>
  <c r="J92" i="199"/>
  <c r="P92" i="199" s="1"/>
  <c r="P91" i="199" s="1"/>
  <c r="P90" i="199" s="1"/>
  <c r="E92" i="199"/>
  <c r="O91" i="199"/>
  <c r="N91" i="199"/>
  <c r="M91" i="199"/>
  <c r="L91" i="199"/>
  <c r="K91" i="199"/>
  <c r="I91" i="199"/>
  <c r="H91" i="199"/>
  <c r="G91" i="199"/>
  <c r="F91" i="199"/>
  <c r="E91" i="199"/>
  <c r="O90" i="199"/>
  <c r="N90" i="199"/>
  <c r="M90" i="199"/>
  <c r="L90" i="199"/>
  <c r="K90" i="199"/>
  <c r="I90" i="199"/>
  <c r="H90" i="199"/>
  <c r="G90" i="199"/>
  <c r="F90" i="199"/>
  <c r="E90" i="199"/>
  <c r="O89" i="199"/>
  <c r="O88" i="199" s="1"/>
  <c r="J89" i="199"/>
  <c r="P89" i="199" s="1"/>
  <c r="P88" i="199" s="1"/>
  <c r="E89" i="199"/>
  <c r="N88" i="199"/>
  <c r="N84" i="199" s="1"/>
  <c r="M88" i="199"/>
  <c r="L88" i="199"/>
  <c r="K88" i="199"/>
  <c r="I88" i="199"/>
  <c r="H88" i="199"/>
  <c r="G88" i="199"/>
  <c r="F88" i="199"/>
  <c r="F84" i="199" s="1"/>
  <c r="E88" i="199"/>
  <c r="O87" i="199"/>
  <c r="J87" i="199" s="1"/>
  <c r="J86" i="199" s="1"/>
  <c r="J85" i="199" s="1"/>
  <c r="K87" i="199"/>
  <c r="E87" i="199"/>
  <c r="P87" i="199" s="1"/>
  <c r="P86" i="199"/>
  <c r="P85" i="199" s="1"/>
  <c r="P84" i="199" s="1"/>
  <c r="O86" i="199"/>
  <c r="N86" i="199"/>
  <c r="M86" i="199"/>
  <c r="L86" i="199"/>
  <c r="L85" i="199" s="1"/>
  <c r="L84" i="199" s="1"/>
  <c r="K86" i="199"/>
  <c r="I86" i="199"/>
  <c r="H86" i="199"/>
  <c r="H85" i="199" s="1"/>
  <c r="H84" i="199" s="1"/>
  <c r="G86" i="199"/>
  <c r="G85" i="199" s="1"/>
  <c r="G84" i="199" s="1"/>
  <c r="F86" i="199"/>
  <c r="E86" i="199"/>
  <c r="O85" i="199"/>
  <c r="O84" i="199" s="1"/>
  <c r="N85" i="199"/>
  <c r="M85" i="199"/>
  <c r="K85" i="199"/>
  <c r="K84" i="199" s="1"/>
  <c r="I85" i="199"/>
  <c r="F85" i="199"/>
  <c r="E85" i="199"/>
  <c r="M84" i="199"/>
  <c r="I84" i="199"/>
  <c r="E84" i="199"/>
  <c r="O83" i="199"/>
  <c r="J83" i="199" s="1"/>
  <c r="P83" i="199" s="1"/>
  <c r="E83" i="199"/>
  <c r="O82" i="199"/>
  <c r="J82" i="199" s="1"/>
  <c r="P82" i="199" s="1"/>
  <c r="P81" i="199" s="1"/>
  <c r="E82" i="199"/>
  <c r="N81" i="199"/>
  <c r="M81" i="199"/>
  <c r="L81" i="199"/>
  <c r="K81" i="199"/>
  <c r="I81" i="199"/>
  <c r="H81" i="199"/>
  <c r="G81" i="199"/>
  <c r="F81" i="199"/>
  <c r="E81" i="199"/>
  <c r="O80" i="199"/>
  <c r="F80" i="199"/>
  <c r="E80" i="199"/>
  <c r="P79" i="199"/>
  <c r="O79" i="199"/>
  <c r="J79" i="199"/>
  <c r="E79" i="199"/>
  <c r="N78" i="199"/>
  <c r="M78" i="199"/>
  <c r="L78" i="199"/>
  <c r="K78" i="199"/>
  <c r="I78" i="199"/>
  <c r="H78" i="199"/>
  <c r="G78" i="199"/>
  <c r="F78" i="199"/>
  <c r="E78" i="199"/>
  <c r="O77" i="199"/>
  <c r="J77" i="199"/>
  <c r="E77" i="199"/>
  <c r="P77" i="199" s="1"/>
  <c r="O76" i="199"/>
  <c r="J76" i="199"/>
  <c r="E76" i="199"/>
  <c r="P76" i="199" s="1"/>
  <c r="K74" i="199"/>
  <c r="O74" i="199" s="1"/>
  <c r="O72" i="199" s="1"/>
  <c r="J72" i="199" s="1"/>
  <c r="J74" i="199"/>
  <c r="E74" i="199"/>
  <c r="E72" i="199" s="1"/>
  <c r="K73" i="199"/>
  <c r="O73" i="199" s="1"/>
  <c r="J73" i="199"/>
  <c r="E73" i="199"/>
  <c r="P73" i="199" s="1"/>
  <c r="N72" i="199"/>
  <c r="M72" i="199"/>
  <c r="L72" i="199"/>
  <c r="K72" i="199"/>
  <c r="I72" i="199"/>
  <c r="H72" i="199"/>
  <c r="G72" i="199"/>
  <c r="F72" i="199"/>
  <c r="O71" i="199"/>
  <c r="O69" i="199" s="1"/>
  <c r="J69" i="199" s="1"/>
  <c r="J71" i="199"/>
  <c r="P71" i="199" s="1"/>
  <c r="E71" i="199"/>
  <c r="O70" i="199"/>
  <c r="J70" i="199"/>
  <c r="P70" i="199" s="1"/>
  <c r="E70" i="199"/>
  <c r="N69" i="199"/>
  <c r="M69" i="199"/>
  <c r="L69" i="199"/>
  <c r="K69" i="199"/>
  <c r="I69" i="199"/>
  <c r="H69" i="199"/>
  <c r="G69" i="199"/>
  <c r="F69" i="199"/>
  <c r="E69" i="199" s="1"/>
  <c r="O68" i="199"/>
  <c r="J68" i="199"/>
  <c r="H68" i="199"/>
  <c r="F68" i="199"/>
  <c r="E68" i="199"/>
  <c r="P67" i="199"/>
  <c r="O67" i="199"/>
  <c r="J67" i="199"/>
  <c r="E67" i="199"/>
  <c r="E65" i="199" s="1"/>
  <c r="K66" i="199"/>
  <c r="O66" i="199" s="1"/>
  <c r="J66" i="199" s="1"/>
  <c r="H66" i="199"/>
  <c r="H65" i="199" s="1"/>
  <c r="F66" i="199"/>
  <c r="E66" i="199"/>
  <c r="O65" i="199"/>
  <c r="N65" i="199"/>
  <c r="M65" i="199"/>
  <c r="L65" i="199"/>
  <c r="K65" i="199"/>
  <c r="I65" i="199"/>
  <c r="G65" i="199"/>
  <c r="F65" i="199"/>
  <c r="P64" i="199"/>
  <c r="O64" i="199"/>
  <c r="J64" i="199" s="1"/>
  <c r="F64" i="199"/>
  <c r="F62" i="199" s="1"/>
  <c r="E64" i="199"/>
  <c r="E62" i="199" s="1"/>
  <c r="K63" i="199"/>
  <c r="O63" i="199" s="1"/>
  <c r="J63" i="199" s="1"/>
  <c r="H63" i="199"/>
  <c r="H62" i="199" s="1"/>
  <c r="F63" i="199"/>
  <c r="E63" i="199"/>
  <c r="O62" i="199"/>
  <c r="N62" i="199"/>
  <c r="M62" i="199"/>
  <c r="L62" i="199"/>
  <c r="K62" i="199"/>
  <c r="I62" i="199"/>
  <c r="G62" i="199"/>
  <c r="J61" i="199"/>
  <c r="P61" i="199" s="1"/>
  <c r="E61" i="199"/>
  <c r="O60" i="199"/>
  <c r="L60" i="199"/>
  <c r="J60" i="199" s="1"/>
  <c r="J59" i="199" s="1"/>
  <c r="K60" i="199"/>
  <c r="H60" i="199"/>
  <c r="F60" i="199"/>
  <c r="E60" i="199" s="1"/>
  <c r="O59" i="199"/>
  <c r="N59" i="199"/>
  <c r="M59" i="199"/>
  <c r="L59" i="199"/>
  <c r="K59" i="199"/>
  <c r="I59" i="199"/>
  <c r="H59" i="199"/>
  <c r="G59" i="199"/>
  <c r="O58" i="199"/>
  <c r="J58" i="199" s="1"/>
  <c r="K58" i="199"/>
  <c r="H58" i="199"/>
  <c r="F58" i="199"/>
  <c r="E58" i="199"/>
  <c r="P58" i="199" s="1"/>
  <c r="O57" i="199"/>
  <c r="J57" i="199" s="1"/>
  <c r="J55" i="199" s="1"/>
  <c r="E57" i="199"/>
  <c r="O55" i="199"/>
  <c r="N55" i="199"/>
  <c r="M55" i="199"/>
  <c r="L55" i="199"/>
  <c r="K55" i="199"/>
  <c r="I55" i="199"/>
  <c r="H55" i="199"/>
  <c r="G55" i="199"/>
  <c r="F55" i="199"/>
  <c r="J54" i="199"/>
  <c r="E54" i="199"/>
  <c r="P54" i="199" s="1"/>
  <c r="O53" i="199"/>
  <c r="J53" i="199"/>
  <c r="G53" i="199"/>
  <c r="G52" i="199" s="1"/>
  <c r="G46" i="199" s="1"/>
  <c r="G45" i="199" s="1"/>
  <c r="G44" i="199" s="1"/>
  <c r="F53" i="199"/>
  <c r="E53" i="199" s="1"/>
  <c r="O52" i="199"/>
  <c r="N52" i="199"/>
  <c r="N46" i="199" s="1"/>
  <c r="M52" i="199"/>
  <c r="L52" i="199"/>
  <c r="K52" i="199"/>
  <c r="J52" i="199"/>
  <c r="I52" i="199"/>
  <c r="H52" i="199"/>
  <c r="F52" i="199"/>
  <c r="K51" i="199"/>
  <c r="O51" i="199" s="1"/>
  <c r="J51" i="199" s="1"/>
  <c r="H51" i="199"/>
  <c r="F51" i="199"/>
  <c r="E51" i="199" s="1"/>
  <c r="K50" i="199"/>
  <c r="O50" i="199" s="1"/>
  <c r="H50" i="199"/>
  <c r="F50" i="199"/>
  <c r="F48" i="199" s="1"/>
  <c r="E50" i="199"/>
  <c r="K49" i="199"/>
  <c r="O49" i="199" s="1"/>
  <c r="J49" i="199"/>
  <c r="H49" i="199"/>
  <c r="H48" i="199" s="1"/>
  <c r="H46" i="199" s="1"/>
  <c r="H45" i="199" s="1"/>
  <c r="H44" i="199" s="1"/>
  <c r="F49" i="199"/>
  <c r="E49" i="199"/>
  <c r="N48" i="199"/>
  <c r="M48" i="199"/>
  <c r="L48" i="199"/>
  <c r="K48" i="199"/>
  <c r="I48" i="199"/>
  <c r="G48" i="199"/>
  <c r="L47" i="199"/>
  <c r="K47" i="199"/>
  <c r="K46" i="199" s="1"/>
  <c r="H47" i="199"/>
  <c r="F47" i="199"/>
  <c r="E47" i="199"/>
  <c r="M46" i="199"/>
  <c r="M45" i="199" s="1"/>
  <c r="M44" i="199" s="1"/>
  <c r="L46" i="199"/>
  <c r="L45" i="199" s="1"/>
  <c r="I46" i="199"/>
  <c r="N45" i="199"/>
  <c r="N44" i="199" s="1"/>
  <c r="I45" i="199"/>
  <c r="I44" i="199" s="1"/>
  <c r="O43" i="199"/>
  <c r="J43" i="199"/>
  <c r="E43" i="199"/>
  <c r="P43" i="199" s="1"/>
  <c r="K42" i="199"/>
  <c r="O42" i="199" s="1"/>
  <c r="J42" i="199"/>
  <c r="F42" i="199"/>
  <c r="K41" i="199"/>
  <c r="K39" i="199" s="1"/>
  <c r="K38" i="199" s="1"/>
  <c r="E41" i="199"/>
  <c r="O40" i="199"/>
  <c r="J40" i="199" s="1"/>
  <c r="E40" i="199"/>
  <c r="P40" i="199" s="1"/>
  <c r="N39" i="199"/>
  <c r="M39" i="199"/>
  <c r="M38" i="199" s="1"/>
  <c r="L39" i="199"/>
  <c r="L38" i="199" s="1"/>
  <c r="L16" i="199" s="1"/>
  <c r="I39" i="199"/>
  <c r="I38" i="199" s="1"/>
  <c r="H39" i="199"/>
  <c r="H38" i="199" s="1"/>
  <c r="G39" i="199"/>
  <c r="G38" i="199" s="1"/>
  <c r="F39" i="199"/>
  <c r="N38" i="199"/>
  <c r="O37" i="199"/>
  <c r="J37" i="199" s="1"/>
  <c r="J36" i="199" s="1"/>
  <c r="E37" i="199"/>
  <c r="P37" i="199" s="1"/>
  <c r="P36" i="199" s="1"/>
  <c r="N36" i="199"/>
  <c r="M36" i="199"/>
  <c r="M32" i="199" s="1"/>
  <c r="M16" i="199" s="1"/>
  <c r="L36" i="199"/>
  <c r="L32" i="199" s="1"/>
  <c r="K36" i="199"/>
  <c r="I36" i="199"/>
  <c r="I32" i="199" s="1"/>
  <c r="H36" i="199"/>
  <c r="H32" i="199" s="1"/>
  <c r="G36" i="199"/>
  <c r="G32" i="199" s="1"/>
  <c r="F36" i="199"/>
  <c r="O35" i="199"/>
  <c r="O33" i="199" s="1"/>
  <c r="K35" i="199"/>
  <c r="E35" i="199"/>
  <c r="O34" i="199"/>
  <c r="J34" i="199"/>
  <c r="F34" i="199"/>
  <c r="F33" i="199" s="1"/>
  <c r="F32" i="199" s="1"/>
  <c r="E34" i="199"/>
  <c r="E33" i="199" s="1"/>
  <c r="N33" i="199"/>
  <c r="N32" i="199" s="1"/>
  <c r="M33" i="199"/>
  <c r="L33" i="199"/>
  <c r="K33" i="199"/>
  <c r="I33" i="199"/>
  <c r="H33" i="199"/>
  <c r="G33" i="199"/>
  <c r="K32" i="199"/>
  <c r="J31" i="199"/>
  <c r="E31" i="199"/>
  <c r="P31" i="199" s="1"/>
  <c r="O29" i="199"/>
  <c r="L29" i="199"/>
  <c r="L28" i="199" s="1"/>
  <c r="J29" i="199"/>
  <c r="E29" i="199"/>
  <c r="E28" i="199" s="1"/>
  <c r="O28" i="199"/>
  <c r="O26" i="199" s="1"/>
  <c r="O22" i="199" s="1"/>
  <c r="N28" i="199"/>
  <c r="M28" i="199"/>
  <c r="K28" i="199"/>
  <c r="J28" i="199"/>
  <c r="I28" i="199"/>
  <c r="H28" i="199"/>
  <c r="G28" i="199"/>
  <c r="F28" i="199"/>
  <c r="O27" i="199"/>
  <c r="J27" i="199"/>
  <c r="F27" i="199"/>
  <c r="E27" i="199" s="1"/>
  <c r="N26" i="199"/>
  <c r="M26" i="199"/>
  <c r="L26" i="199"/>
  <c r="K26" i="199"/>
  <c r="J26" i="199"/>
  <c r="I26" i="199"/>
  <c r="H26" i="199"/>
  <c r="G26" i="199"/>
  <c r="F26" i="199"/>
  <c r="J25" i="199"/>
  <c r="P25" i="199" s="1"/>
  <c r="E25" i="199"/>
  <c r="O24" i="199"/>
  <c r="J24" i="199"/>
  <c r="P24" i="199" s="1"/>
  <c r="P23" i="199" s="1"/>
  <c r="F24" i="199"/>
  <c r="E24" i="199" s="1"/>
  <c r="E23" i="199" s="1"/>
  <c r="O23" i="199"/>
  <c r="N23" i="199"/>
  <c r="M23" i="199"/>
  <c r="L23" i="199"/>
  <c r="K23" i="199"/>
  <c r="J23" i="199"/>
  <c r="I23" i="199"/>
  <c r="H23" i="199"/>
  <c r="G23" i="199"/>
  <c r="F23" i="199"/>
  <c r="N22" i="199"/>
  <c r="N16" i="199" s="1"/>
  <c r="M22" i="199"/>
  <c r="L22" i="199"/>
  <c r="K22" i="199"/>
  <c r="J22" i="199"/>
  <c r="I22" i="199"/>
  <c r="H22" i="199"/>
  <c r="G22" i="199"/>
  <c r="F22" i="199"/>
  <c r="O21" i="199"/>
  <c r="J21" i="199"/>
  <c r="F21" i="199"/>
  <c r="E21" i="199" s="1"/>
  <c r="P21" i="199" s="1"/>
  <c r="O20" i="199"/>
  <c r="J20" i="199" s="1"/>
  <c r="P20" i="199" s="1"/>
  <c r="F20" i="199"/>
  <c r="E20" i="199"/>
  <c r="O19" i="199"/>
  <c r="J19" i="199" s="1"/>
  <c r="P19" i="199" s="1"/>
  <c r="E19" i="199"/>
  <c r="K18" i="199"/>
  <c r="O18" i="199" s="1"/>
  <c r="H18" i="199"/>
  <c r="H17" i="199" s="1"/>
  <c r="F18" i="199"/>
  <c r="E18" i="199" s="1"/>
  <c r="E17" i="199" s="1"/>
  <c r="N17" i="199"/>
  <c r="M17" i="199"/>
  <c r="L17" i="199"/>
  <c r="K17" i="199"/>
  <c r="K16" i="199" s="1"/>
  <c r="I17" i="199"/>
  <c r="G17" i="199"/>
  <c r="G16" i="199" s="1"/>
  <c r="F17" i="199"/>
  <c r="C140" i="198"/>
  <c r="C139" i="198"/>
  <c r="C138" i="198"/>
  <c r="C137" i="198"/>
  <c r="C136" i="198"/>
  <c r="C135" i="198"/>
  <c r="C134" i="198"/>
  <c r="F133" i="198"/>
  <c r="F120" i="198" s="1"/>
  <c r="F111" i="198" s="1"/>
  <c r="F105" i="198" s="1"/>
  <c r="E133" i="198"/>
  <c r="D133" i="198"/>
  <c r="C133" i="198"/>
  <c r="C132" i="198"/>
  <c r="C131" i="198"/>
  <c r="C130" i="198"/>
  <c r="D129" i="198"/>
  <c r="C129" i="198"/>
  <c r="C128" i="198"/>
  <c r="C127" i="198"/>
  <c r="C126" i="198"/>
  <c r="D125" i="198"/>
  <c r="C125" i="198" s="1"/>
  <c r="C124" i="198"/>
  <c r="C123" i="198"/>
  <c r="C122" i="198"/>
  <c r="C121" i="198"/>
  <c r="E120" i="198"/>
  <c r="D120" i="198"/>
  <c r="C120" i="198" s="1"/>
  <c r="C119" i="198"/>
  <c r="C118" i="198"/>
  <c r="C117" i="198"/>
  <c r="C116" i="198"/>
  <c r="D115" i="198"/>
  <c r="C115" i="198"/>
  <c r="C114" i="198"/>
  <c r="C113" i="198"/>
  <c r="F112" i="198"/>
  <c r="E112" i="198"/>
  <c r="D112" i="198"/>
  <c r="C112" i="198" s="1"/>
  <c r="E111" i="198"/>
  <c r="E105" i="198" s="1"/>
  <c r="C110" i="198"/>
  <c r="C109" i="198"/>
  <c r="D108" i="198"/>
  <c r="C108" i="198" s="1"/>
  <c r="C107" i="198"/>
  <c r="D106" i="198"/>
  <c r="C106" i="198"/>
  <c r="C103" i="198"/>
  <c r="E102" i="198"/>
  <c r="C102" i="198"/>
  <c r="C101" i="198"/>
  <c r="C100" i="198"/>
  <c r="F99" i="198"/>
  <c r="E99" i="198"/>
  <c r="E98" i="198" s="1"/>
  <c r="C99" i="198"/>
  <c r="F98" i="198"/>
  <c r="C97" i="198"/>
  <c r="C96" i="198"/>
  <c r="D95" i="198"/>
  <c r="C95" i="198"/>
  <c r="F94" i="198"/>
  <c r="E94" i="198"/>
  <c r="D94" i="198"/>
  <c r="C94" i="198"/>
  <c r="F93" i="198"/>
  <c r="F104" i="198" s="1"/>
  <c r="F141" i="198" s="1"/>
  <c r="J141" i="198" s="1"/>
  <c r="D93" i="198"/>
  <c r="C92" i="198"/>
  <c r="C91" i="198"/>
  <c r="C90" i="198"/>
  <c r="E89" i="198"/>
  <c r="E88" i="198" s="1"/>
  <c r="C89" i="198"/>
  <c r="D87" i="198"/>
  <c r="C86" i="198"/>
  <c r="C85" i="198"/>
  <c r="C84" i="198"/>
  <c r="C83" i="198"/>
  <c r="F82" i="198"/>
  <c r="E82" i="198"/>
  <c r="D82" i="198"/>
  <c r="C82" i="198" s="1"/>
  <c r="C81" i="198"/>
  <c r="C80" i="198"/>
  <c r="D79" i="198"/>
  <c r="C79" i="198" s="1"/>
  <c r="C78" i="198"/>
  <c r="D77" i="198"/>
  <c r="C77" i="198"/>
  <c r="C76" i="198"/>
  <c r="C75" i="198"/>
  <c r="C74" i="198"/>
  <c r="D73" i="198"/>
  <c r="C73" i="198" s="1"/>
  <c r="C71" i="198"/>
  <c r="C70" i="198"/>
  <c r="C69" i="198"/>
  <c r="D68" i="198"/>
  <c r="C68" i="198"/>
  <c r="C67" i="198"/>
  <c r="C66" i="198"/>
  <c r="D65" i="198"/>
  <c r="D64" i="198" s="1"/>
  <c r="C65" i="198"/>
  <c r="F63" i="198"/>
  <c r="C62" i="198"/>
  <c r="C61" i="198"/>
  <c r="C60" i="198"/>
  <c r="E59" i="198"/>
  <c r="D59" i="198"/>
  <c r="C59" i="198"/>
  <c r="E58" i="198"/>
  <c r="C58" i="198"/>
  <c r="C57" i="198"/>
  <c r="C56" i="198"/>
  <c r="C55" i="198"/>
  <c r="D54" i="198"/>
  <c r="C54" i="198"/>
  <c r="C53" i="198"/>
  <c r="C52" i="198"/>
  <c r="D51" i="198"/>
  <c r="C51" i="198"/>
  <c r="C50" i="198"/>
  <c r="D49" i="198"/>
  <c r="C49" i="198"/>
  <c r="C48" i="198"/>
  <c r="C47" i="198"/>
  <c r="C46" i="198"/>
  <c r="C45" i="198"/>
  <c r="C44" i="198"/>
  <c r="C43" i="198"/>
  <c r="C42" i="198"/>
  <c r="C41" i="198"/>
  <c r="C40" i="198"/>
  <c r="C39" i="198"/>
  <c r="D38" i="198"/>
  <c r="C38" i="198" s="1"/>
  <c r="D37" i="198"/>
  <c r="C37" i="198"/>
  <c r="C36" i="198"/>
  <c r="C35" i="198"/>
  <c r="D34" i="198"/>
  <c r="C34" i="198"/>
  <c r="C33" i="198"/>
  <c r="D32" i="198"/>
  <c r="C32" i="198"/>
  <c r="C31" i="198"/>
  <c r="D30" i="198"/>
  <c r="C30" i="198"/>
  <c r="D29" i="198"/>
  <c r="C29" i="198"/>
  <c r="C28" i="198"/>
  <c r="D27" i="198"/>
  <c r="C27" i="198"/>
  <c r="C26" i="198"/>
  <c r="D25" i="198"/>
  <c r="C25" i="198" s="1"/>
  <c r="D24" i="198"/>
  <c r="C24" i="198"/>
  <c r="C23" i="198"/>
  <c r="D22" i="198"/>
  <c r="C22" i="198"/>
  <c r="C21" i="198"/>
  <c r="C20" i="198"/>
  <c r="C19" i="198"/>
  <c r="C18" i="198"/>
  <c r="D17" i="198"/>
  <c r="C17" i="198" s="1"/>
  <c r="F15" i="198"/>
  <c r="E15" i="198"/>
  <c r="G275" i="167" l="1"/>
  <c r="L244" i="199"/>
  <c r="L243" i="199" s="1"/>
  <c r="I244" i="199"/>
  <c r="I243" i="199" s="1"/>
  <c r="E105" i="200"/>
  <c r="E143" i="200" s="1"/>
  <c r="I143" i="200" s="1"/>
  <c r="C64" i="198"/>
  <c r="F16" i="199"/>
  <c r="N15" i="199"/>
  <c r="M15" i="199"/>
  <c r="P95" i="199"/>
  <c r="P94" i="199" s="1"/>
  <c r="P93" i="199" s="1"/>
  <c r="J94" i="199"/>
  <c r="J93" i="199" s="1"/>
  <c r="C87" i="198"/>
  <c r="I16" i="199"/>
  <c r="L44" i="199"/>
  <c r="L185" i="199"/>
  <c r="H16" i="199"/>
  <c r="P41" i="199"/>
  <c r="P39" i="199" s="1"/>
  <c r="P38" i="199" s="1"/>
  <c r="K45" i="199"/>
  <c r="K44" i="199" s="1"/>
  <c r="J50" i="199"/>
  <c r="O48" i="199"/>
  <c r="J62" i="199"/>
  <c r="P62" i="199" s="1"/>
  <c r="P63" i="199"/>
  <c r="J65" i="199"/>
  <c r="P66" i="199"/>
  <c r="F97" i="199"/>
  <c r="F96" i="199" s="1"/>
  <c r="J123" i="199"/>
  <c r="J122" i="199" s="1"/>
  <c r="O122" i="199"/>
  <c r="P142" i="199"/>
  <c r="P179" i="199"/>
  <c r="P178" i="199" s="1"/>
  <c r="P177" i="199" s="1"/>
  <c r="E178" i="199"/>
  <c r="E177" i="199" s="1"/>
  <c r="E176" i="199" s="1"/>
  <c r="G186" i="199"/>
  <c r="G185" i="199" s="1"/>
  <c r="N208" i="199"/>
  <c r="N207" i="199" s="1"/>
  <c r="K15" i="199"/>
  <c r="P28" i="199"/>
  <c r="P26" i="199" s="1"/>
  <c r="P22" i="199" s="1"/>
  <c r="E26" i="199"/>
  <c r="E22" i="199" s="1"/>
  <c r="L15" i="199"/>
  <c r="K116" i="199"/>
  <c r="K97" i="199" s="1"/>
  <c r="K96" i="199" s="1"/>
  <c r="C88" i="198"/>
  <c r="E87" i="198"/>
  <c r="E63" i="198" s="1"/>
  <c r="E93" i="198"/>
  <c r="C93" i="198" s="1"/>
  <c r="C98" i="198"/>
  <c r="G15" i="199"/>
  <c r="O17" i="199"/>
  <c r="J18" i="199"/>
  <c r="P51" i="199"/>
  <c r="E48" i="199"/>
  <c r="P65" i="199"/>
  <c r="P180" i="199"/>
  <c r="P176" i="199" s="1"/>
  <c r="G208" i="199"/>
  <c r="G207" i="199" s="1"/>
  <c r="D111" i="198"/>
  <c r="P34" i="199"/>
  <c r="E42" i="199"/>
  <c r="P42" i="199" s="1"/>
  <c r="F38" i="199"/>
  <c r="P50" i="199"/>
  <c r="M127" i="199"/>
  <c r="M126" i="199" s="1"/>
  <c r="P144" i="199"/>
  <c r="E142" i="199"/>
  <c r="L169" i="199"/>
  <c r="L132" i="199" s="1"/>
  <c r="L127" i="199" s="1"/>
  <c r="J170" i="199"/>
  <c r="L176" i="199"/>
  <c r="I208" i="199"/>
  <c r="I207" i="199" s="1"/>
  <c r="P213" i="199"/>
  <c r="P227" i="199"/>
  <c r="P232" i="199"/>
  <c r="P231" i="199" s="1"/>
  <c r="P230" i="199" s="1"/>
  <c r="E231" i="199"/>
  <c r="E230" i="199" s="1"/>
  <c r="O236" i="199"/>
  <c r="K235" i="199"/>
  <c r="K234" i="199" s="1"/>
  <c r="K233" i="199" s="1"/>
  <c r="K208" i="199" s="1"/>
  <c r="K207" i="199" s="1"/>
  <c r="J277" i="199"/>
  <c r="O276" i="199"/>
  <c r="O275" i="199" s="1"/>
  <c r="E287" i="199"/>
  <c r="F286" i="199"/>
  <c r="F285" i="199" s="1"/>
  <c r="F282" i="199" s="1"/>
  <c r="F270" i="199" s="1"/>
  <c r="F269" i="199" s="1"/>
  <c r="P27" i="199"/>
  <c r="P57" i="199"/>
  <c r="E59" i="199"/>
  <c r="P59" i="199" s="1"/>
  <c r="P60" i="199"/>
  <c r="J88" i="199"/>
  <c r="J129" i="199"/>
  <c r="J128" i="199" s="1"/>
  <c r="O128" i="199"/>
  <c r="N132" i="199"/>
  <c r="N127" i="199" s="1"/>
  <c r="N126" i="199" s="1"/>
  <c r="H176" i="199"/>
  <c r="H127" i="199" s="1"/>
  <c r="H126" i="199" s="1"/>
  <c r="P216" i="199"/>
  <c r="E228" i="199"/>
  <c r="P228" i="199" s="1"/>
  <c r="F226" i="199"/>
  <c r="P246" i="199"/>
  <c r="J245" i="199"/>
  <c r="N244" i="199"/>
  <c r="N243" i="199" s="1"/>
  <c r="J272" i="199"/>
  <c r="O271" i="199"/>
  <c r="K380" i="199"/>
  <c r="K373" i="199" s="1"/>
  <c r="K372" i="199" s="1"/>
  <c r="O381" i="199"/>
  <c r="E389" i="199"/>
  <c r="D16" i="198"/>
  <c r="D72" i="198"/>
  <c r="C72" i="198" s="1"/>
  <c r="J35" i="199"/>
  <c r="J33" i="199" s="1"/>
  <c r="J32" i="199" s="1"/>
  <c r="E36" i="199"/>
  <c r="E32" i="199" s="1"/>
  <c r="E39" i="199"/>
  <c r="J39" i="199"/>
  <c r="J38" i="199" s="1"/>
  <c r="O41" i="199"/>
  <c r="J41" i="199" s="1"/>
  <c r="O47" i="199"/>
  <c r="E55" i="199"/>
  <c r="P55" i="199" s="1"/>
  <c r="F59" i="199"/>
  <c r="F46" i="199" s="1"/>
  <c r="F45" i="199" s="1"/>
  <c r="F44" i="199" s="1"/>
  <c r="P69" i="199"/>
  <c r="P74" i="199"/>
  <c r="O81" i="199"/>
  <c r="J91" i="199"/>
  <c r="J90" i="199" s="1"/>
  <c r="O102" i="199"/>
  <c r="J102" i="199" s="1"/>
  <c r="O114" i="199"/>
  <c r="P115" i="199"/>
  <c r="P114" i="199" s="1"/>
  <c r="O118" i="199"/>
  <c r="O117" i="199" s="1"/>
  <c r="O116" i="199" s="1"/>
  <c r="P119" i="199"/>
  <c r="P118" i="199" s="1"/>
  <c r="P117" i="199" s="1"/>
  <c r="P116" i="199" s="1"/>
  <c r="K122" i="199"/>
  <c r="G132" i="199"/>
  <c r="G127" i="199" s="1"/>
  <c r="G126" i="199" s="1"/>
  <c r="J142" i="199"/>
  <c r="O146" i="199"/>
  <c r="E154" i="199"/>
  <c r="P155" i="199"/>
  <c r="P154" i="199" s="1"/>
  <c r="E169" i="199"/>
  <c r="J180" i="199"/>
  <c r="J176" i="199" s="1"/>
  <c r="P188" i="199"/>
  <c r="P187" i="199" s="1"/>
  <c r="K189" i="199"/>
  <c r="K186" i="199" s="1"/>
  <c r="K185" i="199" s="1"/>
  <c r="P191" i="199"/>
  <c r="E216" i="199"/>
  <c r="J237" i="199"/>
  <c r="N233" i="199"/>
  <c r="J241" i="199"/>
  <c r="J240" i="199" s="1"/>
  <c r="G244" i="199"/>
  <c r="G243" i="199" s="1"/>
  <c r="E245" i="199"/>
  <c r="O245" i="199"/>
  <c r="P248" i="199"/>
  <c r="K250" i="199"/>
  <c r="K249" i="199" s="1"/>
  <c r="K244" i="199" s="1"/>
  <c r="K243" i="199" s="1"/>
  <c r="O250" i="199"/>
  <c r="O249" i="199" s="1"/>
  <c r="O257" i="199"/>
  <c r="E271" i="199"/>
  <c r="P322" i="199"/>
  <c r="E321" i="199"/>
  <c r="E320" i="199" s="1"/>
  <c r="G354" i="199"/>
  <c r="G353" i="199" s="1"/>
  <c r="P123" i="199"/>
  <c r="P122" i="199" s="1"/>
  <c r="I127" i="199"/>
  <c r="I126" i="199" s="1"/>
  <c r="E186" i="199"/>
  <c r="P291" i="199"/>
  <c r="P288" i="199" s="1"/>
  <c r="P29" i="199"/>
  <c r="J48" i="199"/>
  <c r="P68" i="199"/>
  <c r="J81" i="199"/>
  <c r="F132" i="199"/>
  <c r="F127" i="199" s="1"/>
  <c r="F126" i="199" s="1"/>
  <c r="F186" i="199"/>
  <c r="F185" i="199" s="1"/>
  <c r="O187" i="199"/>
  <c r="J189" i="199"/>
  <c r="P201" i="199"/>
  <c r="P200" i="199" s="1"/>
  <c r="E200" i="199"/>
  <c r="E199" i="199" s="1"/>
  <c r="E198" i="199" s="1"/>
  <c r="M208" i="199"/>
  <c r="M207" i="199" s="1"/>
  <c r="E209" i="199"/>
  <c r="J250" i="199"/>
  <c r="J249" i="199" s="1"/>
  <c r="P294" i="199"/>
  <c r="E291" i="199"/>
  <c r="E288" i="199" s="1"/>
  <c r="P402" i="199"/>
  <c r="P401" i="199" s="1"/>
  <c r="E401" i="199"/>
  <c r="O36" i="199"/>
  <c r="O32" i="199" s="1"/>
  <c r="O39" i="199"/>
  <c r="O38" i="199" s="1"/>
  <c r="P49" i="199"/>
  <c r="E52" i="199"/>
  <c r="E46" i="199" s="1"/>
  <c r="E45" i="199" s="1"/>
  <c r="P53" i="199"/>
  <c r="P52" i="199" s="1"/>
  <c r="P72" i="199"/>
  <c r="J80" i="199"/>
  <c r="P80" i="199" s="1"/>
  <c r="O78" i="199"/>
  <c r="J78" i="199" s="1"/>
  <c r="P78" i="199" s="1"/>
  <c r="J84" i="199"/>
  <c r="M97" i="199"/>
  <c r="M96" i="199" s="1"/>
  <c r="H97" i="199"/>
  <c r="H96" i="199" s="1"/>
  <c r="P102" i="199"/>
  <c r="E103" i="199"/>
  <c r="P103" i="199" s="1"/>
  <c r="F101" i="199"/>
  <c r="P105" i="199"/>
  <c r="J113" i="199"/>
  <c r="O111" i="199"/>
  <c r="O101" i="199" s="1"/>
  <c r="J117" i="199"/>
  <c r="J116" i="199" s="1"/>
  <c r="O154" i="199"/>
  <c r="F169" i="199"/>
  <c r="K199" i="199"/>
  <c r="K198" i="199" s="1"/>
  <c r="P202" i="199"/>
  <c r="F209" i="199"/>
  <c r="J213" i="199"/>
  <c r="J212" i="199" s="1"/>
  <c r="J209" i="199" s="1"/>
  <c r="O212" i="199"/>
  <c r="O209" i="199" s="1"/>
  <c r="F216" i="199"/>
  <c r="P220" i="199"/>
  <c r="P219" i="199" s="1"/>
  <c r="H244" i="199"/>
  <c r="H243" i="199" s="1"/>
  <c r="M244" i="199"/>
  <c r="M243" i="199" s="1"/>
  <c r="K257" i="199"/>
  <c r="P261" i="199"/>
  <c r="P260" i="199" s="1"/>
  <c r="F257" i="199"/>
  <c r="L269" i="199"/>
  <c r="L311" i="199"/>
  <c r="L301" i="199" s="1"/>
  <c r="E350" i="199"/>
  <c r="F349" i="199"/>
  <c r="F348" i="199" s="1"/>
  <c r="J199" i="199"/>
  <c r="J198" i="199" s="1"/>
  <c r="P214" i="199"/>
  <c r="L215" i="199"/>
  <c r="L208" i="199" s="1"/>
  <c r="J226" i="199"/>
  <c r="J215" i="199" s="1"/>
  <c r="E249" i="199"/>
  <c r="P259" i="199"/>
  <c r="P258" i="199" s="1"/>
  <c r="K270" i="199"/>
  <c r="K269" i="199" s="1"/>
  <c r="P273" i="199"/>
  <c r="J288" i="199"/>
  <c r="J282" i="199" s="1"/>
  <c r="F301" i="199"/>
  <c r="F300" i="199" s="1"/>
  <c r="E302" i="199"/>
  <c r="P305" i="199"/>
  <c r="P302" i="199" s="1"/>
  <c r="N326" i="199"/>
  <c r="N325" i="199" s="1"/>
  <c r="E385" i="199"/>
  <c r="F384" i="199"/>
  <c r="F383" i="199" s="1"/>
  <c r="F382" i="199" s="1"/>
  <c r="J152" i="199"/>
  <c r="J151" i="199" s="1"/>
  <c r="O151" i="199"/>
  <c r="P168" i="199"/>
  <c r="I186" i="199"/>
  <c r="I185" i="199" s="1"/>
  <c r="M186" i="199"/>
  <c r="M185" i="199" s="1"/>
  <c r="E195" i="199"/>
  <c r="E189" i="199" s="1"/>
  <c r="P196" i="199"/>
  <c r="P195" i="199" s="1"/>
  <c r="O200" i="199"/>
  <c r="O199" i="199" s="1"/>
  <c r="O198" i="199" s="1"/>
  <c r="H215" i="199"/>
  <c r="H208" i="199" s="1"/>
  <c r="H207" i="199" s="1"/>
  <c r="O221" i="199"/>
  <c r="O215" i="199" s="1"/>
  <c r="F250" i="199"/>
  <c r="F249" i="199" s="1"/>
  <c r="F244" i="199" s="1"/>
  <c r="F243" i="199" s="1"/>
  <c r="P256" i="199"/>
  <c r="P249" i="199" s="1"/>
  <c r="E258" i="199"/>
  <c r="E257" i="199" s="1"/>
  <c r="G270" i="199"/>
  <c r="G269" i="199" s="1"/>
  <c r="P280" i="199"/>
  <c r="O288" i="199"/>
  <c r="O282" i="199" s="1"/>
  <c r="J297" i="199"/>
  <c r="J296" i="199" s="1"/>
  <c r="J295" i="199" s="1"/>
  <c r="O296" i="199"/>
  <c r="O295" i="199" s="1"/>
  <c r="G301" i="199"/>
  <c r="G300" i="199" s="1"/>
  <c r="H301" i="199"/>
  <c r="H300" i="199" s="1"/>
  <c r="O312" i="199"/>
  <c r="O311" i="199" s="1"/>
  <c r="O301" i="199" s="1"/>
  <c r="O300" i="199" s="1"/>
  <c r="J312" i="199"/>
  <c r="P317" i="199"/>
  <c r="E312" i="199"/>
  <c r="E311" i="199" s="1"/>
  <c r="P324" i="199"/>
  <c r="F326" i="199"/>
  <c r="F325" i="199" s="1"/>
  <c r="L354" i="199"/>
  <c r="E370" i="199"/>
  <c r="E369" i="199" s="1"/>
  <c r="E354" i="199" s="1"/>
  <c r="P304" i="199"/>
  <c r="P307" i="199"/>
  <c r="P306" i="199" s="1"/>
  <c r="P315" i="199"/>
  <c r="P314" i="199" s="1"/>
  <c r="P312" i="199" s="1"/>
  <c r="J321" i="199"/>
  <c r="J320" i="199" s="1"/>
  <c r="J336" i="199"/>
  <c r="P344" i="199"/>
  <c r="P343" i="199" s="1"/>
  <c r="P340" i="199" s="1"/>
  <c r="P339" i="199" s="1"/>
  <c r="E343" i="199"/>
  <c r="E340" i="199" s="1"/>
  <c r="E339" i="199" s="1"/>
  <c r="J340" i="199"/>
  <c r="J339" i="199" s="1"/>
  <c r="J356" i="199"/>
  <c r="J355" i="199" s="1"/>
  <c r="O355" i="199"/>
  <c r="J371" i="199"/>
  <c r="J370" i="199" s="1"/>
  <c r="J369" i="199" s="1"/>
  <c r="O370" i="199"/>
  <c r="O369" i="199" s="1"/>
  <c r="N392" i="199"/>
  <c r="N391" i="199" s="1"/>
  <c r="E411" i="199"/>
  <c r="P281" i="199"/>
  <c r="P284" i="199"/>
  <c r="P283" i="199" s="1"/>
  <c r="P298" i="199"/>
  <c r="J302" i="199"/>
  <c r="N301" i="199"/>
  <c r="N300" i="199" s="1"/>
  <c r="I301" i="199"/>
  <c r="I300" i="199" s="1"/>
  <c r="M301" i="199"/>
  <c r="M300" i="199" s="1"/>
  <c r="P329" i="199"/>
  <c r="P333" i="199"/>
  <c r="P332" i="199" s="1"/>
  <c r="P331" i="199" s="1"/>
  <c r="O335" i="199"/>
  <c r="O334" i="199" s="1"/>
  <c r="F340" i="199"/>
  <c r="F339" i="199" s="1"/>
  <c r="F335" i="199" s="1"/>
  <c r="F334" i="199" s="1"/>
  <c r="P352" i="199"/>
  <c r="P351" i="199" s="1"/>
  <c r="H354" i="199"/>
  <c r="H353" i="199" s="1"/>
  <c r="P362" i="199"/>
  <c r="J368" i="199"/>
  <c r="O367" i="199"/>
  <c r="O366" i="199" s="1"/>
  <c r="I373" i="199"/>
  <c r="I372" i="199" s="1"/>
  <c r="J379" i="199"/>
  <c r="M383" i="199"/>
  <c r="M382" i="199" s="1"/>
  <c r="H383" i="199"/>
  <c r="H382" i="199" s="1"/>
  <c r="O389" i="199"/>
  <c r="O386" i="199" s="1"/>
  <c r="O383" i="199" s="1"/>
  <c r="J390" i="199"/>
  <c r="J389" i="199" s="1"/>
  <c r="E400" i="199"/>
  <c r="F399" i="199"/>
  <c r="F392" i="199" s="1"/>
  <c r="F391" i="199" s="1"/>
  <c r="J408" i="199"/>
  <c r="J407" i="199" s="1"/>
  <c r="J406" i="199" s="1"/>
  <c r="O407" i="199"/>
  <c r="O406" i="199" s="1"/>
  <c r="J326" i="199"/>
  <c r="J325" i="199" s="1"/>
  <c r="E327" i="199"/>
  <c r="E326" i="199" s="1"/>
  <c r="P328" i="199"/>
  <c r="P327" i="199" s="1"/>
  <c r="P337" i="199"/>
  <c r="P336" i="199" s="1"/>
  <c r="E336" i="199"/>
  <c r="P342" i="199"/>
  <c r="P341" i="199" s="1"/>
  <c r="K354" i="199"/>
  <c r="K353" i="199" s="1"/>
  <c r="P365" i="199"/>
  <c r="P364" i="199" s="1"/>
  <c r="P360" i="199" s="1"/>
  <c r="P357" i="199" s="1"/>
  <c r="J375" i="199"/>
  <c r="J374" i="199" s="1"/>
  <c r="O374" i="199"/>
  <c r="P388" i="199"/>
  <c r="P387" i="199" s="1"/>
  <c r="E387" i="199"/>
  <c r="E386" i="199" s="1"/>
  <c r="K392" i="199"/>
  <c r="K391" i="199" s="1"/>
  <c r="J420" i="199"/>
  <c r="O343" i="199"/>
  <c r="O340" i="199" s="1"/>
  <c r="O339" i="199" s="1"/>
  <c r="P356" i="199"/>
  <c r="P355" i="199" s="1"/>
  <c r="O354" i="199"/>
  <c r="O353" i="199" s="1"/>
  <c r="F373" i="199"/>
  <c r="F372" i="199" s="1"/>
  <c r="N373" i="199"/>
  <c r="N372" i="199" s="1"/>
  <c r="P376" i="199"/>
  <c r="J386" i="199"/>
  <c r="P394" i="199"/>
  <c r="P393" i="199" s="1"/>
  <c r="G392" i="199"/>
  <c r="G391" i="199" s="1"/>
  <c r="M392" i="199"/>
  <c r="M391" i="199" s="1"/>
  <c r="P398" i="199"/>
  <c r="P397" i="199" s="1"/>
  <c r="P396" i="199" s="1"/>
  <c r="J405" i="199"/>
  <c r="O404" i="199"/>
  <c r="O403" i="199" s="1"/>
  <c r="O401" i="199"/>
  <c r="O399" i="199" s="1"/>
  <c r="O392" i="199" s="1"/>
  <c r="O391" i="199" s="1"/>
  <c r="E44" i="199" l="1"/>
  <c r="P354" i="199"/>
  <c r="E353" i="199"/>
  <c r="O382" i="199"/>
  <c r="J383" i="199"/>
  <c r="J382" i="199" s="1"/>
  <c r="P400" i="199"/>
  <c r="E399" i="199"/>
  <c r="E392" i="199" s="1"/>
  <c r="E391" i="199" s="1"/>
  <c r="P311" i="199"/>
  <c r="P371" i="199"/>
  <c r="P370" i="199" s="1"/>
  <c r="P369" i="199" s="1"/>
  <c r="J301" i="199"/>
  <c r="J300" i="199" s="1"/>
  <c r="L300" i="199"/>
  <c r="P257" i="199"/>
  <c r="O97" i="199"/>
  <c r="O96" i="199" s="1"/>
  <c r="P375" i="199"/>
  <c r="P374" i="199" s="1"/>
  <c r="J381" i="199"/>
  <c r="O380" i="199"/>
  <c r="O373" i="199" s="1"/>
  <c r="O372" i="199" s="1"/>
  <c r="P272" i="199"/>
  <c r="P271" i="199" s="1"/>
  <c r="J271" i="199"/>
  <c r="F15" i="199"/>
  <c r="Q411" i="199"/>
  <c r="J111" i="199"/>
  <c r="J101" i="199" s="1"/>
  <c r="J97" i="199" s="1"/>
  <c r="J96" i="199" s="1"/>
  <c r="P113" i="199"/>
  <c r="P111" i="199" s="1"/>
  <c r="P101" i="199" s="1"/>
  <c r="P97" i="199" s="1"/>
  <c r="O186" i="199"/>
  <c r="O244" i="199"/>
  <c r="E38" i="199"/>
  <c r="E16" i="199" s="1"/>
  <c r="D15" i="198"/>
  <c r="C15" i="198" s="1"/>
  <c r="C16" i="198"/>
  <c r="E286" i="199"/>
  <c r="E285" i="199" s="1"/>
  <c r="E282" i="199" s="1"/>
  <c r="E270" i="199" s="1"/>
  <c r="P287" i="199"/>
  <c r="P286" i="199" s="1"/>
  <c r="P285" i="199" s="1"/>
  <c r="P282" i="199" s="1"/>
  <c r="P226" i="199"/>
  <c r="L126" i="199"/>
  <c r="P33" i="199"/>
  <c r="P32" i="199" s="1"/>
  <c r="O16" i="199"/>
  <c r="E104" i="198"/>
  <c r="E141" i="198" s="1"/>
  <c r="I141" i="198" s="1"/>
  <c r="J404" i="199"/>
  <c r="J403" i="199" s="1"/>
  <c r="J399" i="199" s="1"/>
  <c r="J392" i="199" s="1"/>
  <c r="J391" i="199" s="1"/>
  <c r="P405" i="199"/>
  <c r="P404" i="199" s="1"/>
  <c r="P403" i="199" s="1"/>
  <c r="P368" i="199"/>
  <c r="P367" i="199" s="1"/>
  <c r="P366" i="199" s="1"/>
  <c r="J367" i="199"/>
  <c r="J366" i="199" s="1"/>
  <c r="J335" i="199"/>
  <c r="J334" i="199" s="1"/>
  <c r="J311" i="199"/>
  <c r="P189" i="199"/>
  <c r="P385" i="199"/>
  <c r="P384" i="199" s="1"/>
  <c r="E384" i="199"/>
  <c r="E383" i="199" s="1"/>
  <c r="E301" i="199"/>
  <c r="P408" i="199"/>
  <c r="P407" i="199" s="1"/>
  <c r="P406" i="199" s="1"/>
  <c r="P321" i="199"/>
  <c r="P320" i="199" s="1"/>
  <c r="E244" i="199"/>
  <c r="J47" i="199"/>
  <c r="O46" i="199"/>
  <c r="O45" i="199" s="1"/>
  <c r="P390" i="199"/>
  <c r="P389" i="199" s="1"/>
  <c r="P386" i="199" s="1"/>
  <c r="P215" i="199"/>
  <c r="O235" i="199"/>
  <c r="O234" i="199" s="1"/>
  <c r="O233" i="199" s="1"/>
  <c r="O208" i="199" s="1"/>
  <c r="J236" i="199"/>
  <c r="E226" i="199"/>
  <c r="E132" i="199"/>
  <c r="E127" i="199" s="1"/>
  <c r="C111" i="198"/>
  <c r="D105" i="198"/>
  <c r="C105" i="198" s="1"/>
  <c r="P35" i="199"/>
  <c r="H409" i="199"/>
  <c r="H419" i="199" s="1"/>
  <c r="H15" i="199"/>
  <c r="I409" i="199"/>
  <c r="I419" i="199" s="1"/>
  <c r="I15" i="199"/>
  <c r="P129" i="199"/>
  <c r="P128" i="199" s="1"/>
  <c r="P277" i="199"/>
  <c r="P276" i="199" s="1"/>
  <c r="P275" i="199" s="1"/>
  <c r="J276" i="199"/>
  <c r="J275" i="199" s="1"/>
  <c r="P212" i="199"/>
  <c r="P209" i="199" s="1"/>
  <c r="P170" i="199"/>
  <c r="P169" i="199" s="1"/>
  <c r="J169" i="199"/>
  <c r="J17" i="199"/>
  <c r="P18" i="199"/>
  <c r="P17" i="199" s="1"/>
  <c r="M409" i="199"/>
  <c r="M419" i="199" s="1"/>
  <c r="L353" i="199"/>
  <c r="J354" i="199"/>
  <c r="J353" i="199" s="1"/>
  <c r="P152" i="199"/>
  <c r="P151" i="199" s="1"/>
  <c r="E185" i="199"/>
  <c r="P326" i="199"/>
  <c r="E325" i="199"/>
  <c r="P379" i="199"/>
  <c r="P378" i="199" s="1"/>
  <c r="P377" i="199" s="1"/>
  <c r="Q379" i="199"/>
  <c r="J378" i="199"/>
  <c r="J377" i="199" s="1"/>
  <c r="L207" i="199"/>
  <c r="P350" i="199"/>
  <c r="P349" i="199" s="1"/>
  <c r="P348" i="199" s="1"/>
  <c r="E349" i="199"/>
  <c r="E348" i="199" s="1"/>
  <c r="E335" i="199" s="1"/>
  <c r="F215" i="199"/>
  <c r="F208" i="199" s="1"/>
  <c r="P199" i="199"/>
  <c r="P198" i="199" s="1"/>
  <c r="P297" i="199"/>
  <c r="P296" i="199" s="1"/>
  <c r="P295" i="199" s="1"/>
  <c r="E215" i="199"/>
  <c r="E208" i="199" s="1"/>
  <c r="J146" i="199"/>
  <c r="O145" i="199"/>
  <c r="O132" i="199" s="1"/>
  <c r="O127" i="199" s="1"/>
  <c r="O270" i="199"/>
  <c r="P245" i="199"/>
  <c r="E101" i="199"/>
  <c r="E97" i="199" s="1"/>
  <c r="E96" i="199" s="1"/>
  <c r="P48" i="199"/>
  <c r="G409" i="199"/>
  <c r="G419" i="199" s="1"/>
  <c r="L409" i="199"/>
  <c r="L419" i="199" s="1"/>
  <c r="K409" i="199"/>
  <c r="N409" i="199"/>
  <c r="N419" i="199" s="1"/>
  <c r="D63" i="198"/>
  <c r="F207" i="199" l="1"/>
  <c r="F409" i="199"/>
  <c r="F419" i="199" s="1"/>
  <c r="J132" i="199"/>
  <c r="O207" i="199"/>
  <c r="J208" i="199"/>
  <c r="J207" i="199" s="1"/>
  <c r="E269" i="199"/>
  <c r="P270" i="199"/>
  <c r="E207" i="199"/>
  <c r="P208" i="199"/>
  <c r="P335" i="199"/>
  <c r="E334" i="199"/>
  <c r="O126" i="199"/>
  <c r="J127" i="199"/>
  <c r="J126" i="199" s="1"/>
  <c r="E409" i="199"/>
  <c r="E15" i="199"/>
  <c r="C63" i="198"/>
  <c r="D104" i="198"/>
  <c r="E126" i="199"/>
  <c r="E300" i="199"/>
  <c r="P301" i="199"/>
  <c r="Q354" i="199"/>
  <c r="P353" i="199"/>
  <c r="E382" i="199"/>
  <c r="P383" i="199"/>
  <c r="O243" i="199"/>
  <c r="J244" i="199"/>
  <c r="J243" i="199" s="1"/>
  <c r="J380" i="199"/>
  <c r="J373" i="199" s="1"/>
  <c r="J372" i="199" s="1"/>
  <c r="P381" i="199"/>
  <c r="P380" i="199" s="1"/>
  <c r="P373" i="199" s="1"/>
  <c r="K422" i="199"/>
  <c r="K419" i="199"/>
  <c r="P236" i="199"/>
  <c r="P235" i="199" s="1"/>
  <c r="P234" i="199" s="1"/>
  <c r="P233" i="199" s="1"/>
  <c r="J235" i="199"/>
  <c r="J234" i="199" s="1"/>
  <c r="J233" i="199" s="1"/>
  <c r="O44" i="199"/>
  <c r="J45" i="199"/>
  <c r="O185" i="199"/>
  <c r="J186" i="199"/>
  <c r="Q326" i="199"/>
  <c r="P325" i="199"/>
  <c r="O269" i="199"/>
  <c r="J270" i="199"/>
  <c r="J269" i="199" s="1"/>
  <c r="E243" i="199"/>
  <c r="P244" i="199"/>
  <c r="P146" i="199"/>
  <c r="P145" i="199" s="1"/>
  <c r="P132" i="199" s="1"/>
  <c r="J145" i="199"/>
  <c r="J46" i="199"/>
  <c r="P47" i="199"/>
  <c r="P46" i="199" s="1"/>
  <c r="O409" i="199"/>
  <c r="O15" i="199"/>
  <c r="J16" i="199"/>
  <c r="Q97" i="199"/>
  <c r="P96" i="199"/>
  <c r="P399" i="199"/>
  <c r="P392" i="199" s="1"/>
  <c r="P372" i="199" l="1"/>
  <c r="Q373" i="199"/>
  <c r="O422" i="199"/>
  <c r="O419" i="199"/>
  <c r="D141" i="198"/>
  <c r="C104" i="198"/>
  <c r="J44" i="199"/>
  <c r="P45" i="199"/>
  <c r="Q335" i="199"/>
  <c r="P334" i="199"/>
  <c r="J409" i="199"/>
  <c r="J15" i="199"/>
  <c r="P127" i="199"/>
  <c r="P16" i="199"/>
  <c r="Q208" i="199"/>
  <c r="P207" i="199"/>
  <c r="Q383" i="199"/>
  <c r="P382" i="199"/>
  <c r="Q301" i="199"/>
  <c r="P300" i="199"/>
  <c r="E422" i="199"/>
  <c r="E420" i="199"/>
  <c r="F422" i="199"/>
  <c r="F420" i="199"/>
  <c r="E419" i="199"/>
  <c r="P269" i="199"/>
  <c r="Q270" i="199"/>
  <c r="P243" i="199"/>
  <c r="Q244" i="199"/>
  <c r="Q392" i="199"/>
  <c r="P391" i="199"/>
  <c r="J185" i="199"/>
  <c r="P186" i="199"/>
  <c r="Q45" i="199" l="1"/>
  <c r="P44" i="199"/>
  <c r="Q186" i="199"/>
  <c r="P185" i="199"/>
  <c r="P409" i="199"/>
  <c r="Q16" i="199"/>
  <c r="P15" i="199"/>
  <c r="J422" i="199"/>
  <c r="J419" i="199"/>
  <c r="Q127" i="199"/>
  <c r="P126" i="199"/>
  <c r="H141" i="198"/>
  <c r="C141" i="198"/>
  <c r="G142" i="198" l="1"/>
  <c r="G141" i="198"/>
  <c r="P419" i="199"/>
  <c r="Q409" i="199"/>
  <c r="P420" i="199"/>
  <c r="K312" i="165" l="1"/>
  <c r="K318" i="165"/>
  <c r="K320" i="165"/>
  <c r="N47" i="165" l="1"/>
  <c r="M47" i="165"/>
  <c r="L47" i="165"/>
  <c r="I47" i="165"/>
  <c r="H47" i="165"/>
  <c r="G47" i="165"/>
  <c r="N82" i="165"/>
  <c r="M82" i="165"/>
  <c r="L82" i="165"/>
  <c r="K82" i="165"/>
  <c r="I82" i="165"/>
  <c r="H82" i="165"/>
  <c r="G82" i="165"/>
  <c r="F82" i="165"/>
  <c r="E82" i="165"/>
  <c r="O84" i="165"/>
  <c r="J84" i="165" s="1"/>
  <c r="I89" i="167" s="1"/>
  <c r="G89" i="167" s="1"/>
  <c r="E84" i="165"/>
  <c r="O83" i="165"/>
  <c r="J83" i="165"/>
  <c r="E83" i="165"/>
  <c r="H150" i="165"/>
  <c r="H147" i="165"/>
  <c r="H61" i="165"/>
  <c r="H48" i="165"/>
  <c r="P83" i="165" l="1"/>
  <c r="I88" i="167"/>
  <c r="G88" i="167" s="1"/>
  <c r="O82" i="165"/>
  <c r="J82" i="165"/>
  <c r="P84" i="165"/>
  <c r="P82" i="165" s="1"/>
  <c r="D79" i="170" l="1"/>
  <c r="D93" i="170"/>
  <c r="K386" i="165"/>
  <c r="F386" i="165"/>
  <c r="J301" i="167"/>
  <c r="F355" i="165"/>
  <c r="F302" i="165"/>
  <c r="J171" i="167"/>
  <c r="G189" i="167"/>
  <c r="F217" i="165"/>
  <c r="G172" i="167"/>
  <c r="F196" i="165"/>
  <c r="G166" i="167"/>
  <c r="J165" i="167"/>
  <c r="G137" i="167"/>
  <c r="K148" i="165"/>
  <c r="G152" i="167"/>
  <c r="J105" i="167"/>
  <c r="G106" i="167"/>
  <c r="J102" i="167"/>
  <c r="I102" i="167"/>
  <c r="G102" i="167" s="1"/>
  <c r="F109" i="165"/>
  <c r="J136" i="167" l="1"/>
  <c r="J188" i="167"/>
  <c r="D87" i="170" l="1"/>
  <c r="D80" i="170"/>
  <c r="O44" i="165"/>
  <c r="E44" i="165"/>
  <c r="F106" i="165"/>
  <c r="F20" i="165"/>
  <c r="J59" i="167"/>
  <c r="I59" i="167"/>
  <c r="H59" i="167"/>
  <c r="G60" i="167"/>
  <c r="H47" i="167"/>
  <c r="J46" i="167"/>
  <c r="I46" i="167"/>
  <c r="H44" i="167"/>
  <c r="J45" i="167"/>
  <c r="I45" i="167"/>
  <c r="H45" i="167"/>
  <c r="J101" i="167" l="1"/>
  <c r="J44" i="165"/>
  <c r="J197" i="167"/>
  <c r="O229" i="165"/>
  <c r="E229" i="165"/>
  <c r="O228" i="165"/>
  <c r="N228" i="165"/>
  <c r="M228" i="165"/>
  <c r="L228" i="165"/>
  <c r="K228" i="165"/>
  <c r="I228" i="165"/>
  <c r="H228" i="165"/>
  <c r="G228" i="165"/>
  <c r="F228" i="165"/>
  <c r="J229" i="165" l="1"/>
  <c r="P44" i="165"/>
  <c r="H197" i="167"/>
  <c r="P229" i="165"/>
  <c r="E228" i="165"/>
  <c r="G151" i="184"/>
  <c r="G142" i="108"/>
  <c r="G140" i="197"/>
  <c r="J150" i="184"/>
  <c r="J139" i="197"/>
  <c r="I150" i="184"/>
  <c r="I139" i="197"/>
  <c r="H150" i="184"/>
  <c r="H139" i="197"/>
  <c r="G150" i="184"/>
  <c r="G141" i="108"/>
  <c r="G139" i="197"/>
  <c r="C141" i="188"/>
  <c r="D129" i="184"/>
  <c r="D120" i="108"/>
  <c r="D118" i="197"/>
  <c r="J86" i="184"/>
  <c r="I86" i="184" s="1"/>
  <c r="J228" i="165" l="1"/>
  <c r="I197" i="167"/>
  <c r="G197" i="167" s="1"/>
  <c r="P228" i="165"/>
  <c r="N28" i="107" l="1"/>
  <c r="M28" i="107"/>
  <c r="L28" i="107"/>
  <c r="K28" i="107"/>
  <c r="J28" i="107"/>
  <c r="F28" i="107"/>
  <c r="O27" i="107"/>
  <c r="N27" i="107"/>
  <c r="M27" i="107"/>
  <c r="O26" i="107"/>
  <c r="N26" i="107"/>
  <c r="M26" i="107"/>
  <c r="N25" i="107"/>
  <c r="M25" i="107"/>
  <c r="L25" i="107"/>
  <c r="K25" i="107"/>
  <c r="L24" i="107"/>
  <c r="K24" i="107"/>
  <c r="K23" i="107" s="1"/>
  <c r="K22" i="107" s="1"/>
  <c r="J25" i="107"/>
  <c r="I25" i="107"/>
  <c r="I24" i="107" s="1"/>
  <c r="I23" i="107" s="1"/>
  <c r="H25" i="107"/>
  <c r="J24" i="107"/>
  <c r="J23" i="107" s="1"/>
  <c r="J22" i="107" s="1"/>
  <c r="H24" i="107"/>
  <c r="H23" i="107" s="1"/>
  <c r="H22" i="107" s="1"/>
  <c r="G25" i="107"/>
  <c r="G24" i="107" s="1"/>
  <c r="G23" i="107" s="1"/>
  <c r="G22" i="107" s="1"/>
  <c r="Q23" i="107"/>
  <c r="L23" i="107"/>
  <c r="L22" i="107" s="1"/>
  <c r="P27" i="107"/>
  <c r="P25" i="107" s="1"/>
  <c r="Q27" i="107"/>
  <c r="P26" i="107"/>
  <c r="G26" i="107"/>
  <c r="F24" i="107"/>
  <c r="F23" i="107" s="1"/>
  <c r="F22" i="107" s="1"/>
  <c r="Q22" i="107"/>
  <c r="N21" i="107"/>
  <c r="N20" i="107" s="1"/>
  <c r="L21" i="107"/>
  <c r="K21" i="107"/>
  <c r="K20" i="107" s="1"/>
  <c r="J21" i="107"/>
  <c r="H21" i="107"/>
  <c r="H20" i="107" s="1"/>
  <c r="H28" i="107" s="1"/>
  <c r="F21" i="107"/>
  <c r="L20" i="107"/>
  <c r="J20" i="107"/>
  <c r="F20" i="107"/>
  <c r="Q25" i="107" l="1"/>
  <c r="P21" i="107"/>
  <c r="P20" i="107" s="1"/>
  <c r="P28" i="107" s="1"/>
  <c r="P24" i="107"/>
  <c r="P23" i="107" s="1"/>
  <c r="P22" i="107" s="1"/>
  <c r="O25" i="107"/>
  <c r="O24" i="107"/>
  <c r="O23" i="107" s="1"/>
  <c r="O22" i="107" s="1"/>
  <c r="M24" i="107"/>
  <c r="M23" i="107" s="1"/>
  <c r="M22" i="107" s="1"/>
  <c r="N24" i="107"/>
  <c r="N23" i="107" s="1"/>
  <c r="N22" i="107" s="1"/>
  <c r="M21" i="107"/>
  <c r="M20" i="107" s="1"/>
  <c r="O21" i="107"/>
  <c r="O20" i="107" s="1"/>
  <c r="O28" i="107" s="1"/>
  <c r="G21" i="107"/>
  <c r="G20" i="107" s="1"/>
  <c r="G28" i="107" s="1"/>
  <c r="I26" i="107"/>
  <c r="H155" i="167"/>
  <c r="J258" i="167"/>
  <c r="I258" i="167"/>
  <c r="J253" i="167"/>
  <c r="I253" i="167"/>
  <c r="L249" i="167" s="1"/>
  <c r="M249" i="167" l="1"/>
  <c r="I21" i="107"/>
  <c r="I20" i="107" s="1"/>
  <c r="I28" i="107" s="1"/>
  <c r="Q26" i="107"/>
  <c r="Q21" i="107" s="1"/>
  <c r="Q20" i="107" s="1"/>
  <c r="Q28" i="107" s="1"/>
  <c r="G248" i="167"/>
  <c r="R28" i="107" l="1"/>
  <c r="J43" i="167"/>
  <c r="I43" i="167"/>
  <c r="F361" i="165" l="1"/>
  <c r="F373" i="165"/>
  <c r="F368" i="165"/>
  <c r="J143" i="167" l="1"/>
  <c r="H156" i="167"/>
  <c r="H145" i="167"/>
  <c r="G145" i="167" s="1"/>
  <c r="H144" i="167"/>
  <c r="G156" i="167" l="1"/>
  <c r="H211" i="167" l="1"/>
  <c r="F250" i="165" l="1"/>
  <c r="I111" i="184" l="1"/>
  <c r="I109" i="184"/>
  <c r="I107" i="184"/>
  <c r="L111" i="184"/>
  <c r="L109" i="184"/>
  <c r="L107" i="184"/>
  <c r="L103" i="184"/>
  <c r="L102" i="184"/>
  <c r="I99" i="184"/>
  <c r="K103" i="184" l="1"/>
  <c r="K102" i="184"/>
  <c r="J101" i="184"/>
  <c r="I101" i="184" l="1"/>
  <c r="L101" i="184"/>
  <c r="L106" i="184"/>
  <c r="I106" i="184"/>
  <c r="F108" i="165" l="1"/>
  <c r="K64" i="165" l="1"/>
  <c r="D64" i="170"/>
  <c r="D16" i="170"/>
  <c r="D14" i="170"/>
  <c r="D107" i="188"/>
  <c r="C108" i="188"/>
  <c r="C107" i="188"/>
  <c r="J44" i="167" l="1"/>
  <c r="M42" i="167" s="1"/>
  <c r="I44" i="167"/>
  <c r="I90" i="184"/>
  <c r="K90" i="184" s="1"/>
  <c r="I89" i="184"/>
  <c r="G155" i="167"/>
  <c r="J203" i="167" l="1"/>
  <c r="H203" i="167"/>
  <c r="O242" i="165"/>
  <c r="E242" i="165"/>
  <c r="N241" i="165"/>
  <c r="M241" i="165"/>
  <c r="L241" i="165"/>
  <c r="K241" i="165"/>
  <c r="I241" i="165"/>
  <c r="H241" i="165"/>
  <c r="G241" i="165"/>
  <c r="F241" i="165"/>
  <c r="K240" i="165"/>
  <c r="G302" i="167"/>
  <c r="O357" i="165"/>
  <c r="E357" i="165"/>
  <c r="N356" i="165"/>
  <c r="M356" i="165"/>
  <c r="L356" i="165"/>
  <c r="K356" i="165"/>
  <c r="I356" i="165"/>
  <c r="H356" i="165"/>
  <c r="G356" i="165"/>
  <c r="F356" i="165"/>
  <c r="J242" i="165" l="1"/>
  <c r="P242" i="165" s="1"/>
  <c r="E78" i="170"/>
  <c r="E356" i="165"/>
  <c r="O356" i="165"/>
  <c r="J357" i="165"/>
  <c r="G51" i="167"/>
  <c r="J356" i="165" l="1"/>
  <c r="I203" i="167"/>
  <c r="G203" i="167" s="1"/>
  <c r="P357" i="165"/>
  <c r="P356" i="165" l="1"/>
  <c r="F231" i="165"/>
  <c r="F222" i="165"/>
  <c r="F221" i="165"/>
  <c r="J46" i="184"/>
  <c r="G249" i="167" l="1"/>
  <c r="G258" i="167"/>
  <c r="G257" i="167"/>
  <c r="G255" i="167"/>
  <c r="G254" i="167"/>
  <c r="G253" i="167"/>
  <c r="G236" i="167"/>
  <c r="G252" i="167"/>
  <c r="G251" i="167"/>
  <c r="G250" i="167"/>
  <c r="I66" i="184"/>
  <c r="K66" i="184" s="1"/>
  <c r="I70" i="184"/>
  <c r="K86" i="184"/>
  <c r="I63" i="184"/>
  <c r="K63" i="184" s="1"/>
  <c r="I85" i="184"/>
  <c r="K85" i="184" s="1"/>
  <c r="J84" i="184"/>
  <c r="I84" i="184" s="1"/>
  <c r="K84" i="184" s="1"/>
  <c r="I83" i="184"/>
  <c r="K83" i="184" s="1"/>
  <c r="J81" i="184"/>
  <c r="J79" i="184"/>
  <c r="J78" i="184"/>
  <c r="F281" i="165"/>
  <c r="F278" i="165"/>
  <c r="J211" i="167"/>
  <c r="I211" i="167"/>
  <c r="H223" i="167"/>
  <c r="F265" i="165"/>
  <c r="D27" i="108"/>
  <c r="G50" i="167"/>
  <c r="L30" i="165"/>
  <c r="F28" i="165"/>
  <c r="F65" i="165"/>
  <c r="O61" i="165"/>
  <c r="L61" i="165"/>
  <c r="F52" i="165"/>
  <c r="J55" i="184" l="1"/>
  <c r="I72" i="184"/>
  <c r="K70" i="184"/>
  <c r="H50" i="165" l="1"/>
  <c r="K59" i="165"/>
  <c r="I25" i="184" l="1"/>
  <c r="K25" i="184" s="1"/>
  <c r="I24" i="184"/>
  <c r="K24" i="184" s="1"/>
  <c r="I23" i="184"/>
  <c r="K23" i="184" s="1"/>
  <c r="I22" i="184"/>
  <c r="K22" i="184" s="1"/>
  <c r="J29" i="184"/>
  <c r="I29" i="184" s="1"/>
  <c r="J27" i="184"/>
  <c r="F117" i="165"/>
  <c r="O174" i="165"/>
  <c r="L174" i="165"/>
  <c r="J160" i="167"/>
  <c r="E185" i="165"/>
  <c r="H160" i="167" s="1"/>
  <c r="F144" i="165"/>
  <c r="K175" i="165"/>
  <c r="J151" i="167" l="1"/>
  <c r="M151" i="167" s="1"/>
  <c r="O185" i="165"/>
  <c r="J185" i="165" l="1"/>
  <c r="M299" i="167"/>
  <c r="I160" i="167" l="1"/>
  <c r="G160" i="167" s="1"/>
  <c r="P185" i="165"/>
  <c r="K321" i="165"/>
  <c r="F232" i="165"/>
  <c r="F218" i="165"/>
  <c r="H179" i="167"/>
  <c r="F201" i="165"/>
  <c r="H177" i="167"/>
  <c r="F200" i="165"/>
  <c r="J175" i="167"/>
  <c r="F342" i="165"/>
  <c r="H333" i="165"/>
  <c r="F276" i="165"/>
  <c r="J322" i="167" l="1"/>
  <c r="F27" i="197"/>
  <c r="Q384" i="201" s="1"/>
  <c r="K167" i="197" l="1"/>
  <c r="K395" i="165" l="1"/>
  <c r="I320" i="167"/>
  <c r="D94" i="170"/>
  <c r="O386" i="165"/>
  <c r="J305" i="167"/>
  <c r="O361" i="165"/>
  <c r="E361" i="165"/>
  <c r="N360" i="165"/>
  <c r="M360" i="165"/>
  <c r="L360" i="165"/>
  <c r="K360" i="165"/>
  <c r="I360" i="165"/>
  <c r="H360" i="165"/>
  <c r="G360" i="165"/>
  <c r="F360" i="165"/>
  <c r="E360" i="165"/>
  <c r="J314" i="167"/>
  <c r="O373" i="165"/>
  <c r="E373" i="165"/>
  <c r="N372" i="165"/>
  <c r="M372" i="165"/>
  <c r="L372" i="165"/>
  <c r="K372" i="165"/>
  <c r="I372" i="165"/>
  <c r="H372" i="165"/>
  <c r="G372" i="165"/>
  <c r="F372" i="165"/>
  <c r="N371" i="165"/>
  <c r="M371" i="165"/>
  <c r="L371" i="165"/>
  <c r="F371" i="165"/>
  <c r="J310" i="167"/>
  <c r="O368" i="165"/>
  <c r="E368" i="165"/>
  <c r="E89" i="188"/>
  <c r="G371" i="165" l="1"/>
  <c r="H371" i="165"/>
  <c r="I371" i="165"/>
  <c r="J361" i="165"/>
  <c r="H305" i="167"/>
  <c r="K371" i="165"/>
  <c r="J373" i="165"/>
  <c r="E372" i="165"/>
  <c r="J368" i="165"/>
  <c r="H310" i="167"/>
  <c r="O360" i="165"/>
  <c r="H314" i="167"/>
  <c r="O372" i="165"/>
  <c r="I314" i="167"/>
  <c r="P361" i="165"/>
  <c r="P368" i="165" l="1"/>
  <c r="J360" i="165"/>
  <c r="I305" i="167"/>
  <c r="G305" i="167" s="1"/>
  <c r="P360" i="165"/>
  <c r="O371" i="165"/>
  <c r="J372" i="165"/>
  <c r="P373" i="165"/>
  <c r="P372" i="165"/>
  <c r="E371" i="165"/>
  <c r="I310" i="167"/>
  <c r="G310" i="167" s="1"/>
  <c r="G314" i="167"/>
  <c r="J371" i="165" l="1"/>
  <c r="P371" i="165"/>
  <c r="K111" i="184" l="1"/>
  <c r="L110" i="184"/>
  <c r="K109" i="184"/>
  <c r="J108" i="184"/>
  <c r="K107" i="184"/>
  <c r="K106" i="184"/>
  <c r="J105" i="184"/>
  <c r="J104" i="184"/>
  <c r="H101" i="184"/>
  <c r="H98" i="184" s="1"/>
  <c r="K99" i="184"/>
  <c r="L108" i="184" l="1"/>
  <c r="I108" i="184"/>
  <c r="K108" i="184" s="1"/>
  <c r="L104" i="184"/>
  <c r="I104" i="184"/>
  <c r="K104" i="184" s="1"/>
  <c r="I105" i="184"/>
  <c r="K105" i="184" s="1"/>
  <c r="L105" i="184"/>
  <c r="I112" i="184"/>
  <c r="K112" i="184" s="1"/>
  <c r="L112" i="184"/>
  <c r="L100" i="184"/>
  <c r="I100" i="184"/>
  <c r="K100" i="184" s="1"/>
  <c r="I110" i="184"/>
  <c r="K110" i="184" s="1"/>
  <c r="J98" i="184"/>
  <c r="K101" i="184"/>
  <c r="I27" i="184"/>
  <c r="I98" i="184" l="1"/>
  <c r="I82" i="184"/>
  <c r="I81" i="184"/>
  <c r="K81" i="184" s="1"/>
  <c r="I80" i="184"/>
  <c r="I79" i="184"/>
  <c r="K79" i="184" s="1"/>
  <c r="I78" i="184"/>
  <c r="K78" i="184" s="1"/>
  <c r="I77" i="184"/>
  <c r="I76" i="184"/>
  <c r="I75" i="184"/>
  <c r="I74" i="184"/>
  <c r="I73" i="184"/>
  <c r="I48" i="184"/>
  <c r="L48" i="184" s="1"/>
  <c r="I47" i="184"/>
  <c r="I36" i="184"/>
  <c r="I32" i="184" s="1"/>
  <c r="K27" i="184"/>
  <c r="I26" i="184"/>
  <c r="K21" i="184"/>
  <c r="I55" i="184" l="1"/>
  <c r="I46" i="184"/>
  <c r="K47" i="184"/>
  <c r="D81" i="170" l="1"/>
  <c r="D85" i="170"/>
  <c r="D100" i="170" s="1"/>
  <c r="D20" i="170" l="1"/>
  <c r="C127" i="188"/>
  <c r="G54" i="165" l="1"/>
  <c r="F54" i="165"/>
  <c r="D116" i="188"/>
  <c r="K302" i="165" l="1"/>
  <c r="D126" i="188" l="1"/>
  <c r="D134" i="188" l="1"/>
  <c r="G99" i="167" l="1"/>
  <c r="G28" i="167" l="1"/>
  <c r="F405" i="165" l="1"/>
  <c r="H399" i="165"/>
  <c r="H390" i="165"/>
  <c r="H380" i="165"/>
  <c r="H342" i="165"/>
  <c r="H308" i="165"/>
  <c r="H276" i="165"/>
  <c r="H250" i="165"/>
  <c r="H153" i="167" l="1"/>
  <c r="H151" i="167" s="1"/>
  <c r="J182" i="167"/>
  <c r="O206" i="165"/>
  <c r="E206" i="165"/>
  <c r="M241" i="167"/>
  <c r="H303" i="165"/>
  <c r="M211" i="167"/>
  <c r="E255" i="165"/>
  <c r="O260" i="165"/>
  <c r="E260" i="165"/>
  <c r="E260" i="201" s="1"/>
  <c r="J289" i="167"/>
  <c r="N332" i="165"/>
  <c r="M332" i="165"/>
  <c r="L332" i="165"/>
  <c r="K332" i="165"/>
  <c r="I332" i="165"/>
  <c r="G332" i="165"/>
  <c r="F332" i="165"/>
  <c r="O335" i="165"/>
  <c r="E335" i="165"/>
  <c r="H200" i="165"/>
  <c r="H197" i="165"/>
  <c r="H196" i="165"/>
  <c r="G196" i="165"/>
  <c r="H195" i="165"/>
  <c r="H192" i="165"/>
  <c r="H133" i="165"/>
  <c r="H148" i="165"/>
  <c r="G148" i="165"/>
  <c r="J206" i="165" l="1"/>
  <c r="P206" i="165" s="1"/>
  <c r="J335" i="165"/>
  <c r="J260" i="165"/>
  <c r="K211" i="167"/>
  <c r="H182" i="167"/>
  <c r="P260" i="165"/>
  <c r="P260" i="201" s="1"/>
  <c r="P335" i="165"/>
  <c r="H289" i="167"/>
  <c r="G219" i="167" l="1"/>
  <c r="I289" i="167"/>
  <c r="G289" i="167" s="1"/>
  <c r="I182" i="167"/>
  <c r="G182" i="167" s="1"/>
  <c r="J100" i="167"/>
  <c r="O104" i="165"/>
  <c r="E104" i="165"/>
  <c r="N102" i="165"/>
  <c r="M102" i="165"/>
  <c r="L102" i="165"/>
  <c r="K102" i="165"/>
  <c r="I102" i="165"/>
  <c r="G102" i="165"/>
  <c r="F102" i="165"/>
  <c r="H103" i="165"/>
  <c r="J116" i="167"/>
  <c r="N126" i="165"/>
  <c r="M126" i="165"/>
  <c r="L126" i="165"/>
  <c r="I126" i="165"/>
  <c r="H126" i="165"/>
  <c r="G126" i="165"/>
  <c r="F126" i="165"/>
  <c r="O127" i="165"/>
  <c r="E127" i="165"/>
  <c r="H102" i="165" l="1"/>
  <c r="H100" i="167"/>
  <c r="J104" i="165"/>
  <c r="J127" i="165"/>
  <c r="K126" i="165"/>
  <c r="O126" i="165"/>
  <c r="I100" i="167"/>
  <c r="E126" i="165"/>
  <c r="H116" i="167"/>
  <c r="I116" i="167" l="1"/>
  <c r="G116" i="167" s="1"/>
  <c r="J126" i="165"/>
  <c r="P104" i="165"/>
  <c r="P127" i="165"/>
  <c r="G100" i="167"/>
  <c r="H226" i="165"/>
  <c r="G226" i="165"/>
  <c r="H218" i="165"/>
  <c r="H217" i="165"/>
  <c r="J58" i="167"/>
  <c r="G71" i="167"/>
  <c r="J68" i="167"/>
  <c r="M68" i="167" s="1"/>
  <c r="G69" i="167"/>
  <c r="G61" i="167"/>
  <c r="G57" i="167"/>
  <c r="J70" i="167"/>
  <c r="M70" i="167" s="1"/>
  <c r="K67" i="165"/>
  <c r="P126" i="165" l="1"/>
  <c r="M92" i="167"/>
  <c r="G92" i="167"/>
  <c r="H69" i="165"/>
  <c r="H67" i="165"/>
  <c r="H64" i="165"/>
  <c r="H59" i="165"/>
  <c r="H52" i="165"/>
  <c r="H51" i="165"/>
  <c r="G22" i="167"/>
  <c r="H26" i="167"/>
  <c r="H18" i="165"/>
  <c r="O200" i="165"/>
  <c r="F49" i="165" l="1"/>
  <c r="O147" i="165" l="1"/>
  <c r="O192" i="165"/>
  <c r="O197" i="165"/>
  <c r="O226" i="165"/>
  <c r="O59" i="165" l="1"/>
  <c r="O50" i="165"/>
  <c r="G321" i="167" l="1"/>
  <c r="O385" i="165" l="1"/>
  <c r="N385" i="165"/>
  <c r="M385" i="165"/>
  <c r="L385" i="165"/>
  <c r="K385" i="165"/>
  <c r="I385" i="165"/>
  <c r="H385" i="165"/>
  <c r="G385" i="165"/>
  <c r="F385" i="165"/>
  <c r="E386" i="165"/>
  <c r="E385" i="165" l="1"/>
  <c r="H322" i="167"/>
  <c r="J386" i="165"/>
  <c r="I322" i="167" l="1"/>
  <c r="I317" i="167" s="1"/>
  <c r="E93" i="170"/>
  <c r="J385" i="165"/>
  <c r="P386" i="165"/>
  <c r="D21" i="108"/>
  <c r="G322" i="167" l="1"/>
  <c r="P385" i="165"/>
  <c r="E92" i="170"/>
  <c r="H332" i="165"/>
  <c r="J270" i="167"/>
  <c r="O312" i="165"/>
  <c r="E312" i="165"/>
  <c r="N311" i="165"/>
  <c r="M311" i="165"/>
  <c r="L311" i="165"/>
  <c r="K311" i="165"/>
  <c r="I311" i="165"/>
  <c r="H311" i="165"/>
  <c r="G311" i="165"/>
  <c r="G300" i="167"/>
  <c r="H270" i="167" l="1"/>
  <c r="J312" i="165"/>
  <c r="P312" i="165" s="1"/>
  <c r="O311" i="165"/>
  <c r="E311" i="165"/>
  <c r="F311" i="165"/>
  <c r="P311" i="165" l="1"/>
  <c r="J311" i="165"/>
  <c r="I270" i="167"/>
  <c r="G270" i="167" s="1"/>
  <c r="K110" i="165"/>
  <c r="F110" i="165"/>
  <c r="J91" i="167" l="1"/>
  <c r="N85" i="165"/>
  <c r="M85" i="165"/>
  <c r="L85" i="165"/>
  <c r="K85" i="165"/>
  <c r="I85" i="165"/>
  <c r="H85" i="165"/>
  <c r="G85" i="165"/>
  <c r="F85" i="165"/>
  <c r="O87" i="165"/>
  <c r="E87" i="165"/>
  <c r="H91" i="167" l="1"/>
  <c r="J87" i="165"/>
  <c r="P87" i="165"/>
  <c r="I91" i="167" l="1"/>
  <c r="G91" i="167" s="1"/>
  <c r="J228" i="167"/>
  <c r="O272" i="165"/>
  <c r="J272" i="165" s="1"/>
  <c r="J271" i="165" s="1"/>
  <c r="J270" i="165" s="1"/>
  <c r="E272" i="165"/>
  <c r="H228" i="167" s="1"/>
  <c r="N271" i="165"/>
  <c r="N270" i="165" s="1"/>
  <c r="M271" i="165"/>
  <c r="M270" i="165" s="1"/>
  <c r="L271" i="165"/>
  <c r="L270" i="165" s="1"/>
  <c r="K271" i="165"/>
  <c r="K270" i="165" s="1"/>
  <c r="I271" i="165"/>
  <c r="I270" i="165" s="1"/>
  <c r="H271" i="165"/>
  <c r="H270" i="165" s="1"/>
  <c r="G271" i="165"/>
  <c r="G270" i="165" s="1"/>
  <c r="F271" i="165"/>
  <c r="F270" i="165" s="1"/>
  <c r="D33" i="108"/>
  <c r="I228" i="167" l="1"/>
  <c r="G228" i="167" s="1"/>
  <c r="P272" i="165"/>
  <c r="P271" i="165" s="1"/>
  <c r="P270" i="165" s="1"/>
  <c r="E271" i="165"/>
  <c r="E270" i="165" s="1"/>
  <c r="O271" i="165"/>
  <c r="O270" i="165" s="1"/>
  <c r="I52" i="184"/>
  <c r="H52" i="184"/>
  <c r="O268" i="165" l="1"/>
  <c r="K183" i="165" l="1"/>
  <c r="G25" i="167" l="1"/>
  <c r="M37" i="167" l="1"/>
  <c r="F35" i="165"/>
  <c r="G38" i="167" l="1"/>
  <c r="J30" i="184"/>
  <c r="J43" i="184" l="1"/>
  <c r="J95" i="167" l="1"/>
  <c r="N95" i="165"/>
  <c r="M95" i="165"/>
  <c r="L95" i="165"/>
  <c r="K95" i="165"/>
  <c r="I95" i="165"/>
  <c r="H95" i="165"/>
  <c r="G95" i="165"/>
  <c r="F95" i="165"/>
  <c r="O96" i="165"/>
  <c r="E96" i="165"/>
  <c r="N94" i="165" l="1"/>
  <c r="G94" i="165"/>
  <c r="K94" i="165"/>
  <c r="L94" i="165"/>
  <c r="F94" i="165"/>
  <c r="E95" i="165"/>
  <c r="H94" i="165"/>
  <c r="O95" i="165"/>
  <c r="I94" i="165"/>
  <c r="M94" i="165"/>
  <c r="H95" i="167"/>
  <c r="J96" i="165"/>
  <c r="E94" i="165" l="1"/>
  <c r="O94" i="165"/>
  <c r="J95" i="165"/>
  <c r="I95" i="167"/>
  <c r="G95" i="167" s="1"/>
  <c r="P96" i="165"/>
  <c r="P95" i="165" l="1"/>
  <c r="J94" i="165"/>
  <c r="N354" i="165"/>
  <c r="M354" i="165"/>
  <c r="L354" i="165"/>
  <c r="K354" i="165"/>
  <c r="I354" i="165"/>
  <c r="H354" i="165"/>
  <c r="G354" i="165"/>
  <c r="F354" i="165"/>
  <c r="O355" i="165"/>
  <c r="E355" i="165"/>
  <c r="H301" i="167" l="1"/>
  <c r="J355" i="165"/>
  <c r="L353" i="165"/>
  <c r="I353" i="165"/>
  <c r="N353" i="165"/>
  <c r="F353" i="165"/>
  <c r="K353" i="165"/>
  <c r="G353" i="165"/>
  <c r="E354" i="165"/>
  <c r="H353" i="165"/>
  <c r="M353" i="165"/>
  <c r="P94" i="165"/>
  <c r="O354" i="165"/>
  <c r="P355" i="165"/>
  <c r="D29" i="170"/>
  <c r="D26" i="170"/>
  <c r="C111" i="188"/>
  <c r="I301" i="167" l="1"/>
  <c r="G301" i="167" s="1"/>
  <c r="P354" i="165"/>
  <c r="O353" i="165"/>
  <c r="E353" i="165"/>
  <c r="J354" i="165"/>
  <c r="J87" i="184"/>
  <c r="J96" i="184"/>
  <c r="J88" i="184"/>
  <c r="J57" i="184"/>
  <c r="J52" i="184"/>
  <c r="J353" i="165" l="1"/>
  <c r="P353" i="165"/>
  <c r="H215" i="165"/>
  <c r="G215" i="165"/>
  <c r="F215" i="165"/>
  <c r="E150" i="165"/>
  <c r="H138" i="167" s="1"/>
  <c r="O150" i="165"/>
  <c r="G47" i="167"/>
  <c r="G293" i="167"/>
  <c r="F34" i="165"/>
  <c r="N34" i="165"/>
  <c r="M34" i="165"/>
  <c r="L34" i="165"/>
  <c r="K34" i="165"/>
  <c r="I34" i="165"/>
  <c r="H34" i="165"/>
  <c r="G34" i="165"/>
  <c r="O35" i="165"/>
  <c r="E35" i="165"/>
  <c r="J150" i="165" l="1"/>
  <c r="I138" i="167" s="1"/>
  <c r="G138" i="167" s="1"/>
  <c r="J35" i="165"/>
  <c r="G36" i="167"/>
  <c r="P35" i="165" l="1"/>
  <c r="P150" i="165"/>
  <c r="D34" i="188" l="1"/>
  <c r="C36" i="188"/>
  <c r="D45" i="172" l="1"/>
  <c r="G327" i="167" l="1"/>
  <c r="F410" i="165" l="1"/>
  <c r="N402" i="165"/>
  <c r="M402" i="165"/>
  <c r="L402" i="165"/>
  <c r="K402" i="165"/>
  <c r="I402" i="165"/>
  <c r="H402" i="165"/>
  <c r="G402" i="165"/>
  <c r="F402" i="165"/>
  <c r="O403" i="165"/>
  <c r="E403" i="165"/>
  <c r="G401" i="165" l="1"/>
  <c r="H401" i="165"/>
  <c r="M401" i="165"/>
  <c r="E402" i="165"/>
  <c r="I401" i="165"/>
  <c r="N401" i="165"/>
  <c r="J403" i="165"/>
  <c r="F401" i="165"/>
  <c r="K401" i="165"/>
  <c r="L401" i="165"/>
  <c r="O402" i="165"/>
  <c r="O401" i="165" l="1"/>
  <c r="J402" i="165"/>
  <c r="E401" i="165"/>
  <c r="P403" i="165"/>
  <c r="P402" i="165" l="1"/>
  <c r="J401" i="165"/>
  <c r="J148" i="167"/>
  <c r="O172" i="165"/>
  <c r="E172" i="165"/>
  <c r="J113" i="167"/>
  <c r="F118" i="165"/>
  <c r="G118" i="165"/>
  <c r="H118" i="165"/>
  <c r="I118" i="165"/>
  <c r="K118" i="165"/>
  <c r="L118" i="165"/>
  <c r="M118" i="165"/>
  <c r="N118" i="165"/>
  <c r="O119" i="165"/>
  <c r="E119" i="165"/>
  <c r="H148" i="167" l="1"/>
  <c r="E118" i="165"/>
  <c r="J172" i="165"/>
  <c r="J119" i="165"/>
  <c r="P401" i="165"/>
  <c r="H113" i="167"/>
  <c r="O118" i="165"/>
  <c r="P119" i="165" l="1"/>
  <c r="P172" i="165"/>
  <c r="J118" i="165"/>
  <c r="I113" i="167"/>
  <c r="G113" i="167" s="1"/>
  <c r="I148" i="167"/>
  <c r="G148" i="167" s="1"/>
  <c r="P118" i="165"/>
  <c r="O198" i="165" l="1"/>
  <c r="E198" i="165"/>
  <c r="H175" i="167" l="1"/>
  <c r="J198" i="165"/>
  <c r="P198" i="165" l="1"/>
  <c r="I175" i="167"/>
  <c r="G175" i="167" s="1"/>
  <c r="G284" i="167"/>
  <c r="G283" i="167"/>
  <c r="G280" i="167"/>
  <c r="N326" i="165" l="1"/>
  <c r="M326" i="165"/>
  <c r="L326" i="165"/>
  <c r="K326" i="165"/>
  <c r="I326" i="165"/>
  <c r="H326" i="165"/>
  <c r="G326" i="165"/>
  <c r="F326" i="165"/>
  <c r="O329" i="165"/>
  <c r="E329" i="165"/>
  <c r="O350" i="165"/>
  <c r="E350" i="165"/>
  <c r="J350" i="165" l="1"/>
  <c r="J329" i="165"/>
  <c r="P329" i="165" s="1"/>
  <c r="G262" i="167"/>
  <c r="P350" i="165" l="1"/>
  <c r="O36" i="165" l="1"/>
  <c r="E36" i="165"/>
  <c r="N296" i="165"/>
  <c r="M296" i="165"/>
  <c r="L296" i="165"/>
  <c r="K296" i="165"/>
  <c r="I296" i="165"/>
  <c r="H296" i="165"/>
  <c r="G296" i="165"/>
  <c r="F296" i="165"/>
  <c r="O299" i="165"/>
  <c r="E299" i="165"/>
  <c r="J114" i="167"/>
  <c r="K37" i="184"/>
  <c r="O34" i="165" l="1"/>
  <c r="E34" i="165"/>
  <c r="K37" i="167"/>
  <c r="J299" i="165"/>
  <c r="I293" i="165"/>
  <c r="N293" i="165"/>
  <c r="F293" i="165"/>
  <c r="K293" i="165"/>
  <c r="O296" i="165"/>
  <c r="M293" i="165"/>
  <c r="E296" i="165"/>
  <c r="G293" i="165"/>
  <c r="L293" i="165"/>
  <c r="H293" i="165"/>
  <c r="J36" i="165"/>
  <c r="L37" i="167" l="1"/>
  <c r="P299" i="165"/>
  <c r="P36" i="165"/>
  <c r="J34" i="165"/>
  <c r="G37" i="167"/>
  <c r="N122" i="165"/>
  <c r="M122" i="165"/>
  <c r="L122" i="165"/>
  <c r="K122" i="165"/>
  <c r="I122" i="165"/>
  <c r="H122" i="165"/>
  <c r="G122" i="165"/>
  <c r="F122" i="165"/>
  <c r="O123" i="165"/>
  <c r="E123" i="165"/>
  <c r="O122" i="165" l="1"/>
  <c r="E122" i="165"/>
  <c r="P34" i="165"/>
  <c r="J123" i="165"/>
  <c r="H114" i="167"/>
  <c r="F45" i="172"/>
  <c r="P123" i="165" l="1"/>
  <c r="J122" i="165"/>
  <c r="I114" i="167"/>
  <c r="P122" i="165" l="1"/>
  <c r="G114" i="167"/>
  <c r="K42" i="165"/>
  <c r="M222" i="167" l="1"/>
  <c r="G223" i="167"/>
  <c r="G212" i="167"/>
  <c r="N351" i="165" l="1"/>
  <c r="M351" i="165"/>
  <c r="L351" i="165"/>
  <c r="K351" i="165"/>
  <c r="I351" i="165"/>
  <c r="H351" i="165"/>
  <c r="G351" i="165"/>
  <c r="F351" i="165"/>
  <c r="I61" i="184" l="1"/>
  <c r="K61" i="184" l="1"/>
  <c r="C50" i="188" l="1"/>
  <c r="D49" i="188"/>
  <c r="C49" i="188" l="1"/>
  <c r="D38" i="188"/>
  <c r="E103" i="188"/>
  <c r="D95" i="188"/>
  <c r="E58" i="188" l="1"/>
  <c r="H42" i="184" l="1"/>
  <c r="G311" i="167"/>
  <c r="M313" i="167"/>
  <c r="O395" i="165"/>
  <c r="O393" i="165"/>
  <c r="C41" i="172"/>
  <c r="C42" i="172"/>
  <c r="O410" i="165" l="1"/>
  <c r="E410" i="165"/>
  <c r="N409" i="165"/>
  <c r="M409" i="165"/>
  <c r="L409" i="165"/>
  <c r="K409" i="165"/>
  <c r="I409" i="165"/>
  <c r="H409" i="165"/>
  <c r="G409" i="165"/>
  <c r="F409" i="165"/>
  <c r="N408" i="165"/>
  <c r="I39" i="184"/>
  <c r="F13" i="107"/>
  <c r="H13" i="107"/>
  <c r="J13" i="107"/>
  <c r="K13" i="107"/>
  <c r="L13" i="107"/>
  <c r="H408" i="165" l="1"/>
  <c r="O217" i="165"/>
  <c r="I408" i="165"/>
  <c r="F408" i="165"/>
  <c r="K408" i="165"/>
  <c r="E409" i="165"/>
  <c r="M408" i="165"/>
  <c r="G408" i="165"/>
  <c r="L408" i="165"/>
  <c r="J410" i="165"/>
  <c r="O409" i="165"/>
  <c r="E408" i="165" l="1"/>
  <c r="O408" i="165"/>
  <c r="J409" i="165"/>
  <c r="P410" i="165"/>
  <c r="P409" i="165" l="1"/>
  <c r="J408" i="165"/>
  <c r="J51" i="184"/>
  <c r="I51" i="184"/>
  <c r="H51" i="184"/>
  <c r="K53" i="184"/>
  <c r="P408" i="165" l="1"/>
  <c r="G20" i="167"/>
  <c r="O292" i="165"/>
  <c r="J243" i="167" l="1"/>
  <c r="F279" i="165"/>
  <c r="O286" i="165"/>
  <c r="E286" i="165"/>
  <c r="J221" i="167"/>
  <c r="O263" i="165"/>
  <c r="E263" i="165"/>
  <c r="N262" i="165"/>
  <c r="M262" i="165"/>
  <c r="L262" i="165"/>
  <c r="K262" i="165"/>
  <c r="I262" i="165"/>
  <c r="H262" i="165"/>
  <c r="G262" i="165"/>
  <c r="F262" i="165"/>
  <c r="E262" i="165" l="1"/>
  <c r="J286" i="165"/>
  <c r="J263" i="165"/>
  <c r="H243" i="167"/>
  <c r="H221" i="167"/>
  <c r="O262" i="165"/>
  <c r="O327" i="165"/>
  <c r="J252" i="165"/>
  <c r="J252" i="201" s="1"/>
  <c r="E252" i="165"/>
  <c r="E252" i="201" s="1"/>
  <c r="N249" i="165"/>
  <c r="N249" i="201" s="1"/>
  <c r="N248" i="201" s="1"/>
  <c r="N247" i="201" s="1"/>
  <c r="M249" i="165"/>
  <c r="M249" i="201" s="1"/>
  <c r="M248" i="201" s="1"/>
  <c r="M247" i="201" s="1"/>
  <c r="L249" i="165"/>
  <c r="L249" i="201" s="1"/>
  <c r="L248" i="201" s="1"/>
  <c r="K249" i="165"/>
  <c r="K249" i="201" s="1"/>
  <c r="K248" i="201" s="1"/>
  <c r="K247" i="201" s="1"/>
  <c r="I249" i="165"/>
  <c r="I249" i="201" s="1"/>
  <c r="I248" i="201" s="1"/>
  <c r="I247" i="201" s="1"/>
  <c r="G249" i="165"/>
  <c r="G249" i="201" s="1"/>
  <c r="G248" i="201" s="1"/>
  <c r="G247" i="201" s="1"/>
  <c r="F249" i="165"/>
  <c r="F249" i="201" s="1"/>
  <c r="K58" i="184"/>
  <c r="K59" i="184"/>
  <c r="K60" i="184"/>
  <c r="K87" i="184"/>
  <c r="K88" i="184"/>
  <c r="K96" i="184"/>
  <c r="I65" i="184"/>
  <c r="L247" i="201" l="1"/>
  <c r="J327" i="165"/>
  <c r="O326" i="165"/>
  <c r="J262" i="165"/>
  <c r="P286" i="165"/>
  <c r="P263" i="165"/>
  <c r="I243" i="167"/>
  <c r="G243" i="167" s="1"/>
  <c r="I221" i="167"/>
  <c r="G221" i="167" s="1"/>
  <c r="K57" i="184"/>
  <c r="P252" i="165"/>
  <c r="P252" i="201" s="1"/>
  <c r="K65" i="184"/>
  <c r="H41" i="184"/>
  <c r="I43" i="184"/>
  <c r="K43" i="184" s="1"/>
  <c r="I54" i="184"/>
  <c r="H54" i="184"/>
  <c r="H45" i="184"/>
  <c r="H31" i="184"/>
  <c r="H19" i="184"/>
  <c r="J326" i="165" l="1"/>
  <c r="P262" i="165"/>
  <c r="I42" i="184"/>
  <c r="J66" i="167" l="1"/>
  <c r="J19" i="184" l="1"/>
  <c r="J113" i="184" s="1"/>
  <c r="I30" i="184"/>
  <c r="K30" i="184" s="1"/>
  <c r="O64" i="165" l="1"/>
  <c r="I19" i="184"/>
  <c r="I113" i="184" s="1"/>
  <c r="E55" i="165" l="1"/>
  <c r="J55" i="165"/>
  <c r="K53" i="165"/>
  <c r="L53" i="165"/>
  <c r="M53" i="165"/>
  <c r="N53" i="165"/>
  <c r="I53" i="165"/>
  <c r="H53" i="165"/>
  <c r="G53" i="165"/>
  <c r="F53" i="165"/>
  <c r="N383" i="165"/>
  <c r="M383" i="165"/>
  <c r="L383" i="165"/>
  <c r="K383" i="165"/>
  <c r="I383" i="165"/>
  <c r="H383" i="165"/>
  <c r="G383" i="165"/>
  <c r="F383" i="165"/>
  <c r="E383" i="165"/>
  <c r="I66" i="167" l="1"/>
  <c r="H66" i="167"/>
  <c r="P55" i="165"/>
  <c r="I97" i="184" l="1"/>
  <c r="G66" i="167"/>
  <c r="O383" i="165"/>
  <c r="H97" i="184"/>
  <c r="H113" i="184" s="1"/>
  <c r="L113" i="184" s="1"/>
  <c r="I34" i="184" l="1"/>
  <c r="O107" i="165" l="1"/>
  <c r="K34" i="184"/>
  <c r="I31" i="184"/>
  <c r="H249" i="165" l="1"/>
  <c r="H249" i="201" s="1"/>
  <c r="H248" i="201" s="1"/>
  <c r="H247" i="201" s="1"/>
  <c r="J206" i="167"/>
  <c r="O246" i="165"/>
  <c r="J246" i="165" s="1"/>
  <c r="E96" i="170" s="1"/>
  <c r="E246" i="165"/>
  <c r="N245" i="165"/>
  <c r="N244" i="165" s="1"/>
  <c r="M245" i="165"/>
  <c r="M244" i="165" s="1"/>
  <c r="L245" i="165"/>
  <c r="L244" i="165" s="1"/>
  <c r="K245" i="165"/>
  <c r="K244" i="165" s="1"/>
  <c r="I245" i="165"/>
  <c r="I244" i="165" s="1"/>
  <c r="H245" i="165"/>
  <c r="H244" i="165" s="1"/>
  <c r="G245" i="165"/>
  <c r="G244" i="165" s="1"/>
  <c r="F245" i="165"/>
  <c r="F244" i="165" s="1"/>
  <c r="E245" i="165" l="1"/>
  <c r="E244" i="165" s="1"/>
  <c r="E83" i="170"/>
  <c r="H206" i="167"/>
  <c r="I206" i="167"/>
  <c r="O245" i="165"/>
  <c r="O244" i="165" s="1"/>
  <c r="J245" i="165"/>
  <c r="J244" i="165" s="1"/>
  <c r="P246" i="165"/>
  <c r="P245" i="165" s="1"/>
  <c r="P244" i="165" s="1"/>
  <c r="G206" i="167" l="1"/>
  <c r="J31" i="184"/>
  <c r="D113" i="188"/>
  <c r="D17" i="170" l="1"/>
  <c r="D25" i="170" s="1"/>
  <c r="F81" i="165" l="1"/>
  <c r="D61" i="170" l="1"/>
  <c r="D59" i="170"/>
  <c r="J202" i="167" l="1"/>
  <c r="O240" i="165"/>
  <c r="E240" i="165"/>
  <c r="N239" i="165"/>
  <c r="M239" i="165"/>
  <c r="L239" i="165"/>
  <c r="K239" i="165"/>
  <c r="I239" i="165"/>
  <c r="H239" i="165"/>
  <c r="G239" i="165"/>
  <c r="F239" i="165"/>
  <c r="J42" i="184"/>
  <c r="H202" i="167" l="1"/>
  <c r="E239" i="165"/>
  <c r="I238" i="165"/>
  <c r="K238" i="165"/>
  <c r="M238" i="165"/>
  <c r="F238" i="165"/>
  <c r="G238" i="165"/>
  <c r="J240" i="165"/>
  <c r="L238" i="165"/>
  <c r="H238" i="165"/>
  <c r="N238" i="165"/>
  <c r="O239" i="165"/>
  <c r="O352" i="165"/>
  <c r="E352" i="165"/>
  <c r="H299" i="167" l="1"/>
  <c r="K299" i="167" s="1"/>
  <c r="E238" i="165"/>
  <c r="O351" i="165"/>
  <c r="E351" i="165"/>
  <c r="P240" i="165"/>
  <c r="O238" i="165"/>
  <c r="J239" i="165"/>
  <c r="I202" i="167"/>
  <c r="G202" i="167" s="1"/>
  <c r="J352" i="165"/>
  <c r="L299" i="167" l="1"/>
  <c r="P239" i="165"/>
  <c r="J351" i="165"/>
  <c r="P352" i="165"/>
  <c r="G297" i="167"/>
  <c r="J238" i="165"/>
  <c r="P238" i="165" l="1"/>
  <c r="G299" i="167"/>
  <c r="P351" i="165"/>
  <c r="G18" i="167"/>
  <c r="D98" i="170"/>
  <c r="J94" i="167"/>
  <c r="N92" i="165"/>
  <c r="M92" i="165"/>
  <c r="L92" i="165"/>
  <c r="K92" i="165"/>
  <c r="I92" i="165"/>
  <c r="H92" i="165"/>
  <c r="G92" i="165"/>
  <c r="O93" i="165"/>
  <c r="F90" i="165"/>
  <c r="G90" i="165"/>
  <c r="H90" i="165"/>
  <c r="I90" i="165"/>
  <c r="K90" i="165"/>
  <c r="L90" i="165"/>
  <c r="M90" i="165"/>
  <c r="N90" i="165"/>
  <c r="O91" i="165"/>
  <c r="E91" i="165"/>
  <c r="K92" i="167" l="1"/>
  <c r="N89" i="165"/>
  <c r="K89" i="165"/>
  <c r="I89" i="165"/>
  <c r="H89" i="165"/>
  <c r="M89" i="165"/>
  <c r="G89" i="165"/>
  <c r="J93" i="165"/>
  <c r="L89" i="165"/>
  <c r="J91" i="165"/>
  <c r="F89" i="165"/>
  <c r="E93" i="165"/>
  <c r="E90" i="165"/>
  <c r="F92" i="165"/>
  <c r="O92" i="165"/>
  <c r="O90" i="165"/>
  <c r="L92" i="167" l="1"/>
  <c r="J90" i="165"/>
  <c r="P93" i="165"/>
  <c r="H94" i="167"/>
  <c r="J92" i="165"/>
  <c r="P91" i="165"/>
  <c r="G93" i="167"/>
  <c r="M88" i="165"/>
  <c r="G88" i="165"/>
  <c r="E89" i="165"/>
  <c r="E92" i="165"/>
  <c r="I94" i="167"/>
  <c r="I88" i="165"/>
  <c r="K88" i="165"/>
  <c r="F88" i="165"/>
  <c r="O89" i="165"/>
  <c r="L88" i="165"/>
  <c r="H88" i="165"/>
  <c r="N88" i="165"/>
  <c r="F134" i="188"/>
  <c r="C140" i="188"/>
  <c r="C139" i="188"/>
  <c r="D77" i="188"/>
  <c r="E88" i="165" l="1"/>
  <c r="G94" i="167"/>
  <c r="J89" i="165"/>
  <c r="P92" i="165"/>
  <c r="D54" i="188"/>
  <c r="D73" i="188"/>
  <c r="E134" i="188"/>
  <c r="O88" i="165"/>
  <c r="P90" i="165"/>
  <c r="D68" i="188"/>
  <c r="J88" i="165" l="1"/>
  <c r="P89" i="165"/>
  <c r="P88" i="165" l="1"/>
  <c r="D53" i="170" l="1"/>
  <c r="D55" i="170" s="1"/>
  <c r="J158" i="167" l="1"/>
  <c r="O179" i="165"/>
  <c r="E179" i="165"/>
  <c r="N177" i="165"/>
  <c r="M177" i="165"/>
  <c r="L177" i="165"/>
  <c r="K177" i="165"/>
  <c r="I177" i="165"/>
  <c r="H177" i="165"/>
  <c r="G177" i="165"/>
  <c r="F177" i="165"/>
  <c r="J179" i="165" l="1"/>
  <c r="H158" i="167"/>
  <c r="N158" i="165"/>
  <c r="M158" i="165"/>
  <c r="L158" i="165"/>
  <c r="K158" i="165"/>
  <c r="I158" i="165"/>
  <c r="H158" i="165"/>
  <c r="G158" i="165"/>
  <c r="F158" i="165"/>
  <c r="I158" i="167" l="1"/>
  <c r="G158" i="167" s="1"/>
  <c r="P179" i="165"/>
  <c r="O169" i="165"/>
  <c r="E169" i="165"/>
  <c r="O166" i="165"/>
  <c r="E166" i="165"/>
  <c r="O162" i="165"/>
  <c r="E162" i="165"/>
  <c r="O159" i="165"/>
  <c r="E159" i="165"/>
  <c r="J162" i="165" l="1"/>
  <c r="J169" i="165"/>
  <c r="J166" i="165"/>
  <c r="E158" i="165"/>
  <c r="O158" i="165"/>
  <c r="J159" i="165"/>
  <c r="J115" i="167"/>
  <c r="P162" i="165" l="1"/>
  <c r="P169" i="165"/>
  <c r="P166" i="165"/>
  <c r="P159" i="165"/>
  <c r="J158" i="165"/>
  <c r="O125" i="165"/>
  <c r="E125" i="165"/>
  <c r="N124" i="165"/>
  <c r="M124" i="165"/>
  <c r="L124" i="165"/>
  <c r="K124" i="165"/>
  <c r="I124" i="165"/>
  <c r="H124" i="165"/>
  <c r="G124" i="165"/>
  <c r="F124" i="165"/>
  <c r="F121" i="165" l="1"/>
  <c r="K121" i="165"/>
  <c r="G121" i="165"/>
  <c r="I121" i="165"/>
  <c r="N121" i="165"/>
  <c r="L121" i="165"/>
  <c r="J125" i="165"/>
  <c r="H121" i="165"/>
  <c r="M121" i="165"/>
  <c r="I115" i="167"/>
  <c r="P158" i="165"/>
  <c r="E124" i="165"/>
  <c r="H115" i="167"/>
  <c r="J124" i="165"/>
  <c r="P125" i="165"/>
  <c r="O124" i="165"/>
  <c r="J121" i="165" l="1"/>
  <c r="O121" i="165"/>
  <c r="E121" i="165"/>
  <c r="G115" i="167"/>
  <c r="P124" i="165"/>
  <c r="P121" i="165" l="1"/>
  <c r="E120" i="165"/>
  <c r="J87" i="167"/>
  <c r="O81" i="165"/>
  <c r="E81" i="165"/>
  <c r="N79" i="165"/>
  <c r="M79" i="165"/>
  <c r="L79" i="165"/>
  <c r="I79" i="165"/>
  <c r="H79" i="165"/>
  <c r="G79" i="165"/>
  <c r="F79" i="165"/>
  <c r="C133" i="188"/>
  <c r="C125" i="188"/>
  <c r="C124" i="188"/>
  <c r="C123" i="188"/>
  <c r="C122" i="188"/>
  <c r="C126" i="188"/>
  <c r="F113" i="188"/>
  <c r="E113" i="188"/>
  <c r="C117" i="188"/>
  <c r="C115" i="188"/>
  <c r="H87" i="167" l="1"/>
  <c r="J81" i="165"/>
  <c r="C135" i="188"/>
  <c r="E121" i="188"/>
  <c r="C85" i="188"/>
  <c r="C20" i="188"/>
  <c r="C19" i="188"/>
  <c r="C18" i="188"/>
  <c r="C18" i="200" s="1"/>
  <c r="P81" i="165" l="1"/>
  <c r="I87" i="167"/>
  <c r="G87" i="167" s="1"/>
  <c r="C110" i="188"/>
  <c r="C128" i="188"/>
  <c r="F121" i="188"/>
  <c r="C134" i="188"/>
  <c r="F94" i="188"/>
  <c r="E94" i="188"/>
  <c r="C104" i="188"/>
  <c r="C114" i="188"/>
  <c r="C116" i="188"/>
  <c r="C118" i="188"/>
  <c r="C119" i="188"/>
  <c r="C120" i="188"/>
  <c r="C129" i="188"/>
  <c r="C131" i="188"/>
  <c r="C132" i="188"/>
  <c r="C136" i="188"/>
  <c r="C137" i="188"/>
  <c r="C138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17" i="200" s="1"/>
  <c r="D22" i="188"/>
  <c r="C23" i="188"/>
  <c r="C22" i="188" l="1"/>
  <c r="D16" i="188"/>
  <c r="D16" i="200" s="1"/>
  <c r="D15" i="200" s="1"/>
  <c r="D37" i="188"/>
  <c r="F63" i="188"/>
  <c r="F112" i="188"/>
  <c r="F106" i="188" s="1"/>
  <c r="C95" i="188"/>
  <c r="C27" i="188"/>
  <c r="E87" i="188"/>
  <c r="C99" i="188"/>
  <c r="D64" i="188"/>
  <c r="D24" i="188"/>
  <c r="D94" i="188"/>
  <c r="C25" i="188"/>
  <c r="C103" i="188"/>
  <c r="C17" i="188"/>
  <c r="C17" i="200" s="1"/>
  <c r="C88" i="188"/>
  <c r="C51" i="188"/>
  <c r="C15" i="200" l="1"/>
  <c r="D105" i="200"/>
  <c r="C64" i="188"/>
  <c r="E63" i="188"/>
  <c r="C16" i="188"/>
  <c r="C16" i="200" s="1"/>
  <c r="D93" i="188"/>
  <c r="C94" i="188"/>
  <c r="C24" i="188"/>
  <c r="J181" i="167"/>
  <c r="N204" i="165"/>
  <c r="M204" i="165"/>
  <c r="L204" i="165"/>
  <c r="K204" i="165"/>
  <c r="I204" i="165"/>
  <c r="H204" i="165"/>
  <c r="G204" i="165"/>
  <c r="F204" i="165"/>
  <c r="O205" i="165"/>
  <c r="E205" i="165"/>
  <c r="J96" i="167"/>
  <c r="K74" i="165"/>
  <c r="O99" i="165"/>
  <c r="E99" i="165"/>
  <c r="N98" i="165"/>
  <c r="M98" i="165"/>
  <c r="L98" i="165"/>
  <c r="K98" i="165"/>
  <c r="I98" i="165"/>
  <c r="H98" i="165"/>
  <c r="G98" i="165"/>
  <c r="F98" i="165"/>
  <c r="K75" i="165"/>
  <c r="D46" i="170"/>
  <c r="D130" i="188"/>
  <c r="D143" i="200" l="1"/>
  <c r="C105" i="200"/>
  <c r="I203" i="165"/>
  <c r="N203" i="165"/>
  <c r="F203" i="165"/>
  <c r="K203" i="165"/>
  <c r="G203" i="165"/>
  <c r="L203" i="165"/>
  <c r="H203" i="165"/>
  <c r="M203" i="165"/>
  <c r="D112" i="188"/>
  <c r="D106" i="188" s="1"/>
  <c r="M97" i="165"/>
  <c r="N97" i="165"/>
  <c r="F97" i="165"/>
  <c r="H181" i="167"/>
  <c r="H96" i="167"/>
  <c r="I97" i="165"/>
  <c r="L97" i="165"/>
  <c r="E98" i="165"/>
  <c r="E204" i="165"/>
  <c r="C130" i="188"/>
  <c r="H97" i="165"/>
  <c r="G97" i="165"/>
  <c r="K97" i="165"/>
  <c r="J99" i="165"/>
  <c r="J205" i="165"/>
  <c r="O204" i="165"/>
  <c r="O98" i="165"/>
  <c r="C143" i="200" l="1"/>
  <c r="H143" i="200"/>
  <c r="E97" i="165"/>
  <c r="P99" i="165"/>
  <c r="C121" i="188"/>
  <c r="J98" i="165"/>
  <c r="E95" i="170"/>
  <c r="I96" i="167"/>
  <c r="G96" i="167" s="1"/>
  <c r="O97" i="165"/>
  <c r="J204" i="165"/>
  <c r="I181" i="167"/>
  <c r="G181" i="167" s="1"/>
  <c r="P205" i="165"/>
  <c r="G143" i="200" l="1"/>
  <c r="G144" i="200"/>
  <c r="P98" i="165"/>
  <c r="P97" i="165" s="1"/>
  <c r="P204" i="165"/>
  <c r="J97" i="165"/>
  <c r="C100" i="188" l="1"/>
  <c r="E98" i="188"/>
  <c r="E93" i="188" s="1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F93" i="188" s="1"/>
  <c r="C30" i="188"/>
  <c r="C79" i="188"/>
  <c r="E112" i="188"/>
  <c r="E106" i="188" s="1"/>
  <c r="C113" i="188"/>
  <c r="C98" i="188"/>
  <c r="C93" i="188"/>
  <c r="D15" i="188" l="1"/>
  <c r="C15" i="188" s="1"/>
  <c r="D63" i="188"/>
  <c r="C29" i="188"/>
  <c r="E105" i="188"/>
  <c r="E143" i="188" s="1"/>
  <c r="C72" i="188"/>
  <c r="C112" i="188"/>
  <c r="C106" i="188"/>
  <c r="C37" i="188"/>
  <c r="F105" i="188" l="1"/>
  <c r="F143" i="188" s="1"/>
  <c r="D105" i="188"/>
  <c r="D143" i="188" s="1"/>
  <c r="C63" i="188"/>
  <c r="C143" i="188" l="1"/>
  <c r="H143" i="188"/>
  <c r="C105" i="188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8" i="167"/>
  <c r="N149" i="165"/>
  <c r="M149" i="165"/>
  <c r="L149" i="165"/>
  <c r="I149" i="165"/>
  <c r="H149" i="165"/>
  <c r="G149" i="165"/>
  <c r="F149" i="165"/>
  <c r="J83" i="167"/>
  <c r="I83" i="167"/>
  <c r="J82" i="167"/>
  <c r="N73" i="165"/>
  <c r="M73" i="165"/>
  <c r="L73" i="165"/>
  <c r="K73" i="165"/>
  <c r="I73" i="165"/>
  <c r="H73" i="165"/>
  <c r="G73" i="165"/>
  <c r="F73" i="165"/>
  <c r="O75" i="165"/>
  <c r="E75" i="165"/>
  <c r="G143" i="188" l="1"/>
  <c r="K149" i="165"/>
  <c r="H82" i="167"/>
  <c r="J75" i="165"/>
  <c r="F406" i="165"/>
  <c r="F406" i="201" s="1"/>
  <c r="J295" i="167"/>
  <c r="J296" i="167"/>
  <c r="N346" i="165"/>
  <c r="M346" i="165"/>
  <c r="L346" i="165"/>
  <c r="K346" i="165"/>
  <c r="I346" i="165"/>
  <c r="H346" i="165"/>
  <c r="G346" i="165"/>
  <c r="F346" i="165"/>
  <c r="O347" i="165"/>
  <c r="E347" i="165"/>
  <c r="M306" i="167"/>
  <c r="G306" i="167"/>
  <c r="J292" i="167" l="1"/>
  <c r="F404" i="165"/>
  <c r="F404" i="201" s="1"/>
  <c r="F397" i="201" s="1"/>
  <c r="F396" i="201" s="1"/>
  <c r="O346" i="165"/>
  <c r="H295" i="167"/>
  <c r="J347" i="165"/>
  <c r="E346" i="165"/>
  <c r="E149" i="165"/>
  <c r="I82" i="167"/>
  <c r="G82" i="167" s="1"/>
  <c r="P75" i="165"/>
  <c r="O149" i="165"/>
  <c r="F363" i="165"/>
  <c r="N363" i="165"/>
  <c r="M363" i="165"/>
  <c r="L363" i="165"/>
  <c r="K363" i="165"/>
  <c r="I363" i="165"/>
  <c r="H363" i="165"/>
  <c r="G363" i="165"/>
  <c r="O364" i="165"/>
  <c r="E364" i="165"/>
  <c r="P149" i="165" l="1"/>
  <c r="J149" i="165"/>
  <c r="P347" i="165"/>
  <c r="G140" i="167"/>
  <c r="J364" i="165"/>
  <c r="O363" i="165"/>
  <c r="K306" i="167"/>
  <c r="E363" i="165"/>
  <c r="J346" i="165"/>
  <c r="I295" i="167"/>
  <c r="G295" i="167" l="1"/>
  <c r="P346" i="165"/>
  <c r="P364" i="165"/>
  <c r="L306" i="167"/>
  <c r="J363" i="165"/>
  <c r="P363" i="165" l="1"/>
  <c r="J56" i="167"/>
  <c r="I56" i="167"/>
  <c r="E80" i="165"/>
  <c r="E79" i="165"/>
  <c r="J81" i="167"/>
  <c r="O74" i="165"/>
  <c r="E74" i="165"/>
  <c r="J64" i="167"/>
  <c r="K49" i="165"/>
  <c r="I49" i="165"/>
  <c r="O52" i="165"/>
  <c r="E52" i="165"/>
  <c r="J55" i="167" l="1"/>
  <c r="M55" i="167" s="1"/>
  <c r="K79" i="165"/>
  <c r="J86" i="167"/>
  <c r="G49" i="165"/>
  <c r="H64" i="167"/>
  <c r="H49" i="165"/>
  <c r="O80" i="165"/>
  <c r="H86" i="167"/>
  <c r="J74" i="165"/>
  <c r="O73" i="165"/>
  <c r="E73" i="165"/>
  <c r="H81" i="167"/>
  <c r="J52" i="165"/>
  <c r="O79" i="165" l="1"/>
  <c r="P52" i="165"/>
  <c r="P74" i="165"/>
  <c r="J80" i="165"/>
  <c r="I81" i="167"/>
  <c r="G81" i="167" s="1"/>
  <c r="J73" i="165"/>
  <c r="I64" i="167"/>
  <c r="G64" i="167" s="1"/>
  <c r="P80" i="165" l="1"/>
  <c r="J79" i="165"/>
  <c r="I86" i="167"/>
  <c r="G86" i="167" s="1"/>
  <c r="P73" i="165"/>
  <c r="J282" i="167"/>
  <c r="E327" i="165"/>
  <c r="E326" i="165" l="1"/>
  <c r="P79" i="165"/>
  <c r="H325" i="165"/>
  <c r="N325" i="165"/>
  <c r="I325" i="165"/>
  <c r="G325" i="165"/>
  <c r="M325" i="165"/>
  <c r="L325" i="165"/>
  <c r="H282" i="167"/>
  <c r="F325" i="165"/>
  <c r="K325" i="165"/>
  <c r="O325" i="165" l="1"/>
  <c r="E325" i="165"/>
  <c r="I282" i="167"/>
  <c r="G282" i="167" s="1"/>
  <c r="P327" i="165"/>
  <c r="P326" i="165" l="1"/>
  <c r="J325" i="165"/>
  <c r="P325" i="165" l="1"/>
  <c r="H331" i="167"/>
  <c r="G331" i="167" s="1"/>
  <c r="J80" i="167" l="1"/>
  <c r="O72" i="165"/>
  <c r="E72" i="165"/>
  <c r="N70" i="165"/>
  <c r="M70" i="165"/>
  <c r="L70" i="165"/>
  <c r="K70" i="165"/>
  <c r="I70" i="165"/>
  <c r="H70" i="165"/>
  <c r="G70" i="165"/>
  <c r="J30" i="167"/>
  <c r="M30" i="167" s="1"/>
  <c r="J25" i="165"/>
  <c r="E25" i="165"/>
  <c r="N23" i="165"/>
  <c r="M23" i="165"/>
  <c r="L23" i="165"/>
  <c r="K23" i="165"/>
  <c r="I23" i="165"/>
  <c r="H23" i="165"/>
  <c r="G23" i="165"/>
  <c r="F23" i="165"/>
  <c r="I30" i="167" l="1"/>
  <c r="L30" i="167" s="1"/>
  <c r="H80" i="167"/>
  <c r="J72" i="165"/>
  <c r="P25" i="165"/>
  <c r="H30" i="167"/>
  <c r="P72" i="165" l="1"/>
  <c r="I80" i="167"/>
  <c r="G80" i="167" s="1"/>
  <c r="K30" i="167"/>
  <c r="G30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I45" i="184" l="1"/>
  <c r="I41" i="184"/>
  <c r="H39" i="184" l="1"/>
  <c r="H38" i="184" s="1"/>
  <c r="I38" i="184"/>
  <c r="J12" i="184"/>
  <c r="J11" i="184" s="1"/>
  <c r="J41" i="184"/>
  <c r="J39" i="184"/>
  <c r="J38" i="184" s="1"/>
  <c r="J45" i="184" l="1"/>
  <c r="J97" i="184"/>
  <c r="J54" i="184"/>
  <c r="F35" i="172"/>
  <c r="F32" i="172" s="1"/>
  <c r="E35" i="172"/>
  <c r="E32" i="172" s="1"/>
  <c r="C40" i="172"/>
  <c r="C37" i="172" s="1"/>
  <c r="C28" i="172"/>
  <c r="C27" i="172"/>
  <c r="C26" i="172" l="1"/>
  <c r="C25" i="172" s="1"/>
  <c r="C35" i="172"/>
  <c r="C32" i="172" s="1"/>
  <c r="N291" i="165"/>
  <c r="M291" i="165"/>
  <c r="L291" i="165"/>
  <c r="I291" i="165"/>
  <c r="H291" i="165"/>
  <c r="G291" i="165"/>
  <c r="C31" i="172" l="1"/>
  <c r="H290" i="165"/>
  <c r="L290" i="165"/>
  <c r="I290" i="165"/>
  <c r="M290" i="165"/>
  <c r="G290" i="165"/>
  <c r="N290" i="165"/>
  <c r="J85" i="167" l="1"/>
  <c r="O78" i="165"/>
  <c r="E78" i="165" l="1"/>
  <c r="J78" i="165"/>
  <c r="E129" i="165"/>
  <c r="O129" i="165"/>
  <c r="J129" i="165" s="1"/>
  <c r="H85" i="167" l="1"/>
  <c r="I85" i="167"/>
  <c r="K291" i="165"/>
  <c r="P78" i="165"/>
  <c r="P129" i="165"/>
  <c r="G85" i="167" l="1"/>
  <c r="K290" i="165"/>
  <c r="G313" i="167" l="1"/>
  <c r="G52" i="167" l="1"/>
  <c r="G46" i="167" l="1"/>
  <c r="G45" i="167"/>
  <c r="G44" i="167"/>
  <c r="G43" i="167"/>
  <c r="E43" i="165"/>
  <c r="K42" i="167" s="1"/>
  <c r="G312" i="167"/>
  <c r="O43" i="165" l="1"/>
  <c r="J43" i="165" l="1"/>
  <c r="L42" i="167" s="1"/>
  <c r="E91" i="170" l="1"/>
  <c r="P43" i="165"/>
  <c r="N56" i="165"/>
  <c r="M56" i="165"/>
  <c r="L56" i="165"/>
  <c r="I56" i="165"/>
  <c r="H56" i="165"/>
  <c r="G56" i="165"/>
  <c r="F56" i="165"/>
  <c r="E58" i="165"/>
  <c r="O258" i="165"/>
  <c r="E258" i="165"/>
  <c r="K56" i="165" l="1"/>
  <c r="E56" i="165"/>
  <c r="O58" i="165"/>
  <c r="H67" i="167"/>
  <c r="J258" i="165"/>
  <c r="J67" i="167"/>
  <c r="J58" i="165" l="1"/>
  <c r="O56" i="165"/>
  <c r="P258" i="165"/>
  <c r="G216" i="167"/>
  <c r="J56" i="165" l="1"/>
  <c r="P58" i="165"/>
  <c r="I67" i="167"/>
  <c r="G67" i="167" s="1"/>
  <c r="P56" i="165" l="1"/>
  <c r="J272" i="167"/>
  <c r="J269" i="167"/>
  <c r="N307" i="165" l="1"/>
  <c r="M307" i="165"/>
  <c r="L307" i="165"/>
  <c r="K307" i="165"/>
  <c r="I307" i="165"/>
  <c r="G307" i="165"/>
  <c r="O310" i="165"/>
  <c r="E310" i="165"/>
  <c r="O318" i="165"/>
  <c r="E318" i="165"/>
  <c r="J318" i="165" l="1"/>
  <c r="H269" i="167"/>
  <c r="J310" i="165"/>
  <c r="H272" i="167"/>
  <c r="N182" i="165"/>
  <c r="N182" i="201" s="1"/>
  <c r="M182" i="165"/>
  <c r="M182" i="201" s="1"/>
  <c r="L182" i="165"/>
  <c r="L182" i="201" s="1"/>
  <c r="I182" i="165"/>
  <c r="I182" i="201" s="1"/>
  <c r="H182" i="165"/>
  <c r="H182" i="201" s="1"/>
  <c r="G182" i="165"/>
  <c r="G182" i="201" s="1"/>
  <c r="F182" i="165"/>
  <c r="F182" i="201" s="1"/>
  <c r="G124" i="167"/>
  <c r="P318" i="165" l="1"/>
  <c r="K182" i="165"/>
  <c r="K182" i="201" s="1"/>
  <c r="H181" i="165"/>
  <c r="H181" i="201" s="1"/>
  <c r="M181" i="165"/>
  <c r="M181" i="201" s="1"/>
  <c r="I181" i="165"/>
  <c r="I181" i="201" s="1"/>
  <c r="N181" i="165"/>
  <c r="N181" i="201" s="1"/>
  <c r="P310" i="165"/>
  <c r="I269" i="167"/>
  <c r="F181" i="165"/>
  <c r="F181" i="201" s="1"/>
  <c r="O183" i="165"/>
  <c r="O183" i="201" s="1"/>
  <c r="J159" i="167"/>
  <c r="G181" i="165"/>
  <c r="G181" i="201" s="1"/>
  <c r="L181" i="165"/>
  <c r="L181" i="201" s="1"/>
  <c r="I272" i="167"/>
  <c r="G272" i="167" s="1"/>
  <c r="K181" i="165" l="1"/>
  <c r="K181" i="201" s="1"/>
  <c r="J183" i="165"/>
  <c r="J183" i="201" s="1"/>
  <c r="G269" i="167"/>
  <c r="O182" i="165"/>
  <c r="O182" i="201" s="1"/>
  <c r="J182" i="165" l="1"/>
  <c r="J182" i="201" s="1"/>
  <c r="I159" i="167"/>
  <c r="O181" i="165"/>
  <c r="O181" i="201" s="1"/>
  <c r="J133" i="167"/>
  <c r="O144" i="165"/>
  <c r="E144" i="165"/>
  <c r="J125" i="167"/>
  <c r="J126" i="167"/>
  <c r="N132" i="165"/>
  <c r="M132" i="165"/>
  <c r="L132" i="165"/>
  <c r="I132" i="165"/>
  <c r="G132" i="165"/>
  <c r="J135" i="165"/>
  <c r="E135" i="165"/>
  <c r="J181" i="165" l="1"/>
  <c r="J181" i="201" s="1"/>
  <c r="I126" i="167"/>
  <c r="H133" i="167"/>
  <c r="J144" i="165"/>
  <c r="K132" i="165"/>
  <c r="P135" i="165"/>
  <c r="H126" i="167"/>
  <c r="I133" i="167" l="1"/>
  <c r="G133" i="167" s="1"/>
  <c r="G126" i="167"/>
  <c r="P144" i="165"/>
  <c r="F304" i="165"/>
  <c r="G304" i="165"/>
  <c r="H304" i="165"/>
  <c r="O266" i="165"/>
  <c r="E266" i="165"/>
  <c r="F291" i="165" l="1"/>
  <c r="O291" i="165"/>
  <c r="J266" i="165"/>
  <c r="P266" i="165" l="1"/>
  <c r="F290" i="165"/>
  <c r="O290" i="165"/>
  <c r="G224" i="167"/>
  <c r="F132" i="165" l="1"/>
  <c r="J183" i="167" l="1"/>
  <c r="O207" i="165" l="1"/>
  <c r="O203" i="165" s="1"/>
  <c r="E207" i="165"/>
  <c r="L202" i="165"/>
  <c r="G170" i="167"/>
  <c r="E202" i="165" l="1"/>
  <c r="M202" i="165"/>
  <c r="K202" i="165"/>
  <c r="I202" i="165"/>
  <c r="N202" i="165"/>
  <c r="F202" i="165"/>
  <c r="H183" i="167"/>
  <c r="G202" i="165"/>
  <c r="H202" i="165"/>
  <c r="J207" i="165"/>
  <c r="J203" i="165" s="1"/>
  <c r="O202" i="165" l="1"/>
  <c r="I183" i="167"/>
  <c r="G183" i="167" s="1"/>
  <c r="P207" i="165"/>
  <c r="P203" i="165" s="1"/>
  <c r="J202" i="165" l="1"/>
  <c r="P202" i="165" l="1"/>
  <c r="G325" i="167"/>
  <c r="D36" i="108"/>
  <c r="H141" i="108" s="1"/>
  <c r="F307" i="165" l="1"/>
  <c r="J35" i="167"/>
  <c r="J32" i="165" l="1"/>
  <c r="J30" i="165"/>
  <c r="O29" i="165"/>
  <c r="L29" i="165"/>
  <c r="F29" i="165"/>
  <c r="N29" i="165"/>
  <c r="M29" i="165"/>
  <c r="K29" i="165"/>
  <c r="I29" i="165"/>
  <c r="H29" i="165"/>
  <c r="G29" i="165"/>
  <c r="E32" i="165"/>
  <c r="I35" i="167" l="1"/>
  <c r="H35" i="167"/>
  <c r="J29" i="165"/>
  <c r="P32" i="165"/>
  <c r="J290" i="167"/>
  <c r="J286" i="167" s="1"/>
  <c r="G35" i="167" l="1"/>
  <c r="O338" i="165"/>
  <c r="E338" i="165"/>
  <c r="N337" i="165"/>
  <c r="M337" i="165"/>
  <c r="L337" i="165"/>
  <c r="K337" i="165"/>
  <c r="I337" i="165"/>
  <c r="H337" i="165"/>
  <c r="G337" i="165"/>
  <c r="F337" i="165"/>
  <c r="L336" i="165" l="1"/>
  <c r="N336" i="165"/>
  <c r="H336" i="165"/>
  <c r="M336" i="165"/>
  <c r="F336" i="165"/>
  <c r="K336" i="165"/>
  <c r="J338" i="165"/>
  <c r="G336" i="165"/>
  <c r="I336" i="165"/>
  <c r="E337" i="165"/>
  <c r="H290" i="167"/>
  <c r="O337" i="165"/>
  <c r="J337" i="165" l="1"/>
  <c r="P338" i="165"/>
  <c r="E336" i="165"/>
  <c r="O336" i="165"/>
  <c r="I290" i="167"/>
  <c r="G290" i="167" l="1"/>
  <c r="I286" i="167"/>
  <c r="J336" i="165"/>
  <c r="P337" i="165"/>
  <c r="P336" i="165" l="1"/>
  <c r="J315" i="167" l="1"/>
  <c r="J304" i="167" s="1"/>
  <c r="O376" i="165" l="1"/>
  <c r="E376" i="165"/>
  <c r="E84" i="170" s="1"/>
  <c r="N375" i="165"/>
  <c r="M375" i="165"/>
  <c r="L375" i="165"/>
  <c r="K375" i="165"/>
  <c r="I375" i="165"/>
  <c r="H375" i="165"/>
  <c r="G375" i="165"/>
  <c r="F375" i="165"/>
  <c r="M374" i="165" l="1"/>
  <c r="N374" i="165"/>
  <c r="H374" i="165"/>
  <c r="I374" i="165"/>
  <c r="F374" i="165"/>
  <c r="K374" i="165"/>
  <c r="H315" i="167"/>
  <c r="H304" i="167" s="1"/>
  <c r="G374" i="165"/>
  <c r="L374" i="165"/>
  <c r="J376" i="165"/>
  <c r="O375" i="165"/>
  <c r="E375" i="165"/>
  <c r="E97" i="170" l="1"/>
  <c r="E374" i="165"/>
  <c r="J375" i="165"/>
  <c r="I315" i="167"/>
  <c r="I304" i="167" s="1"/>
  <c r="P376" i="165"/>
  <c r="O374" i="165"/>
  <c r="G315" i="167" l="1"/>
  <c r="P375" i="165"/>
  <c r="J374" i="165"/>
  <c r="P374" i="165" l="1"/>
  <c r="J142" i="167" l="1"/>
  <c r="N152" i="165"/>
  <c r="M152" i="165"/>
  <c r="L152" i="165"/>
  <c r="K152" i="165"/>
  <c r="I152" i="165"/>
  <c r="H152" i="165"/>
  <c r="G152" i="165"/>
  <c r="F152" i="165"/>
  <c r="J134" i="167"/>
  <c r="J132" i="167"/>
  <c r="E152" i="165" l="1"/>
  <c r="O152" i="165"/>
  <c r="J152" i="165" l="1"/>
  <c r="F17" i="165" l="1"/>
  <c r="F17" i="201" s="1"/>
  <c r="F16" i="201" s="1"/>
  <c r="P152" i="165"/>
  <c r="G242" i="167"/>
  <c r="F15" i="201" l="1"/>
  <c r="P16" i="107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412" i="165"/>
  <c r="M412" i="165"/>
  <c r="L412" i="165"/>
  <c r="K412" i="165"/>
  <c r="I412" i="165"/>
  <c r="H412" i="165"/>
  <c r="G412" i="165"/>
  <c r="F412" i="165"/>
  <c r="N406" i="165"/>
  <c r="M406" i="165"/>
  <c r="L406" i="165"/>
  <c r="K406" i="165"/>
  <c r="I406" i="165"/>
  <c r="H406" i="165"/>
  <c r="G406" i="165"/>
  <c r="O405" i="165"/>
  <c r="N398" i="165"/>
  <c r="M398" i="165"/>
  <c r="L398" i="165"/>
  <c r="K398" i="165"/>
  <c r="I398" i="165"/>
  <c r="G398" i="165"/>
  <c r="O392" i="165"/>
  <c r="N392" i="165"/>
  <c r="M392" i="165"/>
  <c r="L392" i="165"/>
  <c r="K392" i="165"/>
  <c r="I392" i="165"/>
  <c r="H392" i="165"/>
  <c r="G392" i="165"/>
  <c r="F392" i="165"/>
  <c r="N394" i="165"/>
  <c r="M394" i="165"/>
  <c r="L394" i="165"/>
  <c r="K394" i="165"/>
  <c r="I394" i="165"/>
  <c r="H394" i="165"/>
  <c r="G394" i="165"/>
  <c r="F394" i="165"/>
  <c r="N389" i="165"/>
  <c r="M389" i="165"/>
  <c r="L389" i="165"/>
  <c r="K389" i="165"/>
  <c r="I389" i="165"/>
  <c r="G389" i="165"/>
  <c r="F389" i="165"/>
  <c r="N379" i="165"/>
  <c r="M379" i="165"/>
  <c r="L379" i="165"/>
  <c r="K379" i="165"/>
  <c r="I379" i="165"/>
  <c r="G379" i="165"/>
  <c r="N66" i="165"/>
  <c r="M66" i="165"/>
  <c r="L66" i="165"/>
  <c r="K66" i="165"/>
  <c r="I66" i="165"/>
  <c r="M63" i="165"/>
  <c r="K63" i="165"/>
  <c r="I63" i="165"/>
  <c r="M60" i="165"/>
  <c r="K60" i="165"/>
  <c r="K47" i="165" s="1"/>
  <c r="I60" i="165"/>
  <c r="N369" i="165"/>
  <c r="M369" i="165"/>
  <c r="L369" i="165"/>
  <c r="I369" i="165"/>
  <c r="H369" i="165"/>
  <c r="G369" i="165"/>
  <c r="N348" i="165"/>
  <c r="M348" i="165"/>
  <c r="L348" i="165"/>
  <c r="K348" i="165"/>
  <c r="I348" i="165"/>
  <c r="H348" i="165"/>
  <c r="G348" i="165"/>
  <c r="F348" i="165"/>
  <c r="N341" i="165"/>
  <c r="M341" i="165"/>
  <c r="L341" i="165"/>
  <c r="K341" i="165"/>
  <c r="I341" i="165"/>
  <c r="G341" i="165"/>
  <c r="N319" i="165"/>
  <c r="M319" i="165"/>
  <c r="L319" i="165"/>
  <c r="K319" i="165"/>
  <c r="I319" i="165"/>
  <c r="H319" i="165"/>
  <c r="G319" i="165"/>
  <c r="F319" i="165"/>
  <c r="N314" i="165"/>
  <c r="M314" i="165"/>
  <c r="L314" i="165"/>
  <c r="I314" i="165"/>
  <c r="H314" i="165"/>
  <c r="G314" i="165"/>
  <c r="F314" i="165"/>
  <c r="L345" i="165" l="1"/>
  <c r="H345" i="165"/>
  <c r="M345" i="165"/>
  <c r="I345" i="165"/>
  <c r="N345" i="165"/>
  <c r="G345" i="165"/>
  <c r="F345" i="165"/>
  <c r="K345" i="165"/>
  <c r="I404" i="165"/>
  <c r="N404" i="165"/>
  <c r="K404" i="165"/>
  <c r="L404" i="165"/>
  <c r="G404" i="165"/>
  <c r="H404" i="165"/>
  <c r="M404" i="165"/>
  <c r="L411" i="165"/>
  <c r="G411" i="165"/>
  <c r="M331" i="165"/>
  <c r="G365" i="165"/>
  <c r="M365" i="165"/>
  <c r="H411" i="165"/>
  <c r="M411" i="165"/>
  <c r="G313" i="165"/>
  <c r="I313" i="165"/>
  <c r="F317" i="165"/>
  <c r="G331" i="165"/>
  <c r="F313" i="165"/>
  <c r="L313" i="165"/>
  <c r="G317" i="165"/>
  <c r="L317" i="165"/>
  <c r="I331" i="165"/>
  <c r="N331" i="165"/>
  <c r="H365" i="165"/>
  <c r="N365" i="165"/>
  <c r="I411" i="165"/>
  <c r="N411" i="165"/>
  <c r="M313" i="165"/>
  <c r="M317" i="165"/>
  <c r="K331" i="165"/>
  <c r="I365" i="165"/>
  <c r="J405" i="165"/>
  <c r="F411" i="165"/>
  <c r="K411" i="165"/>
  <c r="H317" i="165"/>
  <c r="H313" i="165"/>
  <c r="N313" i="165"/>
  <c r="I317" i="165"/>
  <c r="N317" i="165"/>
  <c r="L331" i="165"/>
  <c r="L365" i="165"/>
  <c r="K317" i="165"/>
  <c r="H391" i="165"/>
  <c r="K391" i="165"/>
  <c r="G391" i="165"/>
  <c r="L391" i="165"/>
  <c r="I391" i="165"/>
  <c r="M391" i="165"/>
  <c r="F391" i="165"/>
  <c r="N391" i="165"/>
  <c r="N301" i="165"/>
  <c r="M301" i="165"/>
  <c r="L301" i="165"/>
  <c r="K301" i="165"/>
  <c r="I301" i="165"/>
  <c r="F301" i="165"/>
  <c r="N288" i="165"/>
  <c r="M288" i="165"/>
  <c r="L288" i="165"/>
  <c r="K288" i="165"/>
  <c r="I288" i="165"/>
  <c r="H288" i="165"/>
  <c r="G288" i="165"/>
  <c r="F288" i="165"/>
  <c r="N275" i="165"/>
  <c r="M275" i="165"/>
  <c r="L275" i="165"/>
  <c r="K275" i="165"/>
  <c r="I275" i="165"/>
  <c r="G275" i="165"/>
  <c r="N267" i="165"/>
  <c r="M267" i="165"/>
  <c r="L267" i="165"/>
  <c r="K267" i="165"/>
  <c r="I267" i="165"/>
  <c r="H267" i="165"/>
  <c r="G267" i="165"/>
  <c r="F267" i="165"/>
  <c r="N254" i="165"/>
  <c r="M254" i="165"/>
  <c r="L254" i="165"/>
  <c r="I254" i="165"/>
  <c r="H254" i="165"/>
  <c r="G254" i="165"/>
  <c r="F254" i="165"/>
  <c r="N235" i="165"/>
  <c r="M235" i="165"/>
  <c r="L235" i="165"/>
  <c r="K235" i="165"/>
  <c r="I235" i="165"/>
  <c r="H235" i="165"/>
  <c r="G235" i="165"/>
  <c r="F235" i="165"/>
  <c r="N230" i="165"/>
  <c r="M230" i="165"/>
  <c r="L230" i="165"/>
  <c r="I230" i="165"/>
  <c r="H230" i="165"/>
  <c r="G230" i="165"/>
  <c r="M225" i="165"/>
  <c r="I225" i="165"/>
  <c r="G225" i="165"/>
  <c r="N223" i="165"/>
  <c r="M223" i="165"/>
  <c r="L223" i="165"/>
  <c r="K223" i="165"/>
  <c r="I223" i="165"/>
  <c r="H223" i="165"/>
  <c r="G223" i="165"/>
  <c r="N220" i="165"/>
  <c r="M220" i="165"/>
  <c r="L220" i="165"/>
  <c r="K220" i="165"/>
  <c r="I220" i="165"/>
  <c r="H220" i="165"/>
  <c r="G220" i="165"/>
  <c r="M216" i="165"/>
  <c r="I216" i="165"/>
  <c r="G216" i="165"/>
  <c r="N214" i="165"/>
  <c r="M214" i="165"/>
  <c r="L214" i="165"/>
  <c r="K214" i="165"/>
  <c r="I214" i="165"/>
  <c r="G214" i="165"/>
  <c r="N209" i="165"/>
  <c r="M209" i="165"/>
  <c r="L209" i="165"/>
  <c r="K209" i="165"/>
  <c r="I209" i="165"/>
  <c r="H209" i="165"/>
  <c r="G209" i="165"/>
  <c r="F209" i="165"/>
  <c r="N199" i="165"/>
  <c r="M199" i="165"/>
  <c r="K199" i="165"/>
  <c r="I199" i="165"/>
  <c r="G199" i="165"/>
  <c r="M191" i="165"/>
  <c r="K191" i="165"/>
  <c r="I191" i="165"/>
  <c r="N186" i="165"/>
  <c r="N184" i="165" s="1"/>
  <c r="M186" i="165"/>
  <c r="M184" i="165" s="1"/>
  <c r="L186" i="165"/>
  <c r="L184" i="165" s="1"/>
  <c r="K186" i="165"/>
  <c r="K184" i="165" s="1"/>
  <c r="I186" i="165"/>
  <c r="I184" i="165" s="1"/>
  <c r="H186" i="165"/>
  <c r="H184" i="165" s="1"/>
  <c r="G186" i="165"/>
  <c r="G184" i="165" s="1"/>
  <c r="F186" i="165"/>
  <c r="F184" i="165" s="1"/>
  <c r="M173" i="165"/>
  <c r="I173" i="165"/>
  <c r="N155" i="165"/>
  <c r="M155" i="165"/>
  <c r="L155" i="165"/>
  <c r="K155" i="165"/>
  <c r="I155" i="165"/>
  <c r="H155" i="165"/>
  <c r="G155" i="165"/>
  <c r="M146" i="165"/>
  <c r="K146" i="165"/>
  <c r="I146" i="165"/>
  <c r="F146" i="165"/>
  <c r="N137" i="165"/>
  <c r="M137" i="165"/>
  <c r="L137" i="165"/>
  <c r="K137" i="165"/>
  <c r="I137" i="165"/>
  <c r="H137" i="165"/>
  <c r="G137" i="165"/>
  <c r="M253" i="165" l="1"/>
  <c r="M219" i="165"/>
  <c r="H253" i="165"/>
  <c r="N253" i="165"/>
  <c r="G253" i="165"/>
  <c r="I219" i="165"/>
  <c r="I253" i="165"/>
  <c r="G219" i="165"/>
  <c r="L253" i="165"/>
  <c r="F253" i="165"/>
  <c r="F253" i="201" s="1"/>
  <c r="F248" i="201" s="1"/>
  <c r="F247" i="201" s="1"/>
  <c r="L397" i="165"/>
  <c r="M397" i="165"/>
  <c r="K397" i="165"/>
  <c r="N397" i="165"/>
  <c r="G397" i="165"/>
  <c r="I397" i="165"/>
  <c r="H344" i="165"/>
  <c r="L344" i="165"/>
  <c r="F344" i="165"/>
  <c r="N344" i="165"/>
  <c r="M344" i="165"/>
  <c r="G344" i="165"/>
  <c r="K344" i="165"/>
  <c r="I344" i="165"/>
  <c r="K279" i="165"/>
  <c r="N234" i="165"/>
  <c r="I279" i="165"/>
  <c r="G279" i="165"/>
  <c r="L279" i="165"/>
  <c r="N279" i="165"/>
  <c r="H279" i="165"/>
  <c r="M279" i="165"/>
  <c r="I237" i="165"/>
  <c r="K237" i="165"/>
  <c r="L237" i="165"/>
  <c r="M237" i="165"/>
  <c r="N237" i="165"/>
  <c r="M136" i="165"/>
  <c r="F237" i="165"/>
  <c r="G237" i="165"/>
  <c r="H237" i="165"/>
  <c r="I136" i="165"/>
  <c r="N316" i="165"/>
  <c r="H316" i="165"/>
  <c r="I362" i="165"/>
  <c r="M362" i="165"/>
  <c r="K316" i="165"/>
  <c r="I316" i="165"/>
  <c r="G362" i="165"/>
  <c r="L362" i="165"/>
  <c r="M316" i="165"/>
  <c r="N362" i="165"/>
  <c r="L316" i="165"/>
  <c r="H362" i="165"/>
  <c r="G316" i="165"/>
  <c r="F316" i="165"/>
  <c r="F176" i="165"/>
  <c r="K176" i="165"/>
  <c r="I193" i="165"/>
  <c r="F208" i="165"/>
  <c r="K208" i="165"/>
  <c r="M213" i="165"/>
  <c r="I234" i="165"/>
  <c r="L300" i="165"/>
  <c r="F388" i="165"/>
  <c r="L388" i="165"/>
  <c r="M382" i="165"/>
  <c r="L382" i="165"/>
  <c r="G176" i="165"/>
  <c r="L176" i="165"/>
  <c r="G208" i="165"/>
  <c r="L208" i="165"/>
  <c r="F234" i="165"/>
  <c r="K234" i="165"/>
  <c r="F300" i="165"/>
  <c r="M300" i="165"/>
  <c r="M388" i="165"/>
  <c r="G388" i="165"/>
  <c r="N382" i="165"/>
  <c r="K382" i="165"/>
  <c r="H176" i="165"/>
  <c r="M176" i="165"/>
  <c r="M193" i="165"/>
  <c r="H208" i="165"/>
  <c r="M208" i="165"/>
  <c r="G234" i="165"/>
  <c r="L234" i="165"/>
  <c r="I300" i="165"/>
  <c r="N300" i="165"/>
  <c r="I388" i="165"/>
  <c r="H382" i="165"/>
  <c r="G382" i="165"/>
  <c r="I176" i="165"/>
  <c r="N176" i="165"/>
  <c r="G193" i="165"/>
  <c r="I208" i="165"/>
  <c r="N208" i="165"/>
  <c r="H234" i="165"/>
  <c r="M234" i="165"/>
  <c r="K300" i="165"/>
  <c r="N388" i="165"/>
  <c r="K388" i="165"/>
  <c r="I382" i="165"/>
  <c r="F382" i="165"/>
  <c r="I264" i="165"/>
  <c r="F264" i="165"/>
  <c r="K264" i="165"/>
  <c r="G264" i="165"/>
  <c r="L264" i="165"/>
  <c r="N264" i="165"/>
  <c r="G213" i="165"/>
  <c r="H264" i="165"/>
  <c r="M264" i="165"/>
  <c r="I213" i="165"/>
  <c r="N115" i="165"/>
  <c r="M115" i="165"/>
  <c r="L115" i="165"/>
  <c r="K115" i="165"/>
  <c r="I115" i="165"/>
  <c r="N113" i="165"/>
  <c r="M113" i="165"/>
  <c r="L113" i="165"/>
  <c r="K113" i="165"/>
  <c r="I113" i="165"/>
  <c r="H113" i="165"/>
  <c r="G113" i="165"/>
  <c r="F113" i="165"/>
  <c r="N111" i="165"/>
  <c r="M111" i="165"/>
  <c r="L111" i="165"/>
  <c r="K111" i="165"/>
  <c r="I111" i="165"/>
  <c r="H111" i="165"/>
  <c r="G111" i="165"/>
  <c r="F111" i="165"/>
  <c r="O110" i="165"/>
  <c r="K46" i="165"/>
  <c r="I46" i="165"/>
  <c r="N40" i="165"/>
  <c r="M40" i="165"/>
  <c r="L40" i="165"/>
  <c r="K40" i="165"/>
  <c r="I40" i="165"/>
  <c r="H40" i="165"/>
  <c r="G40" i="165"/>
  <c r="F40" i="165"/>
  <c r="E38" i="165"/>
  <c r="N37" i="165"/>
  <c r="M37" i="165"/>
  <c r="L37" i="165"/>
  <c r="K37" i="165"/>
  <c r="I37" i="165"/>
  <c r="H37" i="165"/>
  <c r="G37" i="165"/>
  <c r="F37" i="165"/>
  <c r="N17" i="165"/>
  <c r="M17" i="165"/>
  <c r="L17" i="165"/>
  <c r="I17" i="165"/>
  <c r="J77" i="167"/>
  <c r="J76" i="167"/>
  <c r="J74" i="167"/>
  <c r="M74" i="167" s="1"/>
  <c r="J73" i="167"/>
  <c r="K39" i="165" l="1"/>
  <c r="L340" i="165"/>
  <c r="G39" i="165"/>
  <c r="L39" i="165"/>
  <c r="L306" i="165"/>
  <c r="G359" i="165"/>
  <c r="I359" i="165"/>
  <c r="M340" i="165"/>
  <c r="F39" i="165"/>
  <c r="G340" i="165"/>
  <c r="H39" i="165"/>
  <c r="M39" i="165"/>
  <c r="G378" i="165"/>
  <c r="K378" i="165"/>
  <c r="L378" i="165"/>
  <c r="F306" i="165"/>
  <c r="N359" i="165"/>
  <c r="I306" i="165"/>
  <c r="I340" i="165"/>
  <c r="N340" i="165"/>
  <c r="H359" i="165"/>
  <c r="L359" i="165"/>
  <c r="M359" i="165"/>
  <c r="I39" i="165"/>
  <c r="N39" i="165"/>
  <c r="I378" i="165"/>
  <c r="N378" i="165"/>
  <c r="M378" i="165"/>
  <c r="G306" i="165"/>
  <c r="M306" i="165"/>
  <c r="N306" i="165"/>
  <c r="K340" i="165"/>
  <c r="G33" i="165"/>
  <c r="L33" i="165"/>
  <c r="H33" i="165"/>
  <c r="M33" i="165"/>
  <c r="I33" i="165"/>
  <c r="N33" i="165"/>
  <c r="F33" i="165"/>
  <c r="K33" i="165"/>
  <c r="K261" i="165"/>
  <c r="N261" i="165"/>
  <c r="F261" i="165"/>
  <c r="M261" i="165"/>
  <c r="L261" i="165"/>
  <c r="I261" i="165"/>
  <c r="H261" i="165"/>
  <c r="G261" i="165"/>
  <c r="N287" i="165"/>
  <c r="M212" i="165"/>
  <c r="G212" i="165"/>
  <c r="I212" i="165"/>
  <c r="F120" i="165"/>
  <c r="G120" i="165"/>
  <c r="H120" i="165"/>
  <c r="I120" i="165"/>
  <c r="L120" i="165"/>
  <c r="M120" i="165"/>
  <c r="N120" i="165"/>
  <c r="H287" i="165"/>
  <c r="L287" i="165"/>
  <c r="K287" i="165"/>
  <c r="M287" i="165"/>
  <c r="I287" i="165"/>
  <c r="I190" i="165"/>
  <c r="M190" i="165"/>
  <c r="G287" i="165"/>
  <c r="F287" i="165"/>
  <c r="I22" i="165"/>
  <c r="N22" i="165"/>
  <c r="E37" i="165"/>
  <c r="F22" i="165"/>
  <c r="K22" i="165"/>
  <c r="I180" i="165"/>
  <c r="I180" i="201" s="1"/>
  <c r="I131" i="201" s="1"/>
  <c r="H180" i="165"/>
  <c r="H180" i="201" s="1"/>
  <c r="L180" i="165"/>
  <c r="L180" i="201" s="1"/>
  <c r="L131" i="201" s="1"/>
  <c r="G22" i="165"/>
  <c r="K180" i="165"/>
  <c r="K180" i="201" s="1"/>
  <c r="K131" i="201" s="1"/>
  <c r="H22" i="165"/>
  <c r="J110" i="165"/>
  <c r="N180" i="165"/>
  <c r="N180" i="201" s="1"/>
  <c r="N131" i="201" s="1"/>
  <c r="M180" i="165"/>
  <c r="M180" i="201" s="1"/>
  <c r="M131" i="201" s="1"/>
  <c r="G180" i="165"/>
  <c r="G180" i="201" s="1"/>
  <c r="G131" i="201" s="1"/>
  <c r="F180" i="165"/>
  <c r="F180" i="201" s="1"/>
  <c r="M22" i="165"/>
  <c r="I105" i="165"/>
  <c r="N105" i="165"/>
  <c r="L105" i="165"/>
  <c r="K105" i="165"/>
  <c r="M105" i="165"/>
  <c r="G75" i="167"/>
  <c r="J72" i="167"/>
  <c r="L130" i="201" l="1"/>
  <c r="L414" i="201"/>
  <c r="L424" i="201" s="1"/>
  <c r="G130" i="201"/>
  <c r="G414" i="201"/>
  <c r="G424" i="201" s="1"/>
  <c r="K130" i="201"/>
  <c r="I130" i="201"/>
  <c r="I414" i="201"/>
  <c r="I424" i="201" s="1"/>
  <c r="M130" i="201"/>
  <c r="M414" i="201"/>
  <c r="M424" i="201" s="1"/>
  <c r="N130" i="201"/>
  <c r="N414" i="201"/>
  <c r="N424" i="201" s="1"/>
  <c r="L248" i="165"/>
  <c r="I248" i="165"/>
  <c r="G248" i="165"/>
  <c r="M248" i="165"/>
  <c r="N248" i="165"/>
  <c r="H248" i="165"/>
  <c r="F248" i="165"/>
  <c r="I101" i="165"/>
  <c r="L101" i="165"/>
  <c r="M101" i="165"/>
  <c r="N101" i="165"/>
  <c r="N274" i="165"/>
  <c r="E33" i="165"/>
  <c r="K274" i="165"/>
  <c r="L274" i="165"/>
  <c r="M131" i="165"/>
  <c r="M274" i="165"/>
  <c r="I274" i="165"/>
  <c r="M16" i="165"/>
  <c r="N16" i="165"/>
  <c r="I16" i="165"/>
  <c r="I131" i="165"/>
  <c r="L22" i="165"/>
  <c r="J65" i="167"/>
  <c r="L16" i="165" l="1"/>
  <c r="O68" i="165"/>
  <c r="G60" i="165"/>
  <c r="F60" i="165"/>
  <c r="J62" i="165"/>
  <c r="E62" i="165"/>
  <c r="O54" i="165"/>
  <c r="E54" i="165"/>
  <c r="J79" i="167"/>
  <c r="E53" i="165" l="1"/>
  <c r="O53" i="165"/>
  <c r="E68" i="165"/>
  <c r="H72" i="167"/>
  <c r="J68" i="165"/>
  <c r="I72" i="167"/>
  <c r="F66" i="165"/>
  <c r="G66" i="165"/>
  <c r="H65" i="167"/>
  <c r="P62" i="165"/>
  <c r="F70" i="165"/>
  <c r="O71" i="165"/>
  <c r="J62" i="167"/>
  <c r="J78" i="167"/>
  <c r="M62" i="167" l="1"/>
  <c r="M49" i="165"/>
  <c r="O70" i="165"/>
  <c r="G72" i="167"/>
  <c r="I77" i="167"/>
  <c r="H77" i="167"/>
  <c r="E71" i="165"/>
  <c r="P68" i="165"/>
  <c r="M58" i="167"/>
  <c r="J71" i="165"/>
  <c r="J54" i="165"/>
  <c r="O69" i="165"/>
  <c r="E69" i="165"/>
  <c r="H63" i="165"/>
  <c r="F63" i="165"/>
  <c r="F47" i="165" s="1"/>
  <c r="F47" i="201" s="1"/>
  <c r="F46" i="201" s="1"/>
  <c r="J84" i="167"/>
  <c r="O77" i="165"/>
  <c r="F45" i="201" l="1"/>
  <c r="J53" i="165"/>
  <c r="P71" i="165"/>
  <c r="G77" i="167"/>
  <c r="H78" i="167"/>
  <c r="E70" i="165"/>
  <c r="J69" i="165"/>
  <c r="I79" i="167"/>
  <c r="G63" i="165"/>
  <c r="E77" i="165"/>
  <c r="J77" i="165"/>
  <c r="H79" i="167"/>
  <c r="I65" i="167"/>
  <c r="G65" i="167" s="1"/>
  <c r="J70" i="165"/>
  <c r="P54" i="165"/>
  <c r="O400" i="165"/>
  <c r="E400" i="165"/>
  <c r="I329" i="167"/>
  <c r="H379" i="165"/>
  <c r="O381" i="165"/>
  <c r="E381" i="165"/>
  <c r="F341" i="165"/>
  <c r="O343" i="165"/>
  <c r="E343" i="165"/>
  <c r="O334" i="165"/>
  <c r="E334" i="165"/>
  <c r="O309" i="165"/>
  <c r="E309" i="165"/>
  <c r="F275" i="165"/>
  <c r="O277" i="165"/>
  <c r="E277" i="165"/>
  <c r="O134" i="165"/>
  <c r="E134" i="165"/>
  <c r="H378" i="165" l="1"/>
  <c r="F340" i="165"/>
  <c r="M46" i="165"/>
  <c r="F46" i="165"/>
  <c r="P53" i="165"/>
  <c r="P70" i="165"/>
  <c r="P69" i="165"/>
  <c r="P77" i="165"/>
  <c r="H294" i="167"/>
  <c r="H268" i="167"/>
  <c r="J334" i="165"/>
  <c r="H232" i="167"/>
  <c r="G232" i="167" s="1"/>
  <c r="J309" i="165"/>
  <c r="F331" i="165"/>
  <c r="H319" i="167"/>
  <c r="F398" i="165"/>
  <c r="I84" i="167"/>
  <c r="G79" i="167"/>
  <c r="J277" i="165"/>
  <c r="J381" i="165"/>
  <c r="H288" i="167"/>
  <c r="H286" i="167" s="1"/>
  <c r="J343" i="165"/>
  <c r="F379" i="165"/>
  <c r="H332" i="167"/>
  <c r="H330" i="167" s="1"/>
  <c r="J134" i="165"/>
  <c r="J400" i="165"/>
  <c r="H84" i="167"/>
  <c r="I78" i="167"/>
  <c r="G78" i="167" s="1"/>
  <c r="H125" i="167"/>
  <c r="J329" i="167"/>
  <c r="F378" i="165" l="1"/>
  <c r="G319" i="167"/>
  <c r="G46" i="165"/>
  <c r="F397" i="165"/>
  <c r="P343" i="165"/>
  <c r="G288" i="167"/>
  <c r="P381" i="165"/>
  <c r="P400" i="165"/>
  <c r="P309" i="165"/>
  <c r="P134" i="165"/>
  <c r="G294" i="167"/>
  <c r="G84" i="167"/>
  <c r="G268" i="167"/>
  <c r="G332" i="167"/>
  <c r="G330" i="167" s="1"/>
  <c r="H329" i="167"/>
  <c r="P334" i="165"/>
  <c r="P277" i="165"/>
  <c r="I125" i="167"/>
  <c r="G125" i="167" s="1"/>
  <c r="O251" i="165"/>
  <c r="E251" i="165"/>
  <c r="G329" i="167" l="1"/>
  <c r="H210" i="167"/>
  <c r="G210" i="167" s="1"/>
  <c r="J251" i="165"/>
  <c r="P251" i="165" l="1"/>
  <c r="O20" i="165"/>
  <c r="E20" i="165"/>
  <c r="J20" i="165" l="1"/>
  <c r="H23" i="167"/>
  <c r="G23" i="167" l="1"/>
  <c r="P20" i="165"/>
  <c r="K120" i="165" l="1"/>
  <c r="F274" i="165"/>
  <c r="K101" i="165" l="1"/>
  <c r="F40" i="172"/>
  <c r="F37" i="172" s="1"/>
  <c r="E40" i="172"/>
  <c r="E37" i="172" l="1"/>
  <c r="F31" i="172"/>
  <c r="E31" i="172" l="1"/>
  <c r="K254" i="165"/>
  <c r="K253" i="165" l="1"/>
  <c r="K248" i="165" s="1"/>
  <c r="J204" i="167"/>
  <c r="K17" i="165" l="1"/>
  <c r="K17" i="201" l="1"/>
  <c r="K16" i="201" s="1"/>
  <c r="K16" i="165"/>
  <c r="O243" i="165"/>
  <c r="O241" i="165" s="1"/>
  <c r="E243" i="165"/>
  <c r="E241" i="165" s="1"/>
  <c r="F225" i="165"/>
  <c r="K15" i="201" l="1"/>
  <c r="K414" i="201"/>
  <c r="E237" i="165"/>
  <c r="H225" i="165"/>
  <c r="H204" i="167"/>
  <c r="J243" i="165"/>
  <c r="J241" i="165" s="1"/>
  <c r="K427" i="201" l="1"/>
  <c r="K424" i="201"/>
  <c r="H219" i="165"/>
  <c r="O237" i="165"/>
  <c r="P243" i="165"/>
  <c r="P241" i="165" s="1"/>
  <c r="I204" i="167"/>
  <c r="G204" i="167" s="1"/>
  <c r="J237" i="165" l="1"/>
  <c r="I17" i="107"/>
  <c r="I13" i="107" s="1"/>
  <c r="P237" i="165" l="1"/>
  <c r="I12" i="107"/>
  <c r="I16" i="107"/>
  <c r="I15" i="107" s="1"/>
  <c r="I14" i="107" s="1"/>
  <c r="D88" i="170"/>
  <c r="D75" i="170"/>
  <c r="D72" i="170"/>
  <c r="F369" i="165" l="1"/>
  <c r="H398" i="165" l="1"/>
  <c r="K369" i="165"/>
  <c r="F365" i="165"/>
  <c r="J328" i="167"/>
  <c r="J326" i="167"/>
  <c r="J324" i="167" l="1"/>
  <c r="H397" i="165"/>
  <c r="F362" i="165"/>
  <c r="H389" i="165"/>
  <c r="K365" i="165"/>
  <c r="J320" i="167"/>
  <c r="H320" i="167"/>
  <c r="G318" i="167"/>
  <c r="F359" i="165" l="1"/>
  <c r="K320" i="167"/>
  <c r="H317" i="167"/>
  <c r="J317" i="167"/>
  <c r="M320" i="167"/>
  <c r="K362" i="165"/>
  <c r="H341" i="165"/>
  <c r="H388" i="165"/>
  <c r="J265" i="167"/>
  <c r="J263" i="167"/>
  <c r="J264" i="167"/>
  <c r="J260" i="167"/>
  <c r="H260" i="167"/>
  <c r="J247" i="167"/>
  <c r="J245" i="167"/>
  <c r="J244" i="167"/>
  <c r="J238" i="167"/>
  <c r="J235" i="167"/>
  <c r="M235" i="167" s="1"/>
  <c r="J234" i="167"/>
  <c r="J233" i="167"/>
  <c r="O304" i="165"/>
  <c r="J304" i="165" s="1"/>
  <c r="O302" i="165"/>
  <c r="O303" i="165"/>
  <c r="J226" i="167"/>
  <c r="J218" i="167"/>
  <c r="J213" i="167"/>
  <c r="H340" i="165" l="1"/>
  <c r="K359" i="165"/>
  <c r="J230" i="167"/>
  <c r="J229" i="167" s="1"/>
  <c r="M229" i="167" s="1"/>
  <c r="J208" i="167"/>
  <c r="H307" i="165"/>
  <c r="H275" i="165"/>
  <c r="J302" i="165"/>
  <c r="O301" i="165"/>
  <c r="I265" i="167"/>
  <c r="J190" i="167"/>
  <c r="L216" i="165"/>
  <c r="H306" i="165" l="1"/>
  <c r="I263" i="167"/>
  <c r="L213" i="165"/>
  <c r="O300" i="165"/>
  <c r="H331" i="165"/>
  <c r="N216" i="165"/>
  <c r="N225" i="165"/>
  <c r="L225" i="165"/>
  <c r="K225" i="165"/>
  <c r="K230" i="165"/>
  <c r="K219" i="165" l="1"/>
  <c r="L219" i="165"/>
  <c r="N219" i="165"/>
  <c r="N213" i="165"/>
  <c r="K216" i="165"/>
  <c r="P13" i="107"/>
  <c r="P12" i="107" s="1"/>
  <c r="F214" i="165"/>
  <c r="E413" i="165"/>
  <c r="I189" i="165"/>
  <c r="J184" i="167"/>
  <c r="L212" i="165" l="1"/>
  <c r="N212" i="165"/>
  <c r="N191" i="165"/>
  <c r="H214" i="165"/>
  <c r="O191" i="165"/>
  <c r="F220" i="165"/>
  <c r="K213" i="165"/>
  <c r="L191" i="165"/>
  <c r="F223" i="165"/>
  <c r="L199" i="165"/>
  <c r="E88" i="170"/>
  <c r="F230" i="165"/>
  <c r="E412" i="165"/>
  <c r="H216" i="165"/>
  <c r="N193" i="165"/>
  <c r="F216" i="165"/>
  <c r="O210" i="165"/>
  <c r="E210" i="165"/>
  <c r="E81" i="170" s="1"/>
  <c r="F219" i="165" l="1"/>
  <c r="K212" i="165"/>
  <c r="L193" i="165"/>
  <c r="H199" i="165"/>
  <c r="F213" i="165"/>
  <c r="H213" i="165"/>
  <c r="E411" i="165"/>
  <c r="N190" i="165"/>
  <c r="F199" i="165"/>
  <c r="E209" i="165"/>
  <c r="J210" i="165"/>
  <c r="O209" i="165"/>
  <c r="H184" i="167"/>
  <c r="J168" i="167"/>
  <c r="H212" i="165" l="1"/>
  <c r="F212" i="165"/>
  <c r="L190" i="165"/>
  <c r="E208" i="165"/>
  <c r="P210" i="165"/>
  <c r="O208" i="165"/>
  <c r="I184" i="167"/>
  <c r="G184" i="167" s="1"/>
  <c r="J209" i="165"/>
  <c r="K193" i="165"/>
  <c r="F193" i="165"/>
  <c r="G261" i="167"/>
  <c r="G259" i="167"/>
  <c r="G246" i="167"/>
  <c r="G241" i="167"/>
  <c r="G231" i="167"/>
  <c r="G209" i="167"/>
  <c r="J207" i="167"/>
  <c r="K190" i="165" l="1"/>
  <c r="J208" i="165"/>
  <c r="H191" i="165"/>
  <c r="F191" i="165"/>
  <c r="H193" i="165"/>
  <c r="G191" i="165"/>
  <c r="P209" i="165"/>
  <c r="O19" i="165"/>
  <c r="E19" i="165"/>
  <c r="J19" i="165" l="1"/>
  <c r="G190" i="165"/>
  <c r="F190" i="165"/>
  <c r="P208" i="165"/>
  <c r="H190" i="165"/>
  <c r="J147" i="167"/>
  <c r="P19" i="165" l="1"/>
  <c r="L173" i="165"/>
  <c r="L146" i="165"/>
  <c r="N173" i="165"/>
  <c r="N146" i="165"/>
  <c r="J161" i="167"/>
  <c r="J157" i="167"/>
  <c r="J146" i="167"/>
  <c r="J141" i="167"/>
  <c r="J135" i="167"/>
  <c r="J131" i="167"/>
  <c r="J130" i="167"/>
  <c r="J129" i="167"/>
  <c r="J128" i="167"/>
  <c r="J127" i="167"/>
  <c r="L136" i="165" l="1"/>
  <c r="N136" i="165"/>
  <c r="J104" i="167"/>
  <c r="N131" i="165" l="1"/>
  <c r="L131" i="165"/>
  <c r="H146" i="165"/>
  <c r="G173" i="165"/>
  <c r="H132" i="165"/>
  <c r="H173" i="165"/>
  <c r="H173" i="201" s="1"/>
  <c r="G146" i="165"/>
  <c r="J149" i="167"/>
  <c r="J122" i="167" s="1"/>
  <c r="K173" i="165"/>
  <c r="K136" i="165" l="1"/>
  <c r="G136" i="165"/>
  <c r="H136" i="165"/>
  <c r="H136" i="201" s="1"/>
  <c r="H131" i="201" s="1"/>
  <c r="H115" i="165"/>
  <c r="G115" i="165"/>
  <c r="F115" i="165"/>
  <c r="H130" i="201" l="1"/>
  <c r="H414" i="201"/>
  <c r="H424" i="201" s="1"/>
  <c r="K131" i="165"/>
  <c r="G131" i="165"/>
  <c r="F105" i="165"/>
  <c r="G105" i="165"/>
  <c r="H105" i="165"/>
  <c r="H131" i="165"/>
  <c r="K314" i="165"/>
  <c r="F101" i="165" l="1"/>
  <c r="H101" i="165"/>
  <c r="G101" i="165"/>
  <c r="K313" i="165"/>
  <c r="F16" i="165"/>
  <c r="L60" i="165"/>
  <c r="K306" i="165" l="1"/>
  <c r="N60" i="165"/>
  <c r="L63" i="165"/>
  <c r="O60" i="165"/>
  <c r="N63" i="165"/>
  <c r="N49" i="165" l="1"/>
  <c r="L49" i="165"/>
  <c r="G56" i="167" l="1"/>
  <c r="N46" i="165" l="1"/>
  <c r="L46" i="165"/>
  <c r="H60" i="165" l="1"/>
  <c r="H66" i="165" l="1"/>
  <c r="J41" i="167"/>
  <c r="M41" i="167" s="1"/>
  <c r="O42" i="165"/>
  <c r="E42" i="165"/>
  <c r="J32" i="167"/>
  <c r="M32" i="167" s="1"/>
  <c r="J42" i="165" l="1"/>
  <c r="E75" i="170"/>
  <c r="H41" i="167"/>
  <c r="H46" i="165" l="1"/>
  <c r="P42" i="165"/>
  <c r="I41" i="167"/>
  <c r="L41" i="167" s="1"/>
  <c r="K41" i="167"/>
  <c r="G41" i="167" l="1"/>
  <c r="G19" i="167"/>
  <c r="G17" i="165"/>
  <c r="H17" i="165" l="1"/>
  <c r="G16" i="165"/>
  <c r="H301" i="165"/>
  <c r="G301" i="165"/>
  <c r="H300" i="165" l="1"/>
  <c r="G300" i="165"/>
  <c r="H16" i="165"/>
  <c r="O187" i="165"/>
  <c r="E187" i="165"/>
  <c r="O178" i="165"/>
  <c r="E178" i="165"/>
  <c r="O175" i="165"/>
  <c r="E175" i="165"/>
  <c r="O157" i="165"/>
  <c r="E157" i="165"/>
  <c r="O156" i="165"/>
  <c r="O154" i="165"/>
  <c r="E154" i="165"/>
  <c r="O153" i="165"/>
  <c r="E153" i="165"/>
  <c r="O151" i="165"/>
  <c r="E151" i="165"/>
  <c r="O148" i="165"/>
  <c r="E148" i="165"/>
  <c r="E147" i="165"/>
  <c r="O145" i="165"/>
  <c r="E145" i="165"/>
  <c r="O143" i="165"/>
  <c r="E143" i="165"/>
  <c r="O142" i="165"/>
  <c r="E142" i="165"/>
  <c r="O141" i="165"/>
  <c r="E141" i="165"/>
  <c r="O140" i="165"/>
  <c r="E140" i="165"/>
  <c r="O139" i="165"/>
  <c r="E139" i="165"/>
  <c r="O138" i="165"/>
  <c r="O133" i="165"/>
  <c r="E133" i="165"/>
  <c r="H143" i="167" l="1"/>
  <c r="K151" i="167"/>
  <c r="H136" i="167"/>
  <c r="O177" i="165"/>
  <c r="E177" i="165"/>
  <c r="E146" i="165"/>
  <c r="J151" i="165"/>
  <c r="J154" i="165"/>
  <c r="J139" i="165"/>
  <c r="H129" i="167"/>
  <c r="H131" i="167"/>
  <c r="H134" i="167"/>
  <c r="H142" i="167"/>
  <c r="H274" i="165"/>
  <c r="J142" i="165"/>
  <c r="J148" i="165"/>
  <c r="J153" i="165"/>
  <c r="O132" i="165"/>
  <c r="J141" i="165"/>
  <c r="J143" i="165"/>
  <c r="J140" i="165"/>
  <c r="J145" i="165"/>
  <c r="E132" i="165"/>
  <c r="H130" i="167"/>
  <c r="H132" i="167"/>
  <c r="H141" i="167"/>
  <c r="J175" i="165"/>
  <c r="G274" i="165"/>
  <c r="E138" i="165"/>
  <c r="F137" i="165"/>
  <c r="E156" i="165"/>
  <c r="F155" i="165"/>
  <c r="E174" i="165"/>
  <c r="E174" i="201" s="1"/>
  <c r="F173" i="165"/>
  <c r="F173" i="201" s="1"/>
  <c r="J133" i="165"/>
  <c r="H161" i="167"/>
  <c r="E186" i="165"/>
  <c r="E184" i="165" s="1"/>
  <c r="J187" i="165"/>
  <c r="O186" i="165"/>
  <c r="O184" i="165" s="1"/>
  <c r="H157" i="167"/>
  <c r="J178" i="165"/>
  <c r="J174" i="165"/>
  <c r="O173" i="165"/>
  <c r="H147" i="167"/>
  <c r="J157" i="165"/>
  <c r="J156" i="165"/>
  <c r="O155" i="165"/>
  <c r="H135" i="167"/>
  <c r="J147" i="165"/>
  <c r="O146" i="165"/>
  <c r="J138" i="165"/>
  <c r="O137" i="165"/>
  <c r="H128" i="167"/>
  <c r="I136" i="167" l="1"/>
  <c r="I143" i="167"/>
  <c r="L151" i="167"/>
  <c r="P142" i="165"/>
  <c r="P154" i="165"/>
  <c r="J177" i="165"/>
  <c r="P157" i="165"/>
  <c r="F136" i="165"/>
  <c r="F136" i="201" s="1"/>
  <c r="F131" i="201" s="1"/>
  <c r="O136" i="165"/>
  <c r="P151" i="165"/>
  <c r="P141" i="165"/>
  <c r="P139" i="165"/>
  <c r="P148" i="165"/>
  <c r="P140" i="165"/>
  <c r="P153" i="165"/>
  <c r="P143" i="165"/>
  <c r="H149" i="167"/>
  <c r="P145" i="165"/>
  <c r="P175" i="165"/>
  <c r="P147" i="165"/>
  <c r="O176" i="165"/>
  <c r="J132" i="165"/>
  <c r="E155" i="165"/>
  <c r="I129" i="167"/>
  <c r="I130" i="167"/>
  <c r="I128" i="167"/>
  <c r="P178" i="165"/>
  <c r="P187" i="165"/>
  <c r="P138" i="165"/>
  <c r="E176" i="165"/>
  <c r="E173" i="165"/>
  <c r="E173" i="201" s="1"/>
  <c r="H127" i="167"/>
  <c r="I134" i="167"/>
  <c r="I132" i="167"/>
  <c r="I142" i="167"/>
  <c r="I131" i="167"/>
  <c r="I141" i="167"/>
  <c r="P156" i="165"/>
  <c r="H146" i="167"/>
  <c r="P133" i="165"/>
  <c r="P174" i="165"/>
  <c r="P174" i="201" s="1"/>
  <c r="E137" i="165"/>
  <c r="I161" i="167"/>
  <c r="G161" i="167" s="1"/>
  <c r="J186" i="165"/>
  <c r="J184" i="165" s="1"/>
  <c r="I157" i="167"/>
  <c r="I149" i="167"/>
  <c r="J173" i="165"/>
  <c r="I147" i="167"/>
  <c r="I146" i="167"/>
  <c r="J155" i="165"/>
  <c r="I135" i="167"/>
  <c r="J146" i="165"/>
  <c r="I127" i="167"/>
  <c r="J137" i="165"/>
  <c r="E395" i="165"/>
  <c r="J393" i="165"/>
  <c r="E393" i="165"/>
  <c r="O390" i="165"/>
  <c r="E390" i="165"/>
  <c r="O380" i="165"/>
  <c r="E380" i="165"/>
  <c r="O349" i="165"/>
  <c r="E349" i="165"/>
  <c r="O342" i="165"/>
  <c r="E342" i="165"/>
  <c r="O333" i="165"/>
  <c r="E333" i="165"/>
  <c r="E304" i="165"/>
  <c r="J303" i="165"/>
  <c r="E303" i="165"/>
  <c r="E302" i="165"/>
  <c r="O295" i="165"/>
  <c r="E295" i="165"/>
  <c r="O294" i="165"/>
  <c r="E294" i="165"/>
  <c r="E292" i="165"/>
  <c r="O289" i="165"/>
  <c r="E289" i="165"/>
  <c r="O285" i="165"/>
  <c r="E285" i="165"/>
  <c r="O284" i="165"/>
  <c r="E284" i="165"/>
  <c r="O282" i="165"/>
  <c r="O280" i="165" s="1"/>
  <c r="E282" i="165"/>
  <c r="O281" i="165"/>
  <c r="E281" i="165"/>
  <c r="O278" i="165"/>
  <c r="E278" i="165"/>
  <c r="O276" i="165"/>
  <c r="E276" i="165"/>
  <c r="M273" i="165"/>
  <c r="L273" i="165"/>
  <c r="K273" i="165"/>
  <c r="I273" i="165"/>
  <c r="H273" i="165"/>
  <c r="G273" i="165"/>
  <c r="F273" i="165"/>
  <c r="N273" i="165"/>
  <c r="E268" i="165"/>
  <c r="O265" i="165"/>
  <c r="E265" i="165"/>
  <c r="O259" i="165"/>
  <c r="E259" i="165"/>
  <c r="O257" i="165"/>
  <c r="E257" i="165"/>
  <c r="H215" i="167" s="1"/>
  <c r="O256" i="165"/>
  <c r="E256" i="165"/>
  <c r="O255" i="165"/>
  <c r="O250" i="165"/>
  <c r="E250" i="165"/>
  <c r="M247" i="165"/>
  <c r="L247" i="165"/>
  <c r="K247" i="165"/>
  <c r="M207" i="167" s="1"/>
  <c r="H247" i="165"/>
  <c r="F247" i="165"/>
  <c r="N247" i="165"/>
  <c r="I247" i="165"/>
  <c r="G247" i="165"/>
  <c r="F130" i="201" l="1"/>
  <c r="F414" i="201"/>
  <c r="F424" i="201" s="1"/>
  <c r="K235" i="167"/>
  <c r="E332" i="165"/>
  <c r="O332" i="165"/>
  <c r="I122" i="167"/>
  <c r="E136" i="165"/>
  <c r="E136" i="201" s="1"/>
  <c r="E293" i="165"/>
  <c r="O293" i="165"/>
  <c r="O249" i="165"/>
  <c r="O249" i="201" s="1"/>
  <c r="O248" i="201" s="1"/>
  <c r="E249" i="165"/>
  <c r="E249" i="201" s="1"/>
  <c r="E301" i="165"/>
  <c r="P177" i="165"/>
  <c r="J176" i="165"/>
  <c r="J136" i="165"/>
  <c r="P137" i="165"/>
  <c r="H296" i="167"/>
  <c r="H292" i="167" s="1"/>
  <c r="P186" i="165"/>
  <c r="P184" i="165" s="1"/>
  <c r="E291" i="165"/>
  <c r="P146" i="165"/>
  <c r="J257" i="165"/>
  <c r="I215" i="167" s="1"/>
  <c r="H213" i="167"/>
  <c r="H218" i="167"/>
  <c r="H233" i="167"/>
  <c r="J295" i="165"/>
  <c r="P132" i="165"/>
  <c r="J256" i="165"/>
  <c r="J259" i="165"/>
  <c r="J278" i="165"/>
  <c r="J282" i="165"/>
  <c r="J280" i="165" s="1"/>
  <c r="J285" i="165"/>
  <c r="E379" i="165"/>
  <c r="J384" i="165"/>
  <c r="O180" i="165"/>
  <c r="O180" i="201" s="1"/>
  <c r="O131" i="201" s="1"/>
  <c r="H238" i="167"/>
  <c r="O379" i="165"/>
  <c r="E389" i="165"/>
  <c r="P155" i="165"/>
  <c r="J284" i="165"/>
  <c r="P173" i="165"/>
  <c r="P173" i="201" s="1"/>
  <c r="F131" i="165"/>
  <c r="E341" i="165"/>
  <c r="E275" i="165"/>
  <c r="J297" i="165"/>
  <c r="J342" i="165"/>
  <c r="O341" i="165"/>
  <c r="J349" i="165"/>
  <c r="O348" i="165"/>
  <c r="E392" i="165"/>
  <c r="J289" i="165"/>
  <c r="O288" i="165"/>
  <c r="I326" i="167"/>
  <c r="J392" i="165"/>
  <c r="H328" i="167"/>
  <c r="H324" i="167" s="1"/>
  <c r="E394" i="165"/>
  <c r="J268" i="165"/>
  <c r="O267" i="165"/>
  <c r="J292" i="165"/>
  <c r="I264" i="167"/>
  <c r="J301" i="165"/>
  <c r="E348" i="165"/>
  <c r="J390" i="165"/>
  <c r="O389" i="165"/>
  <c r="J395" i="165"/>
  <c r="O394" i="165"/>
  <c r="H264" i="167"/>
  <c r="H247" i="167"/>
  <c r="J294" i="165"/>
  <c r="H245" i="167"/>
  <c r="H244" i="167"/>
  <c r="E288" i="165"/>
  <c r="O275" i="165"/>
  <c r="J281" i="165"/>
  <c r="H234" i="167"/>
  <c r="J265" i="165"/>
  <c r="H226" i="167"/>
  <c r="E267" i="165"/>
  <c r="K222" i="167"/>
  <c r="J255" i="165"/>
  <c r="O254" i="165"/>
  <c r="E254" i="165"/>
  <c r="J333" i="165"/>
  <c r="J380" i="165"/>
  <c r="J250" i="165"/>
  <c r="H265" i="167"/>
  <c r="G265" i="167" s="1"/>
  <c r="P304" i="165"/>
  <c r="J276" i="165"/>
  <c r="H263" i="167"/>
  <c r="G263" i="167" s="1"/>
  <c r="P302" i="165"/>
  <c r="P303" i="165"/>
  <c r="P393" i="165"/>
  <c r="O247" i="201" l="1"/>
  <c r="J248" i="201"/>
  <c r="J247" i="201" s="1"/>
  <c r="O130" i="201"/>
  <c r="J131" i="201"/>
  <c r="J332" i="165"/>
  <c r="O253" i="165"/>
  <c r="L211" i="167"/>
  <c r="E345" i="165"/>
  <c r="E344" i="165" s="1"/>
  <c r="Q384" i="165"/>
  <c r="F36" i="108"/>
  <c r="J141" i="108" s="1"/>
  <c r="O345" i="165"/>
  <c r="E264" i="165"/>
  <c r="G215" i="167"/>
  <c r="E253" i="165"/>
  <c r="E253" i="201" s="1"/>
  <c r="E248" i="201" s="1"/>
  <c r="F414" i="165"/>
  <c r="L241" i="167"/>
  <c r="H208" i="167"/>
  <c r="H207" i="167" s="1"/>
  <c r="L320" i="167"/>
  <c r="J296" i="165"/>
  <c r="L222" i="167"/>
  <c r="G211" i="167"/>
  <c r="E279" i="165"/>
  <c r="J249" i="165"/>
  <c r="J249" i="201" s="1"/>
  <c r="O279" i="165"/>
  <c r="J383" i="165"/>
  <c r="P136" i="165"/>
  <c r="P136" i="201" s="1"/>
  <c r="P284" i="165"/>
  <c r="P282" i="165"/>
  <c r="P280" i="165" s="1"/>
  <c r="I296" i="167"/>
  <c r="I292" i="167" s="1"/>
  <c r="P278" i="165"/>
  <c r="P257" i="165"/>
  <c r="G264" i="167"/>
  <c r="J291" i="165"/>
  <c r="E290" i="165"/>
  <c r="P384" i="165"/>
  <c r="P183" i="165"/>
  <c r="P183" i="201" s="1"/>
  <c r="E182" i="165"/>
  <c r="E182" i="201" s="1"/>
  <c r="H159" i="167"/>
  <c r="G159" i="167" s="1"/>
  <c r="P295" i="165"/>
  <c r="P259" i="165"/>
  <c r="P285" i="165"/>
  <c r="P256" i="165"/>
  <c r="G320" i="167"/>
  <c r="G317" i="167" s="1"/>
  <c r="P289" i="165"/>
  <c r="J341" i="165"/>
  <c r="O331" i="165"/>
  <c r="P392" i="165"/>
  <c r="P255" i="165"/>
  <c r="P281" i="165"/>
  <c r="E300" i="165"/>
  <c r="J300" i="165"/>
  <c r="O264" i="165"/>
  <c r="I233" i="167"/>
  <c r="G233" i="167" s="1"/>
  <c r="I213" i="167"/>
  <c r="G213" i="167" s="1"/>
  <c r="P176" i="165"/>
  <c r="P294" i="165"/>
  <c r="J389" i="165"/>
  <c r="J267" i="165"/>
  <c r="I238" i="167"/>
  <c r="G238" i="167" s="1"/>
  <c r="O131" i="165"/>
  <c r="O391" i="165"/>
  <c r="O382" i="165"/>
  <c r="E331" i="165"/>
  <c r="I235" i="167"/>
  <c r="I218" i="167"/>
  <c r="G218" i="167" s="1"/>
  <c r="J180" i="165"/>
  <c r="J180" i="201" s="1"/>
  <c r="I245" i="167"/>
  <c r="G245" i="167" s="1"/>
  <c r="P265" i="165"/>
  <c r="I260" i="167"/>
  <c r="G260" i="167" s="1"/>
  <c r="P390" i="165"/>
  <c r="I226" i="167"/>
  <c r="G226" i="167" s="1"/>
  <c r="G326" i="167"/>
  <c r="P268" i="165"/>
  <c r="P342" i="165"/>
  <c r="P292" i="165"/>
  <c r="P333" i="165"/>
  <c r="I328" i="167"/>
  <c r="G328" i="167" s="1"/>
  <c r="J394" i="165"/>
  <c r="J348" i="165"/>
  <c r="P349" i="165"/>
  <c r="I244" i="167"/>
  <c r="G244" i="167" s="1"/>
  <c r="J288" i="165"/>
  <c r="P395" i="165"/>
  <c r="P297" i="165"/>
  <c r="E391" i="165"/>
  <c r="P380" i="165"/>
  <c r="J379" i="165"/>
  <c r="P301" i="165"/>
  <c r="I247" i="167"/>
  <c r="I234" i="167"/>
  <c r="G234" i="167" s="1"/>
  <c r="P276" i="165"/>
  <c r="J275" i="165"/>
  <c r="G222" i="167"/>
  <c r="J254" i="165"/>
  <c r="P250" i="165"/>
  <c r="H230" i="167"/>
  <c r="H229" i="167" s="1"/>
  <c r="E247" i="201" l="1"/>
  <c r="P248" i="201"/>
  <c r="J130" i="201"/>
  <c r="J345" i="165"/>
  <c r="E261" i="165"/>
  <c r="P332" i="165"/>
  <c r="G27" i="197"/>
  <c r="J253" i="165"/>
  <c r="O378" i="165"/>
  <c r="J264" i="165"/>
  <c r="E340" i="165"/>
  <c r="K292" i="167" s="1"/>
  <c r="G235" i="167"/>
  <c r="L235" i="167"/>
  <c r="G247" i="167"/>
  <c r="G324" i="167"/>
  <c r="I324" i="167"/>
  <c r="G208" i="167"/>
  <c r="I208" i="167"/>
  <c r="I207" i="167" s="1"/>
  <c r="J293" i="165"/>
  <c r="P296" i="165"/>
  <c r="O344" i="165"/>
  <c r="P249" i="165"/>
  <c r="P249" i="201" s="1"/>
  <c r="G240" i="167"/>
  <c r="O261" i="165"/>
  <c r="J279" i="165"/>
  <c r="P383" i="165"/>
  <c r="E181" i="165"/>
  <c r="E181" i="201" s="1"/>
  <c r="G296" i="167"/>
  <c r="G292" i="167" s="1"/>
  <c r="P182" i="165"/>
  <c r="P182" i="201" s="1"/>
  <c r="E287" i="165"/>
  <c r="H122" i="167"/>
  <c r="P291" i="165"/>
  <c r="J290" i="165"/>
  <c r="O287" i="165"/>
  <c r="P254" i="165"/>
  <c r="O388" i="165"/>
  <c r="J382" i="165"/>
  <c r="P300" i="165"/>
  <c r="P394" i="165"/>
  <c r="J391" i="165"/>
  <c r="E382" i="165"/>
  <c r="P275" i="165"/>
  <c r="E388" i="165"/>
  <c r="P348" i="165"/>
  <c r="P389" i="165"/>
  <c r="P379" i="165"/>
  <c r="P267" i="165"/>
  <c r="P288" i="165"/>
  <c r="P341" i="165"/>
  <c r="I230" i="167"/>
  <c r="I229" i="167" s="1"/>
  <c r="G229" i="167" s="1"/>
  <c r="O324" i="165"/>
  <c r="E324" i="165"/>
  <c r="O323" i="165"/>
  <c r="E323" i="165"/>
  <c r="O322" i="165"/>
  <c r="E322" i="165"/>
  <c r="O321" i="165"/>
  <c r="E321" i="165"/>
  <c r="E320" i="165"/>
  <c r="O315" i="165"/>
  <c r="E315" i="165"/>
  <c r="O308" i="165"/>
  <c r="E308" i="165"/>
  <c r="N305" i="165"/>
  <c r="M305" i="165"/>
  <c r="I305" i="165"/>
  <c r="H305" i="165"/>
  <c r="G305" i="165"/>
  <c r="F305" i="165"/>
  <c r="P247" i="201" l="1"/>
  <c r="Q248" i="201"/>
  <c r="E378" i="165"/>
  <c r="J378" i="165"/>
  <c r="P345" i="165"/>
  <c r="O340" i="165"/>
  <c r="E248" i="165"/>
  <c r="E247" i="165" s="1"/>
  <c r="K207" i="167" s="1"/>
  <c r="O248" i="165"/>
  <c r="P293" i="165"/>
  <c r="E180" i="165"/>
  <c r="E180" i="201" s="1"/>
  <c r="E131" i="201" s="1"/>
  <c r="P253" i="165"/>
  <c r="P253" i="201" s="1"/>
  <c r="G230" i="167"/>
  <c r="P279" i="165"/>
  <c r="J344" i="165"/>
  <c r="J315" i="165"/>
  <c r="J261" i="165"/>
  <c r="G207" i="167"/>
  <c r="J287" i="165"/>
  <c r="P181" i="165"/>
  <c r="P181" i="201" s="1"/>
  <c r="E274" i="165"/>
  <c r="O274" i="165"/>
  <c r="P290" i="165"/>
  <c r="P264" i="165"/>
  <c r="E307" i="165"/>
  <c r="J322" i="165"/>
  <c r="J324" i="165"/>
  <c r="P391" i="165"/>
  <c r="O307" i="165"/>
  <c r="E314" i="165"/>
  <c r="J321" i="165"/>
  <c r="J323" i="165"/>
  <c r="I278" i="167" s="1"/>
  <c r="P382" i="165"/>
  <c r="O314" i="165"/>
  <c r="J308" i="165"/>
  <c r="E319" i="165"/>
  <c r="L305" i="165"/>
  <c r="O320" i="165"/>
  <c r="K305" i="165"/>
  <c r="E130" i="201" l="1"/>
  <c r="P131" i="201"/>
  <c r="P378" i="165"/>
  <c r="Q378" i="165" s="1"/>
  <c r="J340" i="165"/>
  <c r="J274" i="165"/>
  <c r="P274" i="165" s="1"/>
  <c r="E131" i="165"/>
  <c r="P180" i="165"/>
  <c r="P180" i="201" s="1"/>
  <c r="P261" i="165"/>
  <c r="P344" i="165"/>
  <c r="P322" i="165"/>
  <c r="G278" i="167"/>
  <c r="P323" i="165"/>
  <c r="O273" i="165"/>
  <c r="E273" i="165"/>
  <c r="K229" i="167"/>
  <c r="P321" i="165"/>
  <c r="O247" i="165"/>
  <c r="J248" i="165"/>
  <c r="P324" i="165"/>
  <c r="J307" i="165"/>
  <c r="O313" i="165"/>
  <c r="E313" i="165"/>
  <c r="J314" i="165"/>
  <c r="E317" i="165"/>
  <c r="P287" i="165"/>
  <c r="P315" i="165"/>
  <c r="P308" i="165"/>
  <c r="O319" i="165"/>
  <c r="J320" i="165"/>
  <c r="Q131" i="201" l="1"/>
  <c r="P130" i="201"/>
  <c r="P340" i="165"/>
  <c r="Q340" i="165" s="1"/>
  <c r="L292" i="167"/>
  <c r="L229" i="167"/>
  <c r="J273" i="165"/>
  <c r="P273" i="165"/>
  <c r="E316" i="165"/>
  <c r="J247" i="165"/>
  <c r="L207" i="167" s="1"/>
  <c r="P248" i="165"/>
  <c r="Q248" i="165" s="1"/>
  <c r="P307" i="165"/>
  <c r="P314" i="165"/>
  <c r="J313" i="165"/>
  <c r="O317" i="165"/>
  <c r="P320" i="165"/>
  <c r="J319" i="165"/>
  <c r="E306" i="165" l="1"/>
  <c r="E305" i="165"/>
  <c r="O316" i="165"/>
  <c r="P247" i="165"/>
  <c r="P319" i="165"/>
  <c r="P313" i="165"/>
  <c r="J317" i="165"/>
  <c r="O306" i="165" l="1"/>
  <c r="J316" i="165"/>
  <c r="P317" i="165"/>
  <c r="J205" i="167"/>
  <c r="H205" i="167"/>
  <c r="P316" i="165" l="1"/>
  <c r="O305" i="165"/>
  <c r="J306" i="165"/>
  <c r="P306" i="165" l="1"/>
  <c r="J305" i="165"/>
  <c r="M309" i="167"/>
  <c r="G308" i="167"/>
  <c r="M307" i="167"/>
  <c r="G307" i="167"/>
  <c r="J285" i="167"/>
  <c r="M285" i="167" s="1"/>
  <c r="J201" i="167"/>
  <c r="J200" i="167"/>
  <c r="J199" i="167"/>
  <c r="J198" i="167"/>
  <c r="J196" i="167"/>
  <c r="J193" i="167"/>
  <c r="J192" i="167"/>
  <c r="J191" i="167"/>
  <c r="J187" i="167"/>
  <c r="G180" i="167"/>
  <c r="G179" i="167"/>
  <c r="J178" i="167"/>
  <c r="G177" i="167"/>
  <c r="J176" i="167"/>
  <c r="J173" i="167"/>
  <c r="G174" i="167"/>
  <c r="J167" i="167"/>
  <c r="G154" i="167"/>
  <c r="G153" i="167"/>
  <c r="G150" i="167"/>
  <c r="G144" i="167"/>
  <c r="J120" i="167"/>
  <c r="H120" i="167"/>
  <c r="G119" i="167"/>
  <c r="J112" i="167"/>
  <c r="J111" i="167"/>
  <c r="J110" i="167"/>
  <c r="J109" i="167"/>
  <c r="J103" i="167"/>
  <c r="J90" i="167"/>
  <c r="J54" i="167" s="1"/>
  <c r="G63" i="167"/>
  <c r="G59" i="167"/>
  <c r="G42" i="167"/>
  <c r="J40" i="167"/>
  <c r="M40" i="167" s="1"/>
  <c r="J39" i="167"/>
  <c r="J33" i="167"/>
  <c r="M33" i="167" s="1"/>
  <c r="G24" i="167"/>
  <c r="O413" i="165"/>
  <c r="O407" i="165"/>
  <c r="O399" i="165"/>
  <c r="G396" i="165"/>
  <c r="E399" i="165"/>
  <c r="N396" i="165"/>
  <c r="M396" i="165"/>
  <c r="L396" i="165"/>
  <c r="K396" i="165"/>
  <c r="I396" i="165"/>
  <c r="H396" i="165"/>
  <c r="G387" i="165"/>
  <c r="N387" i="165"/>
  <c r="M387" i="165"/>
  <c r="L387" i="165"/>
  <c r="K387" i="165"/>
  <c r="I387" i="165"/>
  <c r="F387" i="165"/>
  <c r="N377" i="165"/>
  <c r="M377" i="165"/>
  <c r="I377" i="165"/>
  <c r="H377" i="165"/>
  <c r="G377" i="165"/>
  <c r="O370" i="165"/>
  <c r="O367" i="165"/>
  <c r="O366" i="165"/>
  <c r="E366" i="165"/>
  <c r="N358" i="165"/>
  <c r="M358" i="165"/>
  <c r="I358" i="165"/>
  <c r="H358" i="165"/>
  <c r="G358" i="165"/>
  <c r="L358" i="165"/>
  <c r="G339" i="165"/>
  <c r="N339" i="165"/>
  <c r="M339" i="165"/>
  <c r="I339" i="165"/>
  <c r="H339" i="165"/>
  <c r="N330" i="165"/>
  <c r="M330" i="165"/>
  <c r="L330" i="165"/>
  <c r="K330" i="165"/>
  <c r="I330" i="165"/>
  <c r="F330" i="165"/>
  <c r="O236" i="165"/>
  <c r="O233" i="165"/>
  <c r="E233" i="165"/>
  <c r="O232" i="165"/>
  <c r="E232" i="165"/>
  <c r="O231" i="165"/>
  <c r="O227" i="165"/>
  <c r="J226" i="165"/>
  <c r="E226" i="165"/>
  <c r="O224" i="165"/>
  <c r="E224" i="165"/>
  <c r="O222" i="165"/>
  <c r="O221" i="165"/>
  <c r="E221" i="165"/>
  <c r="E218" i="165"/>
  <c r="E217" i="165"/>
  <c r="O215" i="165"/>
  <c r="N211" i="165"/>
  <c r="M211" i="165"/>
  <c r="L211" i="165"/>
  <c r="I211" i="165"/>
  <c r="O201" i="165"/>
  <c r="E201" i="165"/>
  <c r="E200" i="165"/>
  <c r="E197" i="165"/>
  <c r="O196" i="165"/>
  <c r="E196" i="165"/>
  <c r="O195" i="165"/>
  <c r="E195" i="165"/>
  <c r="O194" i="165"/>
  <c r="H189" i="165"/>
  <c r="E192" i="165"/>
  <c r="N189" i="165"/>
  <c r="M189" i="165"/>
  <c r="L189" i="165"/>
  <c r="G189" i="165"/>
  <c r="M130" i="165"/>
  <c r="L130" i="165"/>
  <c r="I130" i="165"/>
  <c r="I120" i="167"/>
  <c r="E128" i="165"/>
  <c r="O117" i="165"/>
  <c r="O116" i="165"/>
  <c r="E116" i="165"/>
  <c r="O114" i="165"/>
  <c r="O112" i="165"/>
  <c r="E110" i="165"/>
  <c r="O109" i="165"/>
  <c r="E109" i="165"/>
  <c r="O108" i="165"/>
  <c r="J107" i="165"/>
  <c r="E107" i="165"/>
  <c r="E106" i="165"/>
  <c r="O103" i="165"/>
  <c r="N100" i="165"/>
  <c r="M100" i="165"/>
  <c r="L100" i="165"/>
  <c r="I100" i="165"/>
  <c r="O86" i="165"/>
  <c r="E86" i="165"/>
  <c r="E85" i="165" s="1"/>
  <c r="O67" i="165"/>
  <c r="O65" i="165"/>
  <c r="E64" i="165"/>
  <c r="E61" i="165"/>
  <c r="E59" i="165"/>
  <c r="O51" i="165"/>
  <c r="E51" i="165"/>
  <c r="E50" i="165"/>
  <c r="E48" i="165"/>
  <c r="M45" i="165"/>
  <c r="I45" i="165"/>
  <c r="O41" i="165"/>
  <c r="O38" i="165"/>
  <c r="E30" i="165"/>
  <c r="O28" i="165"/>
  <c r="O26" i="165" s="1"/>
  <c r="E28" i="165"/>
  <c r="O21" i="165"/>
  <c r="E18" i="165"/>
  <c r="E18" i="201" s="1"/>
  <c r="G15" i="165"/>
  <c r="H55" i="167" l="1"/>
  <c r="E48" i="201"/>
  <c r="H171" i="167"/>
  <c r="H70" i="167"/>
  <c r="K70" i="167" s="1"/>
  <c r="H165" i="167"/>
  <c r="H176" i="167"/>
  <c r="H188" i="167"/>
  <c r="O102" i="165"/>
  <c r="O85" i="165"/>
  <c r="H178" i="167"/>
  <c r="H68" i="167"/>
  <c r="K68" i="167" s="1"/>
  <c r="H101" i="167"/>
  <c r="H105" i="167"/>
  <c r="Q306" i="165"/>
  <c r="K55" i="167"/>
  <c r="H58" i="167"/>
  <c r="K58" i="167" s="1"/>
  <c r="J164" i="167"/>
  <c r="M39" i="167"/>
  <c r="O49" i="165"/>
  <c r="O47" i="165" s="1"/>
  <c r="E49" i="165"/>
  <c r="O37" i="165"/>
  <c r="O40" i="165"/>
  <c r="O66" i="165"/>
  <c r="O113" i="165"/>
  <c r="H168" i="167"/>
  <c r="O214" i="165"/>
  <c r="O235" i="165"/>
  <c r="E398" i="165"/>
  <c r="O412" i="165"/>
  <c r="H73" i="167"/>
  <c r="O369" i="165"/>
  <c r="P305" i="165"/>
  <c r="E29" i="165"/>
  <c r="E26" i="165" s="1"/>
  <c r="P110" i="165"/>
  <c r="H190" i="167"/>
  <c r="E223" i="165"/>
  <c r="O225" i="165"/>
  <c r="O398" i="165"/>
  <c r="O111" i="165"/>
  <c r="O199" i="165"/>
  <c r="O223" i="165"/>
  <c r="O406" i="165"/>
  <c r="P30" i="165"/>
  <c r="O63" i="165"/>
  <c r="E199" i="165"/>
  <c r="E191" i="165"/>
  <c r="O230" i="165"/>
  <c r="O220" i="165"/>
  <c r="E216" i="165"/>
  <c r="O115" i="165"/>
  <c r="E60" i="165"/>
  <c r="H62" i="167"/>
  <c r="K62" i="167" s="1"/>
  <c r="H33" i="167"/>
  <c r="K33" i="167" s="1"/>
  <c r="H32" i="167"/>
  <c r="K32" i="167" s="1"/>
  <c r="N15" i="165"/>
  <c r="I15" i="165"/>
  <c r="I414" i="165"/>
  <c r="I424" i="165" s="1"/>
  <c r="M15" i="165"/>
  <c r="M414" i="165"/>
  <c r="K377" i="165"/>
  <c r="K339" i="165"/>
  <c r="F358" i="165"/>
  <c r="G309" i="167"/>
  <c r="G304" i="167" s="1"/>
  <c r="H303" i="167"/>
  <c r="J114" i="165"/>
  <c r="E117" i="165"/>
  <c r="I303" i="167"/>
  <c r="K189" i="165"/>
  <c r="E215" i="165"/>
  <c r="J215" i="165"/>
  <c r="J38" i="165"/>
  <c r="J64" i="165"/>
  <c r="J232" i="165"/>
  <c r="L45" i="165"/>
  <c r="E108" i="165"/>
  <c r="J407" i="165"/>
  <c r="J316" i="167"/>
  <c r="M316" i="167" s="1"/>
  <c r="J224" i="165"/>
  <c r="J367" i="165"/>
  <c r="O377" i="165"/>
  <c r="J197" i="165"/>
  <c r="J196" i="165"/>
  <c r="J217" i="165"/>
  <c r="H387" i="165"/>
  <c r="E21" i="165"/>
  <c r="K24" i="167" s="1"/>
  <c r="E24" i="165"/>
  <c r="J28" i="165"/>
  <c r="J26" i="165" s="1"/>
  <c r="J41" i="165"/>
  <c r="J51" i="165"/>
  <c r="J61" i="165"/>
  <c r="J65" i="165"/>
  <c r="G100" i="165"/>
  <c r="I103" i="167"/>
  <c r="E112" i="165"/>
  <c r="N130" i="165"/>
  <c r="J194" i="165"/>
  <c r="H173" i="167"/>
  <c r="J222" i="165"/>
  <c r="H199" i="167"/>
  <c r="J233" i="165"/>
  <c r="H276" i="167"/>
  <c r="H277" i="167"/>
  <c r="E330" i="165"/>
  <c r="H285" i="167"/>
  <c r="K285" i="167" s="1"/>
  <c r="E367" i="165"/>
  <c r="J370" i="165"/>
  <c r="J399" i="165"/>
  <c r="J413" i="165"/>
  <c r="E41" i="165"/>
  <c r="J195" i="165"/>
  <c r="J201" i="165"/>
  <c r="H271" i="167"/>
  <c r="J366" i="165"/>
  <c r="N45" i="165"/>
  <c r="J109" i="165"/>
  <c r="J112" i="165"/>
  <c r="H111" i="167"/>
  <c r="J117" i="165"/>
  <c r="J200" i="165"/>
  <c r="E231" i="165"/>
  <c r="E236" i="165"/>
  <c r="G330" i="165"/>
  <c r="L377" i="165"/>
  <c r="O18" i="165"/>
  <c r="O18" i="201" s="1"/>
  <c r="E65" i="165"/>
  <c r="J86" i="165"/>
  <c r="J108" i="165"/>
  <c r="E194" i="165"/>
  <c r="E222" i="165"/>
  <c r="J227" i="165"/>
  <c r="H200" i="167"/>
  <c r="H281" i="167"/>
  <c r="J29" i="167"/>
  <c r="J16" i="167" s="1"/>
  <c r="M15" i="167" s="1"/>
  <c r="J67" i="165"/>
  <c r="F100" i="165"/>
  <c r="H100" i="165"/>
  <c r="J21" i="165"/>
  <c r="E67" i="165"/>
  <c r="H90" i="167"/>
  <c r="E103" i="165"/>
  <c r="J103" i="165"/>
  <c r="E114" i="165"/>
  <c r="J116" i="165"/>
  <c r="G130" i="165"/>
  <c r="G211" i="165"/>
  <c r="H211" i="165"/>
  <c r="J221" i="165"/>
  <c r="H193" i="167"/>
  <c r="I194" i="167"/>
  <c r="J231" i="165"/>
  <c r="J236" i="165"/>
  <c r="H330" i="165"/>
  <c r="E387" i="165"/>
  <c r="G120" i="167"/>
  <c r="K307" i="167"/>
  <c r="G169" i="167"/>
  <c r="G195" i="167"/>
  <c r="J323" i="167"/>
  <c r="M323" i="167" s="1"/>
  <c r="H103" i="167"/>
  <c r="P107" i="165"/>
  <c r="F339" i="165"/>
  <c r="J48" i="165"/>
  <c r="I55" i="167" s="1"/>
  <c r="L55" i="167" s="1"/>
  <c r="L339" i="165"/>
  <c r="L414" i="165"/>
  <c r="O106" i="165"/>
  <c r="H130" i="165"/>
  <c r="F130" i="165"/>
  <c r="H191" i="167"/>
  <c r="G17" i="167"/>
  <c r="H15" i="165"/>
  <c r="E227" i="165"/>
  <c r="F211" i="165"/>
  <c r="K358" i="165"/>
  <c r="E370" i="165"/>
  <c r="O218" i="165"/>
  <c r="H194" i="167"/>
  <c r="P226" i="165"/>
  <c r="J281" i="167"/>
  <c r="F377" i="165"/>
  <c r="J194" i="167"/>
  <c r="J186" i="167" s="1"/>
  <c r="J117" i="167"/>
  <c r="J98" i="167" s="1"/>
  <c r="O24" i="165"/>
  <c r="O128" i="165"/>
  <c r="J271" i="167"/>
  <c r="O339" i="165"/>
  <c r="E407" i="165"/>
  <c r="E407" i="201" s="1"/>
  <c r="G26" i="167"/>
  <c r="G123" i="167"/>
  <c r="J303" i="167"/>
  <c r="K313" i="167" l="1"/>
  <c r="J85" i="165"/>
  <c r="I171" i="167"/>
  <c r="G171" i="167" s="1"/>
  <c r="I105" i="167"/>
  <c r="G105" i="167" s="1"/>
  <c r="I188" i="167"/>
  <c r="J102" i="165"/>
  <c r="O39" i="165"/>
  <c r="E102" i="165"/>
  <c r="O219" i="165"/>
  <c r="I70" i="167"/>
  <c r="L70" i="167" s="1"/>
  <c r="E193" i="165"/>
  <c r="H267" i="167"/>
  <c r="K267" i="167" s="1"/>
  <c r="O33" i="165"/>
  <c r="L313" i="167"/>
  <c r="O404" i="165"/>
  <c r="E23" i="165"/>
  <c r="O23" i="165"/>
  <c r="O365" i="165"/>
  <c r="P29" i="165"/>
  <c r="P26" i="165" s="1"/>
  <c r="J199" i="165"/>
  <c r="J398" i="165"/>
  <c r="J214" i="165"/>
  <c r="E115" i="165"/>
  <c r="E406" i="165"/>
  <c r="E406" i="201" s="1"/>
  <c r="J225" i="165"/>
  <c r="I168" i="167"/>
  <c r="G168" i="167" s="1"/>
  <c r="J369" i="165"/>
  <c r="I74" i="167"/>
  <c r="L74" i="167" s="1"/>
  <c r="J406" i="165"/>
  <c r="I73" i="167"/>
  <c r="G73" i="167" s="1"/>
  <c r="E214" i="165"/>
  <c r="J113" i="165"/>
  <c r="O193" i="165"/>
  <c r="E220" i="165"/>
  <c r="E235" i="165"/>
  <c r="E111" i="165"/>
  <c r="J223" i="165"/>
  <c r="J37" i="165"/>
  <c r="O411" i="165"/>
  <c r="O234" i="165"/>
  <c r="E225" i="165"/>
  <c r="J235" i="165"/>
  <c r="O17" i="165"/>
  <c r="O17" i="201" s="1"/>
  <c r="O16" i="201" s="1"/>
  <c r="E230" i="165"/>
  <c r="J111" i="165"/>
  <c r="J412" i="165"/>
  <c r="I62" i="167"/>
  <c r="L62" i="167" s="1"/>
  <c r="E113" i="165"/>
  <c r="I104" i="167"/>
  <c r="E369" i="165"/>
  <c r="M29" i="167"/>
  <c r="E40" i="165"/>
  <c r="J40" i="165"/>
  <c r="E63" i="165"/>
  <c r="H74" i="167"/>
  <c r="J60" i="165"/>
  <c r="O105" i="165"/>
  <c r="E66" i="165"/>
  <c r="H76" i="167"/>
  <c r="J66" i="165"/>
  <c r="I76" i="167"/>
  <c r="J230" i="165"/>
  <c r="P366" i="165"/>
  <c r="J220" i="165"/>
  <c r="G188" i="167"/>
  <c r="O216" i="165"/>
  <c r="J115" i="165"/>
  <c r="H104" i="167"/>
  <c r="I33" i="167"/>
  <c r="L33" i="167" s="1"/>
  <c r="I32" i="167"/>
  <c r="L32" i="167" s="1"/>
  <c r="E17" i="165"/>
  <c r="E17" i="201" s="1"/>
  <c r="E16" i="201" s="1"/>
  <c r="J63" i="165"/>
  <c r="E72" i="170"/>
  <c r="K15" i="165"/>
  <c r="K414" i="165"/>
  <c r="K427" i="165" s="1"/>
  <c r="F45" i="165"/>
  <c r="H45" i="165"/>
  <c r="H414" i="165"/>
  <c r="G45" i="165"/>
  <c r="G414" i="165"/>
  <c r="N414" i="165"/>
  <c r="N424" i="165" s="1"/>
  <c r="M303" i="167"/>
  <c r="J291" i="167"/>
  <c r="M292" i="167"/>
  <c r="P38" i="165"/>
  <c r="I187" i="167"/>
  <c r="I173" i="167"/>
  <c r="G173" i="167" s="1"/>
  <c r="I110" i="167"/>
  <c r="P232" i="165"/>
  <c r="G132" i="167"/>
  <c r="P221" i="165"/>
  <c r="P109" i="165"/>
  <c r="P51" i="165"/>
  <c r="H112" i="167"/>
  <c r="I39" i="167"/>
  <c r="F189" i="165"/>
  <c r="P201" i="165"/>
  <c r="I193" i="167"/>
  <c r="G193" i="167" s="1"/>
  <c r="P116" i="165"/>
  <c r="P197" i="165"/>
  <c r="P222" i="165"/>
  <c r="P233" i="165"/>
  <c r="P61" i="165"/>
  <c r="P196" i="165"/>
  <c r="J59" i="165"/>
  <c r="L309" i="167"/>
  <c r="G130" i="167"/>
  <c r="P399" i="165"/>
  <c r="H39" i="167"/>
  <c r="G303" i="167"/>
  <c r="P112" i="165"/>
  <c r="P224" i="165"/>
  <c r="P413" i="165"/>
  <c r="P217" i="165"/>
  <c r="P200" i="165"/>
  <c r="P21" i="165"/>
  <c r="J192" i="165"/>
  <c r="H187" i="167"/>
  <c r="G103" i="167"/>
  <c r="H323" i="167"/>
  <c r="K323" i="167" s="1"/>
  <c r="P215" i="165"/>
  <c r="P65" i="165"/>
  <c r="G194" i="167"/>
  <c r="P64" i="165"/>
  <c r="P114" i="165"/>
  <c r="H110" i="167"/>
  <c r="P41" i="165"/>
  <c r="K309" i="167"/>
  <c r="H40" i="167"/>
  <c r="K40" i="167" s="1"/>
  <c r="P28" i="165"/>
  <c r="P236" i="165"/>
  <c r="H198" i="167"/>
  <c r="P86" i="165"/>
  <c r="I199" i="167"/>
  <c r="G199" i="167" s="1"/>
  <c r="P194" i="165"/>
  <c r="H192" i="167"/>
  <c r="H167" i="167"/>
  <c r="H164" i="167" s="1"/>
  <c r="P367" i="165"/>
  <c r="I176" i="167"/>
  <c r="G176" i="167" s="1"/>
  <c r="P108" i="165"/>
  <c r="I90" i="167"/>
  <c r="G90" i="167" s="1"/>
  <c r="P67" i="165"/>
  <c r="J163" i="167"/>
  <c r="M163" i="167" s="1"/>
  <c r="I111" i="167"/>
  <c r="G111" i="167" s="1"/>
  <c r="P103" i="165"/>
  <c r="M424" i="165"/>
  <c r="G146" i="167"/>
  <c r="I196" i="167"/>
  <c r="J377" i="165"/>
  <c r="J50" i="165"/>
  <c r="G147" i="167"/>
  <c r="G136" i="167"/>
  <c r="H29" i="167"/>
  <c r="H16" i="167" s="1"/>
  <c r="J24" i="165"/>
  <c r="G131" i="167"/>
  <c r="I198" i="167"/>
  <c r="G273" i="167"/>
  <c r="G129" i="167"/>
  <c r="I112" i="167"/>
  <c r="I109" i="167"/>
  <c r="G134" i="167"/>
  <c r="H109" i="167"/>
  <c r="H201" i="167"/>
  <c r="J218" i="165"/>
  <c r="P117" i="165"/>
  <c r="P231" i="165"/>
  <c r="J53" i="167"/>
  <c r="P195" i="165"/>
  <c r="I191" i="167"/>
  <c r="G191" i="167" s="1"/>
  <c r="J18" i="165"/>
  <c r="J18" i="201" s="1"/>
  <c r="L307" i="167"/>
  <c r="I178" i="167"/>
  <c r="G178" i="167" s="1"/>
  <c r="I192" i="167"/>
  <c r="I167" i="167"/>
  <c r="J128" i="165"/>
  <c r="I117" i="167" s="1"/>
  <c r="I201" i="167"/>
  <c r="G151" i="167"/>
  <c r="I200" i="167"/>
  <c r="G200" i="167" s="1"/>
  <c r="G143" i="167"/>
  <c r="G135" i="167"/>
  <c r="I40" i="167"/>
  <c r="L40" i="167" s="1"/>
  <c r="G128" i="167"/>
  <c r="H316" i="167"/>
  <c r="K316" i="167" s="1"/>
  <c r="J121" i="167"/>
  <c r="M121" i="167" s="1"/>
  <c r="K130" i="165"/>
  <c r="K211" i="165"/>
  <c r="P407" i="165"/>
  <c r="P407" i="201" s="1"/>
  <c r="O330" i="165"/>
  <c r="J331" i="165"/>
  <c r="K45" i="165"/>
  <c r="J185" i="167"/>
  <c r="P370" i="165"/>
  <c r="J106" i="165"/>
  <c r="L15" i="165"/>
  <c r="O387" i="165"/>
  <c r="J388" i="165"/>
  <c r="H196" i="167"/>
  <c r="P227" i="165"/>
  <c r="F15" i="165"/>
  <c r="K100" i="165"/>
  <c r="P48" i="165"/>
  <c r="P48" i="201" s="1"/>
  <c r="O15" i="201" l="1"/>
  <c r="J16" i="201"/>
  <c r="O414" i="201"/>
  <c r="P16" i="201"/>
  <c r="E15" i="201"/>
  <c r="E47" i="165"/>
  <c r="E47" i="201" s="1"/>
  <c r="E46" i="201" s="1"/>
  <c r="I101" i="167"/>
  <c r="I98" i="167" s="1"/>
  <c r="E365" i="165"/>
  <c r="P102" i="165"/>
  <c r="P85" i="165"/>
  <c r="I165" i="167"/>
  <c r="I164" i="167" s="1"/>
  <c r="I68" i="167"/>
  <c r="L68" i="167" s="1"/>
  <c r="J39" i="165"/>
  <c r="E219" i="165"/>
  <c r="J365" i="165"/>
  <c r="J219" i="165"/>
  <c r="E39" i="165"/>
  <c r="G70" i="167"/>
  <c r="G55" i="167"/>
  <c r="I58" i="167"/>
  <c r="L58" i="167" s="1"/>
  <c r="H98" i="167"/>
  <c r="G117" i="167"/>
  <c r="H186" i="167"/>
  <c r="H185" i="167" s="1"/>
  <c r="O46" i="165"/>
  <c r="E190" i="165"/>
  <c r="L39" i="167"/>
  <c r="O397" i="165"/>
  <c r="J339" i="165"/>
  <c r="J33" i="165"/>
  <c r="J404" i="165"/>
  <c r="O120" i="165"/>
  <c r="H424" i="165"/>
  <c r="O22" i="165"/>
  <c r="H54" i="167"/>
  <c r="J23" i="165"/>
  <c r="J49" i="165"/>
  <c r="J47" i="165" s="1"/>
  <c r="E213" i="165"/>
  <c r="O362" i="165"/>
  <c r="P331" i="165"/>
  <c r="Q331" i="165" s="1"/>
  <c r="G62" i="167"/>
  <c r="E22" i="165"/>
  <c r="J193" i="165"/>
  <c r="P60" i="165"/>
  <c r="E105" i="165"/>
  <c r="P225" i="165"/>
  <c r="I190" i="167"/>
  <c r="G190" i="167" s="1"/>
  <c r="P235" i="165"/>
  <c r="P199" i="165"/>
  <c r="P223" i="165"/>
  <c r="P398" i="165"/>
  <c r="P37" i="165"/>
  <c r="P111" i="165"/>
  <c r="J234" i="165"/>
  <c r="O190" i="165"/>
  <c r="J17" i="165"/>
  <c r="J17" i="201" s="1"/>
  <c r="P113" i="165"/>
  <c r="P214" i="165"/>
  <c r="P412" i="165"/>
  <c r="P406" i="165"/>
  <c r="P406" i="201" s="1"/>
  <c r="J411" i="165"/>
  <c r="E234" i="165"/>
  <c r="P369" i="165"/>
  <c r="K39" i="167"/>
  <c r="G39" i="167"/>
  <c r="P63" i="165"/>
  <c r="P66" i="165"/>
  <c r="G76" i="167"/>
  <c r="K74" i="167"/>
  <c r="G74" i="167"/>
  <c r="K29" i="167"/>
  <c r="P230" i="165"/>
  <c r="P220" i="165"/>
  <c r="O213" i="165"/>
  <c r="J216" i="165"/>
  <c r="J105" i="165"/>
  <c r="J191" i="165"/>
  <c r="P115" i="165"/>
  <c r="P40" i="165"/>
  <c r="G32" i="167"/>
  <c r="J97" i="167"/>
  <c r="M97" i="167" s="1"/>
  <c r="H266" i="167"/>
  <c r="H163" i="167"/>
  <c r="G187" i="167"/>
  <c r="J15" i="167"/>
  <c r="G110" i="167"/>
  <c r="I276" i="167"/>
  <c r="G276" i="167" s="1"/>
  <c r="P59" i="165"/>
  <c r="G112" i="167"/>
  <c r="I271" i="167"/>
  <c r="P50" i="165"/>
  <c r="G104" i="167"/>
  <c r="G291" i="167"/>
  <c r="G33" i="167"/>
  <c r="P192" i="165"/>
  <c r="G141" i="167"/>
  <c r="G40" i="167"/>
  <c r="F100" i="170" s="1"/>
  <c r="G109" i="167"/>
  <c r="G142" i="167"/>
  <c r="G167" i="167"/>
  <c r="G198" i="167"/>
  <c r="G192" i="167"/>
  <c r="M53" i="167"/>
  <c r="P18" i="165"/>
  <c r="P18" i="201" s="1"/>
  <c r="G149" i="167"/>
  <c r="G196" i="167"/>
  <c r="G201" i="167"/>
  <c r="I323" i="167"/>
  <c r="L323" i="167" s="1"/>
  <c r="I285" i="167"/>
  <c r="L285" i="167" s="1"/>
  <c r="G287" i="167"/>
  <c r="G286" i="167" s="1"/>
  <c r="P24" i="165"/>
  <c r="L424" i="165"/>
  <c r="I316" i="167"/>
  <c r="L316" i="167" s="1"/>
  <c r="G323" i="167"/>
  <c r="P218" i="165"/>
  <c r="I277" i="167"/>
  <c r="G277" i="167" s="1"/>
  <c r="G157" i="167"/>
  <c r="I29" i="167"/>
  <c r="I16" i="167" s="1"/>
  <c r="P128" i="165"/>
  <c r="I281" i="167"/>
  <c r="G281" i="167" s="1"/>
  <c r="G424" i="165"/>
  <c r="G316" i="167"/>
  <c r="P106" i="165"/>
  <c r="J330" i="165"/>
  <c r="E130" i="165"/>
  <c r="O130" i="165"/>
  <c r="J131" i="165"/>
  <c r="H291" i="167"/>
  <c r="E339" i="165"/>
  <c r="E377" i="165"/>
  <c r="J387" i="165"/>
  <c r="P388" i="165"/>
  <c r="Q388" i="165" s="1"/>
  <c r="H121" i="167"/>
  <c r="K121" i="167" s="1"/>
  <c r="O427" i="201" l="1"/>
  <c r="O424" i="201"/>
  <c r="J15" i="201"/>
  <c r="J414" i="201"/>
  <c r="E45" i="201"/>
  <c r="P46" i="201"/>
  <c r="Q16" i="201"/>
  <c r="P15" i="201"/>
  <c r="G68" i="167"/>
  <c r="P39" i="165"/>
  <c r="D101" i="170"/>
  <c r="E101" i="170" s="1"/>
  <c r="D102" i="170"/>
  <c r="E102" i="170" s="1"/>
  <c r="P219" i="165"/>
  <c r="O359" i="165"/>
  <c r="O358" i="165" s="1"/>
  <c r="E46" i="165"/>
  <c r="O189" i="165"/>
  <c r="E189" i="165"/>
  <c r="E101" i="165"/>
  <c r="J46" i="165"/>
  <c r="J45" i="165" s="1"/>
  <c r="H334" i="167"/>
  <c r="O101" i="165"/>
  <c r="J397" i="165"/>
  <c r="J396" i="165" s="1"/>
  <c r="I267" i="167"/>
  <c r="L267" i="167" s="1"/>
  <c r="P33" i="165"/>
  <c r="J362" i="165"/>
  <c r="G101" i="167"/>
  <c r="G98" i="167" s="1"/>
  <c r="O212" i="165"/>
  <c r="O211" i="165" s="1"/>
  <c r="E212" i="165"/>
  <c r="E211" i="165" s="1"/>
  <c r="J120" i="165"/>
  <c r="J130" i="165"/>
  <c r="P131" i="165"/>
  <c r="O16" i="165"/>
  <c r="I54" i="167"/>
  <c r="I53" i="167" s="1"/>
  <c r="O45" i="165"/>
  <c r="P49" i="165"/>
  <c r="P47" i="165" s="1"/>
  <c r="P47" i="201" s="1"/>
  <c r="P23" i="165"/>
  <c r="E362" i="165"/>
  <c r="P193" i="165"/>
  <c r="G36" i="108"/>
  <c r="G58" i="167"/>
  <c r="K163" i="167"/>
  <c r="E16" i="165"/>
  <c r="K15" i="167" s="1"/>
  <c r="J190" i="165"/>
  <c r="P365" i="165"/>
  <c r="P17" i="165"/>
  <c r="P17" i="201" s="1"/>
  <c r="J22" i="165"/>
  <c r="J213" i="165"/>
  <c r="P191" i="165"/>
  <c r="P411" i="165"/>
  <c r="P216" i="165"/>
  <c r="O396" i="165"/>
  <c r="P234" i="165"/>
  <c r="H53" i="167"/>
  <c r="G165" i="167"/>
  <c r="G164" i="167" s="1"/>
  <c r="P105" i="165"/>
  <c r="H97" i="167"/>
  <c r="K97" i="167" s="1"/>
  <c r="G285" i="167"/>
  <c r="G271" i="167"/>
  <c r="G267" i="167" s="1"/>
  <c r="H15" i="167"/>
  <c r="I291" i="167"/>
  <c r="L29" i="167"/>
  <c r="J276" i="167"/>
  <c r="I163" i="167"/>
  <c r="G29" i="167"/>
  <c r="G16" i="167" s="1"/>
  <c r="I121" i="167"/>
  <c r="L121" i="167" s="1"/>
  <c r="G127" i="167"/>
  <c r="G122" i="167" s="1"/>
  <c r="J277" i="167"/>
  <c r="P377" i="165"/>
  <c r="P387" i="165"/>
  <c r="P330" i="165"/>
  <c r="P339" i="165"/>
  <c r="J427" i="201" l="1"/>
  <c r="J424" i="201"/>
  <c r="Q46" i="201"/>
  <c r="P45" i="201"/>
  <c r="G54" i="167"/>
  <c r="G53" i="167" s="1"/>
  <c r="L53" i="167"/>
  <c r="J16" i="165"/>
  <c r="L15" i="167" s="1"/>
  <c r="J359" i="165"/>
  <c r="E359" i="165"/>
  <c r="E358" i="165" s="1"/>
  <c r="K303" i="167" s="1"/>
  <c r="Q131" i="165"/>
  <c r="E100" i="165"/>
  <c r="P46" i="165"/>
  <c r="Q46" i="165" s="1"/>
  <c r="P190" i="165"/>
  <c r="J267" i="167"/>
  <c r="J334" i="167" s="1"/>
  <c r="J101" i="165"/>
  <c r="J358" i="165"/>
  <c r="L303" i="167" s="1"/>
  <c r="P120" i="165"/>
  <c r="O15" i="165"/>
  <c r="P362" i="165"/>
  <c r="K53" i="167"/>
  <c r="J189" i="165"/>
  <c r="L163" i="167"/>
  <c r="O414" i="165"/>
  <c r="E45" i="165"/>
  <c r="J212" i="165"/>
  <c r="P212" i="165" s="1"/>
  <c r="Q212" i="165" s="1"/>
  <c r="E15" i="165"/>
  <c r="P213" i="165"/>
  <c r="P22" i="165"/>
  <c r="O100" i="165"/>
  <c r="G163" i="167"/>
  <c r="I97" i="167"/>
  <c r="G97" i="167"/>
  <c r="G15" i="167"/>
  <c r="I266" i="167"/>
  <c r="G121" i="167"/>
  <c r="I15" i="167"/>
  <c r="P130" i="165"/>
  <c r="J15" i="165" l="1"/>
  <c r="P189" i="165"/>
  <c r="P16" i="165"/>
  <c r="Q16" i="165" s="1"/>
  <c r="P359" i="165"/>
  <c r="P45" i="165"/>
  <c r="L97" i="167"/>
  <c r="P101" i="165"/>
  <c r="J211" i="165"/>
  <c r="P211" i="165"/>
  <c r="J100" i="165"/>
  <c r="J414" i="165"/>
  <c r="G266" i="167"/>
  <c r="M267" i="167"/>
  <c r="J266" i="167"/>
  <c r="P15" i="165" l="1"/>
  <c r="Q359" i="165"/>
  <c r="Q101" i="165"/>
  <c r="P358" i="165"/>
  <c r="P100" i="165"/>
  <c r="I205" i="167" l="1"/>
  <c r="I186" i="167" s="1"/>
  <c r="I334" i="167" s="1"/>
  <c r="G205" i="167" l="1"/>
  <c r="G186" i="167" l="1"/>
  <c r="G334" i="167" s="1"/>
  <c r="I185" i="167"/>
  <c r="K334" i="167" l="1"/>
  <c r="G185" i="167"/>
  <c r="M19" i="107"/>
  <c r="O19" i="107"/>
  <c r="Q19" i="107" l="1"/>
  <c r="G148" i="107" l="1"/>
  <c r="F139" i="108"/>
  <c r="G147" i="107"/>
  <c r="F138" i="108"/>
  <c r="G145" i="107"/>
  <c r="F136" i="108"/>
  <c r="F137" i="108"/>
  <c r="G146" i="107"/>
  <c r="G143" i="107"/>
  <c r="F134" i="108"/>
  <c r="G144" i="107"/>
  <c r="F135" i="108"/>
  <c r="G141" i="107"/>
  <c r="F132" i="108"/>
  <c r="G140" i="107"/>
  <c r="F131" i="108"/>
  <c r="G139" i="107"/>
  <c r="F130" i="108"/>
  <c r="G138" i="107"/>
  <c r="F129" i="108"/>
  <c r="G137" i="107"/>
  <c r="F128" i="108"/>
  <c r="G136" i="107"/>
  <c r="F127" i="108"/>
  <c r="G135" i="107"/>
  <c r="F126" i="108"/>
  <c r="G134" i="107"/>
  <c r="F125" i="108"/>
  <c r="G133" i="107"/>
  <c r="F124" i="108"/>
  <c r="G132" i="107"/>
  <c r="F123" i="108"/>
  <c r="G131" i="107"/>
  <c r="F122" i="108"/>
  <c r="G129" i="107"/>
  <c r="F120" i="108"/>
  <c r="G89" i="107"/>
  <c r="G87" i="107"/>
  <c r="G86" i="107"/>
  <c r="G85" i="107"/>
  <c r="G84" i="107"/>
  <c r="G82" i="107"/>
  <c r="G81" i="107"/>
  <c r="G80" i="107"/>
  <c r="G79" i="107"/>
  <c r="G78" i="107"/>
  <c r="G77" i="107"/>
  <c r="G76" i="107"/>
  <c r="G75" i="107"/>
  <c r="G74" i="107"/>
  <c r="G73" i="107"/>
  <c r="G72" i="107"/>
  <c r="G71" i="107"/>
  <c r="G70" i="107"/>
  <c r="G69" i="107"/>
  <c r="G68" i="107"/>
  <c r="G67" i="107"/>
  <c r="G66" i="107"/>
  <c r="G65" i="107"/>
  <c r="G64" i="107"/>
  <c r="G62" i="107"/>
  <c r="G18" i="107"/>
  <c r="G156" i="107"/>
  <c r="F148" i="108"/>
  <c r="K175" i="107"/>
  <c r="J167" i="108"/>
  <c r="G16" i="107" l="1"/>
  <c r="G15" i="107" s="1"/>
  <c r="G14" i="107" s="1"/>
  <c r="G13" i="107"/>
  <c r="G12" i="107" s="1"/>
  <c r="O18" i="107"/>
  <c r="K12" i="107"/>
  <c r="L12" i="107"/>
  <c r="J12" i="107"/>
  <c r="H12" i="107"/>
  <c r="O17" i="107"/>
  <c r="N17" i="107"/>
  <c r="M17" i="107"/>
  <c r="O16" i="107" l="1"/>
  <c r="O15" i="107" s="1"/>
  <c r="O14" i="107" s="1"/>
  <c r="L185" i="167"/>
  <c r="M185" i="167"/>
  <c r="O13" i="107"/>
  <c r="O12" i="107" s="1"/>
  <c r="Q17" i="107"/>
  <c r="J427" i="165" l="1"/>
  <c r="K424" i="165"/>
  <c r="O427" i="165"/>
  <c r="O424" i="165"/>
  <c r="N18" i="107"/>
  <c r="N16" i="107" l="1"/>
  <c r="N15" i="107" s="1"/>
  <c r="N14" i="107" s="1"/>
  <c r="N13" i="107"/>
  <c r="N12" i="107" s="1"/>
  <c r="F12" i="107"/>
  <c r="K185" i="167" s="1"/>
  <c r="D24" i="108" l="1"/>
  <c r="E24" i="108" l="1"/>
  <c r="E36" i="108"/>
  <c r="I141" i="108" s="1"/>
  <c r="E416" i="165"/>
  <c r="M18" i="107"/>
  <c r="Q18" i="107" s="1"/>
  <c r="M13" i="107" l="1"/>
  <c r="M12" i="107" s="1"/>
  <c r="M16" i="107"/>
  <c r="M15" i="107" s="1"/>
  <c r="M14" i="107" s="1"/>
  <c r="Q16" i="107"/>
  <c r="Q15" i="107" s="1"/>
  <c r="Q14" i="107" s="1"/>
  <c r="Q13" i="107" l="1"/>
  <c r="Q12" i="107" s="1"/>
  <c r="Q416" i="165" l="1"/>
  <c r="E405" i="165"/>
  <c r="E404" i="165" l="1"/>
  <c r="E404" i="201" s="1"/>
  <c r="E397" i="201" s="1"/>
  <c r="P405" i="165"/>
  <c r="F396" i="165"/>
  <c r="E396" i="201" l="1"/>
  <c r="E414" i="201"/>
  <c r="E397" i="165"/>
  <c r="P404" i="165"/>
  <c r="P404" i="201" s="1"/>
  <c r="P397" i="201" s="1"/>
  <c r="P396" i="201" l="1"/>
  <c r="Q397" i="201"/>
  <c r="P414" i="201"/>
  <c r="E424" i="201"/>
  <c r="E427" i="201"/>
  <c r="F425" i="201"/>
  <c r="F427" i="201"/>
  <c r="E425" i="201"/>
  <c r="E414" i="165"/>
  <c r="E427" i="165" s="1"/>
  <c r="P397" i="165"/>
  <c r="E396" i="165"/>
  <c r="F424" i="165"/>
  <c r="P424" i="201" l="1"/>
  <c r="Q414" i="201"/>
  <c r="P425" i="201"/>
  <c r="D24" i="172"/>
  <c r="D20" i="172" s="1"/>
  <c r="D15" i="172" s="1"/>
  <c r="F427" i="165"/>
  <c r="F425" i="165"/>
  <c r="Q397" i="165"/>
  <c r="P396" i="165"/>
  <c r="P414" i="165"/>
  <c r="E424" i="165"/>
  <c r="E425" i="165"/>
  <c r="D29" i="172" l="1"/>
  <c r="E24" i="172"/>
  <c r="P424" i="165"/>
  <c r="P425" i="165"/>
  <c r="Q414" i="165"/>
  <c r="D48" i="172"/>
  <c r="D56" i="170"/>
  <c r="E56" i="170" s="1"/>
  <c r="E20" i="172" l="1"/>
  <c r="E15" i="172" s="1"/>
  <c r="E29" i="172" s="1"/>
  <c r="G24" i="172"/>
  <c r="D44" i="172"/>
  <c r="D43" i="172" s="1"/>
  <c r="D49" i="172" s="1"/>
  <c r="C24" i="172"/>
  <c r="C20" i="172" s="1"/>
  <c r="C15" i="172" s="1"/>
  <c r="C29" i="172" s="1"/>
  <c r="F24" i="172"/>
  <c r="F20" i="172" s="1"/>
  <c r="F15" i="172" s="1"/>
  <c r="F29" i="172" s="1"/>
  <c r="E48" i="172"/>
  <c r="E44" i="172" l="1"/>
  <c r="E43" i="172" s="1"/>
  <c r="E49" i="172" s="1"/>
  <c r="F48" i="172"/>
  <c r="F44" i="172" s="1"/>
  <c r="F43" i="172" s="1"/>
  <c r="F49" i="172" s="1"/>
  <c r="G20" i="172"/>
  <c r="G15" i="172"/>
  <c r="C48" i="172"/>
  <c r="C44" i="172" s="1"/>
  <c r="C43" i="172" s="1"/>
  <c r="C49" i="172" s="1"/>
  <c r="E64" i="170"/>
  <c r="D51" i="170"/>
  <c r="D63" i="170" s="1"/>
  <c r="D30" i="170" l="1"/>
  <c r="D62" i="170"/>
  <c r="E30" i="170" l="1"/>
  <c r="F30" i="170"/>
  <c r="E62" i="170"/>
  <c r="E63" i="170"/>
  <c r="E77" i="170"/>
  <c r="E100" i="170" l="1"/>
</calcChain>
</file>

<file path=xl/sharedStrings.xml><?xml version="1.0" encoding="utf-8"?>
<sst xmlns="http://schemas.openxmlformats.org/spreadsheetml/2006/main" count="7345" uniqueCount="1561">
  <si>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</si>
  <si>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</si>
  <si>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</si>
  <si>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</si>
  <si>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</si>
  <si>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</si>
  <si>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</si>
  <si>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</si>
  <si>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</si>
  <si>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</si>
  <si>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</si>
  <si>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</si>
  <si>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</si>
  <si>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</si>
  <si>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</si>
  <si>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</si>
  <si>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</si>
  <si>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</si>
  <si>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</si>
  <si>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</si>
  <si>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</si>
  <si>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</si>
  <si>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</si>
  <si>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</si>
  <si>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</si>
  <si>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</si>
  <si>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</si>
  <si>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</si>
  <si>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</si>
  <si>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</si>
  <si>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</si>
  <si>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</si>
  <si>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</si>
  <si>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</si>
  <si>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</si>
  <si>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</si>
  <si>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</si>
  <si>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</si>
  <si>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</si>
  <si>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</si>
  <si>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</si>
  <si>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</si>
  <si>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</si>
  <si>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</si>
  <si>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</si>
  <si>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</si>
  <si>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</si>
  <si>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</si>
  <si>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</si>
  <si>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</si>
  <si>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</si>
  <si>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</si>
  <si>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</si>
  <si>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</si>
  <si>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</si>
  <si>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</si>
  <si>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</si>
  <si>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</si>
  <si>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</si>
  <si>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</si>
  <si>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</si>
  <si>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</si>
  <si>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</si>
  <si>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</si>
  <si>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</si>
  <si>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</si>
  <si>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</si>
  <si>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</si>
  <si>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</si>
  <si>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</si>
  <si>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</si>
  <si>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</si>
  <si>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</si>
  <si>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</si>
  <si>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</si>
  <si>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</si>
  <si>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</si>
  <si>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</si>
  <si>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</si>
  <si>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</si>
  <si>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</si>
  <si>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</si>
  <si>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</si>
  <si>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</si>
  <si>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</si>
  <si>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</si>
  <si>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</si>
  <si>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</si>
  <si>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</si>
  <si>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</si>
  <si>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</si>
  <si>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</si>
  <si>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</si>
  <si>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</si>
  <si>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</si>
  <si>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</si>
  <si>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</si>
  <si>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</si>
  <si>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</si>
  <si>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</si>
  <si>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</si>
  <si>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</si>
  <si>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</si>
  <si>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</si>
  <si>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</si>
  <si>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</si>
  <si>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</si>
  <si>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</si>
  <si>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</si>
  <si>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</si>
  <si>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</si>
  <si>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</si>
  <si>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</si>
  <si>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</si>
  <si>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</si>
  <si>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</si>
  <si>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</si>
  <si>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</si>
  <si>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</si>
  <si>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</si>
  <si>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</si>
  <si>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</si>
  <si>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</si>
  <si>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</si>
  <si>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</si>
  <si>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</si>
  <si>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</si>
  <si>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</si>
  <si>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</si>
  <si>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</si>
  <si>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</si>
  <si>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</si>
  <si>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</si>
  <si>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</si>
  <si>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</si>
  <si>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</si>
  <si>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</si>
  <si>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</si>
  <si>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</si>
  <si>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</si>
  <si>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</si>
  <si>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</si>
  <si>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</si>
  <si>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</si>
  <si>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</si>
  <si>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</si>
  <si>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</si>
  <si>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</si>
  <si>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</si>
  <si>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</si>
  <si>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</si>
  <si>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</si>
  <si>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</si>
  <si>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</si>
  <si>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</si>
  <si>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</si>
  <si>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</si>
  <si>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</si>
  <si>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</si>
  <si>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</si>
  <si>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</si>
  <si>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</si>
  <si>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</si>
  <si>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</si>
  <si>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</si>
  <si>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</si>
  <si>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</si>
  <si>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</si>
  <si>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</si>
  <si>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</si>
  <si>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</si>
  <si>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</si>
  <si>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</si>
  <si>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</si>
  <si>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</si>
  <si>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</si>
  <si>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</si>
  <si>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</si>
  <si>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</si>
  <si>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</si>
  <si>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</si>
  <si>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</si>
  <si>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</si>
  <si>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</si>
  <si>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</si>
  <si>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</si>
  <si>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</si>
  <si>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</si>
  <si>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</si>
  <si>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</si>
  <si>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</si>
  <si>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</si>
  <si>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</si>
  <si>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</si>
  <si>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</si>
  <si>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</si>
  <si>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</si>
  <si>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</si>
  <si>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</si>
  <si>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</si>
  <si>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</si>
  <si>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</si>
  <si>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</si>
  <si>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</si>
  <si>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</si>
  <si>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</si>
  <si>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</si>
  <si>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</si>
  <si>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</si>
  <si>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</si>
  <si>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</si>
  <si>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</si>
  <si>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</si>
  <si>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</si>
  <si>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</si>
  <si>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</si>
  <si>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</si>
  <si>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</si>
  <si>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</si>
  <si>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</si>
  <si>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</si>
  <si>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</si>
  <si>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</si>
  <si>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</si>
  <si>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</si>
  <si>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</si>
  <si>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</si>
  <si>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</si>
  <si>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</si>
  <si>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</si>
  <si>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</si>
  <si>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</si>
  <si>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</si>
  <si>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</si>
  <si>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</si>
  <si>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</si>
  <si>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</si>
  <si>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</si>
  <si>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</si>
  <si>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</si>
  <si>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</si>
  <si>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</si>
  <si>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</si>
  <si>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</si>
  <si>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</si>
  <si>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</si>
  <si>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</si>
  <si>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</si>
  <si>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</si>
  <si>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</si>
  <si>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</si>
  <si>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</si>
  <si>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</si>
  <si>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</si>
  <si>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</si>
  <si>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</si>
  <si>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</si>
  <si>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</si>
  <si>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</si>
  <si>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</si>
  <si>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</si>
  <si>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</si>
  <si>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</si>
  <si>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</si>
  <si>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</si>
  <si>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</si>
  <si>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</si>
  <si>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</si>
  <si>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</si>
  <si>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</si>
  <si>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</si>
  <si>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</si>
  <si>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</si>
  <si>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</si>
  <si>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</si>
  <si>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</si>
  <si>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</si>
  <si>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</si>
  <si>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</si>
  <si>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</si>
  <si>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</si>
  <si>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</si>
  <si>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</si>
  <si>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</si>
  <si>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</si>
  <si>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</si>
  <si>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</si>
  <si>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</si>
  <si>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</si>
  <si>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</si>
  <si>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</si>
  <si>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</si>
  <si>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</si>
  <si>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</si>
  <si>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</si>
  <si>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</si>
  <si>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</si>
  <si>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</si>
  <si>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</si>
  <si>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</si>
  <si>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</si>
  <si>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</si>
  <si>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</si>
  <si>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</si>
  <si>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</si>
  <si>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</si>
  <si>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</si>
  <si>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</si>
  <si>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</si>
  <si>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</si>
  <si>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</si>
  <si>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</si>
  <si>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</si>
  <si>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</si>
  <si>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</si>
  <si>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</si>
  <si>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</si>
  <si>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</si>
  <si>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</si>
  <si>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</si>
  <si>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</si>
  <si>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</si>
  <si>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</si>
  <si>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</si>
  <si>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</si>
  <si>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</si>
  <si>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</si>
  <si>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</si>
  <si>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</si>
  <si>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</si>
  <si>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</si>
  <si>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</si>
  <si>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</si>
  <si>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</si>
  <si>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</si>
  <si>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</si>
  <si>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</si>
  <si>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</si>
  <si>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</si>
  <si>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</si>
  <si>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</si>
  <si>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</si>
  <si>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</si>
  <si>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</si>
  <si>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</si>
  <si>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</si>
  <si>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</si>
  <si>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</si>
  <si>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</si>
  <si>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</si>
  <si>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</si>
  <si>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</si>
  <si>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</si>
  <si>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</si>
  <si>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</si>
  <si>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</si>
  <si>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</si>
  <si>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</si>
  <si>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</si>
  <si>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</si>
  <si>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</si>
  <si>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</si>
  <si>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</si>
  <si>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</si>
  <si>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</si>
  <si>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</si>
  <si>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</si>
  <si>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</si>
  <si>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</si>
  <si>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</si>
  <si>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</si>
  <si>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</si>
  <si>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</si>
  <si>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</si>
  <si>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</si>
  <si>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</si>
  <si>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</si>
  <si>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</si>
  <si>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</si>
  <si>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</si>
  <si>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</si>
  <si>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</si>
  <si>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</si>
  <si>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</si>
  <si>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</si>
  <si>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</si>
  <si>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</si>
  <si>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</si>
  <si>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</si>
  <si>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</si>
  <si>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</si>
  <si>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</si>
  <si>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</si>
  <si>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</si>
  <si>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</si>
  <si>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</si>
  <si>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</si>
  <si>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</si>
  <si>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</si>
  <si>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</si>
  <si>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</si>
  <si>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</si>
  <si>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</si>
  <si>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</si>
  <si>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</si>
  <si>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</si>
  <si>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</si>
  <si>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</si>
  <si>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</si>
  <si>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</si>
  <si>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</si>
  <si>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</si>
  <si>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</si>
  <si>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</si>
  <si>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</si>
  <si>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</si>
  <si>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</si>
  <si>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</si>
  <si>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</si>
  <si>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</si>
  <si>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</si>
  <si>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</si>
  <si>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</si>
  <si>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</si>
  <si>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</si>
  <si>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</si>
  <si>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</si>
  <si>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</si>
  <si>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</si>
  <si>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</si>
  <si>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</si>
  <si>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</si>
  <si>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</si>
  <si>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</si>
  <si>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</si>
  <si>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</si>
  <si>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</si>
  <si>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</si>
  <si>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</si>
  <si>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</si>
  <si>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</si>
  <si>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</si>
  <si>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</si>
  <si>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</si>
  <si>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</si>
  <si>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</si>
  <si>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</si>
  <si>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</si>
  <si>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</si>
  <si>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</si>
  <si>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</si>
  <si>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</si>
  <si>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</si>
  <si>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</si>
  <si>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</si>
  <si>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</si>
  <si>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</si>
  <si>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</si>
  <si>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</si>
  <si>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</si>
  <si>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</si>
  <si>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</si>
  <si>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</si>
  <si>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</si>
  <si>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</si>
  <si>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</si>
  <si>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</si>
  <si>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</si>
  <si>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</si>
  <si>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</si>
  <si>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</si>
  <si>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</si>
  <si>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</si>
  <si>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</si>
  <si>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</si>
  <si>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</si>
  <si>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</si>
  <si>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</si>
  <si>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</si>
  <si>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</si>
  <si>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</si>
  <si>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</si>
  <si>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</si>
  <si>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</si>
  <si>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</si>
  <si>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</si>
  <si>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</si>
  <si>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</si>
  <si>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</si>
  <si>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</si>
  <si>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</si>
  <si>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</si>
  <si>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</si>
  <si>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</si>
  <si>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</si>
  <si>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</si>
  <si>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</si>
  <si>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</si>
  <si>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</si>
  <si>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</si>
  <si>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</si>
  <si>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</si>
  <si>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</si>
  <si>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</si>
  <si>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</si>
  <si>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</si>
  <si>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</si>
  <si>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</si>
  <si>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</si>
  <si>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</si>
  <si>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</si>
  <si>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</si>
  <si>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</si>
  <si>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</si>
  <si>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</si>
  <si>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</si>
  <si>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</si>
  <si>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</si>
  <si>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</si>
  <si>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</si>
  <si>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</si>
  <si>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</si>
  <si>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</si>
  <si>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</si>
  <si>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</si>
  <si>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</si>
  <si>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</si>
  <si>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</si>
  <si>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</si>
  <si>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 xml:space="preserve">Начальник фінансового управління </t>
  </si>
  <si>
    <t xml:space="preserve">С. ЯМЧУК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</si>
  <si>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</si>
  <si>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</si>
  <si>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</si>
  <si>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</si>
  <si>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</si>
  <si>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</si>
  <si>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</si>
  <si>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</si>
  <si>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</si>
  <si>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</si>
  <si>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</si>
  <si>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</si>
  <si>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</si>
  <si>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</si>
  <si>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</si>
  <si>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</si>
  <si>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</si>
  <si>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</si>
  <si>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</si>
  <si>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</si>
  <si>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</si>
  <si>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</si>
  <si>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</si>
  <si>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</si>
  <si>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</si>
  <si>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</si>
  <si>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</si>
  <si>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</si>
  <si>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</si>
  <si>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</si>
  <si>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</si>
  <si>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</si>
  <si>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</si>
  <si>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</si>
  <si>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</si>
  <si>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</si>
  <si>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</si>
  <si>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</si>
  <si>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</si>
  <si>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</si>
  <si>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</si>
  <si>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</si>
  <si>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</si>
  <si>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</si>
  <si>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</si>
  <si>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</si>
  <si>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</si>
  <si>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</si>
  <si>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</si>
  <si>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</si>
  <si>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</si>
  <si>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</si>
  <si>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</si>
  <si>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</si>
  <si>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</si>
  <si>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</si>
  <si>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</si>
  <si>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</si>
  <si>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</si>
  <si>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</si>
  <si>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Рішення 42-ї сесії Хмельницької міської ради від 17.06.2020 року №39</t>
  </si>
  <si>
    <t>1019770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</si>
  <si>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</si>
  <si>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</si>
  <si>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</si>
  <si>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</si>
  <si>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</si>
  <si>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</si>
  <si>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</si>
  <si>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</si>
  <si>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</si>
  <si>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</si>
  <si>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</si>
  <si>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</si>
  <si>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</si>
  <si>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</si>
  <si>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</si>
  <si>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</si>
  <si>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</si>
  <si>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</si>
  <si>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</si>
  <si>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</si>
  <si>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</si>
  <si>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</si>
  <si>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</si>
  <si>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</si>
  <si>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</si>
  <si>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</si>
  <si>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</si>
  <si>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</si>
  <si>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</si>
  <si>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</si>
  <si>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</si>
  <si>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</si>
  <si>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</si>
  <si>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</si>
  <si>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</si>
  <si>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</si>
  <si>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</si>
  <si>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</si>
  <si>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</si>
  <si>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</si>
  <si>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</si>
  <si>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</si>
  <si>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</si>
  <si>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</si>
  <si>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</si>
  <si>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</si>
  <si>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</si>
  <si>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</si>
  <si>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</si>
  <si>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</si>
  <si>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</si>
  <si>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</si>
  <si>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</si>
  <si>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</si>
  <si>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</si>
  <si>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</si>
  <si>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</si>
  <si>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</si>
  <si>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</si>
  <si>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</si>
  <si>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</si>
  <si>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</si>
  <si>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</si>
  <si>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</si>
  <si>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</si>
  <si>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</si>
  <si>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</si>
  <si>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</si>
  <si>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</si>
  <si>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</si>
  <si>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</si>
  <si>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</si>
  <si>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</si>
  <si>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</si>
  <si>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</si>
  <si>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</si>
  <si>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</si>
  <si>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</si>
  <si>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</si>
  <si>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</si>
  <si>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</si>
  <si>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</si>
  <si>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</si>
  <si>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</si>
  <si>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</si>
  <si>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</si>
  <si>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</si>
  <si>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</si>
  <si>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</si>
  <si>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</si>
  <si>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</si>
  <si>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</si>
  <si>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</si>
  <si>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</si>
  <si>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</si>
  <si>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</si>
  <si>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</si>
  <si>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</si>
  <si>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</si>
  <si>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</si>
  <si>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</si>
  <si>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</si>
  <si>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</si>
  <si>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</si>
  <si>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</si>
  <si>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</si>
  <si>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</si>
  <si>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</si>
  <si>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</si>
  <si>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</si>
  <si>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</si>
  <si>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</si>
  <si>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</si>
  <si>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</si>
  <si>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</si>
  <si>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</si>
  <si>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</si>
  <si>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</si>
  <si>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</si>
  <si>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</si>
  <si>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</si>
  <si>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</si>
  <si>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</si>
  <si>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</si>
  <si>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</si>
  <si>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</si>
  <si>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</si>
  <si>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</si>
  <si>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</si>
  <si>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</si>
  <si>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</si>
  <si>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</si>
  <si>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</si>
  <si>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</si>
  <si>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</si>
  <si>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</si>
  <si>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</si>
  <si>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</si>
  <si>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</si>
  <si>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</si>
  <si>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</si>
  <si>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</si>
  <si>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</si>
  <si>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</si>
  <si>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</si>
  <si>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</si>
  <si>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</si>
  <si>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</si>
  <si>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</si>
  <si>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</si>
  <si>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</si>
  <si>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</si>
  <si>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</si>
  <si>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</si>
  <si>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</si>
  <si>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</si>
  <si>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</si>
  <si>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</si>
  <si>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</si>
  <si>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</si>
  <si>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</si>
  <si>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</si>
  <si>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</si>
  <si>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</si>
  <si>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</si>
  <si>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</si>
  <si>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</si>
  <si>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</si>
  <si>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</si>
  <si>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</si>
  <si>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</si>
  <si>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</si>
  <si>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</si>
  <si>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</si>
  <si>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</si>
  <si>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</si>
  <si>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</si>
  <si>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</si>
  <si>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</si>
  <si>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</si>
  <si>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</si>
  <si>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</si>
  <si>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</si>
  <si>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</si>
  <si>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</si>
  <si>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</si>
  <si>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</si>
  <si>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</si>
  <si>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</si>
  <si>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</si>
  <si>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</si>
  <si>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</si>
  <si>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</si>
  <si>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</si>
  <si>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</si>
  <si>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</si>
  <si>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</si>
  <si>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</si>
  <si>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</si>
  <si>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</si>
  <si>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</si>
  <si>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</si>
  <si>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</si>
  <si>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</si>
  <si>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</si>
  <si>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</si>
  <si>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</si>
  <si>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</si>
  <si>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</si>
  <si>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</si>
  <si>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</si>
  <si>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</si>
  <si>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</si>
  <si>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</si>
  <si>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</si>
  <si>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</si>
  <si>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</si>
  <si>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</si>
  <si>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</si>
  <si>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</si>
  <si>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</si>
  <si>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</si>
  <si>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</si>
  <si>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</si>
  <si>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</si>
  <si>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</si>
  <si>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</si>
  <si>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</si>
  <si>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</si>
  <si>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</si>
  <si>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</si>
  <si>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</si>
  <si>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</si>
  <si>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</si>
  <si>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</si>
  <si>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</si>
  <si>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</si>
  <si>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</si>
  <si>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</si>
  <si>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</si>
  <si>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</si>
  <si>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</si>
  <si>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</si>
  <si>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</si>
  <si>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</si>
  <si>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</si>
  <si>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</si>
  <si>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</si>
  <si>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</si>
  <si>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</si>
  <si>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</si>
  <si>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</si>
  <si>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</si>
  <si>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</si>
  <si>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</si>
  <si>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</si>
  <si>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</si>
  <si>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</si>
  <si>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</si>
  <si>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</si>
  <si>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</si>
  <si>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</si>
  <si>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</si>
  <si>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</si>
  <si>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</si>
  <si>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</si>
  <si>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</si>
  <si>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</si>
  <si>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</si>
  <si>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</si>
  <si>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</si>
  <si>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</si>
  <si>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</si>
  <si>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</si>
  <si>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</si>
  <si>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</si>
  <si>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</si>
  <si>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</si>
  <si>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</si>
  <si>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</si>
  <si>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</si>
  <si>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</si>
  <si>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</si>
  <si>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</si>
  <si>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</si>
  <si>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</si>
  <si>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</si>
  <si>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</si>
  <si>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</si>
  <si>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</si>
  <si>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</si>
  <si>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</si>
  <si>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</si>
  <si>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</si>
  <si>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</si>
  <si>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</si>
  <si>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</si>
  <si>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</si>
  <si>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</si>
  <si>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</si>
  <si>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</si>
  <si>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</si>
  <si>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</si>
  <si>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</si>
  <si>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</si>
  <si>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</si>
  <si>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</si>
  <si>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</si>
  <si>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</si>
  <si>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</si>
  <si>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</si>
  <si>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</si>
  <si>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</si>
  <si>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</si>
  <si>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</si>
  <si>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</si>
  <si>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</si>
  <si>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</si>
  <si>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</si>
  <si>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</si>
  <si>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</si>
  <si>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</si>
  <si>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</si>
  <si>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</si>
  <si>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</si>
  <si>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</si>
  <si>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</si>
  <si>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</si>
  <si>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</si>
  <si>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</si>
  <si>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</si>
  <si>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</si>
  <si>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</si>
  <si>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</si>
  <si>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</si>
  <si>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</si>
  <si>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</si>
  <si>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</si>
  <si>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</si>
  <si>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</si>
  <si>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</si>
  <si>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</si>
  <si>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</si>
  <si>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0817320</t>
  </si>
  <si>
    <t>0817323</t>
  </si>
  <si>
    <t>7323</t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</si>
  <si>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</si>
  <si>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</si>
  <si>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</si>
  <si>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</si>
  <si>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</si>
  <si>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</si>
  <si>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</si>
  <si>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</si>
  <si>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</si>
  <si>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</si>
  <si>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</si>
  <si>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Рішення 4-ї сесії Хмельницької міської ради від 17.02.2021 року №2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</si>
  <si>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</si>
  <si>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</si>
  <si>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</si>
  <si>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</si>
  <si>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</si>
  <si>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</si>
  <si>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</si>
  <si>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</si>
  <si>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</si>
  <si>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</si>
  <si>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</si>
  <si>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</si>
  <si>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</si>
  <si>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</si>
  <si>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</si>
  <si>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</si>
  <si>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</si>
  <si>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</si>
  <si>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</si>
  <si>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</si>
  <si>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</si>
  <si>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</si>
  <si>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</si>
  <si>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</si>
  <si>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</si>
  <si>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</si>
  <si>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</si>
  <si>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</si>
  <si>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</si>
  <si>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</si>
  <si>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</si>
  <si>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</si>
  <si>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</si>
  <si>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</si>
  <si>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</si>
  <si>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</si>
  <si>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</si>
  <si>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</si>
  <si>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</si>
  <si>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</si>
  <si>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</si>
  <si>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</si>
  <si>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</si>
  <si>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</si>
  <si>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</si>
  <si>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</si>
  <si>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</si>
  <si>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</si>
  <si>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</si>
  <si>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</si>
  <si>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</si>
  <si>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</si>
  <si>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</si>
  <si>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</si>
  <si>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</si>
  <si>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</si>
  <si>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</si>
  <si>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</si>
  <si>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</si>
  <si>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</si>
  <si>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</si>
  <si>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</si>
  <si>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</si>
  <si>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</si>
  <si>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</si>
  <si>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</si>
  <si>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</si>
  <si>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</si>
  <si>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</si>
  <si>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</si>
  <si>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</si>
  <si>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</si>
  <si>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</si>
  <si>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</si>
  <si>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</si>
  <si>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</si>
  <si>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</si>
  <si>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</si>
  <si>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</si>
  <si>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</si>
  <si>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</si>
  <si>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</si>
  <si>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</si>
  <si>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</si>
  <si>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</si>
  <si>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</si>
  <si>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</si>
  <si>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</si>
  <si>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</si>
  <si>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</si>
  <si>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</si>
  <si>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</si>
  <si>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</si>
  <si>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</si>
  <si>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</si>
  <si>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</si>
  <si>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</si>
  <si>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</si>
  <si>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</si>
  <si>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</si>
  <si>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</si>
  <si>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</si>
  <si>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</si>
  <si>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</si>
  <si>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</si>
  <si>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</si>
  <si>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</si>
  <si>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</si>
  <si>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</si>
  <si>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</si>
  <si>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</si>
  <si>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</si>
  <si>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</si>
  <si>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</si>
  <si>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</si>
  <si>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</si>
  <si>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</si>
  <si>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</si>
  <si>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</si>
  <si>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</si>
  <si>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</si>
  <si>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</si>
  <si>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</si>
  <si>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</si>
  <si>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</si>
  <si>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</si>
  <si>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</si>
  <si>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</si>
  <si>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</si>
  <si>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</si>
  <si>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</si>
  <si>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</si>
  <si>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</si>
  <si>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</si>
  <si>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</si>
  <si>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</si>
  <si>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</si>
  <si>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</si>
  <si>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</si>
  <si>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</si>
  <si>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</si>
  <si>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</si>
  <si>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</si>
  <si>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</si>
  <si>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</si>
  <si>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</si>
  <si>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</si>
  <si>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</si>
  <si>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</si>
  <si>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</si>
  <si>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</si>
  <si>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</si>
  <si>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</si>
  <si>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</si>
  <si>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</si>
  <si>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</si>
  <si>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</si>
  <si>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</si>
  <si>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</si>
  <si>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</si>
  <si>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</si>
  <si>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</si>
  <si>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</si>
  <si>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</si>
  <si>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</si>
  <si>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</si>
  <si>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</si>
  <si>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</si>
  <si>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</si>
  <si>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</si>
  <si>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</si>
  <si>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</si>
  <si>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</si>
  <si>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</si>
  <si>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</si>
  <si>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</si>
  <si>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</si>
  <si>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</si>
  <si>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</si>
  <si>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</si>
  <si>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</si>
  <si>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</si>
  <si>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</si>
  <si>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</si>
  <si>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</si>
  <si>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</si>
  <si>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</si>
  <si>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</si>
  <si>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</si>
  <si>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</si>
  <si>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</si>
  <si>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</si>
  <si>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</si>
  <si>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</si>
  <si>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</si>
  <si>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</si>
  <si>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</si>
  <si>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</si>
  <si>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</si>
  <si>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</si>
  <si>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</si>
  <si>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</si>
  <si>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</si>
  <si>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</si>
  <si>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</si>
  <si>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</si>
  <si>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</si>
  <si>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</si>
  <si>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</si>
  <si>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</si>
  <si>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витрат бюджету Хмельницької міської територіальної громади на реалізацію місцевих/регіональних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</si>
  <si>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</si>
  <si>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</si>
  <si>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</si>
  <si>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</si>
  <si>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</si>
  <si>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</si>
  <si>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</si>
  <si>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</si>
  <si>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</si>
  <si>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</si>
  <si>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</si>
  <si>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</si>
  <si>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0611033</t>
  </si>
  <si>
    <t>1033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</si>
  <si>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</si>
  <si>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</si>
  <si>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</si>
  <si>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</si>
  <si>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</si>
  <si>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</si>
  <si>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</si>
  <si>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</si>
  <si>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</si>
  <si>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</si>
  <si>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</si>
  <si>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</si>
  <si>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</si>
  <si>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</si>
  <si>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</si>
  <si>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</si>
  <si>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</si>
  <si>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</si>
  <si>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</si>
  <si>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</si>
  <si>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</si>
  <si>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</si>
  <si>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</si>
  <si>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</si>
  <si>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</si>
  <si>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</si>
  <si>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</si>
  <si>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</si>
  <si>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</si>
  <si>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</si>
  <si>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</si>
  <si>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</si>
  <si>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</si>
  <si>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</si>
  <si>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</si>
  <si>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</si>
  <si>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</si>
  <si>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</si>
  <si>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</si>
  <si>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</si>
  <si>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</si>
  <si>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</si>
  <si>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</si>
  <si>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</si>
  <si>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</si>
  <si>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</si>
  <si>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</si>
  <si>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</si>
  <si>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</si>
  <si>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</si>
  <si>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</si>
  <si>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0717322</t>
  </si>
  <si>
    <t>0717320</t>
  </si>
  <si>
    <t>7322</t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</si>
  <si>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</si>
  <si>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</si>
  <si>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</si>
  <si>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</si>
  <si>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</si>
  <si>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</si>
  <si>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</si>
  <si>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</si>
  <si>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</si>
  <si>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</si>
  <si>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</si>
  <si>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</si>
  <si>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</si>
  <si>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</si>
  <si>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</si>
  <si>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</si>
  <si>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</si>
  <si>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</si>
  <si>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</si>
  <si>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</si>
  <si>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</si>
  <si>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</si>
  <si>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</si>
  <si>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</si>
  <si>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</si>
  <si>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</si>
  <si>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</si>
  <si>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</si>
  <si>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</si>
  <si>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</si>
  <si>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</si>
  <si>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0218230</t>
  </si>
  <si>
    <t>8230</t>
  </si>
  <si>
    <t>Інші заходи громадського порядку та безпеки</t>
  </si>
  <si>
    <t>0813121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</si>
  <si>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</si>
  <si>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</si>
  <si>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</si>
  <si>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</si>
  <si>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</si>
  <si>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</si>
  <si>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</si>
  <si>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</si>
  <si>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</si>
  <si>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</si>
  <si>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</si>
  <si>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>Рішення виконавчого комітету Хмельницької міської ради від 11.08.2022 року №602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</si>
  <si>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 – 2025 роки (із змінами)</t>
  </si>
  <si>
    <t>Будівництво вулиці Мельникова (від вул.Зарічанської до вул.Трудової) в м.Хмельницькому (коригування)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</si>
  <si>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</si>
  <si>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1218000</t>
  </si>
  <si>
    <t>1218200</t>
  </si>
  <si>
    <t>1218230</t>
  </si>
  <si>
    <t>0613230</t>
  </si>
  <si>
    <t>Програма підтримки і розвитку житлово-комунальної інфраструктури Хмельницької міської територіальної громади на 2022 - 2027 роки (із змінами)</t>
  </si>
  <si>
    <t>1513000</t>
  </si>
  <si>
    <t>1513230</t>
  </si>
  <si>
    <r>
      <t>Будівництво</t>
    </r>
    <r>
      <rPr>
        <b/>
        <i/>
        <vertAlign val="superscript"/>
        <sz val="36"/>
        <color rgb="FFFF0000"/>
        <rFont val="Times New Roman"/>
        <family val="1"/>
        <charset val="204"/>
      </rPr>
      <t>1</t>
    </r>
    <r>
      <rPr>
        <i/>
        <sz val="36"/>
        <color rgb="FFFF0000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</si>
  <si>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установ та закладів соціальної сфери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</si>
  <si>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</si>
  <si>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</si>
  <si>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</si>
  <si>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об'єктів житлово-комунального господарства</t>
    </r>
  </si>
  <si>
    <t>на 2023 рік</t>
  </si>
  <si>
    <t>Вільний залишок коштів на 01.01.2023  року: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</si>
  <si>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об'єктів містобудування</t>
  </si>
  <si>
    <t>2.1.6.</t>
  </si>
  <si>
    <t>Добровільні внески підприємств, організацій, установ та громадян на соціально-економічний та культурний розвиток громади</t>
  </si>
  <si>
    <t>2.1.7.</t>
  </si>
  <si>
    <t>Кошти за відшкодування вартості видалених та знесених зелених насаджень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</si>
  <si>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Хмельницької міської територіальної громади; інших осіб.
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</t>
  </si>
  <si>
    <t>Хмельницької міської територіальної громади у 2023 році</t>
  </si>
  <si>
    <t>Наукові дослідження (лабораторні дослідження води поверхневих водойм)</t>
  </si>
  <si>
    <t>Проведення робіт, пов’язаних з поліпшенням технічного стану та благоустрою поверхневих водойм на території територіальної громади</t>
  </si>
  <si>
    <t>Модернізація існуючої системи моніторингу, встановлення нових пунктів спостереження за станом атмосферного повітря на території агломерації "Хмельницький"</t>
  </si>
  <si>
    <t>2819800</t>
  </si>
  <si>
    <t>2819000</t>
  </si>
  <si>
    <t>МІЖБЮДЖЕТНІ ТРАНСФЕРТИ НА 2023 РІК</t>
  </si>
  <si>
    <t>програм у 2023 році</t>
  </si>
  <si>
    <t>Рішення 16-ї сесії Хмельницької міської ради від 28.04.2022 року №11</t>
  </si>
  <si>
    <t>Проведення спеціальних заходів, спрямованих на запобігання знищенню чи пошкодженню природних комплексів територій та об’єктів природно-заповідного фонду</t>
  </si>
  <si>
    <t>Виготовлення проектів землеустрою щодо відведення земельних ділянок під парки, сквери, зелені зони, території природно- заповідного фонду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</si>
  <si>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</si>
  <si>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видатків бюджету Хмельницької міської територіальної громади на 2023 рік</t>
  </si>
  <si>
    <t>бюджету Хмельницької міської територіальної громади на 2023 рік</t>
  </si>
  <si>
    <t>бюджету Хмельницької міської територіальної громади  на 2023 рік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</si>
  <si>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</si>
  <si>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Програма підготовки мешканців Хмельницької міської територіальної громади до національного спротиву на 2022-2023 роки 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</si>
  <si>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</si>
  <si>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</si>
  <si>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t xml:space="preserve">	
Виконання заходів щодо створення навчально-практичних центрів сучасної професійної (професійно-технічної) освіти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</si>
  <si>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</si>
  <si>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у 2023 році</t>
  </si>
  <si>
    <t>Обсяг капітальних вкладень бюджету Хмельницької міської територіальної громади у 2023 році, гривень</t>
  </si>
  <si>
    <t>Очікуваний рівень готовності проекту на кінець 2023 року, %</t>
  </si>
  <si>
    <t>бюджету Хмельницької міської територіальної громади у 2023 році</t>
  </si>
  <si>
    <t>Комплексна програма реалізації молодіжної політики та розвитку фізичної культури і спорту в Хмельницькій міській територіальній громаді на 2022-2026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</si>
  <si>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</si>
  <si>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t>2021 - 2023 роки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</si>
  <si>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 (коригування)</t>
  </si>
  <si>
    <t>0717640</t>
  </si>
  <si>
    <t>Реконструкція системи мережі киснепостачання в приміщенні комунального підприємства «Хмельницька міська дитяча лікарня» Хмельницької міської ради по вул. Олега Ольжича, 1 у м.Хмельницькому</t>
  </si>
  <si>
    <t>0710170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</si>
  <si>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</si>
  <si>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</si>
  <si>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</si>
  <si>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Програма підтримки сім’ї на 2021-2025 роки</t>
  </si>
  <si>
    <t>Реконструкція спортивного майданчика біля житлового будинку по вул.Прибузькій, 36 в м.Хмельницькому</t>
  </si>
  <si>
    <t>Програма
підтримки обдарованих дітей м.Хмельницького (із змінами)</t>
  </si>
  <si>
    <t>1610180</t>
  </si>
  <si>
    <t>1216090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</si>
  <si>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</si>
  <si>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</si>
  <si>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t>Програма популяризації та ефективного впровадження програм у сфері житлово-комунального господарства на 2019-2023 роки</t>
  </si>
  <si>
    <t>2022 - 2023 роки</t>
  </si>
  <si>
    <t>2023 рік</t>
  </si>
  <si>
    <t>1017640</t>
  </si>
  <si>
    <t>Програма розвитку  електротранспорту Хмельницької міської територіальної громади  на 2021 - 2025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</si>
  <si>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</si>
  <si>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</si>
  <si>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</si>
  <si>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Нове будівництво зовнішніх  мереж електропостачання індустріального парку  "Хмельницький" по вул. Вінницьке шосе, 18 в м. Хмельницькому</t>
  </si>
  <si>
    <t>Нове будівництво проїздів (штучних споруд) із інфраструктурою від вул. Прибузької до об'єкту "Будівництво Палацу спорту по вул. Прибузькій, 5/1А у м. Хмельницькому"</t>
  </si>
  <si>
    <t>2021 - 2024 роки</t>
  </si>
  <si>
    <t>2022 - 2024 роки</t>
  </si>
  <si>
    <t>За власні кошти підприємства - 445581,00 грн - ПКД, +38448,00 грн - експертиза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</si>
  <si>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</si>
  <si>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Програма міжнародного співробітництва та промоції Хмельницької міської територіальної громади на 2021-2025 роки (із змінами і доповненнями)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</si>
  <si>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</si>
  <si>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20"/>
        <color theme="1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</si>
  <si>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Надходження від скидів забруднюючих речовин безпосередньо у водні об'єкти</t>
  </si>
  <si>
    <t xml:space="preserve">Надходження від розміщення відходів у спеціально відведених місцях чи на об'єктах, крім розміщення окремих видів відходів як вторинної сировини </t>
  </si>
  <si>
    <t>Програма державного моніторингу у галузі охорони атмосферного повітря агломерації «Хмельницький» на 2022 - 2026 роки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</si>
  <si>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</si>
  <si>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</si>
  <si>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 xml:space="preserve"> 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</si>
  <si>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</si>
  <si>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</si>
  <si>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Захист населення і територій від надзвичайних ситуацій</t>
  </si>
  <si>
    <t>Програма економічного і соціального розвитку Хмельницької міської територіальної громади на 2023 рік</t>
  </si>
  <si>
    <t>Рішення 22-ї сесії Хмельницької міської ради від 21.12.2022 року №8</t>
  </si>
  <si>
    <t>Рішення 22-ї сесії Хмельницької міської ради від 21.12.2022 року №14</t>
  </si>
  <si>
    <t>Програма висвітлення діяльності Хмельницької міської ради та її виконавчих органів на 2023 рік</t>
  </si>
  <si>
    <t>Рішення 22-ї сесії Хмельницької міської ради від 21.12.2022 року №10</t>
  </si>
  <si>
    <t>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2022 - 2023 роки</t>
  </si>
  <si>
    <t>Рішення 22-ї сесії Хмельницької міської ради від 21.12.2022 року №41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</si>
  <si>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</si>
  <si>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Рішення 22-ї сесії Хмельницької міської ради від 21.12.2022 року №44</t>
  </si>
  <si>
    <t>Штрафні санкції, що застосовуються відповідно до Закону України "Про державне ругулювання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сигарета, та пального "</t>
  </si>
  <si>
    <t>Надходження коштів від відшкодування…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</si>
  <si>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</si>
  <si>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9900000000</t>
  </si>
  <si>
    <t>2231720000</t>
  </si>
  <si>
    <t>2254800000</t>
  </si>
  <si>
    <t>2253000000</t>
  </si>
  <si>
    <t>2210000000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</si>
  <si>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</t>
  </si>
  <si>
    <t>Рішення 23-ї сесії Хмельницької міської ради від 29.12.2022 року №4</t>
  </si>
  <si>
    <t xml:space="preserve">Секретар міської ради </t>
  </si>
  <si>
    <t>Програма розвитку підприємництва Хмельницької міської територіальної громади на 2022 - 2025 роки (із змінами)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</si>
  <si>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 (із змінами)</t>
  </si>
  <si>
    <t>до рішення №   від  2023 року</t>
  </si>
  <si>
    <t>від              2023</t>
  </si>
  <si>
    <t xml:space="preserve">до рішення  №       від                    2023 року </t>
  </si>
  <si>
    <t>Додаток 4
до рішення  №    від               2023 року</t>
  </si>
  <si>
    <t>до рішення №    від            2023 року</t>
  </si>
  <si>
    <t xml:space="preserve">Додаток 6
до рішення №         від               2023 року
</t>
  </si>
  <si>
    <t xml:space="preserve">до рішення  №      від            2023 року </t>
  </si>
  <si>
    <t xml:space="preserve"> від          .2023</t>
  </si>
  <si>
    <t>від                 2023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</si>
  <si>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</si>
  <si>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Реконструкція покрівлі над частиною будівлі Хмельницької середньої загальноосвітньої школи І-ІІІ ступенів №21 по Проспекту Миру, 76/5 в м.Хмельницькому</t>
  </si>
  <si>
    <t>Нове будівництво зовнішніх мереж газопостачання індустріального парку "Хмельницький" по вул. Вінницьке шосе, 18 в м. Хмельницькому</t>
  </si>
  <si>
    <t>2020-2023 роки</t>
  </si>
  <si>
    <t>2717640</t>
  </si>
  <si>
    <t>Рішення 46-ї сесії Хмельницької міської ради від 07.10.2020 року №3</t>
  </si>
  <si>
    <t>2718000</t>
  </si>
  <si>
    <t>2718200</t>
  </si>
  <si>
    <t>2718240</t>
  </si>
  <si>
    <t>2713000</t>
  </si>
  <si>
    <t>2713230</t>
  </si>
  <si>
    <t>Встановлення (поновлення) знаків-аншлагів, межових знаків на території обєктів природно-заповідного фонду</t>
  </si>
  <si>
    <t>Придбання та впровадження установок, обладнання та машин для збору, транспортування, перероблення, знешкодження та складування побутових відходів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</si>
  <si>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</si>
  <si>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 xml:space="preserve">Наукові дослідження, проектні та проектно-конструкторські розроблення </t>
  </si>
  <si>
    <t>0817640</t>
  </si>
  <si>
    <t>Реконструкція існуючих газових мереж з заміною ВОГ теплогенераторної Олешинської гімназії Хмельницької міської ради по вул. Шкільна, 17а в с.Олешин Хмельницької області</t>
  </si>
  <si>
    <t>Реконструкція існуючих газових мереж з заміною ВОГ теплогенераторної бібліотеки Шаровечківської ЗОШ I-III ст. Хмельницької міської ради по вул.Шкільна, 10 в с. Шаровечка Хмельницької області (коригування)</t>
  </si>
  <si>
    <t>Реконструкція існуючих газових мереж з заміною ВОГ теплогенераторної Черепівської філії Іванковецького ліцею Хмельницької міської ради по вул.Трублаїні, 25 в с. Черепівка Хмельницької області</t>
  </si>
  <si>
    <t>Реконструкція існуючих газових мереж з заміною ВОГ теплогенераторної ЗОШ I-III ст. по вул. Шкільна, 10 в с.Шаровечка Хмельницької області (коригування)</t>
  </si>
  <si>
    <t>Реконструкція даху майстерні з усунення аварійної ситуації в приміщенні ДНЗ «Вище професійне училище № 11 м.Хмельницького» по вул. Тернопільській, 15/2 в м. Хмельницькому</t>
  </si>
  <si>
    <t>Програма взаємодії регіонального сервісного центру ГСЦ МВС в Хмельницькій області (філія ГСЦ МВС) із Хмельницькою міською радою в сфері надання адміністративних послуг населенню на 2023 рік</t>
  </si>
  <si>
    <t>Рішення 22-ї сесії Хмельницької міської ради від 21.12.2022 року №19</t>
  </si>
  <si>
    <t>Рішення 24-ї сесії Хмельницької міської ради від 10.02.2023 року №5</t>
  </si>
  <si>
    <t>Рішення 24-ї сесії Хмельницької міської ради від 10.02.2023 року №4</t>
  </si>
  <si>
    <t>Реконструкція водопроводу від вул. Проскурівська по пров. Проскурівський, вул. Пилипчука до пров. Шевченка в м.Хмельницький</t>
  </si>
  <si>
    <t>Будівництво ділянки водопроводу діам. 315 мм по вул. К. Степанкова в м.Хмельницький</t>
  </si>
  <si>
    <t>Реконструкція ділянки водопроводу від вул.Кам`янецька по вул. Проскурівського підпілля до р. Плоска в м.Хмельницький</t>
  </si>
  <si>
    <t>Реконструкція ділянки водопроводу по вул. Залізняка (перехід через вул.П.Мирного) в м.Хмельницький</t>
  </si>
  <si>
    <t>Реконструкція водопроводу по вул. Шестакова, від вул.Староміська до ж.б. № 46, 39 по вул.Шестакова в м. Хмельницький</t>
  </si>
  <si>
    <t>Реконструкція ділянки водопроводу діам. 110 мм по вул. Тернопільська між буд. № 30 - №34 в м.Хмельницький</t>
  </si>
  <si>
    <t>Реконструкція ділянки водопроводу діам. 160 мм по вул. Прибузька між буд. №10 - №12 в м.Хмельницький</t>
  </si>
  <si>
    <t>Реконструкція самопливного каналізаційного колектора діам.800 мм від ж.б.№203 до колодязя №551а по вул. Проскурівського підпілля в м.Хмельницький</t>
  </si>
  <si>
    <t>Реконструкція напірного каналізаційного колектора діаметром 225 мм від КНС-22, вул.Кам`янецька, 134/1Д в м.Хмельницький</t>
  </si>
  <si>
    <t>Реконструкція самопливного каналізаційного колектора від буд. №4А по  вул. Свободи до буд.№20/2 по вул. Зарічанській в м.Хмельницький</t>
  </si>
  <si>
    <t>Реконструкція ділянки водопроводу від ж.б. №4 до ж.б. №2 по вул. Шухевича в м. Хмельницький</t>
  </si>
  <si>
    <t>Реконструкція ділянки каналізаційної мережі від ж.б. №3 та №3/1 по вул.Січових стрільців з переходом даної вулиці в м.Хмельницькому</t>
  </si>
  <si>
    <t>Будівництво мереж водовідведення вул.Д.Нечая, вул.Блакитної, пров. Молодіжного в м.Хмельницькому</t>
  </si>
  <si>
    <t>Нове будівництво вуличних мереж водопостачання житлових будинків по вул. Глушенкова (мікрорайон Ружична) в м. Хмельницький</t>
  </si>
  <si>
    <t>70/30</t>
  </si>
  <si>
    <t>2020 - 2023 роки</t>
  </si>
  <si>
    <t>Реконструкція ділянки водопроводу діаметром 500мм по вул. Тернопільська в м. Хмельницькій</t>
  </si>
  <si>
    <t>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</t>
  </si>
  <si>
    <t>Нове будівництво станції очищення господарсько-побутових стічних вод продуктивністю БІО-S-150 30м3/добу, в с. Пирогівці Хмельницького району, Хмельницької області</t>
  </si>
  <si>
    <t>Внески до статутного капіталу 
МКП "Хмельницькводоканал", в тому числі:</t>
  </si>
  <si>
    <t>Внески до статутного капіталу 
КП "Акведук", в тому числі:</t>
  </si>
  <si>
    <t>Внески до статутного капіталу 
ХКП "Спецкомунтранс", в тому числі:</t>
  </si>
  <si>
    <t>Нове будівництво нежитлового приміщення за адресою: вул.Заводська, 165 в м.Хмельницькому</t>
  </si>
  <si>
    <t>Проєкт Програми підтримки і розвитку спеціалізованого комунального підприємства «Хмельницька міська ритуальна служба»  на 2023 – 2027 роки</t>
  </si>
  <si>
    <t>Проєкт Програми підтримки та розвитку Хмельницького комунального підприємства «Міськсвітло»  на 2023-2027 роки</t>
  </si>
  <si>
    <t>Програма забезпечення підтримання громадського порядку в суді, припинення проявів неповаги до суду, охорони приміщень суду, органів та установ системи правосуддя, виконання функцій щодо державного забезпечення особистої безпеки суддів та членів їх сімей, працівників суду, забезпечення у суді безпеки учасників судового процесу на території Хмельницької міської територіальної громади на 2023-2024 роки</t>
  </si>
  <si>
    <t>Рішення 24-ї сесії Хмельницької міської ради від 10.02.2023 року №60</t>
  </si>
  <si>
    <t>1919000</t>
  </si>
  <si>
    <t>1919800</t>
  </si>
  <si>
    <t>1117640</t>
  </si>
  <si>
    <t>Проєкт Програми сприяння розвитку волонтерства на території Хмельницької міської територіальної громади на 2023-2027 роки</t>
  </si>
  <si>
    <t>Нове будівництво зовнішніх мереж водопроводу в с. Шаровечка Хмельницького району Хмельницької області</t>
  </si>
  <si>
    <t>Дотації з державного бюджету місцевим бюджетам</t>
  </si>
  <si>
    <t>41020000</t>
  </si>
  <si>
    <t>Реконструкція приміщень НВО №1 по вул. Старокостянтинівське шосе, 3Б в м.Хмельницькому (коригування)</t>
  </si>
  <si>
    <t>2012 - 2023 роки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</si>
  <si>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</si>
  <si>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2018 - 2023 роки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</si>
  <si>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2023-2024 роки (із змінами)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</si>
  <si>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</si>
  <si>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Сергій ЯМЧУК</t>
  </si>
  <si>
    <t>Управління капітального будівництва  Хмельницької міської ради (головний розпорядник)</t>
  </si>
  <si>
    <t xml:space="preserve">Віталій ДІДЕНКО </t>
  </si>
  <si>
    <t>Рішення 25-ї сесії Хмельницької міської ради від 28.03.2023 року №23</t>
  </si>
  <si>
    <t>Рішення 25-ї сесії Хмельницької міської ради від 28.03.2023 року №5</t>
  </si>
  <si>
    <t>Рішення 25-ї сесії Хмельницької міської ради від 28.03.2023 року №</t>
  </si>
  <si>
    <t>Рішення 25-ї сесії Хмельницької міської ради від 28.03.2023 року №59</t>
  </si>
  <si>
    <t>Програма співфінансування робіт з реконструкції покрівель багатоквартирних житлових будинків Хмельницької міської територіальної громади на 2023 – 2027 роки</t>
  </si>
  <si>
    <t>Рішення 25-ї сесії Хмельницької міської ради від 28.03.2023 року №40</t>
  </si>
  <si>
    <t>Програма підтримки і розвитку міського комунального підприємства «Хмельницьктеплокомуненерго» на 2023 – 2027 роки</t>
  </si>
  <si>
    <t>Рішення 25-ї сесії Хмельницької міської ради від 28.03.2023 року №66</t>
  </si>
  <si>
    <t>Рішення 25-ї сесії Хмельницької міської ради від 28.03.2023 року №73</t>
  </si>
  <si>
    <t>Рішення 25-ї сесії Хмельницької міської ради від 28.03.2023 року №61</t>
  </si>
  <si>
    <t>Рішення 25-ї сесії Хмельницької міської ради від 28.03.2023 року №62</t>
  </si>
  <si>
    <t>Рішення 25-ї сесії Хмельницької міської ради від 28.03.2023 року №70</t>
  </si>
  <si>
    <t>Програма підтримки і розвитку комунального підприємства «Парки і сквери міста Хмельницького» на 2023 – 2027 роки</t>
  </si>
  <si>
    <t>Рішення 25-ї сесії Хмельницької міської ради від 28.03.2023 року №64</t>
  </si>
  <si>
    <t>Рішення 25-ї сесії Хмельницької міської ради від 28.03.2023 року №68</t>
  </si>
  <si>
    <t>Програма міськсвітла - СФ і БР 6007800,00 грн</t>
  </si>
  <si>
    <t>Включено в загальну суму: Програма ритуалки - СФ і БР 1888 075,00 грн</t>
  </si>
  <si>
    <t>Програма підвищення рівня безпеки пасажирських перевезень на території Хмельницької міської територіальної громади на 2023 рік</t>
  </si>
  <si>
    <t>Рішення 25-ї сесії Хмельницької міської ради від 28.03.2023 року №39</t>
  </si>
  <si>
    <t>Програма розвитку та фінансової підтримки комунального підприємства «Чайка» Хмельницької міської ради на 2023 – 2024 роки</t>
  </si>
  <si>
    <t>Рішення 25-ї сесії Хмельницької міської ради від 28.03.2023 року №69</t>
  </si>
  <si>
    <t>Включено в загальну суму: Програма волонтерства - ЗФ 700 000,00 грн</t>
  </si>
  <si>
    <t>0455</t>
  </si>
  <si>
    <t>3718800</t>
  </si>
  <si>
    <t>3718880</t>
  </si>
  <si>
    <t>3718881</t>
  </si>
  <si>
    <t>8881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</si>
  <si>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</si>
  <si>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</si>
  <si>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</si>
  <si>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>4112</t>
  </si>
  <si>
    <t>Надання кредитів підприємства, установам, організаціям</t>
  </si>
  <si>
    <t xml:space="preserve"> 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</si>
  <si>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1115040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</si>
  <si>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</si>
  <si>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</si>
  <si>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</si>
  <si>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Реконструкція кабінетів приміщення майстерень державного навчального закладу "Хмельницький центр професійно-технічної освіти сфери послуг" по вул. Панаса Мирного, 5 м.Хмельницького (коригування)</t>
  </si>
  <si>
    <t>Програма національно-патріотичного виховання мешканців Хмельницької міської територіальної громади на 2023-2024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</si>
  <si>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2023 – 2024 роки (із змінами)</t>
  </si>
  <si>
    <t>Програма заходів національного спротиву Хмельницької міської територіальної громади на 2023 рік (із змінами)</t>
  </si>
  <si>
    <t xml:space="preserve">Програма підтримки членів сімей загиблих (померлих) ветеранів війни, членів сімей загиблих (померлих) Захисників і Захисниць України мешканців Хмельницької міської територіальної громади «Родини Героїв» на 2023 – 2025 роки (із змінами) </t>
  </si>
  <si>
    <t>Програма бюджетування за участі громадськості (Бюджет участі) Хмельницької міської територіальної громади на 2020-2023 роки (із змінами)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</si>
  <si>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</si>
  <si>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0219820</t>
  </si>
  <si>
    <t>9820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</si>
  <si>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</si>
  <si>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Виконання заходів щодо облаштування безпечних умов у закладах загальної середньої освіти</t>
  </si>
  <si>
    <t>0611260</t>
  </si>
  <si>
    <t>1260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</si>
  <si>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</si>
  <si>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</si>
  <si>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</si>
  <si>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0611262</t>
  </si>
  <si>
    <t>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</si>
  <si>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</si>
  <si>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Програма розвитку освіти Хмельницької міської територіальної громади на 2022 - 2026 роки (зі змінами)</t>
  </si>
  <si>
    <t>Програма створення та розвитку індустріального парку "Хмельницький"  (із змінами)</t>
  </si>
  <si>
    <t>Нове будівництво зовнішніх мереж теплопостачання ДНЗ "Хмельницький центр ПТО сфери послуг" по вул. Панаса Мирного, 5 м. Хмельницький</t>
  </si>
  <si>
    <t>Частина чистого прибутку (доходу)  комунальних унітарних підприємств та їх об'єднань, що вилучається до відповідного місцевого бюджету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</si>
  <si>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"Перехідні положення" Земельного кодексу України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</si>
  <si>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</si>
  <si>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Заходи щодо відновлення і підтримання сприятливого гідрологічного режиму та санітарного стану річок (виготовлення проектів землеустрою щодо встановлення меж прибережних захисних смуг поверхневих водних об’єктів)</t>
  </si>
  <si>
    <t xml:space="preserve">Організація та проведення екологічних акцій серед учнівської молоді Хмельницької міської територіальної громади </t>
  </si>
  <si>
    <t>Будівництво каналізаційних мереж в мікрорайоні "Озерна" в м. Хмельницькому (коригування)</t>
  </si>
  <si>
    <t>0217640</t>
  </si>
  <si>
    <t>Програма «Здійснення Управлінням ДМС у Хмельницькій області та Хмельницькою міською радою заходів у сфері громадянства, міграції, надання адміністративних послуг на 2023 рік»</t>
  </si>
  <si>
    <t>Рішення 29-ї сесії Хмельницької міської ради від 02.06.2023 року №21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</si>
  <si>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(із змінами) </t>
  </si>
  <si>
    <t>Нове будівництво нежитлового приміщення за адресою: вул.Заводська, 165 в м.Хмельницькому (коригування)</t>
  </si>
  <si>
    <t>Програма єдності та підтримки громад України, що постраждали внаслідок військової агресії російської федерації на 2023-2027 роки</t>
  </si>
  <si>
    <t>Програма підтримки і розвитку комунального підприємства "Елеватор" Хмельницької міської ради на 2023 - 2027 роки (із змінами)</t>
  </si>
  <si>
    <t>Програма підтримки і розвитку міського комунального підприємства «Хмельницькводоканал» на 2023-2027 роки (із змінами)</t>
  </si>
  <si>
    <t>1416016</t>
  </si>
  <si>
    <t>6016</t>
  </si>
  <si>
    <t>Впровадження засобів обліку витрат та регулювання споживання води та теплової енергії</t>
  </si>
  <si>
    <t>Програма підтримки і розвитку міського комунального підприємства «Хмельницьктеплокомуненерго» на 2023 – 2027 роки (із змінами)</t>
  </si>
  <si>
    <t>Програма підтримки і розвитку комунального підприємства по зеленому будівництву і благоустрою міста виконавчого комітету Хмельницької міської ради на 2023 - 2027 роки (із змінами)</t>
  </si>
  <si>
    <t xml:space="preserve">Програма підтримки і розвитку комунального підприємства по будівництву, ремонту та експлуатації доріг виконавчого комітету Хмельницької міської ради на 2023-2027 роки </t>
  </si>
  <si>
    <t xml:space="preserve">Програма підтримки і розвитку комунального підприємства «Акведук» Хмельницької міської ради на 2023 – 2027 роки </t>
  </si>
  <si>
    <t>Програма підтримки та розвитку Хмельницького комунального підприємства «Спецкомунтранс» на 2023 – 2027 роки (із змінами)</t>
  </si>
  <si>
    <r>
      <t>Реконструкція ділянки водопроводу від вул. Партизанської до вул. Волочиської в м. Хмельницькому</t>
    </r>
    <r>
      <rPr>
        <sz val="16"/>
        <color theme="1"/>
        <rFont val="Times New Roman"/>
        <family val="1"/>
        <charset val="204"/>
      </rPr>
      <t xml:space="preserve"> </t>
    </r>
  </si>
  <si>
    <t>Реконструкція каналізаційної мережі по вул. С. Бандери,22 в м. Хмельницький</t>
  </si>
  <si>
    <t>Будівництво вуличних мереж каналізації по пров. Північному в м.Хмельницький</t>
  </si>
  <si>
    <t>Реконструкція ділянки водопроводу по вул. Гоголя від вул. О.Теліги до ж.б.№99 по вул. Гоголя в м. Хмельницький</t>
  </si>
  <si>
    <t>Програма розвитку та вдосконалення міського пасажирського транспорту  міста Хмельницького на 2019 - 2023 роки  (із змінами і доповненнями)</t>
  </si>
  <si>
    <t>Програма розвитку електротранспорту Хмельницької міської територіальної громади на 2021 - 2025 роки</t>
  </si>
  <si>
    <t xml:space="preserve"> Реконструкція приміщень рентгенкабінету під приміщення ангіографії з облаштуванням даху, вхідної групи центрального входу приміщень фойє та коридору (заходи з енергозбереження та дотримання умов доступності маломобільних груп населення ) першого поверху корпусу №3 комунального підприємства «Хмельницька міська лікарня» Хмельницької міської ради  за  адресою: м.Хмельницький, провулок Проскурівський,1</t>
  </si>
  <si>
    <t>РІЗНИЦЯ</t>
  </si>
  <si>
    <t>Програма розвитку адміністративних послуг в Хмельницькій міській територіальній громаді на 2023 рік</t>
  </si>
  <si>
    <t xml:space="preserve">Керуючий справами </t>
  </si>
  <si>
    <t>Юлія САБІЙ</t>
  </si>
  <si>
    <t>Заходи з озеленення, в тому числі інвентаризація зелених насаджень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</si>
</sst>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_-* #,##0.00_₴_-;\-* #,##0.00_₴_-;_-* &quot;-&quot;??_₴_-;_-@_-"/>
    <numFmt numFmtId="165" formatCode="#,##0.0"/>
    <numFmt numFmtId="166" formatCode="0.0"/>
    <numFmt numFmtId="167" formatCode="#,##0.00000"/>
    <numFmt numFmtId="168" formatCode="_-* #,##0.00_₴_-;\-* #,##0.00_₴_-;_-* \-??_₴_-;_-@_-"/>
  </numFmts>
  <fonts count="20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36"/>
      <name val="Times New Roman Cyr"/>
      <family val="1"/>
      <charset val="204"/>
    </font>
    <font>
      <sz val="10"/>
      <name val="Arial"/>
      <family val="2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sz val="50"/>
      <name val="Arial Cyr"/>
      <charset val="204"/>
    </font>
    <font>
      <sz val="11"/>
      <color theme="1"/>
      <name val="Calibri"/>
      <family val="2"/>
      <scheme val="minor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10"/>
      <color rgb="FFFF0000"/>
      <name val="Times New Roman Cyr"/>
      <family val="1"/>
      <charset val="204"/>
    </font>
    <font>
      <sz val="48"/>
      <name val="Times New Roman Cyr"/>
      <family val="1"/>
      <charset val="204"/>
    </font>
    <font>
      <i/>
      <sz val="37"/>
      <name val="Times New Roman"/>
      <family val="1"/>
      <charset val="204"/>
    </font>
    <font>
      <b/>
      <i/>
      <sz val="10"/>
      <name val="Arial Cyr"/>
      <charset val="204"/>
    </font>
    <font>
      <b/>
      <i/>
      <sz val="36"/>
      <color rgb="FFFF0000"/>
      <name val="Arial Cyr"/>
      <charset val="204"/>
    </font>
    <font>
      <i/>
      <sz val="36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14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sz val="36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i/>
      <sz val="36"/>
      <color rgb="FFFF0000"/>
      <name val="Arial Cyr"/>
      <charset val="204"/>
    </font>
    <font>
      <b/>
      <vertAlign val="superscript"/>
      <sz val="36"/>
      <color rgb="FFFF0000"/>
      <name val="Times New Roman"/>
      <family val="1"/>
      <charset val="204"/>
    </font>
    <font>
      <b/>
      <i/>
      <vertAlign val="superscript"/>
      <sz val="36"/>
      <color rgb="FFFF0000"/>
      <name val="Times New Roman"/>
      <family val="1"/>
      <charset val="204"/>
    </font>
    <font>
      <b/>
      <i/>
      <sz val="10"/>
      <color rgb="FFFF0000"/>
      <name val="Arial Cyr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9"/>
      <color rgb="FFFF0000"/>
      <name val="Times New Roman CYR"/>
      <charset val="204"/>
    </font>
    <font>
      <sz val="11"/>
      <color rgb="FFFF0000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i/>
      <sz val="11"/>
      <color rgb="FFFF0000"/>
      <name val="Times New Roman Cyr"/>
      <family val="1"/>
      <charset val="204"/>
    </font>
    <font>
      <sz val="11"/>
      <color rgb="FFFF0000"/>
      <name val="Times New Roman Cyr"/>
      <charset val="204"/>
    </font>
    <font>
      <sz val="72"/>
      <color rgb="FFFF0000"/>
      <name val="Arial Cyr"/>
      <charset val="204"/>
    </font>
    <font>
      <sz val="22"/>
      <color rgb="FFFF0000"/>
      <name val="Arial Cyr"/>
      <charset val="204"/>
    </font>
    <font>
      <b/>
      <sz val="28"/>
      <color rgb="FFFF0000"/>
      <name val="Arial Cyr"/>
      <charset val="204"/>
    </font>
    <font>
      <b/>
      <sz val="28"/>
      <color rgb="FFFF0000"/>
      <name val="Times New Roman"/>
      <family val="1"/>
      <charset val="204"/>
    </font>
    <font>
      <b/>
      <vertAlign val="superscript"/>
      <sz val="11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sz val="34"/>
      <color rgb="FFFF0000"/>
      <name val="Times New Roman"/>
      <family val="1"/>
      <charset val="204"/>
    </font>
    <font>
      <sz val="72"/>
      <color rgb="FFFF0000"/>
      <name val="Times New Roman"/>
      <family val="1"/>
      <charset val="204"/>
    </font>
    <font>
      <b/>
      <sz val="72"/>
      <color rgb="FFFF0000"/>
      <name val="Times New Roman"/>
      <family val="1"/>
      <charset val="204"/>
    </font>
    <font>
      <sz val="36"/>
      <color rgb="FFFF0000"/>
      <name val="Times New Roman Cyr"/>
      <family val="1"/>
      <charset val="204"/>
    </font>
    <font>
      <b/>
      <sz val="36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sz val="50"/>
      <color rgb="FFFF0000"/>
      <name val="Arial Cyr"/>
      <charset val="204"/>
    </font>
    <font>
      <sz val="12.5"/>
      <color rgb="FFFF0000"/>
      <name val="Times New Roman"/>
      <family val="1"/>
      <charset val="204"/>
    </font>
    <font>
      <b/>
      <i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FFCC"/>
      <name val="Times New Roman"/>
      <family val="1"/>
      <charset val="204"/>
    </font>
    <font>
      <sz val="22"/>
      <name val="Times New Roman"/>
      <family val="1"/>
      <charset val="204"/>
    </font>
    <font>
      <u/>
      <sz val="36"/>
      <name val="Times New Roman"/>
      <family val="1"/>
      <charset val="204"/>
    </font>
    <font>
      <u/>
      <sz val="36"/>
      <name val="Arial Cyr"/>
      <charset val="204"/>
    </font>
    <font>
      <b/>
      <sz val="72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36"/>
      <name val="Times New Roman"/>
      <family val="1"/>
      <charset val="204"/>
    </font>
    <font>
      <b/>
      <sz val="36"/>
      <color rgb="FF00FFCC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b/>
      <vertAlign val="superscript"/>
      <sz val="1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4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rgb="FF00FFCC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20"/>
      <name val="Times New Roman"/>
      <family val="1"/>
      <charset val="204"/>
    </font>
    <font>
      <vertAlign val="superscript"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4"/>
      <color rgb="FF00FFCC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31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FFCC"/>
      <name val="Times New Roman CYR"/>
      <charset val="204"/>
    </font>
    <font>
      <b/>
      <sz val="10"/>
      <color rgb="FF00FFCC"/>
      <name val="Times New Roman"/>
      <family val="1"/>
      <charset val="204"/>
    </font>
    <font>
      <sz val="3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00FFCC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  <fill>
      <gradientFill degree="270">
        <stop position="0">
          <color theme="0"/>
        </stop>
        <stop position="1">
          <color rgb="FF00FFCC"/>
        </stop>
      </gradientFill>
    </fill>
    <fill>
      <gradientFill degree="90">
        <stop position="0">
          <color rgb="FF00FFCC"/>
        </stop>
        <stop position="1">
          <color rgb="FF00FFCC"/>
        </stop>
      </gradient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0.5">
          <color rgb="FFCCFF99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9" tint="0.59999389629810485"/>
        </stop>
        <stop position="1">
          <color theme="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1">
    <xf numFmtId="0" fontId="0" fillId="0" borderId="0"/>
    <xf numFmtId="0" fontId="10" fillId="0" borderId="0"/>
    <xf numFmtId="0" fontId="18" fillId="2" borderId="1" applyNumberFormat="0" applyAlignment="0" applyProtection="0"/>
    <xf numFmtId="0" fontId="26" fillId="3" borderId="0" applyNumberFormat="0" applyBorder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36" fillId="0" borderId="0"/>
    <xf numFmtId="0" fontId="28" fillId="0" borderId="0"/>
    <xf numFmtId="0" fontId="10" fillId="0" borderId="0"/>
    <xf numFmtId="0" fontId="36" fillId="0" borderId="0"/>
    <xf numFmtId="0" fontId="10" fillId="0" borderId="0"/>
    <xf numFmtId="0" fontId="3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5" fillId="0" borderId="0">
      <alignment vertical="top"/>
    </xf>
    <xf numFmtId="0" fontId="22" fillId="5" borderId="5" applyNumberFormat="0" applyAlignment="0" applyProtection="0"/>
    <xf numFmtId="0" fontId="23" fillId="0" borderId="0" applyNumberFormat="0" applyFill="0" applyBorder="0" applyAlignment="0" applyProtection="0"/>
    <xf numFmtId="0" fontId="10" fillId="0" borderId="0"/>
    <xf numFmtId="0" fontId="36" fillId="0" borderId="0"/>
    <xf numFmtId="0" fontId="12" fillId="0" borderId="0"/>
    <xf numFmtId="0" fontId="39" fillId="0" borderId="0" applyNumberFormat="0" applyFont="0" applyFill="0" applyBorder="0" applyAlignment="0" applyProtection="0">
      <alignment vertical="top"/>
    </xf>
    <xf numFmtId="0" fontId="27" fillId="0" borderId="0"/>
    <xf numFmtId="0" fontId="11" fillId="0" borderId="0" applyNumberFormat="0" applyFont="0" applyFill="0" applyBorder="0" applyAlignment="0" applyProtection="0">
      <alignment vertical="top"/>
    </xf>
    <xf numFmtId="0" fontId="12" fillId="0" borderId="0"/>
    <xf numFmtId="0" fontId="27" fillId="0" borderId="0"/>
    <xf numFmtId="0" fontId="24" fillId="0" borderId="6" applyNumberFormat="0" applyFill="0" applyAlignment="0" applyProtection="0"/>
    <xf numFmtId="0" fontId="29" fillId="4" borderId="0" applyNumberFormat="0" applyBorder="0" applyAlignment="0" applyProtection="0"/>
    <xf numFmtId="0" fontId="27" fillId="0" borderId="0"/>
    <xf numFmtId="0" fontId="25" fillId="0" borderId="0" applyNumberFormat="0" applyFill="0" applyBorder="0" applyAlignment="0" applyProtection="0"/>
    <xf numFmtId="0" fontId="10" fillId="0" borderId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3" borderId="0" applyNumberFormat="0" applyBorder="0" applyAlignment="0" applyProtection="0"/>
    <xf numFmtId="0" fontId="46" fillId="2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2" borderId="0" applyNumberFormat="0" applyBorder="0" applyAlignment="0" applyProtection="0"/>
    <xf numFmtId="0" fontId="18" fillId="2" borderId="1" applyNumberFormat="0" applyAlignment="0" applyProtection="0"/>
    <xf numFmtId="0" fontId="48" fillId="23" borderId="11" applyNumberFormat="0" applyAlignment="0" applyProtection="0"/>
    <xf numFmtId="0" fontId="49" fillId="23" borderId="1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0" fillId="0" borderId="12" applyNumberFormat="0" applyFill="0" applyAlignment="0" applyProtection="0"/>
    <xf numFmtId="0" fontId="22" fillId="5" borderId="5" applyNumberFormat="0" applyAlignment="0" applyProtection="0"/>
    <xf numFmtId="0" fontId="23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2" fillId="8" borderId="0" applyNumberFormat="0" applyBorder="0" applyAlignment="0" applyProtection="0"/>
    <xf numFmtId="0" fontId="53" fillId="0" borderId="0" applyNumberFormat="0" applyFill="0" applyBorder="0" applyAlignment="0" applyProtection="0"/>
    <xf numFmtId="0" fontId="46" fillId="24" borderId="13" applyNumberFormat="0" applyFont="0" applyAlignment="0" applyProtection="0"/>
    <xf numFmtId="0" fontId="24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57" fillId="0" borderId="0"/>
    <xf numFmtId="0" fontId="10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6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6" fillId="0" borderId="0"/>
    <xf numFmtId="0" fontId="18" fillId="4" borderId="1" applyNumberFormat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5" fillId="0" borderId="25" applyNumberFormat="0" applyFill="0" applyAlignment="0" applyProtection="0"/>
    <xf numFmtId="0" fontId="98" fillId="0" borderId="0" applyNumberFormat="0" applyFill="0" applyBorder="0" applyAlignment="0" applyProtection="0"/>
    <xf numFmtId="0" fontId="35" fillId="0" borderId="0"/>
    <xf numFmtId="0" fontId="46" fillId="0" borderId="0"/>
    <xf numFmtId="0" fontId="60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57" fillId="0" borderId="0"/>
    <xf numFmtId="0" fontId="39" fillId="0" borderId="0"/>
    <xf numFmtId="0" fontId="57" fillId="0" borderId="0"/>
    <xf numFmtId="0" fontId="12" fillId="0" borderId="0"/>
    <xf numFmtId="0" fontId="16" fillId="0" borderId="0"/>
    <xf numFmtId="0" fontId="39" fillId="0" borderId="0"/>
    <xf numFmtId="0" fontId="46" fillId="0" borderId="0"/>
    <xf numFmtId="0" fontId="46" fillId="0" borderId="0"/>
    <xf numFmtId="0" fontId="16" fillId="0" borderId="0"/>
    <xf numFmtId="0" fontId="16" fillId="0" borderId="0"/>
    <xf numFmtId="0" fontId="46" fillId="0" borderId="0"/>
    <xf numFmtId="0" fontId="10" fillId="0" borderId="0"/>
    <xf numFmtId="0" fontId="2" fillId="0" borderId="0"/>
    <xf numFmtId="0" fontId="2" fillId="0" borderId="0"/>
    <xf numFmtId="0" fontId="57" fillId="0" borderId="0"/>
    <xf numFmtId="0" fontId="97" fillId="0" borderId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9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57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2" borderId="1" applyNumberFormat="0" applyAlignment="0" applyProtection="0"/>
    <xf numFmtId="0" fontId="2" fillId="0" borderId="0"/>
    <xf numFmtId="0" fontId="2" fillId="0" borderId="0"/>
    <xf numFmtId="0" fontId="24" fillId="0" borderId="6" applyNumberFormat="0" applyFill="0" applyAlignment="0" applyProtection="0"/>
    <xf numFmtId="0" fontId="22" fillId="5" borderId="5" applyNumberFormat="0" applyAlignment="0" applyProtection="0"/>
    <xf numFmtId="0" fontId="23" fillId="0" borderId="0" applyNumberFormat="0" applyFill="0" applyBorder="0" applyAlignment="0" applyProtection="0"/>
    <xf numFmtId="0" fontId="97" fillId="0" borderId="0"/>
    <xf numFmtId="0" fontId="10" fillId="0" borderId="0"/>
    <xf numFmtId="0" fontId="12" fillId="0" borderId="0"/>
    <xf numFmtId="0" fontId="25" fillId="0" borderId="0" applyNumberFormat="0" applyFill="0" applyBorder="0" applyAlignment="0" applyProtection="0"/>
    <xf numFmtId="0" fontId="1" fillId="0" borderId="0"/>
  </cellStyleXfs>
  <cellXfs count="1079">
    <xf numFmtId="0" fontId="0" fillId="0" borderId="0" xfId="0"/>
    <xf numFmtId="0" fontId="16" fillId="0" borderId="0" xfId="39" applyFont="1"/>
    <xf numFmtId="0" fontId="31" fillId="0" borderId="0" xfId="0" applyFont="1" applyAlignment="1">
      <alignment horizontal="left" vertical="center"/>
    </xf>
    <xf numFmtId="0" fontId="31" fillId="0" borderId="0" xfId="39" applyFont="1"/>
    <xf numFmtId="0" fontId="65" fillId="0" borderId="0" xfId="0" applyFont="1"/>
    <xf numFmtId="0" fontId="73" fillId="0" borderId="0" xfId="0" applyFont="1"/>
    <xf numFmtId="0" fontId="74" fillId="0" borderId="0" xfId="0" applyFont="1"/>
    <xf numFmtId="0" fontId="79" fillId="0" borderId="0" xfId="35" applyFont="1"/>
    <xf numFmtId="0" fontId="80" fillId="0" borderId="0" xfId="35" applyFont="1" applyAlignment="1">
      <alignment horizontal="center" vertical="center"/>
    </xf>
    <xf numFmtId="0" fontId="79" fillId="0" borderId="0" xfId="35" applyFont="1" applyFill="1"/>
    <xf numFmtId="0" fontId="68" fillId="0" borderId="0" xfId="0" applyFont="1"/>
    <xf numFmtId="0" fontId="81" fillId="0" borderId="0" xfId="36" applyFont="1">
      <alignment vertical="top"/>
    </xf>
    <xf numFmtId="2" fontId="83" fillId="0" borderId="0" xfId="36" applyNumberFormat="1" applyFont="1" applyFill="1" applyAlignment="1">
      <alignment horizontal="center" vertical="top"/>
    </xf>
    <xf numFmtId="0" fontId="78" fillId="0" borderId="0" xfId="35" applyFont="1" applyFill="1" applyAlignment="1">
      <alignment horizontal="center" vertical="center"/>
    </xf>
    <xf numFmtId="0" fontId="68" fillId="0" borderId="0" xfId="36" applyFont="1">
      <alignment vertical="top"/>
    </xf>
    <xf numFmtId="0" fontId="64" fillId="0" borderId="0" xfId="0" applyFont="1" applyFill="1"/>
    <xf numFmtId="0" fontId="96" fillId="0" borderId="0" xfId="0" applyFont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0" fontId="56" fillId="0" borderId="0" xfId="0" applyFont="1" applyFill="1" applyAlignment="1">
      <alignment horizontal="left" vertical="center"/>
    </xf>
    <xf numFmtId="4" fontId="30" fillId="0" borderId="0" xfId="36" applyNumberFormat="1" applyFont="1" applyFill="1" applyBorder="1" applyAlignment="1">
      <alignment horizontal="center" vertical="center" wrapText="1"/>
    </xf>
    <xf numFmtId="0" fontId="13" fillId="28" borderId="0" xfId="0" applyFont="1" applyFill="1" applyAlignment="1">
      <alignment vertical="center"/>
    </xf>
    <xf numFmtId="0" fontId="31" fillId="28" borderId="0" xfId="0" applyFont="1" applyFill="1" applyAlignment="1">
      <alignment vertical="center"/>
    </xf>
    <xf numFmtId="0" fontId="64" fillId="28" borderId="0" xfId="0" applyFont="1" applyFill="1"/>
    <xf numFmtId="0" fontId="0" fillId="28" borderId="0" xfId="0" applyFill="1"/>
    <xf numFmtId="0" fontId="31" fillId="28" borderId="0" xfId="0" applyFont="1" applyFill="1" applyAlignment="1">
      <alignment horizontal="right" vertical="center"/>
    </xf>
    <xf numFmtId="0" fontId="67" fillId="28" borderId="0" xfId="38" applyFont="1" applyFill="1" applyBorder="1" applyAlignment="1" applyProtection="1">
      <alignment horizontal="center" vertical="center" wrapText="1"/>
      <protection locked="0"/>
    </xf>
    <xf numFmtId="0" fontId="15" fillId="28" borderId="0" xfId="0" applyFont="1" applyFill="1"/>
    <xf numFmtId="0" fontId="65" fillId="28" borderId="0" xfId="0" applyFont="1" applyFill="1"/>
    <xf numFmtId="4" fontId="30" fillId="28" borderId="0" xfId="0" applyNumberFormat="1" applyFont="1" applyFill="1" applyAlignment="1">
      <alignment horizontal="left" vertical="center"/>
    </xf>
    <xf numFmtId="4" fontId="72" fillId="28" borderId="0" xfId="0" applyNumberFormat="1" applyFont="1" applyFill="1" applyAlignment="1">
      <alignment horizontal="left" vertical="center"/>
    </xf>
    <xf numFmtId="0" fontId="92" fillId="28" borderId="0" xfId="0" applyFont="1" applyFill="1"/>
    <xf numFmtId="4" fontId="77" fillId="28" borderId="0" xfId="0" applyNumberFormat="1" applyFont="1" applyFill="1" applyAlignment="1">
      <alignment horizontal="left" vertical="center"/>
    </xf>
    <xf numFmtId="4" fontId="63" fillId="28" borderId="0" xfId="0" applyNumberFormat="1" applyFont="1" applyFill="1" applyAlignment="1">
      <alignment horizontal="left" vertical="center"/>
    </xf>
    <xf numFmtId="4" fontId="66" fillId="28" borderId="0" xfId="0" applyNumberFormat="1" applyFont="1" applyFill="1" applyAlignment="1">
      <alignment horizontal="left" vertical="center"/>
    </xf>
    <xf numFmtId="4" fontId="94" fillId="28" borderId="0" xfId="0" applyNumberFormat="1" applyFont="1" applyFill="1" applyAlignment="1">
      <alignment horizontal="left" vertical="center"/>
    </xf>
    <xf numFmtId="0" fontId="37" fillId="28" borderId="0" xfId="0" applyFont="1" applyFill="1"/>
    <xf numFmtId="4" fontId="85" fillId="28" borderId="0" xfId="0" applyNumberFormat="1" applyFont="1" applyFill="1" applyAlignment="1">
      <alignment horizontal="left" vertical="center"/>
    </xf>
    <xf numFmtId="0" fontId="0" fillId="28" borderId="0" xfId="0" applyFont="1" applyFill="1"/>
    <xf numFmtId="4" fontId="67" fillId="28" borderId="0" xfId="0" applyNumberFormat="1" applyFont="1" applyFill="1" applyAlignment="1">
      <alignment horizontal="left" vertical="center"/>
    </xf>
    <xf numFmtId="0" fontId="73" fillId="28" borderId="0" xfId="0" applyFont="1" applyFill="1"/>
    <xf numFmtId="4" fontId="31" fillId="28" borderId="0" xfId="0" applyNumberFormat="1" applyFont="1" applyFill="1" applyAlignment="1">
      <alignment horizontal="left" vertical="center"/>
    </xf>
    <xf numFmtId="4" fontId="44" fillId="28" borderId="0" xfId="0" applyNumberFormat="1" applyFont="1" applyFill="1"/>
    <xf numFmtId="4" fontId="75" fillId="28" borderId="0" xfId="0" applyNumberFormat="1" applyFont="1" applyFill="1" applyAlignment="1">
      <alignment horizontal="left" vertical="center"/>
    </xf>
    <xf numFmtId="4" fontId="93" fillId="28" borderId="0" xfId="0" applyNumberFormat="1" applyFont="1" applyFill="1" applyAlignment="1">
      <alignment horizontal="left" vertical="center"/>
    </xf>
    <xf numFmtId="49" fontId="67" fillId="28" borderId="15" xfId="0" applyNumberFormat="1" applyFont="1" applyFill="1" applyBorder="1" applyAlignment="1">
      <alignment horizontal="center" vertical="center" wrapText="1"/>
    </xf>
    <xf numFmtId="4" fontId="71" fillId="28" borderId="15" xfId="0" applyNumberFormat="1" applyFont="1" applyFill="1" applyBorder="1" applyAlignment="1">
      <alignment horizontal="center" vertical="center" wrapText="1"/>
    </xf>
    <xf numFmtId="4" fontId="68" fillId="28" borderId="15" xfId="0" applyNumberFormat="1" applyFont="1" applyFill="1" applyBorder="1" applyAlignment="1">
      <alignment horizontal="center" vertical="center" wrapText="1"/>
    </xf>
    <xf numFmtId="4" fontId="68" fillId="28" borderId="15" xfId="0" applyNumberFormat="1" applyFont="1" applyFill="1" applyBorder="1" applyAlignment="1">
      <alignment horizontal="center" vertical="center"/>
    </xf>
    <xf numFmtId="4" fontId="32" fillId="28" borderId="0" xfId="0" applyNumberFormat="1" applyFont="1" applyFill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4" fontId="71" fillId="28" borderId="0" xfId="0" applyNumberFormat="1" applyFont="1" applyFill="1" applyAlignment="1">
      <alignment horizontal="center" vertical="center" wrapText="1"/>
    </xf>
    <xf numFmtId="4" fontId="33" fillId="28" borderId="0" xfId="0" applyNumberFormat="1" applyFont="1" applyFill="1" applyAlignment="1">
      <alignment horizontal="left" vertical="center" wrapText="1"/>
    </xf>
    <xf numFmtId="4" fontId="33" fillId="28" borderId="0" xfId="0" applyNumberFormat="1" applyFont="1" applyFill="1" applyAlignment="1">
      <alignment horizontal="center" vertical="center" wrapText="1"/>
    </xf>
    <xf numFmtId="4" fontId="71" fillId="28" borderId="0" xfId="0" applyNumberFormat="1" applyFont="1" applyFill="1" applyAlignment="1">
      <alignment horizontal="left" vertical="center" wrapText="1"/>
    </xf>
    <xf numFmtId="4" fontId="84" fillId="28" borderId="0" xfId="0" applyNumberFormat="1" applyFont="1" applyFill="1" applyAlignment="1">
      <alignment horizontal="left" vertical="center" wrapText="1"/>
    </xf>
    <xf numFmtId="4" fontId="91" fillId="28" borderId="0" xfId="0" applyNumberFormat="1" applyFont="1" applyFill="1" applyAlignment="1">
      <alignment horizontal="left" vertical="center" wrapText="1"/>
    </xf>
    <xf numFmtId="4" fontId="86" fillId="28" borderId="0" xfId="0" applyNumberFormat="1" applyFont="1" applyFill="1" applyAlignment="1">
      <alignment horizontal="left" vertical="center" wrapText="1"/>
    </xf>
    <xf numFmtId="4" fontId="87" fillId="28" borderId="0" xfId="0" applyNumberFormat="1" applyFont="1" applyFill="1" applyAlignment="1">
      <alignment horizontal="center" vertical="center" wrapText="1"/>
    </xf>
    <xf numFmtId="4" fontId="54" fillId="28" borderId="0" xfId="0" applyNumberFormat="1" applyFont="1" applyFill="1" applyAlignment="1">
      <alignment vertical="center"/>
    </xf>
    <xf numFmtId="4" fontId="67" fillId="28" borderId="0" xfId="0" applyNumberFormat="1" applyFont="1" applyFill="1" applyAlignment="1">
      <alignment horizontal="center" vertical="center"/>
    </xf>
    <xf numFmtId="0" fontId="14" fillId="28" borderId="0" xfId="0" applyFont="1" applyFill="1" applyAlignment="1">
      <alignment vertical="center"/>
    </xf>
    <xf numFmtId="0" fontId="89" fillId="28" borderId="0" xfId="0" applyFont="1" applyFill="1" applyAlignment="1">
      <alignment vertical="center"/>
    </xf>
    <xf numFmtId="4" fontId="14" fillId="28" borderId="0" xfId="0" applyNumberFormat="1" applyFont="1" applyFill="1" applyAlignment="1">
      <alignment vertical="center"/>
    </xf>
    <xf numFmtId="4" fontId="13" fillId="28" borderId="0" xfId="0" applyNumberFormat="1" applyFont="1" applyFill="1" applyAlignment="1">
      <alignment vertical="center"/>
    </xf>
    <xf numFmtId="0" fontId="90" fillId="28" borderId="0" xfId="0" applyFont="1" applyFill="1" applyAlignment="1">
      <alignment vertical="center"/>
    </xf>
    <xf numFmtId="4" fontId="58" fillId="28" borderId="0" xfId="0" applyNumberFormat="1" applyFont="1" applyFill="1" applyAlignment="1">
      <alignment vertical="center"/>
    </xf>
    <xf numFmtId="167" fontId="38" fillId="28" borderId="0" xfId="0" applyNumberFormat="1" applyFont="1" applyFill="1" applyAlignment="1">
      <alignment vertical="center"/>
    </xf>
    <xf numFmtId="4" fontId="30" fillId="29" borderId="0" xfId="36" applyNumberFormat="1" applyFont="1" applyFill="1" applyBorder="1" applyAlignment="1">
      <alignment horizontal="center" vertical="center" wrapText="1"/>
    </xf>
    <xf numFmtId="4" fontId="76" fillId="28" borderId="0" xfId="0" applyNumberFormat="1" applyFont="1" applyFill="1" applyAlignment="1">
      <alignment vertical="center"/>
    </xf>
    <xf numFmtId="0" fontId="30" fillId="28" borderId="0" xfId="0" applyFont="1" applyFill="1" applyAlignment="1">
      <alignment horizontal="right" vertical="center"/>
    </xf>
    <xf numFmtId="0" fontId="58" fillId="28" borderId="0" xfId="0" applyFont="1" applyFill="1" applyAlignment="1">
      <alignment vertical="center"/>
    </xf>
    <xf numFmtId="4" fontId="88" fillId="28" borderId="0" xfId="0" applyNumberFormat="1" applyFont="1" applyFill="1" applyAlignment="1">
      <alignment vertical="center"/>
    </xf>
    <xf numFmtId="4" fontId="62" fillId="28" borderId="0" xfId="0" applyNumberFormat="1" applyFont="1" applyFill="1" applyAlignment="1">
      <alignment vertical="center"/>
    </xf>
    <xf numFmtId="4" fontId="38" fillId="28" borderId="0" xfId="0" applyNumberFormat="1" applyFont="1" applyFill="1" applyAlignment="1">
      <alignment vertical="center"/>
    </xf>
    <xf numFmtId="0" fontId="59" fillId="28" borderId="0" xfId="0" applyFont="1" applyFill="1"/>
    <xf numFmtId="10" fontId="38" fillId="28" borderId="0" xfId="0" applyNumberFormat="1" applyFont="1" applyFill="1" applyAlignment="1">
      <alignment vertical="center"/>
    </xf>
    <xf numFmtId="0" fontId="38" fillId="28" borderId="0" xfId="0" applyFont="1" applyFill="1" applyAlignment="1">
      <alignment vertical="center"/>
    </xf>
    <xf numFmtId="4" fontId="67" fillId="28" borderId="15" xfId="0" applyNumberFormat="1" applyFont="1" applyFill="1" applyBorder="1" applyAlignment="1">
      <alignment horizontal="center" vertical="center" wrapText="1"/>
    </xf>
    <xf numFmtId="0" fontId="40" fillId="28" borderId="0" xfId="36" applyFont="1" applyFill="1" applyAlignment="1">
      <alignment horizontal="center" vertical="top"/>
    </xf>
    <xf numFmtId="0" fontId="17" fillId="28" borderId="0" xfId="36" applyFont="1" applyFill="1" applyAlignment="1">
      <alignment horizontal="center" vertical="top"/>
    </xf>
    <xf numFmtId="2" fontId="82" fillId="28" borderId="0" xfId="36" applyNumberFormat="1" applyFont="1" applyFill="1" applyAlignment="1">
      <alignment horizontal="center" vertical="top"/>
    </xf>
    <xf numFmtId="0" fontId="13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31" fillId="0" borderId="16" xfId="38" applyFont="1" applyFill="1" applyBorder="1" applyAlignment="1" applyProtection="1">
      <alignment horizontal="center" wrapText="1"/>
      <protection locked="0"/>
    </xf>
    <xf numFmtId="0" fontId="31" fillId="0" borderId="0" xfId="38" applyFont="1" applyFill="1" applyBorder="1" applyAlignment="1" applyProtection="1">
      <alignment horizontal="center" vertical="top" wrapText="1"/>
      <protection locked="0"/>
    </xf>
    <xf numFmtId="4" fontId="16" fillId="0" borderId="15" xfId="36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40" fillId="0" borderId="0" xfId="36" applyFont="1" applyFill="1" applyAlignment="1">
      <alignment horizontal="center" vertical="center"/>
    </xf>
    <xf numFmtId="0" fontId="16" fillId="0" borderId="0" xfId="36" applyFont="1" applyFill="1" applyAlignment="1">
      <alignment horizontal="right" vertical="center"/>
    </xf>
    <xf numFmtId="4" fontId="43" fillId="0" borderId="15" xfId="36" applyNumberFormat="1" applyFont="1" applyFill="1" applyBorder="1" applyAlignment="1">
      <alignment horizontal="center" vertical="center" wrapText="1"/>
    </xf>
    <xf numFmtId="2" fontId="99" fillId="28" borderId="0" xfId="36" applyNumberFormat="1" applyFont="1" applyFill="1" applyAlignment="1">
      <alignment horizontal="center" vertical="top"/>
    </xf>
    <xf numFmtId="4" fontId="101" fillId="28" borderId="0" xfId="0" applyNumberFormat="1" applyFont="1" applyFill="1" applyAlignment="1">
      <alignment vertical="center"/>
    </xf>
    <xf numFmtId="0" fontId="100" fillId="0" borderId="0" xfId="0" applyFont="1" applyFill="1"/>
    <xf numFmtId="0" fontId="100" fillId="28" borderId="0" xfId="0" applyFont="1" applyFill="1"/>
    <xf numFmtId="4" fontId="103" fillId="28" borderId="0" xfId="0" applyNumberFormat="1" applyFont="1" applyFill="1"/>
    <xf numFmtId="4" fontId="102" fillId="28" borderId="0" xfId="0" applyNumberFormat="1" applyFont="1" applyFill="1" applyAlignment="1">
      <alignment horizontal="center" vertical="center"/>
    </xf>
    <xf numFmtId="4" fontId="104" fillId="29" borderId="15" xfId="0" applyNumberFormat="1" applyFont="1" applyFill="1" applyBorder="1" applyAlignment="1">
      <alignment horizontal="center" vertical="center"/>
    </xf>
    <xf numFmtId="4" fontId="106" fillId="28" borderId="0" xfId="0" applyNumberFormat="1" applyFont="1" applyFill="1" applyAlignment="1">
      <alignment vertical="center"/>
    </xf>
    <xf numFmtId="4" fontId="107" fillId="28" borderId="0" xfId="0" applyNumberFormat="1" applyFont="1" applyFill="1" applyAlignment="1">
      <alignment vertical="center"/>
    </xf>
    <xf numFmtId="0" fontId="108" fillId="28" borderId="0" xfId="0" applyFont="1" applyFill="1" applyAlignment="1">
      <alignment vertical="center"/>
    </xf>
    <xf numFmtId="0" fontId="109" fillId="28" borderId="0" xfId="0" applyFont="1" applyFill="1" applyAlignment="1">
      <alignment vertical="center"/>
    </xf>
    <xf numFmtId="165" fontId="110" fillId="28" borderId="0" xfId="0" applyNumberFormat="1" applyFont="1" applyFill="1" applyAlignment="1">
      <alignment horizontal="right" vertical="center" wrapText="1"/>
    </xf>
    <xf numFmtId="165" fontId="111" fillId="28" borderId="0" xfId="0" applyNumberFormat="1" applyFont="1" applyFill="1" applyAlignment="1">
      <alignment horizontal="right" vertical="center" wrapText="1"/>
    </xf>
    <xf numFmtId="165" fontId="101" fillId="28" borderId="0" xfId="0" applyNumberFormat="1" applyFont="1" applyFill="1" applyAlignment="1">
      <alignment horizontal="right" vertical="center" wrapText="1"/>
    </xf>
    <xf numFmtId="0" fontId="111" fillId="28" borderId="0" xfId="0" applyFont="1" applyFill="1" applyAlignment="1">
      <alignment vertical="center"/>
    </xf>
    <xf numFmtId="0" fontId="110" fillId="28" borderId="0" xfId="0" applyFont="1" applyFill="1" applyAlignment="1">
      <alignment vertical="center"/>
    </xf>
    <xf numFmtId="4" fontId="110" fillId="28" borderId="0" xfId="0" applyNumberFormat="1" applyFont="1" applyFill="1" applyAlignment="1">
      <alignment vertical="center"/>
    </xf>
    <xf numFmtId="2" fontId="112" fillId="28" borderId="0" xfId="0" applyNumberFormat="1" applyFont="1" applyFill="1" applyAlignment="1">
      <alignment horizontal="center" vertical="center"/>
    </xf>
    <xf numFmtId="4" fontId="105" fillId="29" borderId="14" xfId="0" applyNumberFormat="1" applyFont="1" applyFill="1" applyBorder="1" applyAlignment="1">
      <alignment horizontal="center" vertical="center" wrapText="1"/>
    </xf>
    <xf numFmtId="4" fontId="105" fillId="29" borderId="8" xfId="0" applyNumberFormat="1" applyFont="1" applyFill="1" applyBorder="1" applyAlignment="1">
      <alignment horizontal="center" vertical="center" wrapText="1"/>
    </xf>
    <xf numFmtId="0" fontId="105" fillId="28" borderId="0" xfId="0" applyFont="1" applyFill="1" applyAlignment="1">
      <alignment horizontal="center" vertical="center"/>
    </xf>
    <xf numFmtId="0" fontId="0" fillId="28" borderId="0" xfId="0" applyFill="1"/>
    <xf numFmtId="2" fontId="16" fillId="0" borderId="15" xfId="36" applyNumberFormat="1" applyFont="1" applyFill="1" applyBorder="1" applyAlignment="1">
      <alignment horizontal="center" vertical="center" wrapText="1"/>
    </xf>
    <xf numFmtId="4" fontId="16" fillId="0" borderId="15" xfId="36" applyNumberFormat="1" applyFont="1" applyFill="1" applyBorder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0" fontId="0" fillId="28" borderId="0" xfId="0" applyFill="1"/>
    <xf numFmtId="4" fontId="32" fillId="28" borderId="0" xfId="0" applyNumberFormat="1" applyFont="1" applyFill="1" applyAlignment="1">
      <alignment horizontal="left" vertical="center" wrapText="1"/>
    </xf>
    <xf numFmtId="0" fontId="41" fillId="0" borderId="0" xfId="0" applyFont="1"/>
    <xf numFmtId="0" fontId="0" fillId="28" borderId="0" xfId="0" applyFill="1" applyAlignment="1"/>
    <xf numFmtId="10" fontId="107" fillId="28" borderId="0" xfId="0" applyNumberFormat="1" applyFont="1" applyFill="1" applyAlignment="1">
      <alignment vertical="center"/>
    </xf>
    <xf numFmtId="0" fontId="40" fillId="0" borderId="0" xfId="36" applyFont="1" applyAlignment="1">
      <alignment horizontal="center" vertical="center"/>
    </xf>
    <xf numFmtId="0" fontId="82" fillId="0" borderId="0" xfId="36" applyFont="1">
      <alignment vertical="top"/>
    </xf>
    <xf numFmtId="0" fontId="64" fillId="0" borderId="0" xfId="0" applyFont="1"/>
    <xf numFmtId="0" fontId="10" fillId="0" borderId="0" xfId="0" applyFont="1" applyFill="1" applyBorder="1" applyAlignment="1">
      <alignment horizontal="center" vertical="center"/>
    </xf>
    <xf numFmtId="0" fontId="40" fillId="0" borderId="0" xfId="36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36" applyFont="1" applyAlignment="1">
      <alignment horizontal="center" vertical="top"/>
    </xf>
    <xf numFmtId="49" fontId="31" fillId="0" borderId="15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64" fillId="0" borderId="0" xfId="0" applyFont="1"/>
    <xf numFmtId="0" fontId="78" fillId="0" borderId="0" xfId="39" applyFont="1"/>
    <xf numFmtId="0" fontId="78" fillId="0" borderId="0" xfId="39" applyFont="1" applyFill="1"/>
    <xf numFmtId="0" fontId="70" fillId="0" borderId="0" xfId="39" applyFont="1" applyFill="1" applyAlignment="1">
      <alignment wrapText="1"/>
    </xf>
    <xf numFmtId="0" fontId="116" fillId="0" borderId="0" xfId="39" applyFont="1" applyFill="1" applyAlignment="1">
      <alignment wrapText="1"/>
    </xf>
    <xf numFmtId="0" fontId="117" fillId="0" borderId="0" xfId="39" applyFont="1" applyFill="1" applyAlignment="1">
      <alignment wrapText="1"/>
    </xf>
    <xf numFmtId="0" fontId="78" fillId="0" borderId="0" xfId="39" applyFont="1" applyFill="1" applyAlignment="1">
      <alignment wrapText="1"/>
    </xf>
    <xf numFmtId="0" fontId="120" fillId="0" borderId="0" xfId="39" applyFont="1" applyFill="1" applyAlignment="1">
      <alignment wrapText="1"/>
    </xf>
    <xf numFmtId="4" fontId="118" fillId="28" borderId="24" xfId="39" applyNumberFormat="1" applyFont="1" applyFill="1" applyBorder="1" applyAlignment="1">
      <alignment horizontal="center" vertical="center" wrapText="1"/>
    </xf>
    <xf numFmtId="4" fontId="119" fillId="28" borderId="24" xfId="39" applyNumberFormat="1" applyFont="1" applyFill="1" applyBorder="1" applyAlignment="1">
      <alignment horizontal="center" vertical="center" wrapText="1"/>
    </xf>
    <xf numFmtId="0" fontId="78" fillId="0" borderId="0" xfId="39" applyFont="1" applyAlignment="1">
      <alignment vertical="center"/>
    </xf>
    <xf numFmtId="0" fontId="113" fillId="0" borderId="0" xfId="39" applyFont="1"/>
    <xf numFmtId="4" fontId="78" fillId="0" borderId="0" xfId="39" applyNumberFormat="1" applyFont="1" applyFill="1"/>
    <xf numFmtId="0" fontId="113" fillId="0" borderId="0" xfId="0" applyFont="1" applyAlignment="1">
      <alignment horizontal="justify" vertical="center"/>
    </xf>
    <xf numFmtId="0" fontId="114" fillId="0" borderId="0" xfId="39" applyFont="1"/>
    <xf numFmtId="4" fontId="78" fillId="0" borderId="0" xfId="39" applyNumberFormat="1" applyFont="1"/>
    <xf numFmtId="4" fontId="64" fillId="28" borderId="0" xfId="0" applyNumberFormat="1" applyFont="1" applyFill="1"/>
    <xf numFmtId="4" fontId="64" fillId="0" borderId="0" xfId="0" applyNumberFormat="1" applyFont="1"/>
    <xf numFmtId="0" fontId="78" fillId="28" borderId="24" xfId="0" applyFont="1" applyFill="1" applyBorder="1" applyAlignment="1">
      <alignment horizontal="center" vertical="center" wrapText="1"/>
    </xf>
    <xf numFmtId="0" fontId="78" fillId="28" borderId="24" xfId="0" applyFont="1" applyFill="1" applyBorder="1" applyAlignment="1">
      <alignment horizontal="left" vertical="center" wrapText="1"/>
    </xf>
    <xf numFmtId="4" fontId="78" fillId="28" borderId="24" xfId="0" applyNumberFormat="1" applyFont="1" applyFill="1" applyBorder="1" applyAlignment="1">
      <alignment horizontal="center" vertical="center" wrapText="1"/>
    </xf>
    <xf numFmtId="4" fontId="65" fillId="28" borderId="0" xfId="0" applyNumberFormat="1" applyFont="1" applyFill="1"/>
    <xf numFmtId="4" fontId="65" fillId="0" borderId="0" xfId="0" applyNumberFormat="1" applyFont="1"/>
    <xf numFmtId="0" fontId="78" fillId="0" borderId="0" xfId="0" applyFont="1"/>
    <xf numFmtId="0" fontId="67" fillId="0" borderId="0" xfId="0" applyFont="1"/>
    <xf numFmtId="49" fontId="63" fillId="0" borderId="15" xfId="0" applyNumberFormat="1" applyFont="1" applyFill="1" applyBorder="1" applyAlignment="1">
      <alignment horizontal="center" vertical="center" wrapText="1"/>
    </xf>
    <xf numFmtId="49" fontId="67" fillId="28" borderId="0" xfId="0" applyNumberFormat="1" applyFont="1" applyFill="1" applyAlignment="1">
      <alignment horizontal="center" vertical="center" wrapText="1"/>
    </xf>
    <xf numFmtId="4" fontId="71" fillId="0" borderId="15" xfId="0" applyNumberFormat="1" applyFont="1" applyFill="1" applyBorder="1" applyAlignment="1">
      <alignment horizontal="center" vertical="center" wrapText="1"/>
    </xf>
    <xf numFmtId="49" fontId="67" fillId="0" borderId="15" xfId="0" applyNumberFormat="1" applyFont="1" applyFill="1" applyBorder="1" applyAlignment="1">
      <alignment horizontal="center" vertical="center" wrapText="1"/>
    </xf>
    <xf numFmtId="4" fontId="68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68" fillId="0" borderId="15" xfId="38" applyNumberFormat="1" applyFont="1" applyFill="1" applyBorder="1" applyAlignment="1">
      <alignment horizontal="center" vertical="center" wrapText="1"/>
    </xf>
    <xf numFmtId="4" fontId="71" fillId="0" borderId="15" xfId="38" applyNumberFormat="1" applyFont="1" applyFill="1" applyBorder="1" applyAlignment="1">
      <alignment horizontal="center" vertical="center" wrapText="1"/>
    </xf>
    <xf numFmtId="4" fontId="68" fillId="0" borderId="15" xfId="0" applyNumberFormat="1" applyFont="1" applyFill="1" applyBorder="1" applyAlignment="1">
      <alignment horizontal="center" vertical="center"/>
    </xf>
    <xf numFmtId="0" fontId="115" fillId="28" borderId="0" xfId="0" applyFont="1" applyFill="1"/>
    <xf numFmtId="4" fontId="68" fillId="0" borderId="15" xfId="0" applyNumberFormat="1" applyFont="1" applyFill="1" applyBorder="1" applyAlignment="1">
      <alignment horizontal="center" vertical="center" wrapText="1"/>
    </xf>
    <xf numFmtId="0" fontId="118" fillId="28" borderId="0" xfId="0" applyFont="1" applyFill="1"/>
    <xf numFmtId="49" fontId="66" fillId="0" borderId="15" xfId="0" applyNumberFormat="1" applyFont="1" applyFill="1" applyBorder="1" applyAlignment="1">
      <alignment horizontal="center" vertical="center" wrapText="1"/>
    </xf>
    <xf numFmtId="4" fontId="84" fillId="0" borderId="15" xfId="0" applyNumberFormat="1" applyFont="1" applyFill="1" applyBorder="1" applyAlignment="1">
      <alignment horizontal="center" vertical="center" wrapText="1"/>
    </xf>
    <xf numFmtId="0" fontId="119" fillId="28" borderId="0" xfId="0" applyFont="1" applyFill="1"/>
    <xf numFmtId="0" fontId="78" fillId="28" borderId="0" xfId="0" applyFont="1" applyFill="1"/>
    <xf numFmtId="49" fontId="94" fillId="0" borderId="15" xfId="0" applyNumberFormat="1" applyFont="1" applyFill="1" applyBorder="1" applyAlignment="1">
      <alignment horizontal="center" vertical="center" wrapText="1"/>
    </xf>
    <xf numFmtId="4" fontId="121" fillId="0" borderId="15" xfId="0" applyNumberFormat="1" applyFont="1" applyFill="1" applyBorder="1" applyAlignment="1">
      <alignment horizontal="center" vertical="center" wrapText="1"/>
    </xf>
    <xf numFmtId="4" fontId="122" fillId="28" borderId="0" xfId="0" applyNumberFormat="1" applyFont="1" applyFill="1" applyAlignment="1">
      <alignment horizontal="center" vertical="center"/>
    </xf>
    <xf numFmtId="4" fontId="74" fillId="28" borderId="0" xfId="0" applyNumberFormat="1" applyFont="1" applyFill="1"/>
    <xf numFmtId="49" fontId="94" fillId="28" borderId="15" xfId="0" applyNumberFormat="1" applyFont="1" applyFill="1" applyBorder="1" applyAlignment="1">
      <alignment horizontal="center" vertical="center" wrapText="1"/>
    </xf>
    <xf numFmtId="4" fontId="121" fillId="28" borderId="15" xfId="0" applyNumberFormat="1" applyFont="1" applyFill="1" applyBorder="1" applyAlignment="1">
      <alignment horizontal="center" vertical="center" wrapText="1"/>
    </xf>
    <xf numFmtId="49" fontId="63" fillId="28" borderId="15" xfId="0" applyNumberFormat="1" applyFont="1" applyFill="1" applyBorder="1" applyAlignment="1">
      <alignment horizontal="center" vertical="center" wrapText="1"/>
    </xf>
    <xf numFmtId="49" fontId="66" fillId="28" borderId="15" xfId="0" applyNumberFormat="1" applyFont="1" applyFill="1" applyBorder="1" applyAlignment="1">
      <alignment horizontal="center" vertical="center" wrapText="1"/>
    </xf>
    <xf numFmtId="4" fontId="84" fillId="28" borderId="15" xfId="0" applyNumberFormat="1" applyFont="1" applyFill="1" applyBorder="1" applyAlignment="1">
      <alignment horizontal="center" vertical="center" wrapText="1"/>
    </xf>
    <xf numFmtId="0" fontId="125" fillId="28" borderId="0" xfId="0" applyFont="1" applyFill="1"/>
    <xf numFmtId="4" fontId="68" fillId="28" borderId="0" xfId="0" applyNumberFormat="1" applyFont="1" applyFill="1" applyAlignment="1">
      <alignment horizontal="center" vertical="center" wrapText="1"/>
    </xf>
    <xf numFmtId="0" fontId="67" fillId="0" borderId="15" xfId="0" applyFont="1" applyFill="1" applyBorder="1" applyAlignment="1">
      <alignment horizontal="center" vertical="center" wrapText="1"/>
    </xf>
    <xf numFmtId="4" fontId="71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94" fillId="0" borderId="15" xfId="38" applyFont="1" applyFill="1" applyBorder="1" applyAlignment="1" applyProtection="1">
      <alignment horizontal="center" vertical="center" wrapText="1"/>
      <protection locked="0"/>
    </xf>
    <xf numFmtId="0" fontId="67" fillId="28" borderId="15" xfId="38" applyFont="1" applyFill="1" applyBorder="1" applyAlignment="1" applyProtection="1">
      <alignment horizontal="center" vertical="center" wrapText="1"/>
      <protection locked="0"/>
    </xf>
    <xf numFmtId="0" fontId="67" fillId="0" borderId="0" xfId="38" applyFont="1" applyFill="1" applyBorder="1" applyAlignment="1" applyProtection="1">
      <alignment horizontal="center" wrapText="1"/>
      <protection locked="0"/>
    </xf>
    <xf numFmtId="0" fontId="67" fillId="0" borderId="17" xfId="38" applyFont="1" applyFill="1" applyBorder="1" applyAlignment="1" applyProtection="1">
      <alignment horizontal="center" vertical="top" wrapText="1"/>
      <protection locked="0"/>
    </xf>
    <xf numFmtId="4" fontId="121" fillId="28" borderId="0" xfId="0" applyNumberFormat="1" applyFont="1" applyFill="1" applyAlignment="1">
      <alignment horizontal="center" vertical="center" wrapText="1"/>
    </xf>
    <xf numFmtId="4" fontId="121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4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71" fillId="28" borderId="15" xfId="38" applyNumberFormat="1" applyFont="1" applyFill="1" applyBorder="1" applyAlignment="1" applyProtection="1">
      <alignment horizontal="center" vertical="center" wrapText="1"/>
      <protection locked="0"/>
    </xf>
    <xf numFmtId="4" fontId="68" fillId="28" borderId="15" xfId="38" applyNumberFormat="1" applyFont="1" applyFill="1" applyBorder="1" applyAlignment="1" applyProtection="1">
      <alignment horizontal="center" vertical="center" wrapText="1"/>
      <protection locked="0"/>
    </xf>
    <xf numFmtId="0" fontId="113" fillId="28" borderId="0" xfId="0" applyFont="1" applyFill="1"/>
    <xf numFmtId="0" fontId="67" fillId="28" borderId="0" xfId="38" applyFont="1" applyFill="1" applyBorder="1" applyAlignment="1" applyProtection="1">
      <alignment horizontal="center" wrapText="1"/>
      <protection locked="0"/>
    </xf>
    <xf numFmtId="0" fontId="67" fillId="28" borderId="17" xfId="38" applyFont="1" applyFill="1" applyBorder="1" applyAlignment="1" applyProtection="1">
      <alignment horizontal="center" vertical="top" wrapText="1"/>
      <protection locked="0"/>
    </xf>
    <xf numFmtId="4" fontId="68" fillId="28" borderId="15" xfId="38" applyNumberFormat="1" applyFont="1" applyFill="1" applyBorder="1" applyAlignment="1">
      <alignment horizontal="center" vertical="center" wrapText="1"/>
    </xf>
    <xf numFmtId="4" fontId="66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66" fillId="0" borderId="15" xfId="0" applyFont="1" applyFill="1" applyBorder="1" applyAlignment="1">
      <alignment horizontal="center" vertical="center" wrapText="1"/>
    </xf>
    <xf numFmtId="0" fontId="94" fillId="0" borderId="15" xfId="0" applyFont="1" applyFill="1" applyBorder="1" applyAlignment="1">
      <alignment horizontal="center" vertical="center" wrapText="1"/>
    </xf>
    <xf numFmtId="0" fontId="126" fillId="0" borderId="0" xfId="0" applyFont="1" applyFill="1" applyAlignment="1">
      <alignment horizontal="left" vertical="center"/>
    </xf>
    <xf numFmtId="0" fontId="127" fillId="0" borderId="0" xfId="0" applyFont="1" applyFill="1" applyAlignment="1">
      <alignment horizontal="left" vertical="center"/>
    </xf>
    <xf numFmtId="0" fontId="78" fillId="0" borderId="0" xfId="35" applyFont="1"/>
    <xf numFmtId="0" fontId="78" fillId="0" borderId="0" xfId="35" applyFont="1" applyFill="1"/>
    <xf numFmtId="0" fontId="79" fillId="0" borderId="9" xfId="35" applyFont="1" applyFill="1" applyBorder="1"/>
    <xf numFmtId="0" fontId="79" fillId="0" borderId="10" xfId="35" applyFont="1" applyFill="1" applyBorder="1"/>
    <xf numFmtId="0" fontId="117" fillId="0" borderId="0" xfId="35" applyFont="1"/>
    <xf numFmtId="49" fontId="120" fillId="36" borderId="15" xfId="0" applyNumberFormat="1" applyFont="1" applyFill="1" applyBorder="1" applyAlignment="1">
      <alignment horizontal="center" vertical="center" wrapText="1"/>
    </xf>
    <xf numFmtId="0" fontId="120" fillId="36" borderId="15" xfId="38" applyFont="1" applyFill="1" applyBorder="1" applyAlignment="1" applyProtection="1">
      <alignment horizontal="center" vertical="center" wrapText="1"/>
      <protection locked="0"/>
    </xf>
    <xf numFmtId="4" fontId="120" fillId="36" borderId="15" xfId="0" applyNumberFormat="1" applyFont="1" applyFill="1" applyBorder="1" applyAlignment="1">
      <alignment horizontal="center" vertical="center" wrapText="1"/>
    </xf>
    <xf numFmtId="0" fontId="128" fillId="0" borderId="0" xfId="35" applyFont="1"/>
    <xf numFmtId="49" fontId="116" fillId="35" borderId="15" xfId="0" applyNumberFormat="1" applyFont="1" applyFill="1" applyBorder="1" applyAlignment="1">
      <alignment horizontal="center" vertical="center" wrapText="1"/>
    </xf>
    <xf numFmtId="0" fontId="116" fillId="35" borderId="15" xfId="38" applyFont="1" applyFill="1" applyBorder="1" applyAlignment="1" applyProtection="1">
      <alignment horizontal="center" vertical="center" wrapText="1"/>
      <protection locked="0"/>
    </xf>
    <xf numFmtId="4" fontId="116" fillId="35" borderId="15" xfId="0" applyNumberFormat="1" applyFont="1" applyFill="1" applyBorder="1" applyAlignment="1">
      <alignment horizontal="center" vertical="center" wrapText="1"/>
    </xf>
    <xf numFmtId="0" fontId="70" fillId="0" borderId="0" xfId="35" applyFont="1" applyAlignment="1">
      <alignment horizontal="center" vertical="center" wrapText="1"/>
    </xf>
    <xf numFmtId="4" fontId="116" fillId="0" borderId="0" xfId="35" applyNumberFormat="1" applyFont="1" applyAlignment="1">
      <alignment horizontal="center" vertical="center"/>
    </xf>
    <xf numFmtId="0" fontId="129" fillId="0" borderId="0" xfId="0" applyFont="1" applyAlignment="1">
      <alignment vertical="center"/>
    </xf>
    <xf numFmtId="4" fontId="130" fillId="0" borderId="0" xfId="0" applyNumberFormat="1" applyFont="1" applyAlignment="1">
      <alignment vertical="center"/>
    </xf>
    <xf numFmtId="4" fontId="131" fillId="0" borderId="0" xfId="0" applyNumberFormat="1" applyFont="1" applyAlignment="1">
      <alignment vertical="center"/>
    </xf>
    <xf numFmtId="0" fontId="131" fillId="0" borderId="0" xfId="0" applyFont="1" applyAlignment="1">
      <alignment vertical="center"/>
    </xf>
    <xf numFmtId="4" fontId="129" fillId="0" borderId="0" xfId="0" applyNumberFormat="1" applyFont="1" applyAlignment="1">
      <alignment vertical="center"/>
    </xf>
    <xf numFmtId="0" fontId="130" fillId="0" borderId="0" xfId="0" applyFont="1" applyAlignment="1">
      <alignment vertical="center"/>
    </xf>
    <xf numFmtId="0" fontId="132" fillId="0" borderId="0" xfId="35" applyFont="1"/>
    <xf numFmtId="0" fontId="68" fillId="0" borderId="0" xfId="35" applyFont="1"/>
    <xf numFmtId="0" fontId="133" fillId="0" borderId="0" xfId="35" applyFont="1"/>
    <xf numFmtId="0" fontId="89" fillId="0" borderId="0" xfId="0" applyFont="1" applyFill="1" applyAlignment="1">
      <alignment vertical="center"/>
    </xf>
    <xf numFmtId="0" fontId="134" fillId="27" borderId="0" xfId="0" applyFont="1" applyFill="1"/>
    <xf numFmtId="0" fontId="64" fillId="27" borderId="0" xfId="0" applyFont="1" applyFill="1"/>
    <xf numFmtId="0" fontId="67" fillId="0" borderId="0" xfId="0" applyFont="1" applyFill="1" applyAlignment="1">
      <alignment vertical="center"/>
    </xf>
    <xf numFmtId="0" fontId="65" fillId="27" borderId="0" xfId="0" applyFont="1" applyFill="1"/>
    <xf numFmtId="4" fontId="67" fillId="0" borderId="15" xfId="0" applyNumberFormat="1" applyFont="1" applyFill="1" applyBorder="1" applyAlignment="1">
      <alignment horizontal="center" vertical="center" wrapText="1"/>
    </xf>
    <xf numFmtId="0" fontId="135" fillId="27" borderId="0" xfId="0" applyFont="1" applyFill="1"/>
    <xf numFmtId="49" fontId="67" fillId="27" borderId="15" xfId="0" applyNumberFormat="1" applyFont="1" applyFill="1" applyBorder="1" applyAlignment="1">
      <alignment horizontal="center" vertical="center" wrapText="1"/>
    </xf>
    <xf numFmtId="4" fontId="67" fillId="27" borderId="15" xfId="0" applyNumberFormat="1" applyFont="1" applyFill="1" applyBorder="1" applyAlignment="1">
      <alignment horizontal="center" vertical="center" wrapText="1"/>
    </xf>
    <xf numFmtId="4" fontId="63" fillId="27" borderId="15" xfId="0" applyNumberFormat="1" applyFont="1" applyFill="1" applyBorder="1" applyAlignment="1">
      <alignment horizontal="center" vertical="center" wrapText="1"/>
    </xf>
    <xf numFmtId="49" fontId="67" fillId="27" borderId="15" xfId="0" applyNumberFormat="1" applyFont="1" applyFill="1" applyBorder="1" applyAlignment="1">
      <alignment horizontal="left" vertical="center" wrapText="1"/>
    </xf>
    <xf numFmtId="0" fontId="67" fillId="0" borderId="0" xfId="39" applyFont="1"/>
    <xf numFmtId="0" fontId="67" fillId="0" borderId="0" xfId="0" applyFont="1" applyAlignment="1">
      <alignment horizontal="left" vertical="center"/>
    </xf>
    <xf numFmtId="0" fontId="67" fillId="0" borderId="0" xfId="39" applyFont="1" applyFill="1"/>
    <xf numFmtId="0" fontId="67" fillId="0" borderId="0" xfId="0" applyFont="1" applyFill="1" applyAlignment="1">
      <alignment horizontal="left" vertical="center"/>
    </xf>
    <xf numFmtId="0" fontId="74" fillId="27" borderId="0" xfId="0" applyFont="1" applyFill="1"/>
    <xf numFmtId="0" fontId="89" fillId="27" borderId="0" xfId="0" applyFont="1" applyFill="1" applyAlignment="1">
      <alignment vertical="center"/>
    </xf>
    <xf numFmtId="0" fontId="78" fillId="28" borderId="0" xfId="35" applyFont="1" applyFill="1"/>
    <xf numFmtId="49" fontId="120" fillId="30" borderId="15" xfId="0" applyNumberFormat="1" applyFont="1" applyFill="1" applyBorder="1" applyAlignment="1">
      <alignment horizontal="center" vertical="center" wrapText="1"/>
    </xf>
    <xf numFmtId="0" fontId="120" fillId="30" borderId="15" xfId="38" applyFont="1" applyFill="1" applyBorder="1" applyAlignment="1" applyProtection="1">
      <alignment horizontal="center" vertical="center" wrapText="1"/>
      <protection locked="0"/>
    </xf>
    <xf numFmtId="4" fontId="120" fillId="30" borderId="15" xfId="0" applyNumberFormat="1" applyFont="1" applyFill="1" applyBorder="1" applyAlignment="1">
      <alignment horizontal="center" vertical="center" wrapText="1"/>
    </xf>
    <xf numFmtId="49" fontId="116" fillId="31" borderId="15" xfId="0" applyNumberFormat="1" applyFont="1" applyFill="1" applyBorder="1" applyAlignment="1">
      <alignment horizontal="center" vertical="center" wrapText="1"/>
    </xf>
    <xf numFmtId="0" fontId="116" fillId="31" borderId="15" xfId="38" applyFont="1" applyFill="1" applyBorder="1" applyAlignment="1" applyProtection="1">
      <alignment horizontal="center" vertical="center" wrapText="1"/>
      <protection locked="0"/>
    </xf>
    <xf numFmtId="4" fontId="116" fillId="31" borderId="15" xfId="0" applyNumberFormat="1" applyFont="1" applyFill="1" applyBorder="1" applyAlignment="1">
      <alignment horizontal="center" vertical="center" wrapText="1"/>
    </xf>
    <xf numFmtId="49" fontId="70" fillId="28" borderId="15" xfId="0" applyNumberFormat="1" applyFont="1" applyFill="1" applyBorder="1" applyAlignment="1">
      <alignment horizontal="center" vertical="center" wrapText="1"/>
    </xf>
    <xf numFmtId="0" fontId="70" fillId="28" borderId="15" xfId="18" applyFont="1" applyFill="1" applyBorder="1" applyAlignment="1">
      <alignment horizontal="center" vertical="center" wrapText="1"/>
    </xf>
    <xf numFmtId="0" fontId="116" fillId="28" borderId="15" xfId="35" applyFont="1" applyFill="1" applyBorder="1" applyAlignment="1">
      <alignment horizontal="center" vertical="center" wrapText="1"/>
    </xf>
    <xf numFmtId="4" fontId="116" fillId="28" borderId="15" xfId="35" applyNumberFormat="1" applyFont="1" applyFill="1" applyBorder="1" applyAlignment="1">
      <alignment horizontal="center" vertical="center" wrapText="1"/>
    </xf>
    <xf numFmtId="4" fontId="70" fillId="28" borderId="15" xfId="0" applyNumberFormat="1" applyFont="1" applyFill="1" applyBorder="1" applyAlignment="1">
      <alignment horizontal="center" vertical="center" wrapText="1"/>
    </xf>
    <xf numFmtId="165" fontId="70" fillId="28" borderId="15" xfId="30" applyNumberFormat="1" applyFont="1" applyFill="1" applyBorder="1" applyAlignment="1">
      <alignment horizontal="center" vertical="center"/>
    </xf>
    <xf numFmtId="4" fontId="70" fillId="28" borderId="15" xfId="30" applyNumberFormat="1" applyFont="1" applyFill="1" applyBorder="1" applyAlignment="1">
      <alignment horizontal="center" vertical="center"/>
    </xf>
    <xf numFmtId="9" fontId="70" fillId="28" borderId="15" xfId="0" applyNumberFormat="1" applyFont="1" applyFill="1" applyBorder="1" applyAlignment="1">
      <alignment horizontal="center" vertical="center" wrapText="1"/>
    </xf>
    <xf numFmtId="9" fontId="120" fillId="36" borderId="15" xfId="0" applyNumberFormat="1" applyFont="1" applyFill="1" applyBorder="1" applyAlignment="1">
      <alignment horizontal="center" vertical="center" wrapText="1"/>
    </xf>
    <xf numFmtId="9" fontId="116" fillId="35" borderId="15" xfId="0" applyNumberFormat="1" applyFont="1" applyFill="1" applyBorder="1" applyAlignment="1">
      <alignment horizontal="center" vertical="center" wrapText="1"/>
    </xf>
    <xf numFmtId="49" fontId="70" fillId="0" borderId="15" xfId="0" applyNumberFormat="1" applyFont="1" applyFill="1" applyBorder="1" applyAlignment="1">
      <alignment horizontal="center" vertical="center" wrapText="1"/>
    </xf>
    <xf numFmtId="165" fontId="70" fillId="0" borderId="15" xfId="30" applyNumberFormat="1" applyFont="1" applyFill="1" applyBorder="1" applyAlignment="1">
      <alignment horizontal="center" vertical="center" wrapText="1"/>
    </xf>
    <xf numFmtId="165" fontId="70" fillId="0" borderId="15" xfId="30" applyNumberFormat="1" applyFont="1" applyFill="1" applyBorder="1" applyAlignment="1">
      <alignment horizontal="center" vertical="center"/>
    </xf>
    <xf numFmtId="4" fontId="70" fillId="0" borderId="15" xfId="30" applyNumberFormat="1" applyFont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9" fontId="70" fillId="0" borderId="15" xfId="0" applyNumberFormat="1" applyFont="1" applyFill="1" applyBorder="1" applyAlignment="1">
      <alignment horizontal="center" vertical="center" wrapText="1"/>
    </xf>
    <xf numFmtId="0" fontId="136" fillId="28" borderId="0" xfId="35" applyFont="1" applyFill="1" applyAlignment="1">
      <alignment horizontal="left" vertical="center"/>
    </xf>
    <xf numFmtId="4" fontId="78" fillId="28" borderId="0" xfId="35" applyNumberFormat="1" applyFont="1" applyFill="1" applyAlignment="1">
      <alignment horizontal="left" vertical="center"/>
    </xf>
    <xf numFmtId="4" fontId="70" fillId="0" borderId="15" xfId="30" applyNumberFormat="1" applyFont="1" applyFill="1" applyBorder="1" applyAlignment="1">
      <alignment horizontal="center" vertical="center"/>
    </xf>
    <xf numFmtId="0" fontId="115" fillId="28" borderId="0" xfId="35" applyFont="1" applyFill="1" applyAlignment="1">
      <alignment horizontal="left" vertical="center"/>
    </xf>
    <xf numFmtId="0" fontId="70" fillId="0" borderId="15" xfId="100" applyFont="1" applyBorder="1" applyAlignment="1">
      <alignment horizontal="center" vertical="center" wrapText="1"/>
    </xf>
    <xf numFmtId="165" fontId="70" fillId="0" borderId="15" xfId="30" applyNumberFormat="1" applyFont="1" applyBorder="1" applyAlignment="1">
      <alignment horizontal="center" vertical="center"/>
    </xf>
    <xf numFmtId="4" fontId="70" fillId="0" borderId="15" xfId="0" applyNumberFormat="1" applyFont="1" applyBorder="1" applyAlignment="1">
      <alignment horizontal="center" vertical="center" wrapText="1"/>
    </xf>
    <xf numFmtId="9" fontId="70" fillId="0" borderId="15" xfId="0" applyNumberFormat="1" applyFont="1" applyBorder="1" applyAlignment="1">
      <alignment horizontal="center" vertical="center" wrapText="1"/>
    </xf>
    <xf numFmtId="9" fontId="120" fillId="30" borderId="15" xfId="0" applyNumberFormat="1" applyFont="1" applyFill="1" applyBorder="1" applyAlignment="1">
      <alignment horizontal="center" vertical="center" wrapText="1"/>
    </xf>
    <xf numFmtId="9" fontId="116" fillId="31" borderId="15" xfId="0" applyNumberFormat="1" applyFont="1" applyFill="1" applyBorder="1" applyAlignment="1">
      <alignment horizontal="center" vertical="center" wrapText="1"/>
    </xf>
    <xf numFmtId="0" fontId="70" fillId="28" borderId="15" xfId="100" applyFont="1" applyFill="1" applyBorder="1" applyAlignment="1">
      <alignment horizontal="center" vertical="center" wrapText="1"/>
    </xf>
    <xf numFmtId="49" fontId="120" fillId="32" borderId="15" xfId="0" applyNumberFormat="1" applyFont="1" applyFill="1" applyBorder="1" applyAlignment="1">
      <alignment horizontal="center" vertical="center" wrapText="1"/>
    </xf>
    <xf numFmtId="0" fontId="120" fillId="32" borderId="15" xfId="38" applyFont="1" applyFill="1" applyBorder="1" applyAlignment="1" applyProtection="1">
      <alignment horizontal="center" vertical="center" wrapText="1"/>
      <protection locked="0"/>
    </xf>
    <xf numFmtId="4" fontId="120" fillId="32" borderId="15" xfId="0" applyNumberFormat="1" applyFont="1" applyFill="1" applyBorder="1" applyAlignment="1">
      <alignment horizontal="center" vertical="center" wrapText="1"/>
    </xf>
    <xf numFmtId="9" fontId="120" fillId="32" borderId="15" xfId="0" applyNumberFormat="1" applyFont="1" applyFill="1" applyBorder="1" applyAlignment="1">
      <alignment horizontal="center" vertical="center" wrapText="1"/>
    </xf>
    <xf numFmtId="49" fontId="116" fillId="33" borderId="15" xfId="0" applyNumberFormat="1" applyFont="1" applyFill="1" applyBorder="1" applyAlignment="1">
      <alignment horizontal="center" vertical="center" wrapText="1"/>
    </xf>
    <xf numFmtId="0" fontId="116" fillId="33" borderId="15" xfId="38" applyFont="1" applyFill="1" applyBorder="1" applyAlignment="1" applyProtection="1">
      <alignment horizontal="center" vertical="center" wrapText="1"/>
      <protection locked="0"/>
    </xf>
    <xf numFmtId="4" fontId="116" fillId="33" borderId="15" xfId="0" applyNumberFormat="1" applyFont="1" applyFill="1" applyBorder="1" applyAlignment="1">
      <alignment horizontal="center" vertical="center" wrapText="1"/>
    </xf>
    <xf numFmtId="9" fontId="116" fillId="33" borderId="15" xfId="0" applyNumberFormat="1" applyFont="1" applyFill="1" applyBorder="1" applyAlignment="1">
      <alignment horizontal="center" vertical="center" wrapText="1"/>
    </xf>
    <xf numFmtId="9" fontId="70" fillId="0" borderId="15" xfId="30" applyNumberFormat="1" applyFont="1" applyFill="1" applyBorder="1" applyAlignment="1">
      <alignment horizontal="center" vertical="center"/>
    </xf>
    <xf numFmtId="0" fontId="70" fillId="0" borderId="15" xfId="18" applyFont="1" applyFill="1" applyBorder="1" applyAlignment="1">
      <alignment horizontal="center" vertical="center" wrapText="1"/>
    </xf>
    <xf numFmtId="0" fontId="119" fillId="28" borderId="0" xfId="35" applyFont="1" applyFill="1"/>
    <xf numFmtId="0" fontId="138" fillId="28" borderId="0" xfId="35" applyFont="1" applyFill="1" applyAlignment="1">
      <alignment vertical="center"/>
    </xf>
    <xf numFmtId="9" fontId="70" fillId="0" borderId="15" xfId="30" applyNumberFormat="1" applyFont="1" applyBorder="1" applyAlignment="1">
      <alignment horizontal="center" vertical="center"/>
    </xf>
    <xf numFmtId="49" fontId="70" fillId="0" borderId="15" xfId="0" applyNumberFormat="1" applyFont="1" applyBorder="1" applyAlignment="1">
      <alignment horizontal="center" vertical="center" wrapText="1"/>
    </xf>
    <xf numFmtId="0" fontId="70" fillId="0" borderId="15" xfId="0" applyFont="1" applyBorder="1" applyAlignment="1">
      <alignment horizontal="center" vertical="center" wrapText="1"/>
    </xf>
    <xf numFmtId="0" fontId="70" fillId="0" borderId="15" xfId="45" applyFont="1" applyBorder="1" applyAlignment="1">
      <alignment horizontal="center" vertical="center" wrapText="1"/>
    </xf>
    <xf numFmtId="4" fontId="113" fillId="28" borderId="0" xfId="35" applyNumberFormat="1" applyFont="1" applyFill="1" applyAlignment="1">
      <alignment horizontal="center" vertical="center"/>
    </xf>
    <xf numFmtId="0" fontId="113" fillId="0" borderId="0" xfId="35" applyFont="1"/>
    <xf numFmtId="0" fontId="78" fillId="0" borderId="0" xfId="35" applyFont="1" applyAlignment="1">
      <alignment horizontal="center" vertical="center"/>
    </xf>
    <xf numFmtId="0" fontId="78" fillId="6" borderId="0" xfId="35" applyFont="1" applyFill="1"/>
    <xf numFmtId="0" fontId="78" fillId="25" borderId="0" xfId="35" applyFont="1" applyFill="1"/>
    <xf numFmtId="0" fontId="119" fillId="0" borderId="0" xfId="35" applyFont="1"/>
    <xf numFmtId="0" fontId="78" fillId="26" borderId="0" xfId="35" applyFont="1" applyFill="1" applyAlignment="1">
      <alignment horizontal="center" vertical="center"/>
    </xf>
    <xf numFmtId="0" fontId="68" fillId="26" borderId="0" xfId="35" applyFont="1" applyFill="1" applyAlignment="1">
      <alignment horizontal="center" vertical="center"/>
    </xf>
    <xf numFmtId="4" fontId="84" fillId="29" borderId="14" xfId="0" applyNumberFormat="1" applyFont="1" applyFill="1" applyBorder="1" applyAlignment="1">
      <alignment horizontal="center" vertical="center" wrapText="1"/>
    </xf>
    <xf numFmtId="165" fontId="67" fillId="0" borderId="15" xfId="30" applyNumberFormat="1" applyFont="1" applyFill="1" applyBorder="1" applyAlignment="1">
      <alignment horizontal="center" vertical="center" wrapText="1"/>
    </xf>
    <xf numFmtId="4" fontId="67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4" fillId="29" borderId="0" xfId="0" applyNumberFormat="1" applyFont="1" applyFill="1" applyBorder="1" applyAlignment="1">
      <alignment horizontal="center" vertical="center" wrapText="1"/>
    </xf>
    <xf numFmtId="165" fontId="67" fillId="28" borderId="15" xfId="30" applyNumberFormat="1" applyFont="1" applyFill="1" applyBorder="1" applyAlignment="1">
      <alignment horizontal="center" vertical="center" wrapText="1"/>
    </xf>
    <xf numFmtId="4" fontId="67" fillId="28" borderId="15" xfId="38" applyNumberFormat="1" applyFont="1" applyFill="1" applyBorder="1" applyAlignment="1" applyProtection="1">
      <alignment horizontal="center" vertical="center" wrapText="1"/>
      <protection locked="0"/>
    </xf>
    <xf numFmtId="4" fontId="140" fillId="28" borderId="0" xfId="0" applyNumberFormat="1" applyFont="1" applyFill="1" applyAlignment="1">
      <alignment horizontal="center" vertical="center" wrapText="1"/>
    </xf>
    <xf numFmtId="4" fontId="84" fillId="29" borderId="8" xfId="0" applyNumberFormat="1" applyFont="1" applyFill="1" applyBorder="1" applyAlignment="1">
      <alignment horizontal="center" vertical="center" wrapText="1"/>
    </xf>
    <xf numFmtId="0" fontId="84" fillId="28" borderId="0" xfId="0" applyFont="1" applyFill="1" applyAlignment="1">
      <alignment horizontal="center" vertical="center"/>
    </xf>
    <xf numFmtId="0" fontId="67" fillId="28" borderId="15" xfId="0" applyFont="1" applyFill="1" applyBorder="1" applyAlignment="1">
      <alignment horizontal="center" vertical="center" wrapText="1"/>
    </xf>
    <xf numFmtId="165" fontId="67" fillId="28" borderId="0" xfId="30" applyNumberFormat="1" applyFont="1" applyFill="1" applyBorder="1" applyAlignment="1">
      <alignment horizontal="center" vertical="center" wrapText="1"/>
    </xf>
    <xf numFmtId="165" fontId="67" fillId="26" borderId="15" xfId="30" applyNumberFormat="1" applyFont="1" applyFill="1" applyBorder="1" applyAlignment="1">
      <alignment horizontal="center" vertical="center" wrapText="1"/>
    </xf>
    <xf numFmtId="4" fontId="67" fillId="26" borderId="15" xfId="0" applyNumberFormat="1" applyFont="1" applyFill="1" applyBorder="1" applyAlignment="1">
      <alignment horizontal="center" vertical="center" wrapText="1"/>
    </xf>
    <xf numFmtId="4" fontId="67" fillId="28" borderId="0" xfId="30" applyNumberFormat="1" applyFont="1" applyFill="1" applyBorder="1" applyAlignment="1">
      <alignment horizontal="center" vertical="center" wrapText="1"/>
    </xf>
    <xf numFmtId="4" fontId="141" fillId="0" borderId="15" xfId="0" applyNumberFormat="1" applyFont="1" applyFill="1" applyBorder="1" applyAlignment="1">
      <alignment horizontal="center" vertical="center" wrapText="1"/>
    </xf>
    <xf numFmtId="4" fontId="67" fillId="0" borderId="16" xfId="0" applyNumberFormat="1" applyFont="1" applyFill="1" applyBorder="1" applyAlignment="1">
      <alignment horizontal="center" vertical="center" wrapText="1"/>
    </xf>
    <xf numFmtId="4" fontId="141" fillId="28" borderId="15" xfId="0" applyNumberFormat="1" applyFont="1" applyFill="1" applyBorder="1" applyAlignment="1">
      <alignment horizontal="center" vertical="center" wrapText="1"/>
    </xf>
    <xf numFmtId="4" fontId="67" fillId="28" borderId="16" xfId="0" applyNumberFormat="1" applyFont="1" applyFill="1" applyBorder="1" applyAlignment="1">
      <alignment horizontal="center" vertical="center" wrapText="1"/>
    </xf>
    <xf numFmtId="4" fontId="66" fillId="28" borderId="0" xfId="38" applyNumberFormat="1" applyFont="1" applyFill="1" applyBorder="1" applyAlignment="1" applyProtection="1">
      <alignment horizontal="center" vertical="center" wrapText="1"/>
      <protection locked="0"/>
    </xf>
    <xf numFmtId="4" fontId="67" fillId="0" borderId="15" xfId="38" applyNumberFormat="1" applyFont="1" applyFill="1" applyBorder="1" applyAlignment="1">
      <alignment horizontal="center" vertical="center" wrapText="1"/>
    </xf>
    <xf numFmtId="4" fontId="67" fillId="28" borderId="15" xfId="38" applyNumberFormat="1" applyFont="1" applyFill="1" applyBorder="1" applyAlignment="1">
      <alignment horizontal="center" vertical="center" wrapText="1"/>
    </xf>
    <xf numFmtId="4" fontId="67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67" fillId="0" borderId="16" xfId="38" applyNumberFormat="1" applyFont="1" applyFill="1" applyBorder="1" applyAlignment="1">
      <alignment horizontal="center" vertical="center" wrapText="1"/>
    </xf>
    <xf numFmtId="165" fontId="141" fillId="0" borderId="15" xfId="30" applyNumberFormat="1" applyFont="1" applyFill="1" applyBorder="1" applyAlignment="1">
      <alignment horizontal="center" vertical="center" wrapText="1"/>
    </xf>
    <xf numFmtId="0" fontId="142" fillId="28" borderId="0" xfId="0" applyFont="1" applyFill="1" applyAlignment="1">
      <alignment horizontal="center" vertical="center"/>
    </xf>
    <xf numFmtId="0" fontId="143" fillId="28" borderId="0" xfId="0" applyFont="1" applyFill="1"/>
    <xf numFmtId="0" fontId="78" fillId="0" borderId="0" xfId="0" applyFont="1" applyFill="1"/>
    <xf numFmtId="0" fontId="89" fillId="0" borderId="0" xfId="0" applyFont="1" applyAlignment="1">
      <alignment vertical="center"/>
    </xf>
    <xf numFmtId="4" fontId="63" fillId="0" borderId="0" xfId="36" applyNumberFormat="1" applyFont="1" applyFill="1" applyBorder="1" applyAlignment="1">
      <alignment horizontal="center" vertical="center" wrapText="1"/>
    </xf>
    <xf numFmtId="4" fontId="63" fillId="0" borderId="0" xfId="0" applyNumberFormat="1" applyFont="1" applyAlignment="1">
      <alignment vertical="center"/>
    </xf>
    <xf numFmtId="4" fontId="144" fillId="0" borderId="0" xfId="0" applyNumberFormat="1" applyFont="1" applyAlignment="1">
      <alignment vertical="center"/>
    </xf>
    <xf numFmtId="4" fontId="145" fillId="0" borderId="0" xfId="0" applyNumberFormat="1" applyFont="1" applyAlignment="1">
      <alignment vertical="center"/>
    </xf>
    <xf numFmtId="0" fontId="144" fillId="0" borderId="0" xfId="0" applyFont="1" applyAlignment="1">
      <alignment vertical="center"/>
    </xf>
    <xf numFmtId="4" fontId="146" fillId="0" borderId="0" xfId="0" applyNumberFormat="1" applyFont="1" applyAlignment="1">
      <alignment vertical="center"/>
    </xf>
    <xf numFmtId="4" fontId="89" fillId="0" borderId="0" xfId="0" applyNumberFormat="1" applyFont="1" applyAlignment="1">
      <alignment vertical="center"/>
    </xf>
    <xf numFmtId="0" fontId="146" fillId="0" borderId="0" xfId="0" applyFont="1" applyAlignment="1">
      <alignment vertical="center"/>
    </xf>
    <xf numFmtId="0" fontId="147" fillId="0" borderId="0" xfId="0" applyFont="1"/>
    <xf numFmtId="0" fontId="145" fillId="0" borderId="0" xfId="0" applyFont="1" applyAlignment="1">
      <alignment vertical="center"/>
    </xf>
    <xf numFmtId="2" fontId="82" fillId="0" borderId="0" xfId="36" applyNumberFormat="1" applyFont="1" applyAlignment="1">
      <alignment horizontal="center" vertical="top"/>
    </xf>
    <xf numFmtId="2" fontId="113" fillId="0" borderId="15" xfId="36" applyNumberFormat="1" applyFont="1" applyFill="1" applyBorder="1" applyAlignment="1">
      <alignment horizontal="center" vertical="center" wrapText="1"/>
    </xf>
    <xf numFmtId="4" fontId="113" fillId="0" borderId="15" xfId="36" applyNumberFormat="1" applyFont="1" applyFill="1" applyBorder="1" applyAlignment="1">
      <alignment horizontal="center" vertical="center"/>
    </xf>
    <xf numFmtId="2" fontId="113" fillId="28" borderId="15" xfId="36" applyNumberFormat="1" applyFont="1" applyFill="1" applyBorder="1" applyAlignment="1">
      <alignment horizontal="center" vertical="center" wrapText="1"/>
    </xf>
    <xf numFmtId="2" fontId="148" fillId="28" borderId="15" xfId="36" applyNumberFormat="1" applyFont="1" applyFill="1" applyBorder="1" applyAlignment="1">
      <alignment horizontal="center" vertical="center" wrapText="1"/>
    </xf>
    <xf numFmtId="0" fontId="64" fillId="28" borderId="15" xfId="0" applyFont="1" applyFill="1" applyBorder="1" applyAlignment="1">
      <alignment horizontal="center"/>
    </xf>
    <xf numFmtId="4" fontId="113" fillId="28" borderId="15" xfId="36" applyNumberFormat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2" fontId="69" fillId="0" borderId="0" xfId="36" applyNumberFormat="1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left"/>
    </xf>
    <xf numFmtId="4" fontId="69" fillId="0" borderId="0" xfId="36" applyNumberFormat="1" applyFont="1" applyFill="1" applyBorder="1" applyAlignment="1">
      <alignment horizontal="center" vertical="center" wrapText="1"/>
    </xf>
    <xf numFmtId="2" fontId="82" fillId="0" borderId="0" xfId="36" applyNumberFormat="1" applyFont="1" applyFill="1" applyAlignment="1">
      <alignment horizontal="center" vertical="top"/>
    </xf>
    <xf numFmtId="0" fontId="113" fillId="0" borderId="0" xfId="39" applyFont="1" applyFill="1"/>
    <xf numFmtId="0" fontId="139" fillId="0" borderId="0" xfId="36" applyFont="1">
      <alignment vertical="top"/>
    </xf>
    <xf numFmtId="2" fontId="139" fillId="0" borderId="0" xfId="36" applyNumberFormat="1" applyFont="1">
      <alignment vertical="top"/>
    </xf>
    <xf numFmtId="0" fontId="148" fillId="0" borderId="0" xfId="36" applyFont="1" applyAlignment="1">
      <alignment horizontal="center" vertical="top" wrapText="1"/>
    </xf>
    <xf numFmtId="2" fontId="148" fillId="0" borderId="0" xfId="36" applyNumberFormat="1" applyFont="1" applyAlignment="1">
      <alignment horizontal="center" vertical="top" wrapText="1"/>
    </xf>
    <xf numFmtId="166" fontId="113" fillId="0" borderId="0" xfId="36" applyNumberFormat="1" applyFont="1" applyAlignment="1">
      <alignment horizontal="center" vertical="top"/>
    </xf>
    <xf numFmtId="0" fontId="149" fillId="0" borderId="0" xfId="38" applyFont="1" applyAlignment="1" applyProtection="1">
      <alignment horizontal="left" vertical="center" wrapText="1"/>
      <protection locked="0"/>
    </xf>
    <xf numFmtId="0" fontId="148" fillId="0" borderId="0" xfId="36" applyFont="1" applyAlignment="1">
      <alignment horizontal="left" vertical="top" wrapText="1"/>
    </xf>
    <xf numFmtId="0" fontId="133" fillId="0" borderId="0" xfId="36" applyFont="1">
      <alignment vertical="top"/>
    </xf>
    <xf numFmtId="0" fontId="114" fillId="0" borderId="0" xfId="0" applyFont="1" applyAlignment="1"/>
    <xf numFmtId="0" fontId="114" fillId="0" borderId="0" xfId="0" applyFont="1" applyAlignment="1">
      <alignment horizontal="center" vertical="center"/>
    </xf>
    <xf numFmtId="4" fontId="114" fillId="0" borderId="0" xfId="0" applyNumberFormat="1" applyFont="1" applyAlignment="1">
      <alignment horizontal="center" vertical="center"/>
    </xf>
    <xf numFmtId="0" fontId="133" fillId="0" borderId="0" xfId="0" applyFont="1"/>
    <xf numFmtId="0" fontId="39" fillId="0" borderId="0" xfId="36" applyFont="1">
      <alignment vertical="top"/>
    </xf>
    <xf numFmtId="0" fontId="150" fillId="0" borderId="0" xfId="36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95" fillId="0" borderId="0" xfId="0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top"/>
    </xf>
    <xf numFmtId="0" fontId="39" fillId="0" borderId="0" xfId="36" applyFont="1" applyFill="1" applyAlignment="1">
      <alignment vertical="center"/>
    </xf>
    <xf numFmtId="0" fontId="12" fillId="0" borderId="0" xfId="0" applyFont="1"/>
    <xf numFmtId="0" fontId="0" fillId="0" borderId="0" xfId="0" applyFont="1"/>
    <xf numFmtId="0" fontId="17" fillId="0" borderId="0" xfId="0" applyFont="1" applyFill="1" applyAlignment="1"/>
    <xf numFmtId="0" fontId="17" fillId="0" borderId="0" xfId="0" applyFont="1" applyAlignment="1"/>
    <xf numFmtId="0" fontId="17" fillId="0" borderId="15" xfId="0" applyFont="1" applyFill="1" applyBorder="1" applyAlignment="1">
      <alignment horizontal="center" vertical="top" wrapText="1"/>
    </xf>
    <xf numFmtId="0" fontId="17" fillId="0" borderId="15" xfId="35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center" vertical="top"/>
    </xf>
    <xf numFmtId="4" fontId="16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2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72" fillId="0" borderId="15" xfId="0" applyNumberFormat="1" applyFont="1" applyFill="1" applyBorder="1" applyAlignment="1">
      <alignment horizontal="center" vertical="center" wrapText="1"/>
    </xf>
    <xf numFmtId="4" fontId="86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3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86" fillId="0" borderId="15" xfId="0" applyNumberFormat="1" applyFont="1" applyFill="1" applyBorder="1" applyAlignment="1">
      <alignment horizontal="center" vertical="center" wrapText="1"/>
    </xf>
    <xf numFmtId="4" fontId="104" fillId="28" borderId="0" xfId="0" applyNumberFormat="1" applyFont="1" applyFill="1" applyAlignment="1">
      <alignment horizontal="center" vertical="center" wrapText="1"/>
    </xf>
    <xf numFmtId="0" fontId="152" fillId="0" borderId="0" xfId="0" applyFont="1" applyFill="1" applyAlignment="1">
      <alignment vertical="center"/>
    </xf>
    <xf numFmtId="0" fontId="152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right" vertical="center"/>
    </xf>
    <xf numFmtId="0" fontId="30" fillId="0" borderId="15" xfId="0" applyFont="1" applyFill="1" applyBorder="1" applyAlignment="1">
      <alignment horizontal="center" vertical="top" wrapText="1"/>
    </xf>
    <xf numFmtId="0" fontId="30" fillId="0" borderId="15" xfId="0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left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1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5" xfId="0" applyFont="1" applyFill="1" applyBorder="1" applyAlignment="1">
      <alignment horizontal="center" vertical="top" wrapText="1"/>
    </xf>
    <xf numFmtId="165" fontId="31" fillId="0" borderId="15" xfId="30" applyNumberFormat="1" applyFont="1" applyFill="1" applyBorder="1" applyAlignment="1">
      <alignment horizontal="center" vertical="center" wrapText="1"/>
    </xf>
    <xf numFmtId="4" fontId="31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55" fillId="28" borderId="0" xfId="0" applyFont="1" applyFill="1"/>
    <xf numFmtId="0" fontId="156" fillId="28" borderId="0" xfId="0" applyFont="1" applyFill="1"/>
    <xf numFmtId="0" fontId="100" fillId="0" borderId="0" xfId="0" applyFont="1"/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4" fontId="16" fillId="37" borderId="15" xfId="0" applyNumberFormat="1" applyFont="1" applyFill="1" applyBorder="1" applyAlignment="1">
      <alignment horizontal="center" vertical="center"/>
    </xf>
    <xf numFmtId="0" fontId="157" fillId="0" borderId="15" xfId="0" applyFont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vertical="top"/>
    </xf>
    <xf numFmtId="0" fontId="158" fillId="0" borderId="0" xfId="0" applyFont="1"/>
    <xf numFmtId="0" fontId="15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12" fillId="0" borderId="0" xfId="0" applyFont="1" applyFill="1" applyAlignment="1">
      <alignment horizontal="right"/>
    </xf>
    <xf numFmtId="0" fontId="164" fillId="0" borderId="24" xfId="0" applyFont="1" applyFill="1" applyBorder="1" applyAlignment="1">
      <alignment horizontal="center" vertical="center" wrapText="1"/>
    </xf>
    <xf numFmtId="0" fontId="165" fillId="0" borderId="24" xfId="0" applyFont="1" applyFill="1" applyBorder="1" applyAlignment="1">
      <alignment horizontal="center" vertical="top" wrapText="1"/>
    </xf>
    <xf numFmtId="0" fontId="12" fillId="0" borderId="0" xfId="39" applyFont="1"/>
    <xf numFmtId="0" fontId="166" fillId="0" borderId="0" xfId="39" applyFont="1" applyAlignment="1">
      <alignment horizontal="center" vertical="center"/>
    </xf>
    <xf numFmtId="0" fontId="12" fillId="0" borderId="0" xfId="39" applyFont="1" applyFill="1"/>
    <xf numFmtId="0" fontId="166" fillId="0" borderId="0" xfId="39" applyFont="1" applyFill="1" applyAlignment="1">
      <alignment horizontal="center" vertical="center"/>
    </xf>
    <xf numFmtId="0" fontId="167" fillId="0" borderId="0" xfId="39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65" fillId="0" borderId="0" xfId="39" applyFont="1" applyFill="1" applyAlignment="1">
      <alignment vertical="center"/>
    </xf>
    <xf numFmtId="0" fontId="12" fillId="0" borderId="0" xfId="39" applyFont="1" applyFill="1" applyAlignment="1">
      <alignment horizontal="right" vertical="center"/>
    </xf>
    <xf numFmtId="0" fontId="12" fillId="0" borderId="0" xfId="39" applyFont="1" applyFill="1" applyAlignment="1">
      <alignment vertical="center" wrapText="1"/>
    </xf>
    <xf numFmtId="0" fontId="158" fillId="0" borderId="24" xfId="39" applyFont="1" applyFill="1" applyBorder="1" applyAlignment="1">
      <alignment horizontal="center" vertical="center" wrapText="1"/>
    </xf>
    <xf numFmtId="0" fontId="166" fillId="0" borderId="0" xfId="39" applyFont="1" applyFill="1" applyAlignment="1">
      <alignment wrapText="1"/>
    </xf>
    <xf numFmtId="4" fontId="91" fillId="0" borderId="15" xfId="0" applyNumberFormat="1" applyFont="1" applyFill="1" applyBorder="1" applyAlignment="1">
      <alignment horizontal="center" vertical="center" wrapText="1"/>
    </xf>
    <xf numFmtId="4" fontId="33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3" fillId="0" borderId="15" xfId="38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" fontId="33" fillId="0" borderId="16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0" fontId="10" fillId="0" borderId="0" xfId="0" applyFont="1" applyFill="1" applyBorder="1" applyAlignment="1">
      <alignment horizontal="center" vertical="center"/>
    </xf>
    <xf numFmtId="4" fontId="30" fillId="34" borderId="7" xfId="36" applyNumberFormat="1" applyFont="1" applyFill="1" applyBorder="1" applyAlignment="1">
      <alignment horizontal="center" vertical="center" wrapText="1"/>
    </xf>
    <xf numFmtId="4" fontId="32" fillId="0" borderId="15" xfId="38" applyNumberFormat="1" applyFont="1" applyFill="1" applyBorder="1" applyAlignment="1">
      <alignment horizontal="center" vertical="center" wrapText="1"/>
    </xf>
    <xf numFmtId="49" fontId="31" fillId="28" borderId="15" xfId="0" applyNumberFormat="1" applyFont="1" applyFill="1" applyBorder="1" applyAlignment="1">
      <alignment horizontal="center" vertical="center" wrapText="1"/>
    </xf>
    <xf numFmtId="165" fontId="31" fillId="28" borderId="15" xfId="30" applyNumberFormat="1" applyFont="1" applyFill="1" applyBorder="1" applyAlignment="1">
      <alignment horizontal="center" vertical="center" wrapText="1"/>
    </xf>
    <xf numFmtId="4" fontId="31" fillId="28" borderId="15" xfId="0" applyNumberFormat="1" applyFont="1" applyFill="1" applyBorder="1" applyAlignment="1">
      <alignment horizontal="center" vertical="center" wrapText="1"/>
    </xf>
    <xf numFmtId="49" fontId="170" fillId="0" borderId="15" xfId="0" applyNumberFormat="1" applyFont="1" applyFill="1" applyBorder="1" applyAlignment="1">
      <alignment horizontal="center" vertical="center" wrapText="1"/>
    </xf>
    <xf numFmtId="49" fontId="170" fillId="0" borderId="16" xfId="0" applyNumberFormat="1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4" fontId="171" fillId="27" borderId="15" xfId="0" applyNumberFormat="1" applyFont="1" applyFill="1" applyBorder="1" applyAlignment="1">
      <alignment horizontal="center" vertical="center" wrapText="1"/>
    </xf>
    <xf numFmtId="4" fontId="171" fillId="28" borderId="0" xfId="0" applyNumberFormat="1" applyFont="1" applyFill="1" applyAlignment="1">
      <alignment horizontal="left" vertical="center"/>
    </xf>
    <xf numFmtId="49" fontId="72" fillId="38" borderId="15" xfId="0" applyNumberFormat="1" applyFont="1" applyFill="1" applyBorder="1" applyAlignment="1">
      <alignment horizontal="center" vertical="center" wrapText="1"/>
    </xf>
    <xf numFmtId="0" fontId="72" fillId="38" borderId="15" xfId="38" applyFont="1" applyFill="1" applyBorder="1" applyAlignment="1" applyProtection="1">
      <alignment horizontal="center" vertical="center" wrapText="1"/>
      <protection locked="0"/>
    </xf>
    <xf numFmtId="4" fontId="72" fillId="38" borderId="15" xfId="0" applyNumberFormat="1" applyFont="1" applyFill="1" applyBorder="1" applyAlignment="1">
      <alignment horizontal="center" vertical="center" wrapText="1"/>
    </xf>
    <xf numFmtId="4" fontId="72" fillId="38" borderId="15" xfId="38" applyNumberFormat="1" applyFont="1" applyFill="1" applyBorder="1" applyAlignment="1" applyProtection="1">
      <alignment horizontal="center" vertical="center" wrapText="1"/>
      <protection locked="0"/>
    </xf>
    <xf numFmtId="49" fontId="30" fillId="39" borderId="15" xfId="0" applyNumberFormat="1" applyFont="1" applyFill="1" applyBorder="1" applyAlignment="1">
      <alignment horizontal="center" vertical="center" wrapText="1"/>
    </xf>
    <xf numFmtId="0" fontId="30" fillId="39" borderId="15" xfId="38" applyFont="1" applyFill="1" applyBorder="1" applyAlignment="1" applyProtection="1">
      <alignment horizontal="center" vertical="center" wrapText="1"/>
      <protection locked="0"/>
    </xf>
    <xf numFmtId="4" fontId="30" fillId="39" borderId="15" xfId="38" applyNumberFormat="1" applyFont="1" applyFill="1" applyBorder="1" applyAlignment="1" applyProtection="1">
      <alignment horizontal="center" vertical="center" wrapText="1"/>
      <protection locked="0"/>
    </xf>
    <xf numFmtId="4" fontId="33" fillId="0" borderId="16" xfId="0" applyNumberFormat="1" applyFont="1" applyFill="1" applyBorder="1" applyAlignment="1">
      <alignment horizontal="center" vertical="center" wrapText="1"/>
    </xf>
    <xf numFmtId="4" fontId="33" fillId="28" borderId="15" xfId="0" applyNumberFormat="1" applyFont="1" applyFill="1" applyBorder="1" applyAlignment="1">
      <alignment horizontal="center" vertical="center" wrapText="1"/>
    </xf>
    <xf numFmtId="4" fontId="91" fillId="28" borderId="15" xfId="0" applyNumberFormat="1" applyFont="1" applyFill="1" applyBorder="1" applyAlignment="1">
      <alignment horizontal="center" vertical="center" wrapText="1"/>
    </xf>
    <xf numFmtId="0" fontId="31" fillId="0" borderId="15" xfId="38" applyFont="1" applyFill="1" applyBorder="1" applyAlignment="1" applyProtection="1">
      <alignment horizontal="center" vertical="center" wrapText="1"/>
      <protection locked="0"/>
    </xf>
    <xf numFmtId="49" fontId="166" fillId="0" borderId="15" xfId="0" applyNumberFormat="1" applyFont="1" applyFill="1" applyBorder="1" applyAlignment="1">
      <alignment horizontal="center" vertical="center" wrapText="1"/>
    </xf>
    <xf numFmtId="0" fontId="12" fillId="0" borderId="0" xfId="35" applyFont="1" applyAlignment="1">
      <alignment horizontal="center" vertical="center"/>
    </xf>
    <xf numFmtId="0" fontId="166" fillId="0" borderId="0" xfId="35" applyFont="1" applyAlignment="1">
      <alignment horizontal="center" vertical="center" wrapText="1"/>
    </xf>
    <xf numFmtId="0" fontId="159" fillId="0" borderId="0" xfId="35" applyFont="1" applyAlignment="1">
      <alignment horizontal="center" vertical="center" wrapText="1"/>
    </xf>
    <xf numFmtId="0" fontId="166" fillId="0" borderId="15" xfId="0" applyFont="1" applyFill="1" applyBorder="1" applyAlignment="1">
      <alignment horizontal="center" vertical="center" wrapText="1"/>
    </xf>
    <xf numFmtId="0" fontId="166" fillId="0" borderId="15" xfId="35" applyFont="1" applyFill="1" applyBorder="1" applyAlignment="1">
      <alignment horizontal="center" vertical="center" wrapText="1"/>
    </xf>
    <xf numFmtId="0" fontId="166" fillId="0" borderId="15" xfId="18" applyFont="1" applyBorder="1" applyAlignment="1">
      <alignment horizontal="center" vertical="center" wrapText="1"/>
    </xf>
    <xf numFmtId="165" fontId="166" fillId="0" borderId="15" xfId="30" applyNumberFormat="1" applyFont="1" applyBorder="1" applyAlignment="1">
      <alignment horizontal="center" vertical="center"/>
    </xf>
    <xf numFmtId="4" fontId="166" fillId="0" borderId="15" xfId="30" applyNumberFormat="1" applyFont="1" applyBorder="1" applyAlignment="1">
      <alignment horizontal="center" vertical="center"/>
    </xf>
    <xf numFmtId="0" fontId="12" fillId="0" borderId="0" xfId="35" applyFont="1"/>
    <xf numFmtId="4" fontId="166" fillId="0" borderId="15" xfId="0" applyNumberFormat="1" applyFont="1" applyFill="1" applyBorder="1" applyAlignment="1">
      <alignment horizontal="center" vertical="center" wrapText="1"/>
    </xf>
    <xf numFmtId="9" fontId="166" fillId="0" borderId="15" xfId="0" applyNumberFormat="1" applyFont="1" applyFill="1" applyBorder="1" applyAlignment="1">
      <alignment horizontal="center" vertical="center" wrapText="1"/>
    </xf>
    <xf numFmtId="165" fontId="166" fillId="0" borderId="15" xfId="30" applyNumberFormat="1" applyFont="1" applyFill="1" applyBorder="1" applyAlignment="1">
      <alignment horizontal="center" vertical="center" wrapText="1"/>
    </xf>
    <xf numFmtId="165" fontId="166" fillId="0" borderId="15" xfId="30" applyNumberFormat="1" applyFont="1" applyFill="1" applyBorder="1" applyAlignment="1">
      <alignment horizontal="center" vertical="center"/>
    </xf>
    <xf numFmtId="49" fontId="31" fillId="0" borderId="16" xfId="0" applyNumberFormat="1" applyFont="1" applyFill="1" applyBorder="1" applyAlignment="1">
      <alignment horizontal="center" vertical="center" wrapText="1"/>
    </xf>
    <xf numFmtId="49" fontId="170" fillId="28" borderId="0" xfId="0" applyNumberFormat="1" applyFont="1" applyFill="1" applyBorder="1" applyAlignment="1">
      <alignment horizontal="center" wrapText="1"/>
    </xf>
    <xf numFmtId="49" fontId="170" fillId="28" borderId="17" xfId="0" applyNumberFormat="1" applyFont="1" applyFill="1" applyBorder="1" applyAlignment="1">
      <alignment horizontal="center" vertical="top" wrapText="1"/>
    </xf>
    <xf numFmtId="4" fontId="32" fillId="28" borderId="15" xfId="0" applyNumberFormat="1" applyFont="1" applyFill="1" applyBorder="1" applyAlignment="1">
      <alignment horizontal="center" vertical="center" wrapText="1"/>
    </xf>
    <xf numFmtId="4" fontId="33" fillId="28" borderId="15" xfId="0" applyNumberFormat="1" applyFont="1" applyFill="1" applyBorder="1" applyAlignment="1">
      <alignment horizontal="center" vertical="center"/>
    </xf>
    <xf numFmtId="49" fontId="170" fillId="28" borderId="15" xfId="0" applyNumberFormat="1" applyFont="1" applyFill="1" applyBorder="1" applyAlignment="1">
      <alignment horizontal="center" vertical="center" wrapText="1"/>
    </xf>
    <xf numFmtId="0" fontId="31" fillId="28" borderId="15" xfId="0" applyFont="1" applyFill="1" applyBorder="1" applyAlignment="1">
      <alignment horizontal="center" vertical="center" wrapText="1"/>
    </xf>
    <xf numFmtId="4" fontId="104" fillId="29" borderId="14" xfId="0" applyNumberFormat="1" applyFont="1" applyFill="1" applyBorder="1" applyAlignment="1">
      <alignment horizontal="center" vertical="center" wrapText="1"/>
    </xf>
    <xf numFmtId="4" fontId="104" fillId="29" borderId="8" xfId="0" applyNumberFormat="1" applyFont="1" applyFill="1" applyBorder="1" applyAlignment="1">
      <alignment horizontal="center" vertical="center" wrapText="1"/>
    </xf>
    <xf numFmtId="49" fontId="174" fillId="38" borderId="15" xfId="0" applyNumberFormat="1" applyFont="1" applyFill="1" applyBorder="1" applyAlignment="1">
      <alignment horizontal="center" vertical="center" wrapText="1"/>
    </xf>
    <xf numFmtId="0" fontId="174" fillId="38" borderId="15" xfId="38" applyFont="1" applyFill="1" applyBorder="1" applyAlignment="1" applyProtection="1">
      <alignment horizontal="center" vertical="center" wrapText="1"/>
      <protection locked="0"/>
    </xf>
    <xf numFmtId="4" fontId="174" fillId="38" borderId="15" xfId="0" applyNumberFormat="1" applyFont="1" applyFill="1" applyBorder="1" applyAlignment="1">
      <alignment horizontal="center" vertical="center" wrapText="1"/>
    </xf>
    <xf numFmtId="9" fontId="174" fillId="38" borderId="15" xfId="0" applyNumberFormat="1" applyFont="1" applyFill="1" applyBorder="1" applyAlignment="1">
      <alignment horizontal="center" vertical="center" wrapText="1"/>
    </xf>
    <xf numFmtId="49" fontId="175" fillId="39" borderId="15" xfId="0" applyNumberFormat="1" applyFont="1" applyFill="1" applyBorder="1" applyAlignment="1">
      <alignment horizontal="center" vertical="center" wrapText="1"/>
    </xf>
    <xf numFmtId="0" fontId="175" fillId="39" borderId="15" xfId="38" applyFont="1" applyFill="1" applyBorder="1" applyAlignment="1" applyProtection="1">
      <alignment horizontal="center" vertical="center" wrapText="1"/>
      <protection locked="0"/>
    </xf>
    <xf numFmtId="4" fontId="175" fillId="39" borderId="15" xfId="0" applyNumberFormat="1" applyFont="1" applyFill="1" applyBorder="1" applyAlignment="1">
      <alignment horizontal="center" vertical="center" wrapText="1"/>
    </xf>
    <xf numFmtId="9" fontId="175" fillId="39" borderId="15" xfId="0" applyNumberFormat="1" applyFont="1" applyFill="1" applyBorder="1" applyAlignment="1">
      <alignment horizontal="center" vertical="center" wrapText="1"/>
    </xf>
    <xf numFmtId="4" fontId="91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31" fillId="0" borderId="15" xfId="0" applyNumberFormat="1" applyFont="1" applyFill="1" applyBorder="1" applyAlignment="1">
      <alignment horizontal="center" vertical="center"/>
    </xf>
    <xf numFmtId="0" fontId="176" fillId="0" borderId="0" xfId="35" applyFont="1" applyFill="1"/>
    <xf numFmtId="0" fontId="12" fillId="0" borderId="0" xfId="35" applyFont="1" applyFill="1"/>
    <xf numFmtId="0" fontId="165" fillId="0" borderId="0" xfId="35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76" fillId="0" borderId="0" xfId="35" applyFont="1" applyFill="1" applyAlignment="1">
      <alignment horizontal="center"/>
    </xf>
    <xf numFmtId="0" fontId="165" fillId="0" borderId="0" xfId="35" applyFont="1" applyFill="1" applyAlignment="1">
      <alignment horizontal="right"/>
    </xf>
    <xf numFmtId="0" fontId="159" fillId="0" borderId="0" xfId="35" applyFont="1" applyFill="1" applyAlignment="1">
      <alignment horizontal="center" vertical="center" wrapText="1"/>
    </xf>
    <xf numFmtId="0" fontId="159" fillId="0" borderId="0" xfId="35" applyFont="1" applyFill="1" applyAlignment="1">
      <alignment horizontal="center"/>
    </xf>
    <xf numFmtId="0" fontId="12" fillId="0" borderId="0" xfId="35" applyFont="1" applyFill="1" applyBorder="1" applyAlignment="1">
      <alignment horizontal="right" vertical="center"/>
    </xf>
    <xf numFmtId="0" fontId="177" fillId="0" borderId="15" xfId="35" applyFont="1" applyFill="1" applyBorder="1" applyAlignment="1">
      <alignment horizontal="center" vertical="top" wrapText="1"/>
    </xf>
    <xf numFmtId="0" fontId="158" fillId="0" borderId="15" xfId="35" applyFont="1" applyFill="1" applyBorder="1" applyAlignment="1">
      <alignment horizontal="center" vertical="center" wrapText="1"/>
    </xf>
    <xf numFmtId="0" fontId="158" fillId="0" borderId="15" xfId="0" applyFont="1" applyFill="1" applyBorder="1" applyAlignment="1">
      <alignment horizontal="center" vertical="center"/>
    </xf>
    <xf numFmtId="4" fontId="174" fillId="38" borderId="15" xfId="38" applyNumberFormat="1" applyFont="1" applyFill="1" applyBorder="1" applyAlignment="1" applyProtection="1">
      <alignment horizontal="center" vertical="center" wrapText="1"/>
      <protection locked="0"/>
    </xf>
    <xf numFmtId="4" fontId="175" fillId="39" borderId="15" xfId="38" applyNumberFormat="1" applyFont="1" applyFill="1" applyBorder="1" applyAlignment="1" applyProtection="1">
      <alignment horizontal="center" vertical="center" wrapText="1"/>
      <protection locked="0"/>
    </xf>
    <xf numFmtId="49" fontId="175" fillId="0" borderId="15" xfId="0" applyNumberFormat="1" applyFont="1" applyFill="1" applyBorder="1" applyAlignment="1">
      <alignment horizontal="center" vertical="center" wrapText="1"/>
    </xf>
    <xf numFmtId="0" fontId="175" fillId="0" borderId="15" xfId="38" applyFont="1" applyFill="1" applyBorder="1" applyAlignment="1" applyProtection="1">
      <alignment horizontal="center" vertical="center" wrapText="1"/>
      <protection locked="0"/>
    </xf>
    <xf numFmtId="4" fontId="175" fillId="0" borderId="15" xfId="0" applyNumberFormat="1" applyFont="1" applyFill="1" applyBorder="1" applyAlignment="1">
      <alignment horizontal="center" vertical="center" wrapText="1"/>
    </xf>
    <xf numFmtId="49" fontId="174" fillId="0" borderId="15" xfId="0" applyNumberFormat="1" applyFont="1" applyFill="1" applyBorder="1" applyAlignment="1">
      <alignment horizontal="center" vertical="center" wrapText="1"/>
    </xf>
    <xf numFmtId="0" fontId="174" fillId="0" borderId="15" xfId="38" applyFont="1" applyFill="1" applyBorder="1" applyAlignment="1" applyProtection="1">
      <alignment horizontal="center" vertical="center" wrapText="1"/>
      <protection locked="0"/>
    </xf>
    <xf numFmtId="4" fontId="174" fillId="0" borderId="15" xfId="0" applyNumberFormat="1" applyFont="1" applyFill="1" applyBorder="1" applyAlignment="1">
      <alignment horizontal="center" vertical="center" wrapText="1"/>
    </xf>
    <xf numFmtId="49" fontId="166" fillId="0" borderId="15" xfId="35" applyNumberFormat="1" applyFont="1" applyFill="1" applyBorder="1" applyAlignment="1">
      <alignment horizontal="center" vertical="center" wrapText="1"/>
    </xf>
    <xf numFmtId="49" fontId="178" fillId="0" borderId="15" xfId="0" applyNumberFormat="1" applyFont="1" applyFill="1" applyBorder="1" applyAlignment="1">
      <alignment horizontal="center" vertical="center" wrapText="1"/>
    </xf>
    <xf numFmtId="0" fontId="178" fillId="0" borderId="15" xfId="38" applyFont="1" applyFill="1" applyBorder="1" applyAlignment="1" applyProtection="1">
      <alignment horizontal="center" vertical="center" wrapText="1"/>
      <protection locked="0"/>
    </xf>
    <xf numFmtId="4" fontId="178" fillId="0" borderId="15" xfId="0" applyNumberFormat="1" applyFont="1" applyFill="1" applyBorder="1" applyAlignment="1">
      <alignment horizontal="center" vertical="center" wrapText="1"/>
    </xf>
    <xf numFmtId="4" fontId="166" fillId="0" borderId="15" xfId="35" applyNumberFormat="1" applyFont="1" applyFill="1" applyBorder="1" applyAlignment="1">
      <alignment horizontal="center" vertical="center"/>
    </xf>
    <xf numFmtId="0" fontId="175" fillId="0" borderId="0" xfId="0" applyFont="1" applyFill="1" applyBorder="1" applyAlignment="1">
      <alignment horizontal="center" vertical="center"/>
    </xf>
    <xf numFmtId="0" fontId="175" fillId="0" borderId="0" xfId="0" applyFont="1" applyFill="1" applyBorder="1" applyAlignment="1">
      <alignment horizontal="left" vertical="center"/>
    </xf>
    <xf numFmtId="4" fontId="175" fillId="0" borderId="0" xfId="0" applyNumberFormat="1" applyFont="1" applyFill="1" applyBorder="1" applyAlignment="1">
      <alignment horizontal="center" vertical="center"/>
    </xf>
    <xf numFmtId="0" fontId="166" fillId="0" borderId="0" xfId="39" applyFont="1"/>
    <xf numFmtId="0" fontId="179" fillId="0" borderId="0" xfId="0" applyFont="1"/>
    <xf numFmtId="0" fontId="166" fillId="0" borderId="0" xfId="0" applyFont="1" applyAlignment="1">
      <alignment horizontal="left" vertical="center"/>
    </xf>
    <xf numFmtId="0" fontId="166" fillId="0" borderId="0" xfId="0" applyFont="1" applyFill="1" applyBorder="1" applyAlignment="1">
      <alignment horizontal="center" vertical="center"/>
    </xf>
    <xf numFmtId="0" fontId="30" fillId="0" borderId="15" xfId="38" applyFont="1" applyFill="1" applyBorder="1" applyAlignment="1" applyProtection="1">
      <alignment horizontal="center" vertical="center" wrapText="1"/>
      <protection locked="0"/>
    </xf>
    <xf numFmtId="49" fontId="170" fillId="0" borderId="15" xfId="0" applyNumberFormat="1" applyFont="1" applyFill="1" applyBorder="1" applyAlignment="1">
      <alignment horizontal="center" vertical="center"/>
    </xf>
    <xf numFmtId="4" fontId="31" fillId="0" borderId="15" xfId="38" applyNumberFormat="1" applyFont="1" applyFill="1" applyBorder="1" applyAlignment="1">
      <alignment horizontal="center" vertical="center" wrapText="1"/>
    </xf>
    <xf numFmtId="0" fontId="166" fillId="0" borderId="15" xfId="18" applyFont="1" applyFill="1" applyBorder="1" applyAlignment="1">
      <alignment horizontal="center" vertical="center" wrapText="1"/>
    </xf>
    <xf numFmtId="4" fontId="166" fillId="0" borderId="15" xfId="30" applyNumberFormat="1" applyFont="1" applyFill="1" applyBorder="1" applyAlignment="1">
      <alignment horizontal="center" vertical="center"/>
    </xf>
    <xf numFmtId="4" fontId="30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66" fillId="0" borderId="15" xfId="100" applyFont="1" applyBorder="1" applyAlignment="1">
      <alignment horizontal="center" vertical="center" wrapText="1"/>
    </xf>
    <xf numFmtId="4" fontId="182" fillId="0" borderId="15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0" fontId="64" fillId="0" borderId="0" xfId="0" applyFont="1"/>
    <xf numFmtId="49" fontId="31" fillId="0" borderId="1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4" fontId="67" fillId="0" borderId="15" xfId="38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9" fontId="31" fillId="28" borderId="16" xfId="0" applyNumberFormat="1" applyFont="1" applyFill="1" applyBorder="1" applyAlignment="1">
      <alignment horizontal="center" wrapText="1"/>
    </xf>
    <xf numFmtId="49" fontId="31" fillId="28" borderId="0" xfId="0" applyNumberFormat="1" applyFont="1" applyFill="1" applyBorder="1" applyAlignment="1">
      <alignment horizontal="center" vertical="center" wrapText="1"/>
    </xf>
    <xf numFmtId="49" fontId="31" fillId="28" borderId="17" xfId="0" applyNumberFormat="1" applyFont="1" applyFill="1" applyBorder="1" applyAlignment="1">
      <alignment horizontal="center" vertical="top" wrapText="1"/>
    </xf>
    <xf numFmtId="0" fontId="170" fillId="0" borderId="15" xfId="38" applyFont="1" applyFill="1" applyBorder="1" applyAlignment="1" applyProtection="1">
      <alignment horizontal="center" vertical="center" wrapText="1"/>
      <protection locked="0"/>
    </xf>
    <xf numFmtId="4" fontId="31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31" fillId="0" borderId="16" xfId="38" applyNumberFormat="1" applyFont="1" applyFill="1" applyBorder="1" applyAlignment="1">
      <alignment horizontal="center" vertical="center" wrapText="1"/>
    </xf>
    <xf numFmtId="0" fontId="30" fillId="0" borderId="17" xfId="38" applyFont="1" applyFill="1" applyBorder="1" applyAlignment="1" applyProtection="1">
      <alignment horizontal="center" vertical="top" wrapText="1"/>
      <protection locked="0"/>
    </xf>
    <xf numFmtId="49" fontId="166" fillId="0" borderId="15" xfId="0" applyNumberFormat="1" applyFont="1" applyBorder="1" applyAlignment="1">
      <alignment horizontal="center" vertical="center" wrapText="1"/>
    </xf>
    <xf numFmtId="9" fontId="166" fillId="0" borderId="15" xfId="30" applyNumberFormat="1" applyFont="1" applyBorder="1" applyAlignment="1">
      <alignment horizontal="center" vertical="center"/>
    </xf>
    <xf numFmtId="49" fontId="166" fillId="0" borderId="15" xfId="18" applyNumberFormat="1" applyFont="1" applyBorder="1" applyAlignment="1">
      <alignment horizontal="center" vertical="center" wrapText="1"/>
    </xf>
    <xf numFmtId="0" fontId="166" fillId="0" borderId="15" xfId="92" applyFont="1" applyBorder="1" applyAlignment="1">
      <alignment horizontal="center" vertical="center" wrapText="1"/>
    </xf>
    <xf numFmtId="0" fontId="166" fillId="0" borderId="15" xfId="84" applyFont="1" applyBorder="1" applyAlignment="1">
      <alignment horizontal="center" vertical="center" wrapText="1"/>
    </xf>
    <xf numFmtId="0" fontId="166" fillId="0" borderId="15" xfId="40" applyFont="1" applyBorder="1" applyAlignment="1">
      <alignment horizontal="center" vertical="center" wrapText="1"/>
    </xf>
    <xf numFmtId="0" fontId="156" fillId="28" borderId="0" xfId="35" applyFont="1" applyFill="1" applyAlignment="1">
      <alignment horizontal="center" vertical="center"/>
    </xf>
    <xf numFmtId="4" fontId="183" fillId="28" borderId="0" xfId="35" applyNumberFormat="1" applyFont="1" applyFill="1"/>
    <xf numFmtId="0" fontId="166" fillId="0" borderId="0" xfId="0" applyFont="1"/>
    <xf numFmtId="0" fontId="166" fillId="0" borderId="0" xfId="0" applyFont="1" applyFill="1" applyAlignment="1">
      <alignment horizontal="left" vertical="center"/>
    </xf>
    <xf numFmtId="0" fontId="166" fillId="0" borderId="0" xfId="39" applyFont="1" applyFill="1"/>
    <xf numFmtId="0" fontId="12" fillId="0" borderId="0" xfId="35" applyFont="1" applyFill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72" fillId="0" borderId="15" xfId="0" applyFont="1" applyFill="1" applyBorder="1" applyAlignment="1">
      <alignment horizontal="center" vertical="center" wrapText="1"/>
    </xf>
    <xf numFmtId="49" fontId="31" fillId="27" borderId="15" xfId="0" applyNumberFormat="1" applyFont="1" applyFill="1" applyBorder="1" applyAlignment="1">
      <alignment horizontal="center" vertical="center" wrapText="1"/>
    </xf>
    <xf numFmtId="49" fontId="31" fillId="27" borderId="15" xfId="0" applyNumberFormat="1" applyFont="1" applyFill="1" applyBorder="1" applyAlignment="1">
      <alignment horizontal="left" vertical="center" wrapText="1"/>
    </xf>
    <xf numFmtId="4" fontId="31" fillId="27" borderId="15" xfId="0" applyNumberFormat="1" applyFont="1" applyFill="1" applyBorder="1" applyAlignment="1">
      <alignment horizontal="center" vertical="center" wrapText="1"/>
    </xf>
    <xf numFmtId="49" fontId="31" fillId="0" borderId="19" xfId="0" applyNumberFormat="1" applyFont="1" applyFill="1" applyBorder="1" applyAlignment="1">
      <alignment horizontal="left" vertical="center" wrapText="1"/>
    </xf>
    <xf numFmtId="4" fontId="31" fillId="0" borderId="19" xfId="0" applyNumberFormat="1" applyFont="1" applyFill="1" applyBorder="1" applyAlignment="1">
      <alignment horizontal="center" vertical="center" wrapText="1"/>
    </xf>
    <xf numFmtId="49" fontId="31" fillId="39" borderId="19" xfId="0" applyNumberFormat="1" applyFont="1" applyFill="1" applyBorder="1" applyAlignment="1">
      <alignment horizontal="center" vertical="center" wrapText="1"/>
    </xf>
    <xf numFmtId="49" fontId="31" fillId="39" borderId="19" xfId="0" applyNumberFormat="1" applyFont="1" applyFill="1" applyBorder="1" applyAlignment="1">
      <alignment horizontal="left" vertical="center" wrapText="1"/>
    </xf>
    <xf numFmtId="4" fontId="31" fillId="39" borderId="19" xfId="0" applyNumberFormat="1" applyFont="1" applyFill="1" applyBorder="1" applyAlignment="1">
      <alignment horizontal="center" vertical="center" wrapText="1"/>
    </xf>
    <xf numFmtId="0" fontId="186" fillId="27" borderId="0" xfId="0" applyFont="1" applyFill="1"/>
    <xf numFmtId="4" fontId="171" fillId="0" borderId="15" xfId="0" applyNumberFormat="1" applyFont="1" applyFill="1" applyBorder="1" applyAlignment="1">
      <alignment horizontal="center" vertical="center" wrapText="1"/>
    </xf>
    <xf numFmtId="0" fontId="186" fillId="0" borderId="0" xfId="0" applyFont="1" applyFill="1"/>
    <xf numFmtId="4" fontId="86" fillId="0" borderId="15" xfId="0" applyNumberFormat="1" applyFont="1" applyFill="1" applyBorder="1" applyAlignment="1">
      <alignment horizontal="center" vertical="center"/>
    </xf>
    <xf numFmtId="0" fontId="158" fillId="0" borderId="24" xfId="0" applyFont="1" applyFill="1" applyBorder="1" applyAlignment="1">
      <alignment horizontal="center" vertical="center" wrapText="1"/>
    </xf>
    <xf numFmtId="0" fontId="158" fillId="0" borderId="24" xfId="0" applyFont="1" applyFill="1" applyBorder="1" applyAlignment="1">
      <alignment horizontal="left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left" vertical="center" wrapText="1"/>
    </xf>
    <xf numFmtId="4" fontId="12" fillId="0" borderId="24" xfId="0" applyNumberFormat="1" applyFont="1" applyFill="1" applyBorder="1" applyAlignment="1">
      <alignment horizontal="center" vertical="center" wrapText="1"/>
    </xf>
    <xf numFmtId="0" fontId="187" fillId="0" borderId="24" xfId="0" applyFont="1" applyFill="1" applyBorder="1" applyAlignment="1">
      <alignment horizontal="center" vertical="center" wrapText="1"/>
    </xf>
    <xf numFmtId="0" fontId="187" fillId="0" borderId="24" xfId="0" applyFont="1" applyFill="1" applyBorder="1" applyAlignment="1">
      <alignment horizontal="left" vertical="center" wrapText="1"/>
    </xf>
    <xf numFmtId="4" fontId="187" fillId="0" borderId="24" xfId="0" applyNumberFormat="1" applyFont="1" applyFill="1" applyBorder="1" applyAlignment="1">
      <alignment horizontal="center" vertical="center" wrapText="1"/>
    </xf>
    <xf numFmtId="0" fontId="188" fillId="0" borderId="24" xfId="0" applyFont="1" applyFill="1" applyBorder="1" applyAlignment="1">
      <alignment horizontal="center" vertical="center" wrapText="1"/>
    </xf>
    <xf numFmtId="0" fontId="188" fillId="0" borderId="24" xfId="0" applyFont="1" applyFill="1" applyBorder="1" applyAlignment="1">
      <alignment horizontal="left" vertical="center" wrapText="1"/>
    </xf>
    <xf numFmtId="4" fontId="188" fillId="0" borderId="24" xfId="0" applyNumberFormat="1" applyFont="1" applyFill="1" applyBorder="1" applyAlignment="1">
      <alignment horizontal="center" vertical="center" wrapText="1"/>
    </xf>
    <xf numFmtId="4" fontId="72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8" fillId="0" borderId="0" xfId="0" applyFont="1" applyAlignment="1">
      <alignment vertical="center"/>
    </xf>
    <xf numFmtId="4" fontId="58" fillId="0" borderId="0" xfId="0" applyNumberFormat="1" applyFont="1" applyAlignment="1">
      <alignment vertical="center"/>
    </xf>
    <xf numFmtId="4" fontId="38" fillId="0" borderId="0" xfId="0" applyNumberFormat="1" applyFont="1" applyAlignment="1">
      <alignment vertical="center"/>
    </xf>
    <xf numFmtId="0" fontId="193" fillId="0" borderId="24" xfId="39" applyFont="1" applyFill="1" applyBorder="1" applyAlignment="1">
      <alignment horizontal="center" vertical="center" wrapText="1"/>
    </xf>
    <xf numFmtId="0" fontId="193" fillId="0" borderId="24" xfId="39" applyFont="1" applyFill="1" applyBorder="1" applyAlignment="1">
      <alignment vertical="center" wrapText="1"/>
    </xf>
    <xf numFmtId="4" fontId="194" fillId="0" borderId="24" xfId="39" applyNumberFormat="1" applyFont="1" applyFill="1" applyBorder="1" applyAlignment="1">
      <alignment horizontal="center" vertical="center" wrapText="1"/>
    </xf>
    <xf numFmtId="4" fontId="193" fillId="0" borderId="24" xfId="39" applyNumberFormat="1" applyFont="1" applyFill="1" applyBorder="1" applyAlignment="1">
      <alignment horizontal="center" vertical="center" wrapText="1"/>
    </xf>
    <xf numFmtId="0" fontId="195" fillId="0" borderId="24" xfId="39" applyFont="1" applyFill="1" applyBorder="1" applyAlignment="1">
      <alignment horizontal="center" vertical="center" wrapText="1"/>
    </xf>
    <xf numFmtId="0" fontId="195" fillId="0" borderId="24" xfId="39" applyFont="1" applyFill="1" applyBorder="1" applyAlignment="1">
      <alignment vertical="center" wrapText="1"/>
    </xf>
    <xf numFmtId="4" fontId="195" fillId="0" borderId="24" xfId="39" applyNumberFormat="1" applyFont="1" applyFill="1" applyBorder="1" applyAlignment="1">
      <alignment horizontal="center" vertical="center" wrapText="1"/>
    </xf>
    <xf numFmtId="0" fontId="193" fillId="0" borderId="24" xfId="37" applyFont="1" applyFill="1" applyBorder="1" applyAlignment="1">
      <alignment horizontal="justify" vertical="center" wrapText="1"/>
    </xf>
    <xf numFmtId="0" fontId="194" fillId="0" borderId="24" xfId="39" applyFont="1" applyFill="1" applyBorder="1" applyAlignment="1">
      <alignment horizontal="center" vertical="center" wrapText="1"/>
    </xf>
    <xf numFmtId="0" fontId="194" fillId="0" borderId="24" xfId="37" applyFont="1" applyFill="1" applyBorder="1" applyAlignment="1">
      <alignment horizontal="center" vertical="center" wrapText="1"/>
    </xf>
    <xf numFmtId="0" fontId="195" fillId="0" borderId="24" xfId="37" applyFont="1" applyFill="1" applyBorder="1" applyAlignment="1">
      <alignment horizontal="justify" vertical="center" wrapText="1"/>
    </xf>
    <xf numFmtId="0" fontId="193" fillId="0" borderId="24" xfId="37" applyFont="1" applyFill="1" applyBorder="1" applyAlignment="1">
      <alignment horizontal="left" vertical="center" wrapText="1"/>
    </xf>
    <xf numFmtId="0" fontId="195" fillId="0" borderId="24" xfId="37" applyFont="1" applyFill="1" applyBorder="1" applyAlignment="1">
      <alignment horizontal="left" vertical="center" wrapText="1"/>
    </xf>
    <xf numFmtId="4" fontId="196" fillId="0" borderId="24" xfId="39" applyNumberFormat="1" applyFont="1" applyFill="1" applyBorder="1" applyAlignment="1">
      <alignment horizontal="center" vertical="center" wrapText="1"/>
    </xf>
    <xf numFmtId="0" fontId="194" fillId="0" borderId="24" xfId="37" applyFont="1" applyFill="1" applyBorder="1" applyAlignment="1">
      <alignment horizontal="justify" vertical="center" wrapText="1"/>
    </xf>
    <xf numFmtId="0" fontId="193" fillId="0" borderId="24" xfId="37" applyFont="1" applyFill="1" applyBorder="1" applyAlignment="1">
      <alignment vertical="center" wrapText="1"/>
    </xf>
    <xf numFmtId="0" fontId="195" fillId="0" borderId="24" xfId="37" applyFont="1" applyFill="1" applyBorder="1" applyAlignment="1">
      <alignment vertical="center" wrapText="1"/>
    </xf>
    <xf numFmtId="0" fontId="194" fillId="0" borderId="24" xfId="37" applyFont="1" applyFill="1" applyBorder="1" applyAlignment="1">
      <alignment vertical="center" wrapText="1"/>
    </xf>
    <xf numFmtId="0" fontId="193" fillId="0" borderId="24" xfId="0" applyFont="1" applyFill="1" applyBorder="1" applyAlignment="1">
      <alignment horizontal="justify" vertical="center"/>
    </xf>
    <xf numFmtId="0" fontId="194" fillId="0" borderId="24" xfId="39" applyFont="1" applyFill="1" applyBorder="1" applyAlignment="1">
      <alignment vertical="center" wrapText="1"/>
    </xf>
    <xf numFmtId="4" fontId="194" fillId="28" borderId="24" xfId="39" applyNumberFormat="1" applyFont="1" applyFill="1" applyBorder="1" applyAlignment="1">
      <alignment horizontal="center" vertical="center" wrapText="1"/>
    </xf>
    <xf numFmtId="4" fontId="193" fillId="28" borderId="24" xfId="39" applyNumberFormat="1" applyFont="1" applyFill="1" applyBorder="1" applyAlignment="1">
      <alignment horizontal="center" vertical="center" wrapText="1"/>
    </xf>
    <xf numFmtId="4" fontId="151" fillId="0" borderId="0" xfId="39" applyNumberFormat="1" applyFont="1" applyFill="1"/>
    <xf numFmtId="0" fontId="156" fillId="0" borderId="0" xfId="39" applyFont="1" applyFill="1"/>
    <xf numFmtId="4" fontId="158" fillId="0" borderId="24" xfId="0" applyNumberFormat="1" applyFont="1" applyFill="1" applyBorder="1" applyAlignment="1">
      <alignment horizontal="left" vertical="center" wrapText="1"/>
    </xf>
    <xf numFmtId="4" fontId="187" fillId="0" borderId="24" xfId="0" applyNumberFormat="1" applyFont="1" applyFill="1" applyBorder="1" applyAlignment="1">
      <alignment horizontal="left" vertical="center" wrapText="1"/>
    </xf>
    <xf numFmtId="0" fontId="187" fillId="28" borderId="24" xfId="0" applyFont="1" applyFill="1" applyBorder="1" applyAlignment="1">
      <alignment horizontal="center" vertical="center" wrapText="1"/>
    </xf>
    <xf numFmtId="0" fontId="187" fillId="28" borderId="24" xfId="0" applyFont="1" applyFill="1" applyBorder="1" applyAlignment="1">
      <alignment horizontal="left" vertical="center" wrapText="1"/>
    </xf>
    <xf numFmtId="4" fontId="187" fillId="28" borderId="24" xfId="0" applyNumberFormat="1" applyFont="1" applyFill="1" applyBorder="1" applyAlignment="1">
      <alignment horizontal="center" vertical="center" wrapText="1"/>
    </xf>
    <xf numFmtId="0" fontId="12" fillId="28" borderId="24" xfId="0" applyFont="1" applyFill="1" applyBorder="1" applyAlignment="1">
      <alignment horizontal="center" vertical="center" wrapText="1"/>
    </xf>
    <xf numFmtId="0" fontId="12" fillId="28" borderId="24" xfId="0" applyFont="1" applyFill="1" applyBorder="1" applyAlignment="1">
      <alignment horizontal="left" vertical="center" wrapText="1"/>
    </xf>
    <xf numFmtId="4" fontId="151" fillId="28" borderId="15" xfId="0" applyNumberFormat="1" applyFont="1" applyFill="1" applyBorder="1" applyAlignment="1">
      <alignment horizontal="center" vertical="center"/>
    </xf>
    <xf numFmtId="0" fontId="78" fillId="28" borderId="0" xfId="35" applyFont="1" applyFill="1" applyBorder="1"/>
    <xf numFmtId="4" fontId="30" fillId="0" borderId="22" xfId="0" applyNumberFormat="1" applyFont="1" applyFill="1" applyBorder="1" applyAlignment="1">
      <alignment horizontal="center" vertical="center" wrapText="1"/>
    </xf>
    <xf numFmtId="4" fontId="31" fillId="0" borderId="22" xfId="0" applyNumberFormat="1" applyFont="1" applyFill="1" applyBorder="1" applyAlignment="1">
      <alignment horizontal="center" vertical="center" wrapText="1"/>
    </xf>
    <xf numFmtId="4" fontId="31" fillId="27" borderId="22" xfId="0" applyNumberFormat="1" applyFont="1" applyFill="1" applyBorder="1" applyAlignment="1">
      <alignment horizontal="center" vertical="center" wrapText="1"/>
    </xf>
    <xf numFmtId="49" fontId="30" fillId="35" borderId="15" xfId="0" applyNumberFormat="1" applyFont="1" applyFill="1" applyBorder="1" applyAlignment="1">
      <alignment horizontal="center" vertical="center" wrapText="1"/>
    </xf>
    <xf numFmtId="4" fontId="30" fillId="35" borderId="22" xfId="0" applyNumberFormat="1" applyFont="1" applyFill="1" applyBorder="1" applyAlignment="1">
      <alignment horizontal="center" vertical="center" wrapText="1"/>
    </xf>
    <xf numFmtId="49" fontId="31" fillId="35" borderId="15" xfId="0" applyNumberFormat="1" applyFont="1" applyFill="1" applyBorder="1" applyAlignment="1">
      <alignment horizontal="center" vertical="center" wrapText="1"/>
    </xf>
    <xf numFmtId="4" fontId="31" fillId="35" borderId="22" xfId="0" applyNumberFormat="1" applyFont="1" applyFill="1" applyBorder="1" applyAlignment="1">
      <alignment horizontal="center" vertical="center" wrapText="1"/>
    </xf>
    <xf numFmtId="4" fontId="31" fillId="35" borderId="15" xfId="0" applyNumberFormat="1" applyFont="1" applyFill="1" applyBorder="1" applyAlignment="1">
      <alignment horizontal="center" vertical="center" wrapText="1"/>
    </xf>
    <xf numFmtId="2" fontId="77" fillId="40" borderId="15" xfId="0" applyNumberFormat="1" applyFont="1" applyFill="1" applyBorder="1" applyAlignment="1">
      <alignment horizontal="center" vertical="center"/>
    </xf>
    <xf numFmtId="4" fontId="87" fillId="40" borderId="15" xfId="0" applyNumberFormat="1" applyFont="1" applyFill="1" applyBorder="1" applyAlignment="1">
      <alignment horizontal="center" vertical="center"/>
    </xf>
    <xf numFmtId="0" fontId="194" fillId="40" borderId="24" xfId="39" applyFont="1" applyFill="1" applyBorder="1" applyAlignment="1">
      <alignment horizontal="center" vertical="center" wrapText="1"/>
    </xf>
    <xf numFmtId="0" fontId="194" fillId="40" borderId="24" xfId="37" applyFont="1" applyFill="1" applyBorder="1" applyAlignment="1">
      <alignment horizontal="center" vertical="center" wrapText="1"/>
    </xf>
    <xf numFmtId="4" fontId="194" fillId="40" borderId="24" xfId="39" applyNumberFormat="1" applyFont="1" applyFill="1" applyBorder="1" applyAlignment="1">
      <alignment horizontal="center" vertical="center" wrapText="1"/>
    </xf>
    <xf numFmtId="0" fontId="194" fillId="39" borderId="24" xfId="39" applyFont="1" applyFill="1" applyBorder="1" applyAlignment="1">
      <alignment horizontal="center" vertical="center" wrapText="1"/>
    </xf>
    <xf numFmtId="4" fontId="194" fillId="39" borderId="24" xfId="39" applyNumberFormat="1" applyFont="1" applyFill="1" applyBorder="1" applyAlignment="1">
      <alignment horizontal="center" vertical="center" wrapText="1"/>
    </xf>
    <xf numFmtId="0" fontId="158" fillId="41" borderId="24" xfId="0" applyFont="1" applyFill="1" applyBorder="1" applyAlignment="1">
      <alignment horizontal="center" vertical="center" wrapText="1"/>
    </xf>
    <xf numFmtId="0" fontId="158" fillId="41" borderId="24" xfId="0" applyFont="1" applyFill="1" applyBorder="1" applyAlignment="1">
      <alignment horizontal="left" vertical="center" wrapText="1"/>
    </xf>
    <xf numFmtId="4" fontId="158" fillId="41" borderId="24" xfId="0" applyNumberFormat="1" applyFont="1" applyFill="1" applyBorder="1" applyAlignment="1">
      <alignment horizontal="center" vertical="center" wrapText="1"/>
    </xf>
    <xf numFmtId="2" fontId="175" fillId="40" borderId="15" xfId="0" applyNumberFormat="1" applyFont="1" applyFill="1" applyBorder="1" applyAlignment="1">
      <alignment horizontal="center" vertical="center"/>
    </xf>
    <xf numFmtId="4" fontId="175" fillId="40" borderId="15" xfId="0" applyNumberFormat="1" applyFont="1" applyFill="1" applyBorder="1" applyAlignment="1">
      <alignment horizontal="center" vertical="center"/>
    </xf>
    <xf numFmtId="4" fontId="166" fillId="40" borderId="15" xfId="0" applyNumberFormat="1" applyFont="1" applyFill="1" applyBorder="1" applyAlignment="1">
      <alignment horizontal="center" vertical="center"/>
    </xf>
    <xf numFmtId="0" fontId="30" fillId="40" borderId="15" xfId="0" applyFont="1" applyFill="1" applyBorder="1" applyAlignment="1">
      <alignment horizontal="center" vertical="center"/>
    </xf>
    <xf numFmtId="0" fontId="30" fillId="40" borderId="15" xfId="0" applyFont="1" applyFill="1" applyBorder="1" applyAlignment="1">
      <alignment horizontal="left" vertical="center"/>
    </xf>
    <xf numFmtId="4" fontId="30" fillId="40" borderId="15" xfId="0" applyNumberFormat="1" applyFont="1" applyFill="1" applyBorder="1" applyAlignment="1">
      <alignment horizontal="center" vertical="center"/>
    </xf>
    <xf numFmtId="43" fontId="40" fillId="40" borderId="15" xfId="0" applyNumberFormat="1" applyFont="1" applyFill="1" applyBorder="1" applyAlignment="1">
      <alignment horizontal="center" vertical="center"/>
    </xf>
    <xf numFmtId="43" fontId="40" fillId="40" borderId="15" xfId="36" applyNumberFormat="1" applyFont="1" applyFill="1" applyBorder="1" applyAlignment="1">
      <alignment horizontal="center" vertical="center" wrapText="1"/>
    </xf>
    <xf numFmtId="2" fontId="17" fillId="40" borderId="15" xfId="0" applyNumberFormat="1" applyFont="1" applyFill="1" applyBorder="1" applyAlignment="1">
      <alignment horizontal="center" vertical="center"/>
    </xf>
    <xf numFmtId="4" fontId="17" fillId="40" borderId="15" xfId="0" applyNumberFormat="1" applyFont="1" applyFill="1" applyBorder="1" applyAlignment="1">
      <alignment horizontal="center" vertical="center"/>
    </xf>
    <xf numFmtId="4" fontId="7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49" fontId="67" fillId="0" borderId="15" xfId="0" applyNumberFormat="1" applyFont="1" applyFill="1" applyBorder="1" applyAlignment="1">
      <alignment horizontal="center" vertical="center" wrapText="1"/>
    </xf>
    <xf numFmtId="4" fontId="68" fillId="0" borderId="15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0" fontId="156" fillId="28" borderId="0" xfId="0" applyFont="1" applyFill="1" applyBorder="1" applyAlignment="1"/>
    <xf numFmtId="0" fontId="78" fillId="28" borderId="0" xfId="0" applyFont="1" applyFill="1" applyBorder="1" applyAlignment="1"/>
    <xf numFmtId="2" fontId="40" fillId="39" borderId="15" xfId="36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0" fontId="158" fillId="0" borderId="24" xfId="37" applyFont="1" applyFill="1" applyBorder="1" applyAlignment="1">
      <alignment horizontal="center" vertical="center" wrapText="1"/>
    </xf>
    <xf numFmtId="0" fontId="12" fillId="0" borderId="24" xfId="39" applyFont="1" applyFill="1" applyBorder="1" applyAlignment="1">
      <alignment horizontal="center" vertical="center" wrapText="1"/>
    </xf>
    <xf numFmtId="0" fontId="12" fillId="0" borderId="24" xfId="37" applyFont="1" applyFill="1" applyBorder="1" applyAlignment="1">
      <alignment horizontal="justify" vertical="center" wrapText="1"/>
    </xf>
    <xf numFmtId="0" fontId="158" fillId="0" borderId="24" xfId="39" applyFont="1" applyFill="1" applyBorder="1" applyAlignment="1">
      <alignment vertical="center" wrapText="1"/>
    </xf>
    <xf numFmtId="0" fontId="12" fillId="0" borderId="24" xfId="39" applyFont="1" applyFill="1" applyBorder="1" applyAlignment="1">
      <alignment vertical="center" wrapText="1"/>
    </xf>
    <xf numFmtId="0" fontId="12" fillId="28" borderId="24" xfId="39" applyFont="1" applyFill="1" applyBorder="1" applyAlignment="1">
      <alignment horizontal="center" vertical="center" wrapText="1"/>
    </xf>
    <xf numFmtId="0" fontId="12" fillId="28" borderId="24" xfId="39" applyFont="1" applyFill="1" applyBorder="1" applyAlignment="1">
      <alignment vertical="center" wrapText="1"/>
    </xf>
    <xf numFmtId="0" fontId="188" fillId="0" borderId="24" xfId="39" applyFont="1" applyFill="1" applyBorder="1" applyAlignment="1">
      <alignment vertical="center" wrapText="1"/>
    </xf>
    <xf numFmtId="0" fontId="188" fillId="28" borderId="24" xfId="39" applyFont="1" applyFill="1" applyBorder="1" applyAlignment="1">
      <alignment vertical="center" wrapText="1"/>
    </xf>
    <xf numFmtId="0" fontId="158" fillId="40" borderId="24" xfId="39" applyFont="1" applyFill="1" applyBorder="1" applyAlignment="1">
      <alignment horizontal="center" vertical="center" wrapText="1"/>
    </xf>
    <xf numFmtId="0" fontId="158" fillId="40" borderId="24" xfId="37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72" fillId="0" borderId="17" xfId="38" applyFont="1" applyFill="1" applyBorder="1" applyAlignment="1" applyProtection="1">
      <alignment horizontal="center" vertical="center" wrapText="1"/>
      <protection locked="0"/>
    </xf>
    <xf numFmtId="49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49" fontId="31" fillId="0" borderId="15" xfId="0" applyNumberFormat="1" applyFont="1" applyFill="1" applyBorder="1" applyAlignment="1">
      <alignment horizontal="center" vertical="center" wrapText="1"/>
    </xf>
    <xf numFmtId="49" fontId="166" fillId="0" borderId="15" xfId="18" applyNumberFormat="1" applyFont="1" applyFill="1" applyBorder="1" applyAlignment="1">
      <alignment horizontal="center" vertical="center" wrapText="1"/>
    </xf>
    <xf numFmtId="0" fontId="166" fillId="0" borderId="15" xfId="84" applyFont="1" applyFill="1" applyBorder="1" applyAlignment="1">
      <alignment horizontal="center" vertical="center" wrapText="1"/>
    </xf>
    <xf numFmtId="9" fontId="166" fillId="0" borderId="15" xfId="3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0" fontId="64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4" fillId="0" borderId="0" xfId="0" applyFont="1"/>
    <xf numFmtId="0" fontId="16" fillId="0" borderId="0" xfId="0" applyFont="1" applyAlignment="1">
      <alignment horizontal="right" vertical="center"/>
    </xf>
    <xf numFmtId="0" fontId="12" fillId="0" borderId="0" xfId="0" applyFont="1" applyFill="1" applyAlignment="1">
      <alignment horizontal="center" vertical="top"/>
    </xf>
    <xf numFmtId="4" fontId="115" fillId="0" borderId="24" xfId="0" applyNumberFormat="1" applyFont="1" applyFill="1" applyBorder="1" applyAlignment="1">
      <alignment horizontal="center" vertical="center" wrapText="1"/>
    </xf>
    <xf numFmtId="4" fontId="78" fillId="0" borderId="24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57" fillId="37" borderId="15" xfId="0" applyFont="1" applyFill="1" applyBorder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" fontId="31" fillId="0" borderId="16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0" fontId="31" fillId="0" borderId="0" xfId="38" applyFont="1" applyFill="1" applyBorder="1" applyAlignment="1" applyProtection="1">
      <alignment horizontal="center" wrapText="1"/>
      <protection locked="0"/>
    </xf>
    <xf numFmtId="0" fontId="31" fillId="0" borderId="17" xfId="38" applyFont="1" applyFill="1" applyBorder="1" applyAlignment="1" applyProtection="1">
      <alignment horizontal="center" vertical="top" wrapText="1"/>
      <protection locked="0"/>
    </xf>
    <xf numFmtId="0" fontId="197" fillId="28" borderId="0" xfId="35" applyFont="1" applyFill="1" applyAlignment="1">
      <alignment vertical="center"/>
    </xf>
    <xf numFmtId="0" fontId="166" fillId="0" borderId="15" xfId="45" applyFont="1" applyBorder="1" applyAlignment="1">
      <alignment horizontal="center" vertical="center" wrapText="1"/>
    </xf>
    <xf numFmtId="49" fontId="178" fillId="0" borderId="15" xfId="0" applyNumberFormat="1" applyFont="1" applyBorder="1" applyAlignment="1">
      <alignment horizontal="center" vertical="center" wrapText="1"/>
    </xf>
    <xf numFmtId="0" fontId="178" fillId="0" borderId="15" xfId="100" applyFont="1" applyBorder="1" applyAlignment="1">
      <alignment horizontal="center" vertical="center" wrapText="1"/>
    </xf>
    <xf numFmtId="4" fontId="198" fillId="0" borderId="15" xfId="30" applyNumberFormat="1" applyFont="1" applyBorder="1" applyAlignment="1">
      <alignment horizontal="center" vertical="center"/>
    </xf>
    <xf numFmtId="9" fontId="198" fillId="0" borderId="15" xfId="30" applyNumberFormat="1" applyFont="1" applyBorder="1" applyAlignment="1">
      <alignment horizontal="center" vertical="center"/>
    </xf>
    <xf numFmtId="4" fontId="166" fillId="0" borderId="16" xfId="30" applyNumberFormat="1" applyFont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" fontId="199" fillId="0" borderId="15" xfId="0" applyNumberFormat="1" applyFont="1" applyFill="1" applyBorder="1" applyAlignment="1">
      <alignment horizontal="center" vertical="center" wrapText="1"/>
    </xf>
    <xf numFmtId="0" fontId="100" fillId="0" borderId="0" xfId="0" applyFont="1" applyBorder="1" applyAlignment="1"/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166" fillId="42" borderId="15" xfId="30" applyNumberFormat="1" applyFont="1" applyFill="1" applyBorder="1" applyAlignment="1">
      <alignment horizontal="center" vertical="center"/>
    </xf>
    <xf numFmtId="4" fontId="78" fillId="28" borderId="0" xfId="35" applyNumberFormat="1" applyFont="1" applyFill="1"/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0" fontId="200" fillId="0" borderId="0" xfId="0" applyFont="1" applyAlignment="1">
      <alignment horizontal="left" vertical="center"/>
    </xf>
    <xf numFmtId="0" fontId="31" fillId="0" borderId="0" xfId="39" applyFont="1" applyAlignment="1">
      <alignment vertical="center"/>
    </xf>
    <xf numFmtId="0" fontId="201" fillId="0" borderId="0" xfId="0" applyFont="1" applyAlignment="1">
      <alignment horizontal="justify" vertical="center"/>
    </xf>
    <xf numFmtId="0" fontId="166" fillId="0" borderId="0" xfId="39" applyFont="1" applyAlignment="1">
      <alignment vertical="center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" fontId="31" fillId="0" borderId="15" xfId="0" applyNumberFormat="1" applyFont="1" applyFill="1" applyBorder="1" applyAlignment="1">
      <alignment horizontal="center" vertical="center" wrapText="1"/>
    </xf>
    <xf numFmtId="165" fontId="31" fillId="43" borderId="15" xfId="30" applyNumberFormat="1" applyFont="1" applyFill="1" applyBorder="1" applyAlignment="1">
      <alignment horizontal="center" vertical="center" wrapText="1"/>
    </xf>
    <xf numFmtId="4" fontId="31" fillId="43" borderId="15" xfId="0" applyNumberFormat="1" applyFont="1" applyFill="1" applyBorder="1" applyAlignment="1">
      <alignment horizontal="center" vertical="center" wrapText="1"/>
    </xf>
    <xf numFmtId="0" fontId="79" fillId="0" borderId="0" xfId="35" applyFont="1"/>
    <xf numFmtId="0" fontId="202" fillId="0" borderId="0" xfId="35" applyFont="1" applyAlignment="1">
      <alignment horizontal="center" vertical="center"/>
    </xf>
    <xf numFmtId="4" fontId="203" fillId="28" borderId="0" xfId="0" applyNumberFormat="1" applyFont="1" applyFill="1"/>
    <xf numFmtId="4" fontId="203" fillId="28" borderId="0" xfId="0" applyNumberFormat="1" applyFont="1" applyFill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0" fontId="82" fillId="0" borderId="0" xfId="36" applyFont="1">
      <alignment vertical="top"/>
    </xf>
    <xf numFmtId="4" fontId="32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28" borderId="0" xfId="0" applyNumberFormat="1" applyFont="1" applyFill="1" applyAlignment="1">
      <alignment horizontal="left" vertical="center" wrapText="1"/>
    </xf>
    <xf numFmtId="0" fontId="64" fillId="0" borderId="0" xfId="0" applyFont="1"/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49" fontId="204" fillId="0" borderId="15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9" fontId="31" fillId="0" borderId="16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39" applyFont="1" applyAlignment="1">
      <alignment vertical="center" wrapText="1"/>
    </xf>
    <xf numFmtId="0" fontId="167" fillId="0" borderId="0" xfId="39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6" fillId="0" borderId="0" xfId="39" applyFont="1" applyAlignment="1">
      <alignment vertical="center" wrapText="1"/>
    </xf>
    <xf numFmtId="4" fontId="32" fillId="28" borderId="0" xfId="0" applyNumberFormat="1" applyFont="1" applyFill="1" applyAlignment="1">
      <alignment horizontal="left" vertical="center" wrapText="1"/>
    </xf>
    <xf numFmtId="0" fontId="0" fillId="28" borderId="0" xfId="0" applyFill="1" applyAlignment="1"/>
    <xf numFmtId="4" fontId="32" fillId="0" borderId="16" xfId="0" applyNumberFormat="1" applyFont="1" applyFill="1" applyBorder="1" applyAlignment="1">
      <alignment horizontal="center" vertical="center" wrapText="1"/>
    </xf>
    <xf numFmtId="4" fontId="68" fillId="0" borderId="15" xfId="0" applyNumberFormat="1" applyFont="1" applyFill="1" applyBorder="1" applyAlignment="1">
      <alignment horizontal="center" vertical="center"/>
    </xf>
    <xf numFmtId="4" fontId="33" fillId="0" borderId="16" xfId="0" applyNumberFormat="1" applyFont="1" applyFill="1" applyBorder="1" applyAlignment="1">
      <alignment horizontal="center" vertical="center" wrapText="1"/>
    </xf>
    <xf numFmtId="49" fontId="67" fillId="28" borderId="15" xfId="0" applyNumberFormat="1" applyFont="1" applyFill="1" applyBorder="1" applyAlignment="1">
      <alignment horizontal="center" vertical="center" wrapText="1"/>
    </xf>
    <xf numFmtId="4" fontId="71" fillId="28" borderId="15" xfId="0" applyNumberFormat="1" applyFont="1" applyFill="1" applyBorder="1" applyAlignment="1">
      <alignment horizontal="center" vertical="center" wrapText="1"/>
    </xf>
    <xf numFmtId="49" fontId="67" fillId="0" borderId="15" xfId="0" applyNumberFormat="1" applyFont="1" applyFill="1" applyBorder="1" applyAlignment="1">
      <alignment horizontal="center" vertical="center" wrapText="1"/>
    </xf>
    <xf numFmtId="4" fontId="68" fillId="28" borderId="15" xfId="0" applyNumberFormat="1" applyFont="1" applyFill="1" applyBorder="1" applyAlignment="1">
      <alignment horizontal="center" vertical="center"/>
    </xf>
    <xf numFmtId="4" fontId="7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15" xfId="0" applyFont="1" applyFill="1" applyBorder="1" applyAlignment="1">
      <alignment horizontal="center" vertical="top" wrapText="1"/>
    </xf>
    <xf numFmtId="4" fontId="33" fillId="0" borderId="16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9" fontId="31" fillId="0" borderId="16" xfId="0" applyNumberFormat="1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left" vertical="center"/>
    </xf>
    <xf numFmtId="0" fontId="5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9" fontId="31" fillId="0" borderId="16" xfId="0" applyNumberFormat="1" applyFont="1" applyFill="1" applyBorder="1" applyAlignment="1">
      <alignment horizontal="center" vertical="center" wrapText="1"/>
    </xf>
    <xf numFmtId="165" fontId="31" fillId="0" borderId="16" xfId="3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9" fontId="67" fillId="0" borderId="15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15" xfId="0" applyFont="1" applyFill="1" applyBorder="1" applyAlignment="1">
      <alignment horizontal="center" vertical="top" wrapText="1"/>
    </xf>
    <xf numFmtId="4" fontId="33" fillId="0" borderId="15" xfId="0" applyNumberFormat="1" applyFont="1" applyFill="1" applyBorder="1" applyAlignment="1">
      <alignment horizontal="center" vertical="center"/>
    </xf>
    <xf numFmtId="4" fontId="71" fillId="0" borderId="15" xfId="0" applyNumberFormat="1" applyFont="1" applyFill="1" applyBorder="1" applyAlignment="1">
      <alignment horizontal="center" vertical="center" wrapText="1"/>
    </xf>
    <xf numFmtId="4" fontId="68" fillId="0" borderId="15" xfId="0" applyNumberFormat="1" applyFont="1" applyFill="1" applyBorder="1" applyAlignment="1">
      <alignment horizontal="center" vertical="center"/>
    </xf>
    <xf numFmtId="4" fontId="68" fillId="28" borderId="15" xfId="0" applyNumberFormat="1" applyFont="1" applyFill="1" applyBorder="1" applyAlignment="1">
      <alignment horizontal="center" vertical="center"/>
    </xf>
    <xf numFmtId="49" fontId="67" fillId="28" borderId="15" xfId="0" applyNumberFormat="1" applyFont="1" applyFill="1" applyBorder="1" applyAlignment="1">
      <alignment horizontal="center" vertical="center" wrapText="1"/>
    </xf>
    <xf numFmtId="4" fontId="71" fillId="28" borderId="15" xfId="0" applyNumberFormat="1" applyFont="1" applyFill="1" applyBorder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0" fontId="0" fillId="28" borderId="0" xfId="0" applyFill="1" applyAlignment="1"/>
    <xf numFmtId="0" fontId="64" fillId="0" borderId="0" xfId="0" applyFont="1"/>
    <xf numFmtId="49" fontId="31" fillId="0" borderId="16" xfId="0" applyNumberFormat="1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left" vertical="center"/>
    </xf>
    <xf numFmtId="0" fontId="56" fillId="0" borderId="0" xfId="0" applyFont="1" applyFill="1" applyAlignment="1">
      <alignment horizontal="left" vertical="center"/>
    </xf>
    <xf numFmtId="0" fontId="166" fillId="0" borderId="15" xfId="0" applyFont="1" applyBorder="1" applyAlignment="1">
      <alignment horizontal="center" vertical="center" wrapText="1"/>
    </xf>
    <xf numFmtId="0" fontId="200" fillId="0" borderId="0" xfId="0" applyFont="1" applyAlignment="1">
      <alignment horizontal="justify" vertical="center"/>
    </xf>
    <xf numFmtId="4" fontId="166" fillId="0" borderId="15" xfId="0" applyNumberFormat="1" applyFont="1" applyBorder="1" applyAlignment="1">
      <alignment horizontal="center" vertical="center" wrapText="1"/>
    </xf>
    <xf numFmtId="4" fontId="206" fillId="28" borderId="15" xfId="35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67" fillId="0" borderId="0" xfId="39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68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7" fillId="0" borderId="0" xfId="39" applyFont="1" applyFill="1" applyAlignment="1">
      <alignment horizontal="center" vertical="center"/>
    </xf>
    <xf numFmtId="0" fontId="41" fillId="0" borderId="0" xfId="0" applyFont="1" applyFill="1" applyAlignment="1"/>
    <xf numFmtId="0" fontId="158" fillId="0" borderId="24" xfId="39" applyFont="1" applyFill="1" applyBorder="1" applyAlignment="1">
      <alignment horizontal="center" vertical="top" wrapText="1"/>
    </xf>
    <xf numFmtId="0" fontId="16" fillId="0" borderId="0" xfId="39" applyFont="1" applyAlignment="1">
      <alignment vertical="center" wrapText="1"/>
    </xf>
    <xf numFmtId="0" fontId="0" fillId="0" borderId="0" xfId="0" applyAlignment="1"/>
    <xf numFmtId="0" fontId="67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159" fillId="0" borderId="0" xfId="0" applyFont="1" applyFill="1" applyAlignment="1">
      <alignment horizontal="center" vertical="center" wrapText="1"/>
    </xf>
    <xf numFmtId="0" fontId="160" fillId="0" borderId="0" xfId="0" applyFont="1" applyFill="1" applyAlignment="1">
      <alignment horizontal="center"/>
    </xf>
    <xf numFmtId="0" fontId="16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62" fillId="0" borderId="0" xfId="0" applyFont="1" applyFill="1" applyAlignment="1">
      <alignment horizontal="center" vertical="top"/>
    </xf>
    <xf numFmtId="0" fontId="163" fillId="0" borderId="0" xfId="0" applyFont="1" applyFill="1" applyAlignment="1">
      <alignment horizontal="center" vertical="top"/>
    </xf>
    <xf numFmtId="0" fontId="164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58" fillId="39" borderId="24" xfId="0" applyFont="1" applyFill="1" applyBorder="1" applyAlignment="1">
      <alignment horizontal="left" vertical="center" wrapText="1"/>
    </xf>
    <xf numFmtId="0" fontId="0" fillId="39" borderId="24" xfId="0" applyFont="1" applyFill="1" applyBorder="1" applyAlignment="1">
      <alignment wrapText="1"/>
    </xf>
    <xf numFmtId="0" fontId="190" fillId="0" borderId="0" xfId="0" applyFont="1" applyFill="1" applyAlignment="1">
      <alignment horizontal="left" vertical="center"/>
    </xf>
    <xf numFmtId="0" fontId="192" fillId="0" borderId="0" xfId="0" applyFont="1" applyFill="1" applyAlignment="1">
      <alignment horizontal="left" vertical="center"/>
    </xf>
    <xf numFmtId="0" fontId="31" fillId="28" borderId="0" xfId="0" applyFont="1" applyFill="1"/>
    <xf numFmtId="4" fontId="31" fillId="0" borderId="16" xfId="0" applyNumberFormat="1" applyFont="1" applyFill="1" applyBorder="1" applyAlignment="1">
      <alignment horizontal="center" vertical="center" wrapText="1"/>
    </xf>
    <xf numFmtId="4" fontId="31" fillId="0" borderId="17" xfId="0" applyNumberFormat="1" applyFont="1" applyFill="1" applyBorder="1" applyAlignment="1">
      <alignment horizontal="center" vertical="center" wrapText="1"/>
    </xf>
    <xf numFmtId="4" fontId="33" fillId="0" borderId="16" xfId="0" applyNumberFormat="1" applyFont="1" applyFill="1" applyBorder="1" applyAlignment="1">
      <alignment horizontal="center" vertical="center"/>
    </xf>
    <xf numFmtId="4" fontId="33" fillId="0" borderId="17" xfId="0" applyNumberFormat="1" applyFont="1" applyFill="1" applyBorder="1" applyAlignment="1">
      <alignment horizontal="center" vertical="center"/>
    </xf>
    <xf numFmtId="4" fontId="30" fillId="0" borderId="16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4" fontId="32" fillId="0" borderId="17" xfId="0" applyNumberFormat="1" applyFont="1" applyFill="1" applyBorder="1" applyAlignment="1">
      <alignment horizontal="center" vertical="center" wrapText="1"/>
    </xf>
    <xf numFmtId="49" fontId="170" fillId="28" borderId="16" xfId="0" applyNumberFormat="1" applyFont="1" applyFill="1" applyBorder="1" applyAlignment="1">
      <alignment horizontal="center" vertical="center" wrapText="1"/>
    </xf>
    <xf numFmtId="0" fontId="0" fillId="28" borderId="17" xfId="0" applyFont="1" applyFill="1" applyBorder="1" applyAlignment="1">
      <alignment horizontal="center" vertical="center" wrapText="1"/>
    </xf>
    <xf numFmtId="4" fontId="91" fillId="28" borderId="16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153" fillId="0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30" fillId="0" borderId="15" xfId="0" applyFont="1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30" fillId="0" borderId="15" xfId="0" applyFont="1" applyFill="1" applyBorder="1" applyAlignment="1">
      <alignment horizontal="center" vertical="top" wrapText="1"/>
    </xf>
    <xf numFmtId="0" fontId="31" fillId="0" borderId="0" xfId="0" applyFont="1" applyFill="1" applyAlignment="1">
      <alignment horizontal="center" vertical="top"/>
    </xf>
    <xf numFmtId="0" fontId="34" fillId="0" borderId="0" xfId="0" applyFont="1" applyFill="1" applyAlignment="1">
      <alignment horizontal="center" vertical="top"/>
    </xf>
    <xf numFmtId="0" fontId="15" fillId="0" borderId="15" xfId="0" applyFont="1" applyFill="1" applyBorder="1" applyAlignment="1">
      <alignment horizontal="center" vertical="top"/>
    </xf>
    <xf numFmtId="4" fontId="33" fillId="0" borderId="15" xfId="0" applyNumberFormat="1" applyFont="1" applyFill="1" applyBorder="1" applyAlignment="1">
      <alignment horizontal="center" vertical="center"/>
    </xf>
    <xf numFmtId="4" fontId="67" fillId="0" borderId="15" xfId="0" applyNumberFormat="1" applyFont="1" applyFill="1" applyBorder="1" applyAlignment="1">
      <alignment horizontal="center" vertical="center" wrapText="1"/>
    </xf>
    <xf numFmtId="4" fontId="64" fillId="0" borderId="15" xfId="0" applyNumberFormat="1" applyFont="1" applyFill="1" applyBorder="1" applyAlignment="1">
      <alignment horizontal="center" vertical="center" wrapText="1"/>
    </xf>
    <xf numFmtId="49" fontId="67" fillId="0" borderId="15" xfId="0" applyNumberFormat="1" applyFont="1" applyFill="1" applyBorder="1" applyAlignment="1">
      <alignment horizontal="center" vertical="center" wrapText="1"/>
    </xf>
    <xf numFmtId="0" fontId="64" fillId="0" borderId="15" xfId="0" applyFont="1" applyFill="1" applyBorder="1" applyAlignment="1">
      <alignment horizontal="center" vertical="center" wrapText="1"/>
    </xf>
    <xf numFmtId="4" fontId="71" fillId="0" borderId="15" xfId="0" applyNumberFormat="1" applyFont="1" applyFill="1" applyBorder="1" applyAlignment="1">
      <alignment horizontal="center" vertical="center" wrapText="1"/>
    </xf>
    <xf numFmtId="49" fontId="31" fillId="28" borderId="16" xfId="0" applyNumberFormat="1" applyFont="1" applyFill="1" applyBorder="1" applyAlignment="1">
      <alignment horizontal="center" vertical="center" wrapText="1"/>
    </xf>
    <xf numFmtId="4" fontId="32" fillId="28" borderId="16" xfId="0" applyNumberFormat="1" applyFont="1" applyFill="1" applyBorder="1" applyAlignment="1">
      <alignment horizontal="center" vertical="center" wrapText="1"/>
    </xf>
    <xf numFmtId="0" fontId="0" fillId="28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74" fillId="0" borderId="15" xfId="0" applyFont="1" applyFill="1" applyBorder="1" applyAlignment="1">
      <alignment horizontal="center" vertical="center" wrapText="1"/>
    </xf>
    <xf numFmtId="0" fontId="31" fillId="0" borderId="0" xfId="0" applyFont="1" applyFill="1"/>
    <xf numFmtId="4" fontId="30" fillId="0" borderId="15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 wrapText="1"/>
    </xf>
    <xf numFmtId="4" fontId="68" fillId="28" borderId="15" xfId="0" applyNumberFormat="1" applyFont="1" applyFill="1" applyBorder="1" applyAlignment="1">
      <alignment horizontal="center" vertical="center"/>
    </xf>
    <xf numFmtId="0" fontId="64" fillId="28" borderId="23" xfId="0" applyFont="1" applyFill="1" applyBorder="1" applyAlignment="1"/>
    <xf numFmtId="4" fontId="63" fillId="28" borderId="15" xfId="0" applyNumberFormat="1" applyFont="1" applyFill="1" applyBorder="1" applyAlignment="1">
      <alignment horizontal="center" vertical="center" wrapText="1"/>
    </xf>
    <xf numFmtId="4" fontId="33" fillId="0" borderId="16" xfId="0" applyNumberFormat="1" applyFont="1" applyFill="1" applyBorder="1" applyAlignment="1">
      <alignment horizontal="center" vertical="center" wrapText="1"/>
    </xf>
    <xf numFmtId="49" fontId="67" fillId="28" borderId="15" xfId="0" applyNumberFormat="1" applyFont="1" applyFill="1" applyBorder="1" applyAlignment="1">
      <alignment horizontal="center" vertical="center" wrapText="1"/>
    </xf>
    <xf numFmtId="4" fontId="71" fillId="28" borderId="15" xfId="0" applyNumberFormat="1" applyFont="1" applyFill="1" applyBorder="1" applyAlignment="1">
      <alignment horizontal="center" vertical="center" wrapText="1"/>
    </xf>
    <xf numFmtId="4" fontId="33" fillId="28" borderId="16" xfId="0" applyNumberFormat="1" applyFont="1" applyFill="1" applyBorder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0" fontId="0" fillId="28" borderId="0" xfId="0" applyFill="1" applyAlignment="1"/>
    <xf numFmtId="0" fontId="0" fillId="28" borderId="0" xfId="0" applyFill="1" applyAlignment="1">
      <alignment horizontal="left" vertical="center" wrapText="1"/>
    </xf>
    <xf numFmtId="0" fontId="31" fillId="0" borderId="0" xfId="39" applyFont="1" applyAlignment="1">
      <alignment vertical="center" wrapText="1"/>
    </xf>
    <xf numFmtId="0" fontId="34" fillId="0" borderId="0" xfId="0" applyFont="1" applyAlignment="1"/>
    <xf numFmtId="4" fontId="68" fillId="0" borderId="15" xfId="0" applyNumberFormat="1" applyFont="1" applyFill="1" applyBorder="1" applyAlignment="1">
      <alignment horizontal="center" vertical="center"/>
    </xf>
    <xf numFmtId="0" fontId="64" fillId="0" borderId="15" xfId="0" applyFont="1" applyFill="1" applyBorder="1" applyAlignment="1">
      <alignment horizontal="center" vertical="center"/>
    </xf>
    <xf numFmtId="4" fontId="63" fillId="0" borderId="15" xfId="0" applyNumberFormat="1" applyFont="1" applyFill="1" applyBorder="1" applyAlignment="1">
      <alignment horizontal="center" vertical="center" wrapText="1"/>
    </xf>
    <xf numFmtId="4" fontId="65" fillId="0" borderId="15" xfId="0" applyNumberFormat="1" applyFont="1" applyFill="1" applyBorder="1" applyAlignment="1">
      <alignment horizontal="center" vertical="center" wrapText="1"/>
    </xf>
    <xf numFmtId="0" fontId="95" fillId="0" borderId="0" xfId="0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79" fillId="0" borderId="0" xfId="35" applyFont="1"/>
    <xf numFmtId="0" fontId="64" fillId="0" borderId="0" xfId="0" applyFont="1"/>
    <xf numFmtId="0" fontId="158" fillId="0" borderId="15" xfId="35" applyFont="1" applyFill="1" applyBorder="1" applyAlignment="1">
      <alignment horizontal="center" vertical="top" wrapText="1"/>
    </xf>
    <xf numFmtId="0" fontId="158" fillId="0" borderId="15" xfId="0" applyFont="1" applyFill="1" applyBorder="1" applyAlignment="1">
      <alignment horizontal="center" vertical="top" wrapText="1"/>
    </xf>
    <xf numFmtId="0" fontId="158" fillId="0" borderId="15" xfId="0" applyFont="1" applyFill="1" applyBorder="1" applyAlignment="1">
      <alignment horizontal="center" vertical="top"/>
    </xf>
    <xf numFmtId="0" fontId="177" fillId="0" borderId="15" xfId="35" applyFont="1" applyFill="1" applyBorder="1" applyAlignment="1">
      <alignment horizontal="center" vertical="top" wrapText="1"/>
    </xf>
    <xf numFmtId="0" fontId="159" fillId="0" borderId="0" xfId="35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01" fillId="0" borderId="0" xfId="0" applyFont="1" applyAlignment="1">
      <alignment horizontal="justify" vertical="center"/>
    </xf>
    <xf numFmtId="0" fontId="15" fillId="0" borderId="15" xfId="0" applyFont="1" applyFill="1" applyBorder="1" applyAlignment="1">
      <alignment horizontal="center" vertical="top" wrapText="1"/>
    </xf>
    <xf numFmtId="0" fontId="70" fillId="0" borderId="0" xfId="0" applyFont="1"/>
    <xf numFmtId="0" fontId="166" fillId="0" borderId="0" xfId="35" applyFont="1" applyFill="1" applyAlignment="1">
      <alignment horizontal="center" vertical="center" wrapText="1"/>
    </xf>
    <xf numFmtId="0" fontId="166" fillId="0" borderId="0" xfId="0" applyFont="1" applyFill="1"/>
    <xf numFmtId="49" fontId="31" fillId="0" borderId="19" xfId="0" applyNumberFormat="1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49" fontId="31" fillId="0" borderId="16" xfId="0" applyNumberFormat="1" applyFont="1" applyFill="1" applyBorder="1" applyAlignment="1">
      <alignment horizontal="center" vertical="center" wrapText="1"/>
    </xf>
    <xf numFmtId="49" fontId="31" fillId="0" borderId="26" xfId="0" applyNumberFormat="1" applyFont="1" applyFill="1" applyBorder="1" applyAlignment="1">
      <alignment horizontal="left" wrapText="1"/>
    </xf>
    <xf numFmtId="0" fontId="0" fillId="0" borderId="27" xfId="0" applyFont="1" applyFill="1" applyBorder="1" applyAlignment="1">
      <alignment horizontal="left" wrapText="1"/>
    </xf>
    <xf numFmtId="49" fontId="31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3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30" fillId="39" borderId="19" xfId="0" applyNumberFormat="1" applyFont="1" applyFill="1" applyBorder="1" applyAlignment="1">
      <alignment horizontal="center" vertical="center" wrapText="1"/>
    </xf>
    <xf numFmtId="0" fontId="15" fillId="39" borderId="21" xfId="0" applyFont="1" applyFill="1" applyBorder="1" applyAlignment="1">
      <alignment horizontal="center" vertical="center" wrapText="1"/>
    </xf>
    <xf numFmtId="0" fontId="15" fillId="39" borderId="22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49" fontId="31" fillId="0" borderId="19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49" fontId="30" fillId="0" borderId="19" xfId="0" applyNumberFormat="1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49" fontId="30" fillId="0" borderId="22" xfId="0" applyNumberFormat="1" applyFont="1" applyFill="1" applyBorder="1" applyAlignment="1">
      <alignment horizontal="left" vertical="center" wrapText="1"/>
    </xf>
    <xf numFmtId="49" fontId="31" fillId="0" borderId="22" xfId="0" applyNumberFormat="1" applyFont="1" applyFill="1" applyBorder="1" applyAlignment="1">
      <alignment horizontal="left" vertical="center" wrapText="1"/>
    </xf>
    <xf numFmtId="0" fontId="67" fillId="27" borderId="0" xfId="0" applyFont="1" applyFill="1" applyAlignment="1">
      <alignment horizontal="center" vertical="center"/>
    </xf>
    <xf numFmtId="0" fontId="67" fillId="27" borderId="0" xfId="0" applyFont="1" applyFill="1" applyAlignment="1">
      <alignment vertical="center"/>
    </xf>
    <xf numFmtId="0" fontId="67" fillId="0" borderId="0" xfId="39" applyFont="1" applyFill="1" applyAlignment="1">
      <alignment vertical="top" wrapText="1"/>
    </xf>
    <xf numFmtId="0" fontId="64" fillId="0" borderId="0" xfId="0" applyFont="1" applyAlignment="1">
      <alignment vertical="top" wrapText="1"/>
    </xf>
    <xf numFmtId="49" fontId="31" fillId="27" borderId="19" xfId="0" applyNumberFormat="1" applyFont="1" applyFill="1" applyBorder="1" applyAlignment="1">
      <alignment horizontal="left" vertical="center" wrapText="1"/>
    </xf>
    <xf numFmtId="0" fontId="0" fillId="27" borderId="22" xfId="0" applyFont="1" applyFill="1" applyBorder="1" applyAlignment="1">
      <alignment horizontal="left" vertical="center" wrapText="1"/>
    </xf>
    <xf numFmtId="49" fontId="30" fillId="35" borderId="19" xfId="0" applyNumberFormat="1" applyFont="1" applyFill="1" applyBorder="1" applyAlignment="1">
      <alignment horizontal="left" vertical="center" wrapText="1"/>
    </xf>
    <xf numFmtId="49" fontId="30" fillId="35" borderId="22" xfId="0" applyNumberFormat="1" applyFont="1" applyFill="1" applyBorder="1" applyAlignment="1">
      <alignment horizontal="left" vertical="center" wrapText="1"/>
    </xf>
    <xf numFmtId="49" fontId="31" fillId="35" borderId="19" xfId="0" applyNumberFormat="1" applyFont="1" applyFill="1" applyBorder="1" applyAlignment="1">
      <alignment horizontal="left" vertical="center" wrapText="1"/>
    </xf>
    <xf numFmtId="0" fontId="0" fillId="35" borderId="22" xfId="0" applyFont="1" applyFill="1" applyBorder="1" applyAlignment="1">
      <alignment horizontal="left" vertical="center" wrapText="1"/>
    </xf>
    <xf numFmtId="0" fontId="67" fillId="0" borderId="0" xfId="0" applyFont="1" applyFill="1"/>
    <xf numFmtId="0" fontId="15" fillId="35" borderId="22" xfId="0" applyFont="1" applyFill="1" applyBorder="1" applyAlignment="1">
      <alignment horizontal="left" vertical="center" wrapText="1"/>
    </xf>
    <xf numFmtId="49" fontId="31" fillId="39" borderId="19" xfId="0" applyNumberFormat="1" applyFont="1" applyFill="1" applyBorder="1" applyAlignment="1">
      <alignment horizontal="left" vertical="center" wrapText="1"/>
    </xf>
    <xf numFmtId="49" fontId="31" fillId="39" borderId="22" xfId="0" applyNumberFormat="1" applyFont="1" applyFill="1" applyBorder="1" applyAlignment="1">
      <alignment horizontal="left" vertical="center" wrapText="1"/>
    </xf>
    <xf numFmtId="0" fontId="200" fillId="0" borderId="0" xfId="0" applyFont="1" applyAlignment="1">
      <alignment horizontal="justify" vertical="center"/>
    </xf>
    <xf numFmtId="0" fontId="179" fillId="0" borderId="0" xfId="0" applyFont="1" applyAlignment="1"/>
    <xf numFmtId="0" fontId="184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8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3" fillId="0" borderId="0" xfId="35" applyFont="1" applyAlignment="1">
      <alignment horizontal="center" vertical="center"/>
    </xf>
    <xf numFmtId="0" fontId="166" fillId="0" borderId="0" xfId="35" applyFont="1" applyAlignment="1">
      <alignment horizontal="center" vertical="center" wrapText="1"/>
    </xf>
    <xf numFmtId="0" fontId="173" fillId="0" borderId="0" xfId="35" applyFont="1" applyAlignment="1">
      <alignment horizontal="center" vertical="center" wrapText="1"/>
    </xf>
    <xf numFmtId="0" fontId="159" fillId="0" borderId="0" xfId="35" applyFont="1" applyAlignment="1">
      <alignment horizontal="center" vertical="center" wrapText="1"/>
    </xf>
    <xf numFmtId="0" fontId="95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4" fontId="67" fillId="28" borderId="16" xfId="0" applyNumberFormat="1" applyFont="1" applyFill="1" applyBorder="1" applyAlignment="1">
      <alignment horizontal="center" vertical="center" wrapText="1"/>
    </xf>
    <xf numFmtId="0" fontId="64" fillId="28" borderId="17" xfId="0" applyFont="1" applyFill="1" applyBorder="1" applyAlignment="1">
      <alignment horizontal="center" vertical="center" wrapText="1"/>
    </xf>
    <xf numFmtId="49" fontId="67" fillId="28" borderId="16" xfId="0" applyNumberFormat="1" applyFont="1" applyFill="1" applyBorder="1" applyAlignment="1">
      <alignment horizontal="center" vertical="center" wrapText="1"/>
    </xf>
    <xf numFmtId="0" fontId="67" fillId="28" borderId="17" xfId="0" applyFont="1" applyFill="1" applyBorder="1" applyAlignment="1">
      <alignment horizontal="center" vertical="center" wrapText="1"/>
    </xf>
    <xf numFmtId="4" fontId="67" fillId="0" borderId="16" xfId="0" applyNumberFormat="1" applyFont="1" applyFill="1" applyBorder="1" applyAlignment="1">
      <alignment horizontal="center" vertical="center" wrapText="1"/>
    </xf>
    <xf numFmtId="4" fontId="67" fillId="0" borderId="17" xfId="0" applyNumberFormat="1" applyFont="1" applyFill="1" applyBorder="1" applyAlignment="1">
      <alignment horizontal="center" vertical="center" wrapText="1"/>
    </xf>
    <xf numFmtId="0" fontId="74" fillId="0" borderId="17" xfId="0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left" vertical="center"/>
    </xf>
    <xf numFmtId="0" fontId="56" fillId="0" borderId="0" xfId="0" applyFont="1" applyFill="1" applyAlignment="1">
      <alignment horizontal="left" vertical="center"/>
    </xf>
    <xf numFmtId="4" fontId="67" fillId="0" borderId="16" xfId="38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Font="1" applyFill="1" applyBorder="1" applyAlignment="1">
      <alignment horizontal="center" vertical="center" wrapText="1"/>
    </xf>
    <xf numFmtId="4" fontId="67" fillId="0" borderId="16" xfId="38" applyNumberFormat="1" applyFont="1" applyFill="1" applyBorder="1" applyAlignment="1">
      <alignment horizontal="center" vertical="center" wrapText="1"/>
    </xf>
    <xf numFmtId="49" fontId="67" fillId="0" borderId="16" xfId="0" applyNumberFormat="1" applyFont="1" applyFill="1" applyBorder="1" applyAlignment="1">
      <alignment horizontal="center" vertical="center" wrapText="1"/>
    </xf>
    <xf numFmtId="165" fontId="31" fillId="0" borderId="16" xfId="3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4" fontId="84" fillId="29" borderId="23" xfId="0" applyNumberFormat="1" applyFont="1" applyFill="1" applyBorder="1" applyAlignment="1">
      <alignment horizontal="center" vertical="center" wrapText="1"/>
    </xf>
    <xf numFmtId="0" fontId="78" fillId="28" borderId="23" xfId="0" applyFont="1" applyFill="1" applyBorder="1" applyAlignment="1"/>
    <xf numFmtId="0" fontId="31" fillId="0" borderId="15" xfId="0" applyFont="1" applyFill="1" applyBorder="1" applyAlignment="1">
      <alignment horizontal="center" vertical="top" wrapText="1"/>
    </xf>
    <xf numFmtId="0" fontId="31" fillId="0" borderId="15" xfId="0" applyFont="1" applyFill="1" applyBorder="1" applyAlignment="1">
      <alignment horizontal="center" vertical="top"/>
    </xf>
    <xf numFmtId="4" fontId="105" fillId="29" borderId="23" xfId="0" applyNumberFormat="1" applyFont="1" applyFill="1" applyBorder="1" applyAlignment="1">
      <alignment horizontal="center" vertical="center" wrapText="1"/>
    </xf>
    <xf numFmtId="0" fontId="156" fillId="28" borderId="23" xfId="0" applyFont="1" applyFill="1" applyBorder="1" applyAlignment="1"/>
    <xf numFmtId="49" fontId="31" fillId="0" borderId="17" xfId="0" applyNumberFormat="1" applyFont="1" applyFill="1" applyBorder="1" applyAlignment="1">
      <alignment horizontal="center" vertical="center" wrapText="1"/>
    </xf>
    <xf numFmtId="4" fontId="104" fillId="29" borderId="23" xfId="0" applyNumberFormat="1" applyFont="1" applyFill="1" applyBorder="1" applyAlignment="1">
      <alignment horizontal="center" vertical="center" wrapText="1"/>
    </xf>
    <xf numFmtId="0" fontId="100" fillId="0" borderId="23" xfId="0" applyFont="1" applyBorder="1" applyAlignment="1"/>
    <xf numFmtId="2" fontId="82" fillId="28" borderId="23" xfId="36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2" fontId="42" fillId="0" borderId="15" xfId="36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40" fillId="0" borderId="0" xfId="36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2" fillId="0" borderId="0" xfId="36" applyFont="1">
      <alignment vertical="top"/>
    </xf>
    <xf numFmtId="0" fontId="113" fillId="0" borderId="0" xfId="36" applyFont="1" applyAlignment="1">
      <alignment horizontal="center" vertical="center" wrapText="1"/>
    </xf>
    <xf numFmtId="0" fontId="139" fillId="0" borderId="0" xfId="36" applyFont="1" applyAlignment="1">
      <alignment horizontal="left" vertical="top" wrapText="1"/>
    </xf>
    <xf numFmtId="2" fontId="40" fillId="0" borderId="15" xfId="36" applyNumberFormat="1" applyFont="1" applyFill="1" applyBorder="1" applyAlignment="1">
      <alignment horizontal="center" vertical="center" wrapText="1"/>
    </xf>
    <xf numFmtId="43" fontId="40" fillId="40" borderId="15" xfId="36" applyNumberFormat="1" applyFont="1" applyFill="1" applyBorder="1" applyAlignment="1">
      <alignment horizontal="left" vertical="center" wrapText="1"/>
    </xf>
    <xf numFmtId="43" fontId="10" fillId="40" borderId="15" xfId="0" applyNumberFormat="1" applyFont="1" applyFill="1" applyBorder="1" applyAlignment="1">
      <alignment horizontal="left"/>
    </xf>
    <xf numFmtId="2" fontId="42" fillId="0" borderId="0" xfId="36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2" fontId="148" fillId="0" borderId="15" xfId="36" applyNumberFormat="1" applyFont="1" applyFill="1" applyBorder="1" applyAlignment="1">
      <alignment horizontal="center" vertical="center" wrapText="1"/>
    </xf>
    <xf numFmtId="0" fontId="64" fillId="0" borderId="15" xfId="0" applyFont="1" applyFill="1" applyBorder="1" applyAlignment="1">
      <alignment horizontal="center"/>
    </xf>
    <xf numFmtId="0" fontId="41" fillId="0" borderId="0" xfId="0" applyFont="1" applyAlignment="1">
      <alignment horizontal="center" vertical="center"/>
    </xf>
    <xf numFmtId="2" fontId="40" fillId="39" borderId="15" xfId="36" applyNumberFormat="1" applyFont="1" applyFill="1" applyBorder="1" applyAlignment="1">
      <alignment horizontal="center" vertical="center"/>
    </xf>
    <xf numFmtId="0" fontId="10" fillId="39" borderId="15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0" fillId="0" borderId="0" xfId="36" applyFont="1" applyAlignment="1">
      <alignment horizontal="center"/>
    </xf>
    <xf numFmtId="0" fontId="4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0" fillId="0" borderId="0" xfId="36" applyFont="1" applyAlignment="1">
      <alignment horizontal="center" vertical="top"/>
    </xf>
    <xf numFmtId="0" fontId="10" fillId="0" borderId="0" xfId="0" applyFont="1" applyAlignment="1">
      <alignment vertical="top"/>
    </xf>
    <xf numFmtId="0" fontId="12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5" fillId="0" borderId="0" xfId="0" applyFont="1" applyFill="1" applyAlignment="1">
      <alignment horizontal="center"/>
    </xf>
    <xf numFmtId="0" fontId="96" fillId="0" borderId="0" xfId="0" applyFont="1" applyAlignment="1">
      <alignment horizontal="justify" vertical="center"/>
    </xf>
    <xf numFmtId="0" fontId="201" fillId="0" borderId="0" xfId="0" applyFont="1" applyAlignment="1">
      <alignment horizontal="left" vertical="center"/>
    </xf>
    <xf numFmtId="4" fontId="70" fillId="0" borderId="16" xfId="30" applyNumberFormat="1" applyFont="1" applyFill="1" applyBorder="1" applyAlignment="1">
      <alignment horizontal="center" vertical="center"/>
    </xf>
    <xf numFmtId="4" fontId="166" fillId="0" borderId="20" xfId="30" applyNumberFormat="1" applyFont="1" applyFill="1" applyBorder="1" applyAlignment="1">
      <alignment horizontal="center" vertical="center"/>
    </xf>
  </cellXfs>
  <cellStyles count="191">
    <cellStyle name="20% - Акцент1" xfId="46"/>
    <cellStyle name="20% - Акцент2" xfId="47"/>
    <cellStyle name="20% - Акцент3" xfId="48"/>
    <cellStyle name="20% - Акцент4" xfId="49"/>
    <cellStyle name="20% - Акцент5" xfId="50"/>
    <cellStyle name="20% - Акцент6" xfId="51"/>
    <cellStyle name="40% - Акцент1" xfId="52"/>
    <cellStyle name="40% - Акцент2" xfId="53"/>
    <cellStyle name="40% - Акцент3" xfId="54"/>
    <cellStyle name="40% - Акцент4" xfId="55"/>
    <cellStyle name="40% - Акцент5" xfId="56"/>
    <cellStyle name="40% - Акцент6" xfId="57"/>
    <cellStyle name="60% - Акцент1" xfId="58"/>
    <cellStyle name="60% - Акцент2" xfId="59"/>
    <cellStyle name="60% - Акцент3" xfId="60"/>
    <cellStyle name="60% - Акцент4" xfId="61"/>
    <cellStyle name="60% - Акцент5" xfId="62"/>
    <cellStyle name="60% - Акцент6" xfId="63"/>
    <cellStyle name="Excel Built-in Normal" xfId="102"/>
    <cellStyle name="Excel Built-in Normal 2" xfId="118"/>
    <cellStyle name="Excel Built-in Обычный_УКБ до бюджету 2016р ост" xfId="84"/>
    <cellStyle name="Normal_meresha_07" xfId="1"/>
    <cellStyle name="TableStyleLight1" xfId="131"/>
    <cellStyle name="TableStyleLight1 2" xfId="173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ід" xfId="2"/>
    <cellStyle name="Ввід 2" xfId="180"/>
    <cellStyle name="Ввід 3" xfId="103"/>
    <cellStyle name="Ввод " xfId="70"/>
    <cellStyle name="Вывод" xfId="71"/>
    <cellStyle name="Вычисление" xfId="72"/>
    <cellStyle name="Гіперпосилання 2" xfId="73"/>
    <cellStyle name="Добре" xfId="3"/>
    <cellStyle name="Заголовок 1" xfId="4" builtinId="16" customBuiltin="1"/>
    <cellStyle name="Заголовок 1 2" xfId="104"/>
    <cellStyle name="Заголовок 2" xfId="5" builtinId="17" customBuiltin="1"/>
    <cellStyle name="Заголовок 2 2" xfId="105"/>
    <cellStyle name="Заголовок 3" xfId="6" builtinId="18" customBuiltin="1"/>
    <cellStyle name="Заголовок 3 2" xfId="106"/>
    <cellStyle name="Заголовок 4" xfId="7" builtinId="19" customBuiltin="1"/>
    <cellStyle name="Заголовок 4 2" xfId="107"/>
    <cellStyle name="Звичайний" xfId="0" builtinId="0"/>
    <cellStyle name="Звичайний 10" xfId="8"/>
    <cellStyle name="Звичайний 11" xfId="9"/>
    <cellStyle name="Звичайний 12" xfId="10"/>
    <cellStyle name="Звичайний 13" xfId="11"/>
    <cellStyle name="Звичайний 14" xfId="12"/>
    <cellStyle name="Звичайний 15" xfId="13"/>
    <cellStyle name="Звичайний 16" xfId="14"/>
    <cellStyle name="Звичайний 17" xfId="15"/>
    <cellStyle name="Звичайний 18" xfId="16"/>
    <cellStyle name="Звичайний 19" xfId="17"/>
    <cellStyle name="Звичайний 2" xfId="18"/>
    <cellStyle name="Звичайний 2 2" xfId="19"/>
    <cellStyle name="Звичайний 2 2 2" xfId="88"/>
    <cellStyle name="Звичайний 2 3" xfId="94"/>
    <cellStyle name="Звичайний 20" xfId="20"/>
    <cellStyle name="Звичайний 21" xfId="86"/>
    <cellStyle name="Звичайний 21 2" xfId="93"/>
    <cellStyle name="Звичайний 21 2 2" xfId="96"/>
    <cellStyle name="Звичайний 21 2 2 2" xfId="181"/>
    <cellStyle name="Звичайний 21 2 3" xfId="98"/>
    <cellStyle name="Звичайний 21 2 3 2" xfId="100"/>
    <cellStyle name="Звичайний 21 2 3 2 2" xfId="182"/>
    <cellStyle name="Звичайний 21 2 3 2 3" xfId="178"/>
    <cellStyle name="Звичайний 21 2 3 2 3 2 2 2" xfId="190"/>
    <cellStyle name="Звичайний 21 2 4" xfId="160"/>
    <cellStyle name="Звичайний 21 3" xfId="113"/>
    <cellStyle name="Звичайний 22" xfId="114"/>
    <cellStyle name="Звичайний 22 2" xfId="140"/>
    <cellStyle name="Звичайний 23" xfId="115"/>
    <cellStyle name="Звичайний 23 2" xfId="141"/>
    <cellStyle name="Звичайний 24" xfId="116"/>
    <cellStyle name="Звичайний 24 2" xfId="142"/>
    <cellStyle name="Звичайний 25" xfId="117"/>
    <cellStyle name="Звичайний 26" xfId="127"/>
    <cellStyle name="Звичайний 27" xfId="132"/>
    <cellStyle name="Звичайний 27 2" xfId="145"/>
    <cellStyle name="Звичайний 27 2 3" xfId="151"/>
    <cellStyle name="Звичайний 27 2 3 2" xfId="152"/>
    <cellStyle name="Звичайний 27 2 3 2 2" xfId="162"/>
    <cellStyle name="Звичайний 27 2 3 2 2 2" xfId="177"/>
    <cellStyle name="Звичайний 27 3" xfId="129"/>
    <cellStyle name="Звичайний 27 3 2" xfId="87"/>
    <cellStyle name="Звичайний 27 3 2 2" xfId="144"/>
    <cellStyle name="Звичайний 27 3 2 3" xfId="156"/>
    <cellStyle name="Звичайний 27 3 2 4" xfId="165"/>
    <cellStyle name="Звичайний 27 3 2 4 2" xfId="170"/>
    <cellStyle name="Звичайний 27 3 2 5" xfId="130"/>
    <cellStyle name="Звичайний 27 3 3" xfId="143"/>
    <cellStyle name="Звичайний 27 3 3 2" xfId="135"/>
    <cellStyle name="Звичайний 27 3 3 2 2" xfId="147"/>
    <cellStyle name="Звичайний 27 3 3 2 3" xfId="155"/>
    <cellStyle name="Звичайний 27 4 2" xfId="164"/>
    <cellStyle name="Звичайний 27 4 2 2" xfId="169"/>
    <cellStyle name="Звичайний 27 4 2 2 2" xfId="175"/>
    <cellStyle name="Звичайний 27 5" xfId="163"/>
    <cellStyle name="Звичайний 27 5 2" xfId="168"/>
    <cellStyle name="Звичайний 27 5 2 2" xfId="174"/>
    <cellStyle name="Звичайний 28" xfId="136"/>
    <cellStyle name="Звичайний 28 2" xfId="148"/>
    <cellStyle name="Звичайний 28 3" xfId="154"/>
    <cellStyle name="Звичайний 29" xfId="139"/>
    <cellStyle name="Звичайний 29 2" xfId="153"/>
    <cellStyle name="Звичайний 29 2 2" xfId="166"/>
    <cellStyle name="Звичайний 29 2 2 2" xfId="176"/>
    <cellStyle name="Звичайний 3" xfId="21"/>
    <cellStyle name="Звичайний 3 2" xfId="22"/>
    <cellStyle name="Звичайний 3 2 2" xfId="89"/>
    <cellStyle name="Звичайний 30" xfId="158"/>
    <cellStyle name="Звичайний 30 2" xfId="95"/>
    <cellStyle name="Звичайний 30 2 2" xfId="97"/>
    <cellStyle name="Звичайний 30 2 3" xfId="99"/>
    <cellStyle name="Звичайний 30 2 3 2" xfId="101"/>
    <cellStyle name="Звичайний 31" xfId="161"/>
    <cellStyle name="Звичайний 31 2" xfId="171"/>
    <cellStyle name="Звичайний 31 2 2" xfId="172"/>
    <cellStyle name="Звичайний 32" xfId="134"/>
    <cellStyle name="Звичайний 32 2" xfId="137"/>
    <cellStyle name="Звичайний 32 2 2" xfId="138"/>
    <cellStyle name="Звичайний 32 2 2 2" xfId="150"/>
    <cellStyle name="Звичайний 32 2 2 3" xfId="157"/>
    <cellStyle name="Звичайний 32 2 2 4" xfId="159"/>
    <cellStyle name="Звичайний 32 2 3" xfId="149"/>
    <cellStyle name="Звичайний 32 3" xfId="146"/>
    <cellStyle name="Звичайний 33" xfId="179"/>
    <cellStyle name="Звичайний 4" xfId="23"/>
    <cellStyle name="Звичайний 4 2" xfId="24"/>
    <cellStyle name="Звичайний 4 2 2" xfId="90"/>
    <cellStyle name="Звичайний 4 3" xfId="167"/>
    <cellStyle name="Звичайний 5" xfId="25"/>
    <cellStyle name="Звичайний 6" xfId="26"/>
    <cellStyle name="Звичайний 7" xfId="27"/>
    <cellStyle name="Звичайний 8" xfId="28"/>
    <cellStyle name="Звичайний 9" xfId="29"/>
    <cellStyle name="Звичайний_Додаток _ 3 зм_ни 4575" xfId="30"/>
    <cellStyle name="Зв'язана клітинка" xfId="41"/>
    <cellStyle name="Зв'язана клітинка 2" xfId="183"/>
    <cellStyle name="Зв'язана клітинка 3" xfId="108"/>
    <cellStyle name="Итог" xfId="74"/>
    <cellStyle name="Контрольна клітинка" xfId="31"/>
    <cellStyle name="Контрольна клітинка 2" xfId="184"/>
    <cellStyle name="Контрольная ячейка" xfId="75"/>
    <cellStyle name="Назва" xfId="32"/>
    <cellStyle name="Назва 2" xfId="185"/>
    <cellStyle name="Назва 3" xfId="109"/>
    <cellStyle name="Название" xfId="76"/>
    <cellStyle name="Нейтральный" xfId="77"/>
    <cellStyle name="Обычный 2" xfId="33"/>
    <cellStyle name="Обычный 2 2" xfId="34"/>
    <cellStyle name="Обычный 2 2 2" xfId="91"/>
    <cellStyle name="Обычный 2 2 2 2" xfId="120"/>
    <cellStyle name="Обычный 2 2 3" xfId="128"/>
    <cellStyle name="Обычный 2 3" xfId="110"/>
    <cellStyle name="Обычный 2 3 2" xfId="187"/>
    <cellStyle name="Обычный 2 4" xfId="119"/>
    <cellStyle name="Обычный 2 5" xfId="186"/>
    <cellStyle name="Обычный 3" xfId="35"/>
    <cellStyle name="Обычный 3 2" xfId="121"/>
    <cellStyle name="Обычный 3 3" xfId="188"/>
    <cellStyle name="Обычный 3 4" xfId="111"/>
    <cellStyle name="Обычный 4" xfId="112"/>
    <cellStyle name="Обычный 4 2" xfId="122"/>
    <cellStyle name="Обычный 4 3" xfId="85"/>
    <cellStyle name="Обычный 5" xfId="123"/>
    <cellStyle name="Обычный 6" xfId="124"/>
    <cellStyle name="Обычный 7" xfId="125"/>
    <cellStyle name="Обычный 8" xfId="126"/>
    <cellStyle name="Обычный_Plan_kapbud_2006 уточн." xfId="36"/>
    <cellStyle name="Обычный_дод.1" xfId="37"/>
    <cellStyle name="Обычный_Додаток 2 до бюджету 2000 року" xfId="38"/>
    <cellStyle name="Обычный_Додаток №1" xfId="39"/>
    <cellStyle name="Обычный_КАПІТАЛЬНІ  ВКЛАДЕННЯ 2015 2 2" xfId="45"/>
    <cellStyle name="Обычный_УЖКГ бюджет 2016 Після Ямчука 2" xfId="40"/>
    <cellStyle name="Обычный_УКБ до бюджету 2016р ост 2" xfId="92"/>
    <cellStyle name="Плохой" xfId="78"/>
    <cellStyle name="Пояснение" xfId="79"/>
    <cellStyle name="Примечание" xfId="80"/>
    <cellStyle name="Связанная ячейка" xfId="81"/>
    <cellStyle name="Середній" xfId="42"/>
    <cellStyle name="Стиль 1" xfId="43"/>
    <cellStyle name="Текст попередження" xfId="44"/>
    <cellStyle name="Текст попередження 2" xfId="189"/>
    <cellStyle name="Текст предупреждения" xfId="82"/>
    <cellStyle name="Фінансовий 2" xfId="133"/>
    <cellStyle name="Хороший" xfId="83"/>
  </cellStyles>
  <dxfs count="0"/>
  <tableStyles count="0" defaultTableStyle="TableStyleMedium2" defaultPivotStyle="PivotStyleLight16"/>
  <colors>
    <mruColors>
      <color rgb="FF00FFCC"/>
      <color rgb="FFCCCCFF"/>
      <color rgb="FFCCFF99"/>
      <color rgb="FFFFAFAF"/>
      <color rgb="FFFFABAB"/>
      <color rgb="FFFFCCCC"/>
      <color rgb="FF66FFCC"/>
      <color rgb="FFFFFF99"/>
      <color rgb="FFFFCC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JET/2023/&#1056;&#1110;&#1096;&#1077;&#1085;&#1085;&#1103;%20&#1079;&#1084;&#1110;&#1085;&#1080;%20&#1074;%20&#1073;&#1102;&#1076;&#1078;&#1077;&#1090;%20&#1074;&#1110;&#1076;%2002.06.2023%20&#8470;%2010/&#1056;&#1110;&#1096;&#1077;&#1085;&#1085;&#1103;%20&#1089;&#1077;&#1089;&#1110;&#1111;%20&#1074;&#1110;&#1076;%2002.06.2023%20&#8470;%2010/&#1044;&#1086;&#1076;&#1072;&#1090;&#1082;&#1080;%20&#1079;%20&#1055;&#1056;&#1054;&#1055;&#1054;&#1047;&#1048;&#1062;&#1030;&#1071;&#1052;&#1048;%20-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5"/>
      <sheetName val="d6"/>
      <sheetName val="d7"/>
      <sheetName val="d8"/>
      <sheetName val="d9"/>
      <sheetName val="d3П"/>
      <sheetName val="d3Р"/>
      <sheetName val="d1П"/>
      <sheetName val="d1Р"/>
    </sheetNames>
    <sheetDataSet>
      <sheetData sheetId="0"/>
      <sheetData sheetId="1">
        <row r="32">
          <cell r="C32">
            <v>14450000</v>
          </cell>
        </row>
        <row r="37">
          <cell r="E37">
            <v>-2700000</v>
          </cell>
          <cell r="F37">
            <v>-2700000</v>
          </cell>
        </row>
      </sheetData>
      <sheetData sheetId="2"/>
      <sheetData sheetId="3">
        <row r="17">
          <cell r="N17">
            <v>390000</v>
          </cell>
        </row>
        <row r="28">
          <cell r="Q28">
            <v>1403222.5</v>
          </cell>
        </row>
      </sheetData>
      <sheetData sheetId="4"/>
      <sheetData sheetId="5"/>
      <sheetData sheetId="6"/>
      <sheetData sheetId="7"/>
      <sheetData sheetId="8">
        <row r="29">
          <cell r="F29">
            <v>3956434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1"/>
  <sheetViews>
    <sheetView view="pageBreakPreview" topLeftCell="A111" zoomScale="55" zoomScaleNormal="100" zoomScaleSheetLayoutView="55" workbookViewId="0">
      <selection activeCell="B146" sqref="B146:E146"/>
    </sheetView>
  </sheetViews>
  <sheetFormatPr defaultColWidth="6.85546875" defaultRowHeight="12.75" x14ac:dyDescent="0.2"/>
  <cols>
    <col min="1" max="1" width="10.140625" style="135" customWidth="1"/>
    <col min="2" max="2" width="40.42578125" style="135" customWidth="1"/>
    <col min="3" max="4" width="17.28515625" style="135" customWidth="1"/>
    <col min="5" max="5" width="15.7109375" style="135" customWidth="1"/>
    <col min="6" max="6" width="14.5703125" style="135" customWidth="1"/>
    <col min="7" max="10" width="10.85546875" style="136" bestFit="1" customWidth="1"/>
    <col min="11" max="252" width="7.85546875" style="135" customWidth="1"/>
    <col min="253" max="16384" width="6.85546875" style="135"/>
  </cols>
  <sheetData>
    <row r="1" spans="1:7" ht="15.75" x14ac:dyDescent="0.2">
      <c r="A1" s="428"/>
      <c r="B1" s="428"/>
      <c r="C1" s="428"/>
      <c r="D1" s="857" t="s">
        <v>56</v>
      </c>
      <c r="E1" s="858"/>
      <c r="F1" s="858"/>
      <c r="G1" s="858"/>
    </row>
    <row r="2" spans="1:7" ht="15.75" x14ac:dyDescent="0.2">
      <c r="A2" s="428"/>
      <c r="B2" s="428"/>
      <c r="C2" s="429"/>
      <c r="D2" s="857" t="s">
        <v>1391</v>
      </c>
      <c r="E2" s="859"/>
      <c r="F2" s="859"/>
      <c r="G2" s="859"/>
    </row>
    <row r="3" spans="1:7" ht="6" hidden="1" customHeight="1" x14ac:dyDescent="0.2">
      <c r="A3" s="430"/>
      <c r="B3" s="430"/>
      <c r="C3" s="431"/>
      <c r="D3" s="860"/>
      <c r="E3" s="861"/>
      <c r="F3" s="861"/>
      <c r="G3" s="861"/>
    </row>
    <row r="4" spans="1:7" ht="12.75" customHeight="1" x14ac:dyDescent="0.2">
      <c r="A4" s="862"/>
      <c r="B4" s="862"/>
      <c r="C4" s="862"/>
      <c r="D4" s="862"/>
      <c r="E4" s="862"/>
      <c r="F4" s="430"/>
      <c r="G4" s="430"/>
    </row>
    <row r="5" spans="1:7" ht="20.25" x14ac:dyDescent="0.2">
      <c r="A5" s="862" t="s">
        <v>1152</v>
      </c>
      <c r="B5" s="863"/>
      <c r="C5" s="863"/>
      <c r="D5" s="863"/>
      <c r="E5" s="863"/>
      <c r="F5" s="863"/>
      <c r="G5" s="430"/>
    </row>
    <row r="6" spans="1:7" ht="20.25" x14ac:dyDescent="0.2">
      <c r="A6" s="862" t="s">
        <v>1315</v>
      </c>
      <c r="B6" s="863"/>
      <c r="C6" s="863"/>
      <c r="D6" s="863"/>
      <c r="E6" s="863"/>
      <c r="F6" s="863"/>
      <c r="G6" s="430"/>
    </row>
    <row r="7" spans="1:7" ht="20.25" x14ac:dyDescent="0.2">
      <c r="A7" s="432"/>
      <c r="B7" s="433"/>
      <c r="C7" s="433"/>
      <c r="D7" s="433"/>
      <c r="E7" s="433"/>
      <c r="F7" s="433"/>
      <c r="G7" s="430"/>
    </row>
    <row r="8" spans="1:7" ht="20.25" x14ac:dyDescent="0.2">
      <c r="A8" s="864">
        <v>2256400000</v>
      </c>
      <c r="B8" s="865"/>
      <c r="C8" s="865"/>
      <c r="D8" s="865"/>
      <c r="E8" s="865"/>
      <c r="F8" s="865"/>
      <c r="G8" s="430"/>
    </row>
    <row r="9" spans="1:7" ht="15.75" x14ac:dyDescent="0.2">
      <c r="A9" s="866" t="s">
        <v>495</v>
      </c>
      <c r="B9" s="867"/>
      <c r="C9" s="867"/>
      <c r="D9" s="867"/>
      <c r="E9" s="867"/>
      <c r="F9" s="867"/>
      <c r="G9" s="430"/>
    </row>
    <row r="10" spans="1:7" ht="20.25" x14ac:dyDescent="0.2">
      <c r="A10" s="432"/>
      <c r="B10" s="434"/>
      <c r="C10" s="434"/>
      <c r="D10" s="434"/>
      <c r="E10" s="434"/>
      <c r="F10" s="434"/>
      <c r="G10" s="430"/>
    </row>
    <row r="11" spans="1:7" ht="13.5" thickBot="1" x14ac:dyDescent="0.25">
      <c r="A11" s="430"/>
      <c r="B11" s="435"/>
      <c r="C11" s="435"/>
      <c r="D11" s="435"/>
      <c r="E11" s="435"/>
      <c r="F11" s="436" t="s">
        <v>409</v>
      </c>
      <c r="G11" s="430"/>
    </row>
    <row r="12" spans="1:7" ht="14.25" thickTop="1" thickBot="1" x14ac:dyDescent="0.25">
      <c r="A12" s="868" t="s">
        <v>57</v>
      </c>
      <c r="B12" s="868" t="s">
        <v>1316</v>
      </c>
      <c r="C12" s="868" t="s">
        <v>388</v>
      </c>
      <c r="D12" s="868" t="s">
        <v>12</v>
      </c>
      <c r="E12" s="868" t="s">
        <v>52</v>
      </c>
      <c r="F12" s="868"/>
      <c r="G12" s="437"/>
    </row>
    <row r="13" spans="1:7" ht="39.75" thickTop="1" thickBot="1" x14ac:dyDescent="0.3">
      <c r="A13" s="868"/>
      <c r="B13" s="868"/>
      <c r="C13" s="868"/>
      <c r="D13" s="868"/>
      <c r="E13" s="438" t="s">
        <v>389</v>
      </c>
      <c r="F13" s="438" t="s">
        <v>431</v>
      </c>
      <c r="G13" s="439"/>
    </row>
    <row r="14" spans="1:7" ht="16.5" thickTop="1" thickBot="1" x14ac:dyDescent="0.3">
      <c r="A14" s="438">
        <v>1</v>
      </c>
      <c r="B14" s="438">
        <v>2</v>
      </c>
      <c r="C14" s="438">
        <v>3</v>
      </c>
      <c r="D14" s="438">
        <v>4</v>
      </c>
      <c r="E14" s="438">
        <v>5</v>
      </c>
      <c r="F14" s="438">
        <v>6</v>
      </c>
      <c r="G14" s="439"/>
    </row>
    <row r="15" spans="1:7" ht="25.5" customHeight="1" thickTop="1" thickBot="1" x14ac:dyDescent="0.25">
      <c r="A15" s="653">
        <v>10000000</v>
      </c>
      <c r="B15" s="653" t="s">
        <v>58</v>
      </c>
      <c r="C15" s="654">
        <f t="shared" ref="C15:C20" si="0">SUM(D15,E15)</f>
        <v>3662016665</v>
      </c>
      <c r="D15" s="654">
        <f>SUM(D16,D29,D37,D58,D24)</f>
        <v>3660666665</v>
      </c>
      <c r="E15" s="654">
        <f>SUM(E16,E29,E37,E58,E24)</f>
        <v>1350000</v>
      </c>
      <c r="F15" s="654">
        <f>SUM(F16,F29,F37,F58,F24)</f>
        <v>0</v>
      </c>
      <c r="G15" s="138"/>
    </row>
    <row r="16" spans="1:7" ht="31.7" customHeight="1" thickTop="1" thickBot="1" x14ac:dyDescent="0.25">
      <c r="A16" s="615">
        <v>11000000</v>
      </c>
      <c r="B16" s="615" t="s">
        <v>59</v>
      </c>
      <c r="C16" s="609">
        <f>SUM(D16,E16)</f>
        <v>2663466665</v>
      </c>
      <c r="D16" s="609">
        <f>SUM(D17,D22)</f>
        <v>2663466665</v>
      </c>
      <c r="E16" s="609"/>
      <c r="F16" s="609"/>
      <c r="G16" s="139"/>
    </row>
    <row r="17" spans="1:7" ht="24.75" customHeight="1" thickTop="1" thickBot="1" x14ac:dyDescent="0.25">
      <c r="A17" s="611">
        <v>11010000</v>
      </c>
      <c r="B17" s="612" t="s">
        <v>60</v>
      </c>
      <c r="C17" s="613">
        <f t="shared" si="0"/>
        <v>2662466665</v>
      </c>
      <c r="D17" s="613">
        <f>SUM(D18:D21)</f>
        <v>2662466665</v>
      </c>
      <c r="E17" s="613"/>
      <c r="F17" s="613"/>
      <c r="G17" s="139"/>
    </row>
    <row r="18" spans="1:7" ht="39.75" thickTop="1" thickBot="1" x14ac:dyDescent="0.25">
      <c r="A18" s="607">
        <v>11010100</v>
      </c>
      <c r="B18" s="608" t="s">
        <v>61</v>
      </c>
      <c r="C18" s="609">
        <f t="shared" si="0"/>
        <v>1379607465</v>
      </c>
      <c r="D18" s="610">
        <f>1373299900+6307565</f>
        <v>1379607465</v>
      </c>
      <c r="E18" s="610"/>
      <c r="F18" s="610"/>
      <c r="G18" s="139"/>
    </row>
    <row r="19" spans="1:7" ht="65.25" thickTop="1" thickBot="1" x14ac:dyDescent="0.25">
      <c r="A19" s="607">
        <v>11010200</v>
      </c>
      <c r="B19" s="608" t="s">
        <v>62</v>
      </c>
      <c r="C19" s="609">
        <f t="shared" si="0"/>
        <v>1222159100</v>
      </c>
      <c r="D19" s="610">
        <v>1222159100</v>
      </c>
      <c r="E19" s="610"/>
      <c r="F19" s="610"/>
      <c r="G19" s="139"/>
    </row>
    <row r="20" spans="1:7" ht="39.75" thickTop="1" thickBot="1" x14ac:dyDescent="0.25">
      <c r="A20" s="607">
        <v>11010400</v>
      </c>
      <c r="B20" s="608" t="s">
        <v>63</v>
      </c>
      <c r="C20" s="609">
        <f t="shared" si="0"/>
        <v>40200100</v>
      </c>
      <c r="D20" s="610">
        <v>40200100</v>
      </c>
      <c r="E20" s="610"/>
      <c r="F20" s="610"/>
      <c r="G20" s="139"/>
    </row>
    <row r="21" spans="1:7" ht="39.75" thickTop="1" thickBot="1" x14ac:dyDescent="0.3">
      <c r="A21" s="607">
        <v>11010500</v>
      </c>
      <c r="B21" s="608" t="s">
        <v>64</v>
      </c>
      <c r="C21" s="609">
        <f t="shared" ref="C21:C100" si="1">SUM(D21,E21)</f>
        <v>20500000</v>
      </c>
      <c r="D21" s="610">
        <v>20500000</v>
      </c>
      <c r="E21" s="610"/>
      <c r="F21" s="610"/>
      <c r="G21" s="137"/>
    </row>
    <row r="22" spans="1:7" ht="28.5" customHeight="1" thickTop="1" thickBot="1" x14ac:dyDescent="0.25">
      <c r="A22" s="611">
        <v>11020000</v>
      </c>
      <c r="B22" s="612" t="s">
        <v>65</v>
      </c>
      <c r="C22" s="613">
        <f>SUM(D22,E22)</f>
        <v>1000000</v>
      </c>
      <c r="D22" s="613">
        <f>D23</f>
        <v>1000000</v>
      </c>
      <c r="E22" s="613"/>
      <c r="F22" s="613"/>
      <c r="G22" s="138"/>
    </row>
    <row r="23" spans="1:7" ht="27" thickTop="1" thickBot="1" x14ac:dyDescent="0.3">
      <c r="A23" s="607">
        <v>11020200</v>
      </c>
      <c r="B23" s="614" t="s">
        <v>66</v>
      </c>
      <c r="C23" s="609">
        <f>SUM(D23,E23)</f>
        <v>1000000</v>
      </c>
      <c r="D23" s="610">
        <v>1000000</v>
      </c>
      <c r="E23" s="610"/>
      <c r="F23" s="610"/>
      <c r="G23" s="137"/>
    </row>
    <row r="24" spans="1:7" ht="27" thickTop="1" thickBot="1" x14ac:dyDescent="0.3">
      <c r="A24" s="615">
        <v>13000000</v>
      </c>
      <c r="B24" s="616" t="s">
        <v>532</v>
      </c>
      <c r="C24" s="609">
        <f>D24+E24</f>
        <v>1200000</v>
      </c>
      <c r="D24" s="609">
        <f>SUM(D25,D27)</f>
        <v>1200000</v>
      </c>
      <c r="E24" s="610"/>
      <c r="F24" s="610"/>
      <c r="G24" s="137"/>
    </row>
    <row r="25" spans="1:7" ht="28.5" thickTop="1" thickBot="1" x14ac:dyDescent="0.3">
      <c r="A25" s="611">
        <v>13010000</v>
      </c>
      <c r="B25" s="617" t="s">
        <v>533</v>
      </c>
      <c r="C25" s="613">
        <f>D25+E25</f>
        <v>1155000</v>
      </c>
      <c r="D25" s="613">
        <f>SUM(D26)</f>
        <v>1155000</v>
      </c>
      <c r="E25" s="613"/>
      <c r="F25" s="613"/>
      <c r="G25" s="137"/>
    </row>
    <row r="26" spans="1:7" ht="65.25" thickTop="1" thickBot="1" x14ac:dyDescent="0.3">
      <c r="A26" s="607">
        <v>13010200</v>
      </c>
      <c r="B26" s="618" t="s">
        <v>534</v>
      </c>
      <c r="C26" s="609">
        <f t="shared" ref="C26:C29" si="2">D26+E26</f>
        <v>1155000</v>
      </c>
      <c r="D26" s="610">
        <v>1155000</v>
      </c>
      <c r="E26" s="610"/>
      <c r="F26" s="610"/>
      <c r="G26" s="137"/>
    </row>
    <row r="27" spans="1:7" ht="16.5" thickTop="1" thickBot="1" x14ac:dyDescent="0.3">
      <c r="A27" s="611">
        <v>13030000</v>
      </c>
      <c r="B27" s="619" t="s">
        <v>535</v>
      </c>
      <c r="C27" s="613">
        <f>D27+E27</f>
        <v>45000</v>
      </c>
      <c r="D27" s="613">
        <f>SUM(D28)</f>
        <v>45000</v>
      </c>
      <c r="E27" s="613"/>
      <c r="F27" s="613"/>
      <c r="G27" s="137"/>
    </row>
    <row r="28" spans="1:7" ht="39.75" thickTop="1" thickBot="1" x14ac:dyDescent="0.3">
      <c r="A28" s="607">
        <v>13030100</v>
      </c>
      <c r="B28" s="618" t="s">
        <v>536</v>
      </c>
      <c r="C28" s="609">
        <f t="shared" si="2"/>
        <v>45000</v>
      </c>
      <c r="D28" s="610">
        <v>45000</v>
      </c>
      <c r="E28" s="610"/>
      <c r="F28" s="610"/>
      <c r="G28" s="137"/>
    </row>
    <row r="29" spans="1:7" ht="26.45" customHeight="1" thickTop="1" thickBot="1" x14ac:dyDescent="0.3">
      <c r="A29" s="615">
        <v>14000000</v>
      </c>
      <c r="B29" s="616" t="s">
        <v>537</v>
      </c>
      <c r="C29" s="609">
        <f t="shared" si="2"/>
        <v>285250000</v>
      </c>
      <c r="D29" s="609">
        <f>SUM(D30,D32,D34)</f>
        <v>285250000</v>
      </c>
      <c r="E29" s="609"/>
      <c r="F29" s="610"/>
      <c r="G29" s="137"/>
    </row>
    <row r="30" spans="1:7" ht="30" customHeight="1" thickTop="1" thickBot="1" x14ac:dyDescent="0.3">
      <c r="A30" s="611">
        <v>14020000</v>
      </c>
      <c r="B30" s="617" t="s">
        <v>631</v>
      </c>
      <c r="C30" s="613">
        <f>SUM(D30,E30)</f>
        <v>11920600</v>
      </c>
      <c r="D30" s="613">
        <f>SUM(D31,E31)</f>
        <v>11920600</v>
      </c>
      <c r="E30" s="613"/>
      <c r="F30" s="620"/>
      <c r="G30" s="137"/>
    </row>
    <row r="31" spans="1:7" ht="16.5" thickTop="1" thickBot="1" x14ac:dyDescent="0.3">
      <c r="A31" s="607">
        <v>14021900</v>
      </c>
      <c r="B31" s="614" t="s">
        <v>630</v>
      </c>
      <c r="C31" s="610">
        <f>SUM(D31,E31)</f>
        <v>11920600</v>
      </c>
      <c r="D31" s="610">
        <v>11920600</v>
      </c>
      <c r="E31" s="609"/>
      <c r="F31" s="610"/>
      <c r="G31" s="137"/>
    </row>
    <row r="32" spans="1:7" ht="42" thickTop="1" thickBot="1" x14ac:dyDescent="0.3">
      <c r="A32" s="611">
        <v>14030000</v>
      </c>
      <c r="B32" s="617" t="s">
        <v>632</v>
      </c>
      <c r="C32" s="613">
        <f>SUM(D32,E32)</f>
        <v>53079400</v>
      </c>
      <c r="D32" s="613">
        <f>SUM(D33,E33)</f>
        <v>53079400</v>
      </c>
      <c r="E32" s="613"/>
      <c r="F32" s="620"/>
      <c r="G32" s="137"/>
    </row>
    <row r="33" spans="1:7" ht="16.5" thickTop="1" thickBot="1" x14ac:dyDescent="0.3">
      <c r="A33" s="607">
        <v>14031900</v>
      </c>
      <c r="B33" s="614" t="s">
        <v>630</v>
      </c>
      <c r="C33" s="610">
        <f>SUM(D33,E33)</f>
        <v>53079400</v>
      </c>
      <c r="D33" s="610">
        <v>53079400</v>
      </c>
      <c r="E33" s="609"/>
      <c r="F33" s="610"/>
      <c r="G33" s="137"/>
    </row>
    <row r="34" spans="1:7" ht="42" thickTop="1" thickBot="1" x14ac:dyDescent="0.3">
      <c r="A34" s="611">
        <v>14040000</v>
      </c>
      <c r="B34" s="617" t="s">
        <v>1258</v>
      </c>
      <c r="C34" s="613">
        <f>SUM(C35:C36)</f>
        <v>220250000</v>
      </c>
      <c r="D34" s="613">
        <f>SUM(D35:D36)</f>
        <v>220250000</v>
      </c>
      <c r="E34" s="613"/>
      <c r="F34" s="620"/>
      <c r="G34" s="137"/>
    </row>
    <row r="35" spans="1:7" ht="103.5" thickTop="1" thickBot="1" x14ac:dyDescent="0.25">
      <c r="A35" s="607">
        <v>14040100</v>
      </c>
      <c r="B35" s="614" t="s">
        <v>1279</v>
      </c>
      <c r="C35" s="610">
        <f>SUM(D35,E35)</f>
        <v>115050000</v>
      </c>
      <c r="D35" s="610">
        <v>115050000</v>
      </c>
      <c r="E35" s="609"/>
      <c r="F35" s="610"/>
      <c r="G35" s="140"/>
    </row>
    <row r="36" spans="1:7" ht="78" thickTop="1" thickBot="1" x14ac:dyDescent="0.25">
      <c r="A36" s="607">
        <v>14040200</v>
      </c>
      <c r="B36" s="614" t="s">
        <v>1257</v>
      </c>
      <c r="C36" s="610">
        <f>SUM(D36,E36)</f>
        <v>105200000</v>
      </c>
      <c r="D36" s="610">
        <v>105200000</v>
      </c>
      <c r="E36" s="609"/>
      <c r="F36" s="610"/>
      <c r="G36" s="140"/>
    </row>
    <row r="37" spans="1:7" ht="29.25" customHeight="1" thickTop="1" thickBot="1" x14ac:dyDescent="0.3">
      <c r="A37" s="615">
        <v>18000000</v>
      </c>
      <c r="B37" s="615" t="s">
        <v>67</v>
      </c>
      <c r="C37" s="609">
        <f t="shared" si="1"/>
        <v>710750000</v>
      </c>
      <c r="D37" s="609">
        <f>SUM(D38,D51,D54,D49)</f>
        <v>710750000</v>
      </c>
      <c r="E37" s="609"/>
      <c r="F37" s="609"/>
      <c r="G37" s="137"/>
    </row>
    <row r="38" spans="1:7" ht="16.5" thickTop="1" thickBot="1" x14ac:dyDescent="0.3">
      <c r="A38" s="611">
        <v>18010000</v>
      </c>
      <c r="B38" s="617" t="s">
        <v>68</v>
      </c>
      <c r="C38" s="613">
        <f>SUM(D38,E38)</f>
        <v>257500000</v>
      </c>
      <c r="D38" s="613">
        <f>SUM(D39:D48)</f>
        <v>257500000</v>
      </c>
      <c r="E38" s="613"/>
      <c r="F38" s="613"/>
      <c r="G38" s="137"/>
    </row>
    <row r="39" spans="1:7" ht="52.5" thickTop="1" thickBot="1" x14ac:dyDescent="0.3">
      <c r="A39" s="607">
        <v>18010100</v>
      </c>
      <c r="B39" s="614" t="s">
        <v>69</v>
      </c>
      <c r="C39" s="609">
        <f t="shared" si="1"/>
        <v>295000</v>
      </c>
      <c r="D39" s="610">
        <v>295000</v>
      </c>
      <c r="E39" s="610"/>
      <c r="F39" s="610"/>
      <c r="G39" s="137"/>
    </row>
    <row r="40" spans="1:7" ht="52.5" thickTop="1" thickBot="1" x14ac:dyDescent="0.3">
      <c r="A40" s="607">
        <v>18010200</v>
      </c>
      <c r="B40" s="614" t="s">
        <v>70</v>
      </c>
      <c r="C40" s="609">
        <f t="shared" si="1"/>
        <v>16022500</v>
      </c>
      <c r="D40" s="610">
        <v>16022500</v>
      </c>
      <c r="E40" s="610"/>
      <c r="F40" s="610"/>
      <c r="G40" s="137"/>
    </row>
    <row r="41" spans="1:7" ht="52.5" thickTop="1" thickBot="1" x14ac:dyDescent="0.3">
      <c r="A41" s="607">
        <v>18010300</v>
      </c>
      <c r="B41" s="614" t="s">
        <v>71</v>
      </c>
      <c r="C41" s="609">
        <f t="shared" si="1"/>
        <v>8950000</v>
      </c>
      <c r="D41" s="610">
        <v>8950000</v>
      </c>
      <c r="E41" s="610"/>
      <c r="F41" s="610"/>
      <c r="G41" s="137"/>
    </row>
    <row r="42" spans="1:7" ht="52.5" thickTop="1" thickBot="1" x14ac:dyDescent="0.3">
      <c r="A42" s="607">
        <v>18010400</v>
      </c>
      <c r="B42" s="614" t="s">
        <v>72</v>
      </c>
      <c r="C42" s="609">
        <f t="shared" si="1"/>
        <v>35332500</v>
      </c>
      <c r="D42" s="610">
        <v>35332500</v>
      </c>
      <c r="E42" s="610"/>
      <c r="F42" s="610"/>
      <c r="G42" s="137"/>
    </row>
    <row r="43" spans="1:7" ht="16.5" thickTop="1" thickBot="1" x14ac:dyDescent="0.3">
      <c r="A43" s="607">
        <v>18010500</v>
      </c>
      <c r="B43" s="614" t="s">
        <v>73</v>
      </c>
      <c r="C43" s="609">
        <f t="shared" si="1"/>
        <v>41250000</v>
      </c>
      <c r="D43" s="610">
        <v>41250000</v>
      </c>
      <c r="E43" s="610"/>
      <c r="F43" s="610"/>
      <c r="G43" s="137"/>
    </row>
    <row r="44" spans="1:7" ht="16.5" thickTop="1" thickBot="1" x14ac:dyDescent="0.3">
      <c r="A44" s="607">
        <v>18010600</v>
      </c>
      <c r="B44" s="614" t="s">
        <v>74</v>
      </c>
      <c r="C44" s="609">
        <f t="shared" si="1"/>
        <v>120400000</v>
      </c>
      <c r="D44" s="610">
        <v>120400000</v>
      </c>
      <c r="E44" s="610"/>
      <c r="F44" s="610"/>
      <c r="G44" s="137"/>
    </row>
    <row r="45" spans="1:7" ht="16.5" thickTop="1" thickBot="1" x14ac:dyDescent="0.3">
      <c r="A45" s="607">
        <v>18010700</v>
      </c>
      <c r="B45" s="614" t="s">
        <v>75</v>
      </c>
      <c r="C45" s="609">
        <f t="shared" si="1"/>
        <v>1705000</v>
      </c>
      <c r="D45" s="610">
        <v>1705000</v>
      </c>
      <c r="E45" s="610"/>
      <c r="F45" s="610"/>
      <c r="G45" s="137"/>
    </row>
    <row r="46" spans="1:7" ht="16.5" thickTop="1" thickBot="1" x14ac:dyDescent="0.3">
      <c r="A46" s="607">
        <v>18010900</v>
      </c>
      <c r="B46" s="614" t="s">
        <v>76</v>
      </c>
      <c r="C46" s="609">
        <f t="shared" si="1"/>
        <v>33145000</v>
      </c>
      <c r="D46" s="610">
        <v>33145000</v>
      </c>
      <c r="E46" s="610"/>
      <c r="F46" s="610"/>
      <c r="G46" s="137"/>
    </row>
    <row r="47" spans="1:7" ht="15.75" thickTop="1" thickBot="1" x14ac:dyDescent="0.25">
      <c r="A47" s="607">
        <v>18011000</v>
      </c>
      <c r="B47" s="614" t="s">
        <v>77</v>
      </c>
      <c r="C47" s="609">
        <f t="shared" si="1"/>
        <v>115000</v>
      </c>
      <c r="D47" s="610">
        <v>115000</v>
      </c>
      <c r="E47" s="610"/>
      <c r="F47" s="610"/>
      <c r="G47" s="138"/>
    </row>
    <row r="48" spans="1:7" ht="16.5" thickTop="1" thickBot="1" x14ac:dyDescent="0.3">
      <c r="A48" s="607">
        <v>18011100</v>
      </c>
      <c r="B48" s="614" t="s">
        <v>78</v>
      </c>
      <c r="C48" s="609">
        <f t="shared" si="1"/>
        <v>285000</v>
      </c>
      <c r="D48" s="610">
        <v>285000</v>
      </c>
      <c r="E48" s="610"/>
      <c r="F48" s="610"/>
      <c r="G48" s="137"/>
    </row>
    <row r="49" spans="1:7" ht="28.5" thickTop="1" thickBot="1" x14ac:dyDescent="0.3">
      <c r="A49" s="611">
        <v>18020000</v>
      </c>
      <c r="B49" s="617" t="s">
        <v>1202</v>
      </c>
      <c r="C49" s="613">
        <f t="shared" si="1"/>
        <v>250000</v>
      </c>
      <c r="D49" s="613">
        <f>SUM(D50,E50)</f>
        <v>250000</v>
      </c>
      <c r="E49" s="613"/>
      <c r="F49" s="613"/>
      <c r="G49" s="137"/>
    </row>
    <row r="50" spans="1:7" ht="27" thickTop="1" thickBot="1" x14ac:dyDescent="0.3">
      <c r="A50" s="607">
        <v>180201000</v>
      </c>
      <c r="B50" s="614" t="s">
        <v>1203</v>
      </c>
      <c r="C50" s="609">
        <f t="shared" si="1"/>
        <v>250000</v>
      </c>
      <c r="D50" s="610">
        <v>250000</v>
      </c>
      <c r="E50" s="610"/>
      <c r="F50" s="610"/>
      <c r="G50" s="137"/>
    </row>
    <row r="51" spans="1:7" ht="16.5" thickTop="1" thickBot="1" x14ac:dyDescent="0.3">
      <c r="A51" s="611">
        <v>18030000</v>
      </c>
      <c r="B51" s="617" t="s">
        <v>79</v>
      </c>
      <c r="C51" s="613">
        <f>SUM(D51,E51)</f>
        <v>1500000</v>
      </c>
      <c r="D51" s="613">
        <f>SUM(D52:D53)</f>
        <v>1500000</v>
      </c>
      <c r="E51" s="613"/>
      <c r="F51" s="613"/>
      <c r="G51" s="137"/>
    </row>
    <row r="52" spans="1:7" ht="27" thickTop="1" thickBot="1" x14ac:dyDescent="0.3">
      <c r="A52" s="607">
        <v>18030100</v>
      </c>
      <c r="B52" s="614" t="s">
        <v>80</v>
      </c>
      <c r="C52" s="609">
        <f>SUM(D52,E52)</f>
        <v>950200</v>
      </c>
      <c r="D52" s="610">
        <v>950200</v>
      </c>
      <c r="E52" s="610"/>
      <c r="F52" s="610"/>
      <c r="G52" s="137"/>
    </row>
    <row r="53" spans="1:7" ht="27" thickTop="1" thickBot="1" x14ac:dyDescent="0.3">
      <c r="A53" s="607">
        <v>18030200</v>
      </c>
      <c r="B53" s="614" t="s">
        <v>81</v>
      </c>
      <c r="C53" s="609">
        <f>SUM(D53,E53)</f>
        <v>549800</v>
      </c>
      <c r="D53" s="610">
        <v>549800</v>
      </c>
      <c r="E53" s="610"/>
      <c r="F53" s="610"/>
      <c r="G53" s="137"/>
    </row>
    <row r="54" spans="1:7" ht="16.5" thickTop="1" thickBot="1" x14ac:dyDescent="0.3">
      <c r="A54" s="611">
        <v>18050000</v>
      </c>
      <c r="B54" s="617" t="s">
        <v>82</v>
      </c>
      <c r="C54" s="613">
        <f>SUM(D54,E54)</f>
        <v>451500000</v>
      </c>
      <c r="D54" s="613">
        <f>SUM(D55:D57)</f>
        <v>451500000</v>
      </c>
      <c r="E54" s="620"/>
      <c r="F54" s="620"/>
      <c r="G54" s="137"/>
    </row>
    <row r="55" spans="1:7" ht="16.5" thickTop="1" thickBot="1" x14ac:dyDescent="0.3">
      <c r="A55" s="607">
        <v>18050300</v>
      </c>
      <c r="B55" s="608" t="s">
        <v>1064</v>
      </c>
      <c r="C55" s="609">
        <f t="shared" si="1"/>
        <v>97215000</v>
      </c>
      <c r="D55" s="610">
        <v>97215000</v>
      </c>
      <c r="E55" s="610"/>
      <c r="F55" s="610"/>
      <c r="G55" s="137"/>
    </row>
    <row r="56" spans="1:7" ht="15.75" thickTop="1" thickBot="1" x14ac:dyDescent="0.25">
      <c r="A56" s="607">
        <v>18050400</v>
      </c>
      <c r="B56" s="614" t="s">
        <v>83</v>
      </c>
      <c r="C56" s="609">
        <f t="shared" si="1"/>
        <v>350285000</v>
      </c>
      <c r="D56" s="610">
        <v>350285000</v>
      </c>
      <c r="E56" s="610"/>
      <c r="F56" s="610"/>
      <c r="G56" s="138"/>
    </row>
    <row r="57" spans="1:7" ht="65.25" thickTop="1" thickBot="1" x14ac:dyDescent="0.25">
      <c r="A57" s="607">
        <v>18050500</v>
      </c>
      <c r="B57" s="614" t="s">
        <v>545</v>
      </c>
      <c r="C57" s="609">
        <f t="shared" si="1"/>
        <v>4000000</v>
      </c>
      <c r="D57" s="610">
        <v>4000000</v>
      </c>
      <c r="E57" s="610"/>
      <c r="F57" s="610"/>
      <c r="G57" s="138"/>
    </row>
    <row r="58" spans="1:7" ht="31.7" customHeight="1" thickTop="1" thickBot="1" x14ac:dyDescent="0.25">
      <c r="A58" s="615">
        <v>19000000</v>
      </c>
      <c r="B58" s="621" t="s">
        <v>538</v>
      </c>
      <c r="C58" s="609">
        <f t="shared" si="1"/>
        <v>1350000</v>
      </c>
      <c r="D58" s="609"/>
      <c r="E58" s="609">
        <f>SUM(E60:E62)</f>
        <v>1350000</v>
      </c>
      <c r="F58" s="610"/>
      <c r="G58" s="138"/>
    </row>
    <row r="59" spans="1:7" ht="16.5" thickTop="1" thickBot="1" x14ac:dyDescent="0.3">
      <c r="A59" s="611">
        <v>1901000</v>
      </c>
      <c r="B59" s="612" t="s">
        <v>84</v>
      </c>
      <c r="C59" s="613">
        <f t="shared" ref="C59:C63" si="3">SUM(D59,E59)</f>
        <v>1350000</v>
      </c>
      <c r="D59" s="613">
        <f>SUM(D60:D62)</f>
        <v>0</v>
      </c>
      <c r="E59" s="613">
        <f>SUM(E60:E62)</f>
        <v>1350000</v>
      </c>
      <c r="F59" s="613"/>
      <c r="G59" s="137"/>
    </row>
    <row r="60" spans="1:7" ht="52.5" thickTop="1" thickBot="1" x14ac:dyDescent="0.3">
      <c r="A60" s="607">
        <v>19010100</v>
      </c>
      <c r="B60" s="608" t="s">
        <v>539</v>
      </c>
      <c r="C60" s="609">
        <f t="shared" si="3"/>
        <v>225100</v>
      </c>
      <c r="D60" s="610"/>
      <c r="E60" s="610">
        <v>225100</v>
      </c>
      <c r="F60" s="610"/>
      <c r="G60" s="137"/>
    </row>
    <row r="61" spans="1:7" ht="27" thickTop="1" thickBot="1" x14ac:dyDescent="0.25">
      <c r="A61" s="607">
        <v>19010200</v>
      </c>
      <c r="B61" s="608" t="s">
        <v>1360</v>
      </c>
      <c r="C61" s="609">
        <f t="shared" si="3"/>
        <v>195200</v>
      </c>
      <c r="D61" s="610"/>
      <c r="E61" s="610">
        <v>195200</v>
      </c>
      <c r="F61" s="610"/>
      <c r="G61" s="140"/>
    </row>
    <row r="62" spans="1:7" ht="52.5" thickTop="1" thickBot="1" x14ac:dyDescent="0.3">
      <c r="A62" s="607">
        <v>19010300</v>
      </c>
      <c r="B62" s="608" t="s">
        <v>1361</v>
      </c>
      <c r="C62" s="609">
        <f t="shared" si="3"/>
        <v>929700</v>
      </c>
      <c r="D62" s="610"/>
      <c r="E62" s="610">
        <v>929700</v>
      </c>
      <c r="F62" s="610"/>
      <c r="G62" s="137"/>
    </row>
    <row r="63" spans="1:7" ht="30" customHeight="1" thickTop="1" thickBot="1" x14ac:dyDescent="0.3">
      <c r="A63" s="653">
        <v>20000000</v>
      </c>
      <c r="B63" s="653" t="s">
        <v>85</v>
      </c>
      <c r="C63" s="654">
        <f t="shared" si="3"/>
        <v>311509778</v>
      </c>
      <c r="D63" s="654">
        <f>SUM(D64,D72,D82,D87)</f>
        <v>111535000</v>
      </c>
      <c r="E63" s="654">
        <f>SUM(E64,E72,E82,E87)</f>
        <v>199974778</v>
      </c>
      <c r="F63" s="654">
        <f>SUM(F64,F72,F82,F87)</f>
        <v>5000012</v>
      </c>
      <c r="G63" s="137"/>
    </row>
    <row r="64" spans="1:7" ht="27" thickTop="1" thickBot="1" x14ac:dyDescent="0.3">
      <c r="A64" s="615">
        <v>21000000</v>
      </c>
      <c r="B64" s="615" t="s">
        <v>540</v>
      </c>
      <c r="C64" s="609">
        <f>SUM(D64,E64)</f>
        <v>54200000</v>
      </c>
      <c r="D64" s="609">
        <f>SUM(D65,D68,D67)</f>
        <v>54200000</v>
      </c>
      <c r="E64" s="609"/>
      <c r="F64" s="609"/>
      <c r="G64" s="137"/>
    </row>
    <row r="65" spans="1:7" ht="55.5" thickTop="1" thickBot="1" x14ac:dyDescent="0.3">
      <c r="A65" s="611">
        <v>21010000</v>
      </c>
      <c r="B65" s="617" t="s">
        <v>541</v>
      </c>
      <c r="C65" s="613">
        <f t="shared" si="1"/>
        <v>1700000</v>
      </c>
      <c r="D65" s="613">
        <f>D66</f>
        <v>1700000</v>
      </c>
      <c r="E65" s="613"/>
      <c r="F65" s="613"/>
      <c r="G65" s="137"/>
    </row>
    <row r="66" spans="1:7" ht="52.5" thickTop="1" thickBot="1" x14ac:dyDescent="0.3">
      <c r="A66" s="607">
        <v>21010300</v>
      </c>
      <c r="B66" s="614" t="s">
        <v>1527</v>
      </c>
      <c r="C66" s="609">
        <f t="shared" si="1"/>
        <v>1700000</v>
      </c>
      <c r="D66" s="610">
        <v>1700000</v>
      </c>
      <c r="E66" s="610"/>
      <c r="F66" s="610"/>
      <c r="G66" s="137"/>
    </row>
    <row r="67" spans="1:7" ht="28.5" thickTop="1" thickBot="1" x14ac:dyDescent="0.3">
      <c r="A67" s="611">
        <v>21050000</v>
      </c>
      <c r="B67" s="617" t="s">
        <v>87</v>
      </c>
      <c r="C67" s="613">
        <f t="shared" si="1"/>
        <v>32500000</v>
      </c>
      <c r="D67" s="613">
        <v>32500000</v>
      </c>
      <c r="E67" s="613"/>
      <c r="F67" s="613"/>
      <c r="G67" s="137"/>
    </row>
    <row r="68" spans="1:7" ht="15" thickTop="1" thickBot="1" x14ac:dyDescent="0.25">
      <c r="A68" s="611">
        <v>21080000</v>
      </c>
      <c r="B68" s="617" t="s">
        <v>1065</v>
      </c>
      <c r="C68" s="613">
        <f t="shared" ref="C68:C73" si="4">SUM(D68,E68)</f>
        <v>20000000</v>
      </c>
      <c r="D68" s="613">
        <f>SUM(D69:D71)</f>
        <v>20000000</v>
      </c>
      <c r="E68" s="613"/>
      <c r="F68" s="613"/>
      <c r="G68" s="140"/>
    </row>
    <row r="69" spans="1:7" ht="16.5" thickTop="1" thickBot="1" x14ac:dyDescent="0.3">
      <c r="A69" s="607">
        <v>21081100</v>
      </c>
      <c r="B69" s="622" t="s">
        <v>88</v>
      </c>
      <c r="C69" s="609">
        <f t="shared" si="4"/>
        <v>7000000</v>
      </c>
      <c r="D69" s="610">
        <v>7000000</v>
      </c>
      <c r="E69" s="610"/>
      <c r="F69" s="610"/>
      <c r="G69" s="137"/>
    </row>
    <row r="70" spans="1:7" ht="90.75" thickTop="1" thickBot="1" x14ac:dyDescent="0.3">
      <c r="A70" s="607">
        <v>21081500</v>
      </c>
      <c r="B70" s="608" t="s">
        <v>1378</v>
      </c>
      <c r="C70" s="609">
        <f t="shared" si="4"/>
        <v>500000</v>
      </c>
      <c r="D70" s="610">
        <v>500000</v>
      </c>
      <c r="E70" s="610"/>
      <c r="F70" s="610"/>
      <c r="G70" s="137"/>
    </row>
    <row r="71" spans="1:7" ht="16.5" thickTop="1" thickBot="1" x14ac:dyDescent="0.3">
      <c r="A71" s="607">
        <v>21081700</v>
      </c>
      <c r="B71" s="608" t="s">
        <v>379</v>
      </c>
      <c r="C71" s="609">
        <f t="shared" si="4"/>
        <v>12500000</v>
      </c>
      <c r="D71" s="610">
        <v>12500000</v>
      </c>
      <c r="E71" s="610"/>
      <c r="F71" s="610"/>
      <c r="G71" s="141"/>
    </row>
    <row r="72" spans="1:7" ht="27" thickTop="1" thickBot="1" x14ac:dyDescent="0.3">
      <c r="A72" s="615">
        <v>22000000</v>
      </c>
      <c r="B72" s="615" t="s">
        <v>89</v>
      </c>
      <c r="C72" s="609">
        <f t="shared" si="4"/>
        <v>37835000</v>
      </c>
      <c r="D72" s="609">
        <f>SUM(D73,D77,D79)</f>
        <v>37835000</v>
      </c>
      <c r="E72" s="610"/>
      <c r="F72" s="610"/>
      <c r="G72" s="137"/>
    </row>
    <row r="73" spans="1:7" ht="24.75" customHeight="1" thickTop="1" thickBot="1" x14ac:dyDescent="0.3">
      <c r="A73" s="611">
        <v>22010000</v>
      </c>
      <c r="B73" s="612" t="s">
        <v>542</v>
      </c>
      <c r="C73" s="613">
        <f t="shared" si="4"/>
        <v>27535000</v>
      </c>
      <c r="D73" s="613">
        <f>SUM(D74:D76)</f>
        <v>27535000</v>
      </c>
      <c r="E73" s="613"/>
      <c r="F73" s="613"/>
      <c r="G73" s="137"/>
    </row>
    <row r="74" spans="1:7" ht="39.75" thickTop="1" thickBot="1" x14ac:dyDescent="0.3">
      <c r="A74" s="607">
        <v>22010300</v>
      </c>
      <c r="B74" s="608" t="s">
        <v>148</v>
      </c>
      <c r="C74" s="609">
        <f t="shared" si="1"/>
        <v>900200</v>
      </c>
      <c r="D74" s="610">
        <v>900200</v>
      </c>
      <c r="E74" s="610"/>
      <c r="F74" s="610"/>
      <c r="G74" s="137"/>
    </row>
    <row r="75" spans="1:7" ht="16.5" thickTop="1" thickBot="1" x14ac:dyDescent="0.3">
      <c r="A75" s="607">
        <v>22012500</v>
      </c>
      <c r="B75" s="608" t="s">
        <v>91</v>
      </c>
      <c r="C75" s="609">
        <f t="shared" si="1"/>
        <v>25629150</v>
      </c>
      <c r="D75" s="610">
        <v>25629150</v>
      </c>
      <c r="E75" s="610"/>
      <c r="F75" s="610"/>
      <c r="G75" s="137"/>
    </row>
    <row r="76" spans="1:7" ht="27" thickTop="1" thickBot="1" x14ac:dyDescent="0.3">
      <c r="A76" s="607">
        <v>22012600</v>
      </c>
      <c r="B76" s="608" t="s">
        <v>90</v>
      </c>
      <c r="C76" s="609">
        <f>SUM(D76,E76)</f>
        <v>1005650</v>
      </c>
      <c r="D76" s="610">
        <v>1005650</v>
      </c>
      <c r="E76" s="610"/>
      <c r="F76" s="610"/>
      <c r="G76" s="137"/>
    </row>
    <row r="77" spans="1:7" ht="42" thickTop="1" thickBot="1" x14ac:dyDescent="0.3">
      <c r="A77" s="611">
        <v>2208000</v>
      </c>
      <c r="B77" s="612" t="s">
        <v>543</v>
      </c>
      <c r="C77" s="613">
        <f t="shared" si="1"/>
        <v>10000000</v>
      </c>
      <c r="D77" s="613">
        <f>D78</f>
        <v>10000000</v>
      </c>
      <c r="E77" s="613"/>
      <c r="F77" s="613"/>
      <c r="G77" s="137"/>
    </row>
    <row r="78" spans="1:7" ht="52.5" thickTop="1" thickBot="1" x14ac:dyDescent="0.3">
      <c r="A78" s="607">
        <v>22080400</v>
      </c>
      <c r="B78" s="622" t="s">
        <v>92</v>
      </c>
      <c r="C78" s="609">
        <f t="shared" si="1"/>
        <v>10000000</v>
      </c>
      <c r="D78" s="610">
        <v>10000000</v>
      </c>
      <c r="E78" s="610"/>
      <c r="F78" s="610"/>
      <c r="G78" s="137"/>
    </row>
    <row r="79" spans="1:7" ht="16.5" thickTop="1" thickBot="1" x14ac:dyDescent="0.3">
      <c r="A79" s="611">
        <v>22090000</v>
      </c>
      <c r="B79" s="623" t="s">
        <v>93</v>
      </c>
      <c r="C79" s="613">
        <f t="shared" si="1"/>
        <v>300000</v>
      </c>
      <c r="D79" s="613">
        <f>SUM(D80:D81)</f>
        <v>300000</v>
      </c>
      <c r="E79" s="613"/>
      <c r="F79" s="613"/>
      <c r="G79" s="137"/>
    </row>
    <row r="80" spans="1:7" ht="52.5" thickTop="1" thickBot="1" x14ac:dyDescent="0.3">
      <c r="A80" s="607">
        <v>22090100</v>
      </c>
      <c r="B80" s="614" t="s">
        <v>94</v>
      </c>
      <c r="C80" s="609">
        <f t="shared" si="1"/>
        <v>169800</v>
      </c>
      <c r="D80" s="610">
        <v>169800</v>
      </c>
      <c r="E80" s="610"/>
      <c r="F80" s="610"/>
      <c r="G80" s="137"/>
    </row>
    <row r="81" spans="1:7" ht="39.75" thickTop="1" thickBot="1" x14ac:dyDescent="0.25">
      <c r="A81" s="607">
        <v>22090400</v>
      </c>
      <c r="B81" s="614" t="s">
        <v>95</v>
      </c>
      <c r="C81" s="609">
        <f t="shared" si="1"/>
        <v>130200</v>
      </c>
      <c r="D81" s="610">
        <v>130200</v>
      </c>
      <c r="E81" s="610"/>
      <c r="F81" s="610"/>
      <c r="G81" s="139"/>
    </row>
    <row r="82" spans="1:7" ht="20.25" customHeight="1" thickTop="1" thickBot="1" x14ac:dyDescent="0.3">
      <c r="A82" s="615">
        <v>24000000</v>
      </c>
      <c r="B82" s="624" t="s">
        <v>96</v>
      </c>
      <c r="C82" s="609">
        <f t="shared" si="1"/>
        <v>24500012</v>
      </c>
      <c r="D82" s="609">
        <f>D83+D84+D86+D85</f>
        <v>19500000</v>
      </c>
      <c r="E82" s="609">
        <f>E83+E84+E86+E85</f>
        <v>5000012</v>
      </c>
      <c r="F82" s="609">
        <f>F83+F84+F86+F85</f>
        <v>5000012</v>
      </c>
      <c r="G82" s="137"/>
    </row>
    <row r="83" spans="1:7" ht="16.5" thickTop="1" thickBot="1" x14ac:dyDescent="0.3">
      <c r="A83" s="607">
        <v>24060300</v>
      </c>
      <c r="B83" s="608" t="s">
        <v>97</v>
      </c>
      <c r="C83" s="609">
        <f t="shared" si="1"/>
        <v>18000000</v>
      </c>
      <c r="D83" s="610">
        <v>18000000</v>
      </c>
      <c r="E83" s="610"/>
      <c r="F83" s="610"/>
      <c r="G83" s="137"/>
    </row>
    <row r="84" spans="1:7" ht="65.25" thickTop="1" thickBot="1" x14ac:dyDescent="0.3">
      <c r="A84" s="607">
        <v>24062200</v>
      </c>
      <c r="B84" s="608" t="s">
        <v>380</v>
      </c>
      <c r="C84" s="609">
        <f t="shared" si="1"/>
        <v>1500000</v>
      </c>
      <c r="D84" s="610">
        <v>1500000</v>
      </c>
      <c r="E84" s="610"/>
      <c r="F84" s="610"/>
      <c r="G84" s="137"/>
    </row>
    <row r="85" spans="1:7" ht="39.75" thickTop="1" thickBot="1" x14ac:dyDescent="0.3">
      <c r="A85" s="607">
        <v>24110700</v>
      </c>
      <c r="B85" s="625" t="s">
        <v>597</v>
      </c>
      <c r="C85" s="609">
        <f t="shared" si="1"/>
        <v>12</v>
      </c>
      <c r="D85" s="610"/>
      <c r="E85" s="610">
        <v>12</v>
      </c>
      <c r="F85" s="610">
        <v>12</v>
      </c>
      <c r="G85" s="137"/>
    </row>
    <row r="86" spans="1:7" ht="27" thickTop="1" thickBot="1" x14ac:dyDescent="0.25">
      <c r="A86" s="607">
        <v>24170000</v>
      </c>
      <c r="B86" s="614" t="s">
        <v>98</v>
      </c>
      <c r="C86" s="609">
        <f t="shared" ref="C86:C92" si="5">SUM(D86,E86)</f>
        <v>5000000</v>
      </c>
      <c r="D86" s="610"/>
      <c r="E86" s="610">
        <v>5000000</v>
      </c>
      <c r="F86" s="610">
        <v>5000000</v>
      </c>
      <c r="G86" s="138"/>
    </row>
    <row r="87" spans="1:7" ht="16.5" thickTop="1" thickBot="1" x14ac:dyDescent="0.3">
      <c r="A87" s="615">
        <v>25000000</v>
      </c>
      <c r="B87" s="626" t="s">
        <v>99</v>
      </c>
      <c r="C87" s="609">
        <f t="shared" si="5"/>
        <v>194974766</v>
      </c>
      <c r="D87" s="609">
        <f>SUM(D88:D92,)</f>
        <v>0</v>
      </c>
      <c r="E87" s="609">
        <f>SUM(E88)</f>
        <v>194974766</v>
      </c>
      <c r="F87" s="609"/>
      <c r="G87" s="137"/>
    </row>
    <row r="88" spans="1:7" ht="42" thickTop="1" thickBot="1" x14ac:dyDescent="0.3">
      <c r="A88" s="611">
        <v>25010000</v>
      </c>
      <c r="B88" s="617" t="s">
        <v>100</v>
      </c>
      <c r="C88" s="613">
        <f t="shared" si="5"/>
        <v>194974766</v>
      </c>
      <c r="D88" s="613">
        <v>0</v>
      </c>
      <c r="E88" s="613">
        <f>SUM(E89:E92)</f>
        <v>194974766</v>
      </c>
      <c r="F88" s="613"/>
      <c r="G88" s="137"/>
    </row>
    <row r="89" spans="1:7" ht="27" thickTop="1" thickBot="1" x14ac:dyDescent="0.3">
      <c r="A89" s="607">
        <v>25010100</v>
      </c>
      <c r="B89" s="614" t="s">
        <v>101</v>
      </c>
      <c r="C89" s="609">
        <f t="shared" si="5"/>
        <v>178761226</v>
      </c>
      <c r="D89" s="610"/>
      <c r="E89" s="610">
        <f>172410907+6350319</f>
        <v>178761226</v>
      </c>
      <c r="F89" s="610"/>
      <c r="G89" s="137"/>
    </row>
    <row r="90" spans="1:7" ht="27" thickTop="1" thickBot="1" x14ac:dyDescent="0.3">
      <c r="A90" s="607">
        <v>25010200</v>
      </c>
      <c r="B90" s="614" t="s">
        <v>102</v>
      </c>
      <c r="C90" s="609">
        <f t="shared" si="5"/>
        <v>13040510</v>
      </c>
      <c r="D90" s="610"/>
      <c r="E90" s="610">
        <v>13040510</v>
      </c>
      <c r="F90" s="610"/>
      <c r="G90" s="137"/>
    </row>
    <row r="91" spans="1:7" ht="16.5" thickTop="1" thickBot="1" x14ac:dyDescent="0.3">
      <c r="A91" s="607">
        <v>25010300</v>
      </c>
      <c r="B91" s="614" t="s">
        <v>103</v>
      </c>
      <c r="C91" s="609">
        <f t="shared" si="5"/>
        <v>3121470</v>
      </c>
      <c r="D91" s="610"/>
      <c r="E91" s="610">
        <v>3121470</v>
      </c>
      <c r="F91" s="610"/>
      <c r="G91" s="137"/>
    </row>
    <row r="92" spans="1:7" ht="39.75" thickTop="1" thickBot="1" x14ac:dyDescent="0.3">
      <c r="A92" s="607">
        <v>25010400</v>
      </c>
      <c r="B92" s="614" t="s">
        <v>104</v>
      </c>
      <c r="C92" s="609">
        <f t="shared" si="5"/>
        <v>51560</v>
      </c>
      <c r="D92" s="610"/>
      <c r="E92" s="610">
        <v>51560</v>
      </c>
      <c r="F92" s="610"/>
      <c r="G92" s="137"/>
    </row>
    <row r="93" spans="1:7" ht="24.75" customHeight="1" thickTop="1" thickBot="1" x14ac:dyDescent="0.25">
      <c r="A93" s="615">
        <v>30000000</v>
      </c>
      <c r="B93" s="615" t="s">
        <v>105</v>
      </c>
      <c r="C93" s="609">
        <f>SUM(D93,E93)</f>
        <v>18537780</v>
      </c>
      <c r="D93" s="609">
        <f>SUM(D94)+D98</f>
        <v>25000</v>
      </c>
      <c r="E93" s="609">
        <f>SUM(E94)+E98</f>
        <v>18512780</v>
      </c>
      <c r="F93" s="609">
        <f>SUM(F94)+F98</f>
        <v>18512780</v>
      </c>
      <c r="G93" s="139"/>
    </row>
    <row r="94" spans="1:7" ht="27" customHeight="1" thickTop="1" thickBot="1" x14ac:dyDescent="0.3">
      <c r="A94" s="615">
        <v>31000000</v>
      </c>
      <c r="B94" s="615" t="s">
        <v>106</v>
      </c>
      <c r="C94" s="609">
        <f>SUM(D94,E94)</f>
        <v>6025000</v>
      </c>
      <c r="D94" s="609">
        <f>D95+D97</f>
        <v>25000</v>
      </c>
      <c r="E94" s="609">
        <f>E95+E97</f>
        <v>6000000</v>
      </c>
      <c r="F94" s="609">
        <f>F95+F97</f>
        <v>6000000</v>
      </c>
      <c r="G94" s="137"/>
    </row>
    <row r="95" spans="1:7" ht="82.5" thickTop="1" thickBot="1" x14ac:dyDescent="0.3">
      <c r="A95" s="611">
        <v>3101000</v>
      </c>
      <c r="B95" s="612" t="s">
        <v>544</v>
      </c>
      <c r="C95" s="613">
        <f>SUM(D95,E95)</f>
        <v>25000</v>
      </c>
      <c r="D95" s="613">
        <f>D96</f>
        <v>25000</v>
      </c>
      <c r="E95" s="613"/>
      <c r="F95" s="613"/>
      <c r="G95" s="137"/>
    </row>
    <row r="96" spans="1:7" ht="78" thickTop="1" thickBot="1" x14ac:dyDescent="0.3">
      <c r="A96" s="607">
        <v>31010200</v>
      </c>
      <c r="B96" s="614" t="s">
        <v>107</v>
      </c>
      <c r="C96" s="609">
        <f>SUM(D96,E96)</f>
        <v>25000</v>
      </c>
      <c r="D96" s="610">
        <v>25000</v>
      </c>
      <c r="E96" s="610"/>
      <c r="F96" s="610"/>
      <c r="G96" s="137"/>
    </row>
    <row r="97" spans="1:7" ht="55.5" thickTop="1" thickBot="1" x14ac:dyDescent="0.3">
      <c r="A97" s="611">
        <v>31030000</v>
      </c>
      <c r="B97" s="617" t="s">
        <v>108</v>
      </c>
      <c r="C97" s="613">
        <f t="shared" si="1"/>
        <v>6000000</v>
      </c>
      <c r="D97" s="613"/>
      <c r="E97" s="613">
        <v>6000000</v>
      </c>
      <c r="F97" s="613">
        <v>6000000</v>
      </c>
      <c r="G97" s="137"/>
    </row>
    <row r="98" spans="1:7" ht="27" thickTop="1" thickBot="1" x14ac:dyDescent="0.3">
      <c r="A98" s="653">
        <v>33000000</v>
      </c>
      <c r="B98" s="653" t="s">
        <v>109</v>
      </c>
      <c r="C98" s="654">
        <f t="shared" si="1"/>
        <v>12512780</v>
      </c>
      <c r="D98" s="654"/>
      <c r="E98" s="654">
        <f>SUM(E99)</f>
        <v>12512780</v>
      </c>
      <c r="F98" s="654">
        <f>SUM(F99)</f>
        <v>12512780</v>
      </c>
      <c r="G98" s="137"/>
    </row>
    <row r="99" spans="1:7" ht="16.5" thickTop="1" thickBot="1" x14ac:dyDescent="0.3">
      <c r="A99" s="611">
        <v>33010000</v>
      </c>
      <c r="B99" s="612" t="s">
        <v>110</v>
      </c>
      <c r="C99" s="613">
        <f>SUM(D99,E99)</f>
        <v>12512780</v>
      </c>
      <c r="D99" s="613"/>
      <c r="E99" s="613">
        <f>SUM(E100:E102)</f>
        <v>12512780</v>
      </c>
      <c r="F99" s="613">
        <f>SUM(F100:F102)</f>
        <v>12512780</v>
      </c>
      <c r="G99" s="137"/>
    </row>
    <row r="100" spans="1:7" ht="52.5" thickTop="1" thickBot="1" x14ac:dyDescent="0.3">
      <c r="A100" s="607">
        <v>33010100</v>
      </c>
      <c r="B100" s="614" t="s">
        <v>348</v>
      </c>
      <c r="C100" s="609">
        <f t="shared" si="1"/>
        <v>10179350</v>
      </c>
      <c r="D100" s="610"/>
      <c r="E100" s="610">
        <v>10179350</v>
      </c>
      <c r="F100" s="610">
        <v>10179350</v>
      </c>
      <c r="G100" s="137"/>
    </row>
    <row r="101" spans="1:7" ht="52.5" thickTop="1" thickBot="1" x14ac:dyDescent="0.3">
      <c r="A101" s="607">
        <v>33010200</v>
      </c>
      <c r="B101" s="614" t="s">
        <v>111</v>
      </c>
      <c r="C101" s="609">
        <f>SUM(D101,E101)</f>
        <v>933430</v>
      </c>
      <c r="D101" s="610"/>
      <c r="E101" s="610">
        <v>933430</v>
      </c>
      <c r="F101" s="610">
        <v>933430</v>
      </c>
      <c r="G101" s="137"/>
    </row>
    <row r="102" spans="1:7" ht="65.25" thickTop="1" thickBot="1" x14ac:dyDescent="0.3">
      <c r="A102" s="607">
        <v>33010500</v>
      </c>
      <c r="B102" s="614" t="s">
        <v>1528</v>
      </c>
      <c r="C102" s="609">
        <f>SUM(D102,E102)</f>
        <v>1400000</v>
      </c>
      <c r="D102" s="610"/>
      <c r="E102" s="610">
        <v>1400000</v>
      </c>
      <c r="F102" s="610">
        <v>1400000</v>
      </c>
      <c r="G102" s="137"/>
    </row>
    <row r="103" spans="1:7" ht="27" customHeight="1" thickTop="1" thickBot="1" x14ac:dyDescent="0.3">
      <c r="A103" s="653">
        <v>50000000</v>
      </c>
      <c r="B103" s="653" t="s">
        <v>492</v>
      </c>
      <c r="C103" s="654">
        <f>SUM(D103,E103)</f>
        <v>4200700</v>
      </c>
      <c r="D103" s="654"/>
      <c r="E103" s="654">
        <f>SUM(E104)</f>
        <v>4200700</v>
      </c>
      <c r="F103" s="654"/>
      <c r="G103" s="137"/>
    </row>
    <row r="104" spans="1:7" ht="52.5" thickTop="1" thickBot="1" x14ac:dyDescent="0.3">
      <c r="A104" s="615">
        <v>50110000</v>
      </c>
      <c r="B104" s="621" t="s">
        <v>112</v>
      </c>
      <c r="C104" s="609">
        <f t="shared" ref="C104:C140" si="6">SUM(D104,E104)</f>
        <v>4200700</v>
      </c>
      <c r="D104" s="610"/>
      <c r="E104" s="609">
        <v>4200700</v>
      </c>
      <c r="F104" s="610"/>
      <c r="G104" s="137"/>
    </row>
    <row r="105" spans="1:7" ht="45.75" customHeight="1" thickTop="1" thickBot="1" x14ac:dyDescent="0.25">
      <c r="A105" s="650"/>
      <c r="B105" s="651" t="s">
        <v>493</v>
      </c>
      <c r="C105" s="652">
        <f t="shared" ref="C105:C113" si="7">SUM(D105,E105)</f>
        <v>3996264923</v>
      </c>
      <c r="D105" s="652">
        <f>D103+D93+D63+D15</f>
        <v>3772226665</v>
      </c>
      <c r="E105" s="652">
        <f>E103+E93+E63+E15</f>
        <v>224038258</v>
      </c>
      <c r="F105" s="652">
        <f>F103+F93+F63+F15</f>
        <v>23512792</v>
      </c>
      <c r="G105" s="138"/>
    </row>
    <row r="106" spans="1:7" ht="34.5" customHeight="1" thickTop="1" thickBot="1" x14ac:dyDescent="0.25">
      <c r="A106" s="653">
        <v>40000000</v>
      </c>
      <c r="B106" s="653" t="s">
        <v>432</v>
      </c>
      <c r="C106" s="654">
        <f>SUM(D106,E106)</f>
        <v>667391813.63999999</v>
      </c>
      <c r="D106" s="654">
        <f>SUM(D112,D109,D107)</f>
        <v>667391813.63999999</v>
      </c>
      <c r="E106" s="654">
        <f>SUM(E112,E109,E107)</f>
        <v>0</v>
      </c>
      <c r="F106" s="654">
        <f>SUM(F112,F109,F107)</f>
        <v>0</v>
      </c>
      <c r="G106" s="138"/>
    </row>
    <row r="107" spans="1:7" ht="34.5" customHeight="1" thickTop="1" thickBot="1" x14ac:dyDescent="0.25">
      <c r="A107" s="438">
        <v>41020000</v>
      </c>
      <c r="B107" s="684" t="s">
        <v>1457</v>
      </c>
      <c r="C107" s="609">
        <f t="shared" ref="C107:C108" si="8">SUM(D107,E107)</f>
        <v>16579700</v>
      </c>
      <c r="D107" s="609">
        <f>SUM(D108)</f>
        <v>16579700</v>
      </c>
      <c r="E107" s="609"/>
      <c r="F107" s="609"/>
      <c r="G107" s="138"/>
    </row>
    <row r="108" spans="1:7" ht="103.5" thickTop="1" thickBot="1" x14ac:dyDescent="0.25">
      <c r="A108" s="685">
        <v>41021400</v>
      </c>
      <c r="B108" s="686" t="s">
        <v>1464</v>
      </c>
      <c r="C108" s="609">
        <f t="shared" si="8"/>
        <v>16579700</v>
      </c>
      <c r="D108" s="610">
        <v>16579700</v>
      </c>
      <c r="E108" s="609"/>
      <c r="F108" s="609"/>
      <c r="G108" s="138"/>
    </row>
    <row r="109" spans="1:7" ht="27" thickTop="1" thickBot="1" x14ac:dyDescent="0.25">
      <c r="A109" s="438">
        <v>41040000</v>
      </c>
      <c r="B109" s="684" t="s">
        <v>349</v>
      </c>
      <c r="C109" s="609">
        <f>SUM(D109,E109)</f>
        <v>7557918.6399999997</v>
      </c>
      <c r="D109" s="609">
        <f>SUM(D110:D111)</f>
        <v>7557918.6399999997</v>
      </c>
      <c r="E109" s="609"/>
      <c r="F109" s="609"/>
      <c r="G109" s="138"/>
    </row>
    <row r="110" spans="1:7" ht="65.25" thickTop="1" thickBot="1" x14ac:dyDescent="0.25">
      <c r="A110" s="685">
        <v>41040200</v>
      </c>
      <c r="B110" s="686" t="s">
        <v>1206</v>
      </c>
      <c r="C110" s="609">
        <f t="shared" si="7"/>
        <v>7423154</v>
      </c>
      <c r="D110" s="610">
        <v>7423154</v>
      </c>
      <c r="E110" s="609"/>
      <c r="F110" s="609"/>
      <c r="G110" s="138"/>
    </row>
    <row r="111" spans="1:7" ht="15.75" thickTop="1" thickBot="1" x14ac:dyDescent="0.25">
      <c r="A111" s="685">
        <v>41040400</v>
      </c>
      <c r="B111" s="686" t="s">
        <v>1266</v>
      </c>
      <c r="C111" s="609">
        <f t="shared" si="7"/>
        <v>134764.64000000001</v>
      </c>
      <c r="D111" s="610">
        <v>134764.64000000001</v>
      </c>
      <c r="E111" s="609"/>
      <c r="F111" s="609"/>
      <c r="G111" s="138"/>
    </row>
    <row r="112" spans="1:7" ht="15.75" thickTop="1" thickBot="1" x14ac:dyDescent="0.25">
      <c r="A112" s="438">
        <v>41000000</v>
      </c>
      <c r="B112" s="438" t="s">
        <v>113</v>
      </c>
      <c r="C112" s="609">
        <f t="shared" si="7"/>
        <v>643254195</v>
      </c>
      <c r="D112" s="609">
        <f>SUM(D113,D121)</f>
        <v>643254195</v>
      </c>
      <c r="E112" s="609">
        <f>SUM(E113,E121)</f>
        <v>0</v>
      </c>
      <c r="F112" s="609">
        <f>SUM(F113,F121)</f>
        <v>0</v>
      </c>
      <c r="G112" s="138"/>
    </row>
    <row r="113" spans="1:7" ht="27" thickTop="1" thickBot="1" x14ac:dyDescent="0.3">
      <c r="A113" s="438">
        <v>41030000</v>
      </c>
      <c r="B113" s="687" t="s">
        <v>443</v>
      </c>
      <c r="C113" s="609">
        <f t="shared" si="7"/>
        <v>622434500</v>
      </c>
      <c r="D113" s="609">
        <f>SUM(D114:D120)</f>
        <v>622434500</v>
      </c>
      <c r="E113" s="609">
        <f>SUM(E114:E120)</f>
        <v>0</v>
      </c>
      <c r="F113" s="609">
        <f>SUM(F114:F120)</f>
        <v>0</v>
      </c>
      <c r="G113" s="137"/>
    </row>
    <row r="114" spans="1:7" ht="52.5" thickTop="1" thickBot="1" x14ac:dyDescent="0.3">
      <c r="A114" s="685">
        <v>41032300</v>
      </c>
      <c r="B114" s="688" t="s">
        <v>1001</v>
      </c>
      <c r="C114" s="609">
        <f t="shared" si="6"/>
        <v>0</v>
      </c>
      <c r="D114" s="610">
        <v>0</v>
      </c>
      <c r="E114" s="609"/>
      <c r="F114" s="610"/>
      <c r="G114" s="137"/>
    </row>
    <row r="115" spans="1:7" ht="52.5" thickTop="1" thickBot="1" x14ac:dyDescent="0.3">
      <c r="A115" s="685">
        <v>41033800</v>
      </c>
      <c r="B115" s="688" t="s">
        <v>1067</v>
      </c>
      <c r="C115" s="609">
        <f t="shared" si="6"/>
        <v>0</v>
      </c>
      <c r="D115" s="610">
        <v>0</v>
      </c>
      <c r="E115" s="609"/>
      <c r="F115" s="610"/>
      <c r="G115" s="137"/>
    </row>
    <row r="116" spans="1:7" ht="27" thickTop="1" thickBot="1" x14ac:dyDescent="0.3">
      <c r="A116" s="685">
        <v>41033900</v>
      </c>
      <c r="B116" s="688" t="s">
        <v>114</v>
      </c>
      <c r="C116" s="609">
        <f t="shared" si="6"/>
        <v>622434500</v>
      </c>
      <c r="D116" s="610">
        <f>(622418100)+16400</f>
        <v>622434500</v>
      </c>
      <c r="E116" s="610"/>
      <c r="F116" s="610"/>
      <c r="G116" s="137"/>
    </row>
    <row r="117" spans="1:7" ht="52.5" thickTop="1" thickBot="1" x14ac:dyDescent="0.3">
      <c r="A117" s="685">
        <v>41034500</v>
      </c>
      <c r="B117" s="688" t="s">
        <v>1068</v>
      </c>
      <c r="C117" s="609">
        <f t="shared" si="6"/>
        <v>0</v>
      </c>
      <c r="D117" s="610">
        <v>0</v>
      </c>
      <c r="E117" s="610">
        <v>0</v>
      </c>
      <c r="F117" s="610">
        <v>0</v>
      </c>
      <c r="G117" s="137"/>
    </row>
    <row r="118" spans="1:7" ht="52.5" thickTop="1" thickBot="1" x14ac:dyDescent="0.3">
      <c r="A118" s="685">
        <v>41035500</v>
      </c>
      <c r="B118" s="688" t="s">
        <v>1003</v>
      </c>
      <c r="C118" s="609">
        <f t="shared" si="6"/>
        <v>0</v>
      </c>
      <c r="D118" s="610">
        <v>0</v>
      </c>
      <c r="E118" s="610"/>
      <c r="F118" s="610"/>
      <c r="G118" s="137"/>
    </row>
    <row r="119" spans="1:7" ht="65.25" thickTop="1" thickBot="1" x14ac:dyDescent="0.3">
      <c r="A119" s="685">
        <v>41035600</v>
      </c>
      <c r="B119" s="688" t="s">
        <v>1028</v>
      </c>
      <c r="C119" s="609">
        <f t="shared" si="6"/>
        <v>0</v>
      </c>
      <c r="D119" s="610">
        <v>0</v>
      </c>
      <c r="E119" s="610"/>
      <c r="F119" s="610"/>
      <c r="G119" s="137"/>
    </row>
    <row r="120" spans="1:7" ht="39.75" thickTop="1" thickBot="1" x14ac:dyDescent="0.3">
      <c r="A120" s="685">
        <v>41035700</v>
      </c>
      <c r="B120" s="688" t="s">
        <v>993</v>
      </c>
      <c r="C120" s="609">
        <f t="shared" si="6"/>
        <v>0</v>
      </c>
      <c r="D120" s="610">
        <v>0</v>
      </c>
      <c r="E120" s="610"/>
      <c r="F120" s="610"/>
      <c r="G120" s="137"/>
    </row>
    <row r="121" spans="1:7" ht="27" thickTop="1" thickBot="1" x14ac:dyDescent="0.3">
      <c r="A121" s="438">
        <v>41050000</v>
      </c>
      <c r="B121" s="687" t="s">
        <v>478</v>
      </c>
      <c r="C121" s="609">
        <f t="shared" ref="C121:C128" si="9">SUM(D121,E121)</f>
        <v>20819695</v>
      </c>
      <c r="D121" s="609">
        <f>SUM(D122:D134)+D141+D142</f>
        <v>20819695</v>
      </c>
      <c r="E121" s="609">
        <f>SUM(E122:E134)</f>
        <v>0</v>
      </c>
      <c r="F121" s="609">
        <f>SUM(F122:F134)</f>
        <v>0</v>
      </c>
      <c r="G121" s="137"/>
    </row>
    <row r="122" spans="1:7" ht="269.25" hidden="1" thickTop="1" thickBot="1" x14ac:dyDescent="0.3">
      <c r="A122" s="689">
        <v>41050400</v>
      </c>
      <c r="B122" s="690" t="s">
        <v>1069</v>
      </c>
      <c r="C122" s="627">
        <f t="shared" si="9"/>
        <v>0</v>
      </c>
      <c r="D122" s="628">
        <v>0</v>
      </c>
      <c r="E122" s="628"/>
      <c r="F122" s="628"/>
      <c r="G122" s="137"/>
    </row>
    <row r="123" spans="1:7" ht="218.25" hidden="1" thickTop="1" thickBot="1" x14ac:dyDescent="0.3">
      <c r="A123" s="689">
        <v>41050500</v>
      </c>
      <c r="B123" s="690" t="s">
        <v>1070</v>
      </c>
      <c r="C123" s="627">
        <f t="shared" si="9"/>
        <v>0</v>
      </c>
      <c r="D123" s="628">
        <v>0</v>
      </c>
      <c r="E123" s="628"/>
      <c r="F123" s="628"/>
      <c r="G123" s="137"/>
    </row>
    <row r="124" spans="1:7" ht="320.25" hidden="1" thickTop="1" thickBot="1" x14ac:dyDescent="0.3">
      <c r="A124" s="689">
        <v>41050600</v>
      </c>
      <c r="B124" s="690" t="s">
        <v>1071</v>
      </c>
      <c r="C124" s="627">
        <f t="shared" si="9"/>
        <v>0</v>
      </c>
      <c r="D124" s="628">
        <v>0</v>
      </c>
      <c r="E124" s="628"/>
      <c r="F124" s="628"/>
      <c r="G124" s="137"/>
    </row>
    <row r="125" spans="1:7" ht="116.25" hidden="1" thickTop="1" thickBot="1" x14ac:dyDescent="0.3">
      <c r="A125" s="689">
        <v>41050900</v>
      </c>
      <c r="B125" s="690" t="s">
        <v>1072</v>
      </c>
      <c r="C125" s="627">
        <f t="shared" si="9"/>
        <v>0</v>
      </c>
      <c r="D125" s="628">
        <v>0</v>
      </c>
      <c r="E125" s="628"/>
      <c r="F125" s="628"/>
      <c r="G125" s="137"/>
    </row>
    <row r="126" spans="1:7" ht="39.75" thickTop="1" thickBot="1" x14ac:dyDescent="0.3">
      <c r="A126" s="685">
        <v>41051000</v>
      </c>
      <c r="B126" s="688" t="s">
        <v>479</v>
      </c>
      <c r="C126" s="609">
        <f t="shared" si="9"/>
        <v>8260086</v>
      </c>
      <c r="D126" s="610">
        <f>4544686+3715400</f>
        <v>8260086</v>
      </c>
      <c r="E126" s="610"/>
      <c r="F126" s="610"/>
      <c r="G126" s="137"/>
    </row>
    <row r="127" spans="1:7" ht="52.5" thickTop="1" thickBot="1" x14ac:dyDescent="0.3">
      <c r="A127" s="685">
        <v>41051200</v>
      </c>
      <c r="B127" s="688" t="s">
        <v>1380</v>
      </c>
      <c r="C127" s="609">
        <f>SUM(D127,E127)</f>
        <v>4309689</v>
      </c>
      <c r="D127" s="610">
        <v>4309689</v>
      </c>
      <c r="E127" s="610"/>
      <c r="F127" s="610"/>
      <c r="G127" s="137"/>
    </row>
    <row r="128" spans="1:7" ht="65.25" hidden="1" thickTop="1" thickBot="1" x14ac:dyDescent="0.3">
      <c r="A128" s="689">
        <v>41051400</v>
      </c>
      <c r="B128" s="690" t="s">
        <v>1006</v>
      </c>
      <c r="C128" s="627">
        <f t="shared" si="9"/>
        <v>0</v>
      </c>
      <c r="D128" s="628">
        <v>0</v>
      </c>
      <c r="E128" s="628"/>
      <c r="F128" s="628"/>
      <c r="G128" s="137"/>
    </row>
    <row r="129" spans="1:10" ht="65.25" hidden="1" thickTop="1" thickBot="1" x14ac:dyDescent="0.3">
      <c r="A129" s="689">
        <v>41051700</v>
      </c>
      <c r="B129" s="690" t="s">
        <v>962</v>
      </c>
      <c r="C129" s="627">
        <f t="shared" si="6"/>
        <v>0</v>
      </c>
      <c r="D129" s="628">
        <v>0</v>
      </c>
      <c r="E129" s="628"/>
      <c r="F129" s="628"/>
      <c r="G129" s="137"/>
    </row>
    <row r="130" spans="1:10" ht="90.75" hidden="1" thickTop="1" thickBot="1" x14ac:dyDescent="0.3">
      <c r="A130" s="689">
        <v>41056600</v>
      </c>
      <c r="B130" s="690" t="s">
        <v>1047</v>
      </c>
      <c r="C130" s="627">
        <f t="shared" si="6"/>
        <v>0</v>
      </c>
      <c r="D130" s="628">
        <f>10623233.82-10623233.82</f>
        <v>0</v>
      </c>
      <c r="E130" s="628"/>
      <c r="F130" s="628"/>
      <c r="G130" s="137"/>
    </row>
    <row r="131" spans="1:10" ht="52.5" hidden="1" thickTop="1" thickBot="1" x14ac:dyDescent="0.25">
      <c r="A131" s="689">
        <v>41055000</v>
      </c>
      <c r="B131" s="690" t="s">
        <v>1073</v>
      </c>
      <c r="C131" s="627">
        <f t="shared" si="6"/>
        <v>0</v>
      </c>
      <c r="D131" s="628">
        <v>0</v>
      </c>
      <c r="E131" s="628"/>
      <c r="F131" s="628"/>
      <c r="G131" s="138"/>
    </row>
    <row r="132" spans="1:10" ht="27" hidden="1" thickTop="1" thickBot="1" x14ac:dyDescent="0.25">
      <c r="A132" s="689">
        <v>41053600</v>
      </c>
      <c r="B132" s="690" t="s">
        <v>964</v>
      </c>
      <c r="C132" s="627">
        <f t="shared" si="6"/>
        <v>0</v>
      </c>
      <c r="D132" s="628"/>
      <c r="E132" s="628">
        <v>0</v>
      </c>
      <c r="F132" s="628"/>
      <c r="G132" s="138"/>
    </row>
    <row r="133" spans="1:10" ht="205.5" hidden="1" thickTop="1" thickBot="1" x14ac:dyDescent="0.25">
      <c r="A133" s="689">
        <v>41054200</v>
      </c>
      <c r="B133" s="690" t="s">
        <v>1074</v>
      </c>
      <c r="C133" s="627">
        <f t="shared" si="6"/>
        <v>0</v>
      </c>
      <c r="D133" s="628">
        <v>0</v>
      </c>
      <c r="E133" s="628"/>
      <c r="F133" s="628"/>
      <c r="G133" s="138"/>
    </row>
    <row r="134" spans="1:10" ht="27" thickTop="1" thickBot="1" x14ac:dyDescent="0.25">
      <c r="A134" s="685">
        <v>41053900</v>
      </c>
      <c r="B134" s="688" t="s">
        <v>914</v>
      </c>
      <c r="C134" s="609">
        <f t="shared" si="6"/>
        <v>961639</v>
      </c>
      <c r="D134" s="610">
        <f>SUM(D135:D140)</f>
        <v>961639</v>
      </c>
      <c r="E134" s="610">
        <f>SUM(E135:E140)</f>
        <v>0</v>
      </c>
      <c r="F134" s="610">
        <f>SUM(F135:F140)</f>
        <v>0</v>
      </c>
      <c r="G134" s="138"/>
    </row>
    <row r="135" spans="1:10" ht="15.75" thickTop="1" thickBot="1" x14ac:dyDescent="0.25">
      <c r="A135" s="685"/>
      <c r="B135" s="691" t="s">
        <v>965</v>
      </c>
      <c r="C135" s="613">
        <f>SUM(D135,E135)</f>
        <v>0</v>
      </c>
      <c r="D135" s="620"/>
      <c r="E135" s="620">
        <v>0</v>
      </c>
      <c r="F135" s="620">
        <v>0</v>
      </c>
      <c r="G135" s="138"/>
    </row>
    <row r="136" spans="1:10" ht="39.75" thickTop="1" thickBot="1" x14ac:dyDescent="0.25">
      <c r="A136" s="685"/>
      <c r="B136" s="691" t="s">
        <v>915</v>
      </c>
      <c r="C136" s="613">
        <f t="shared" si="6"/>
        <v>272462</v>
      </c>
      <c r="D136" s="620">
        <v>272462</v>
      </c>
      <c r="E136" s="620"/>
      <c r="F136" s="620"/>
      <c r="G136" s="138"/>
    </row>
    <row r="137" spans="1:10" ht="52.5" thickTop="1" thickBot="1" x14ac:dyDescent="0.25">
      <c r="A137" s="685"/>
      <c r="B137" s="691" t="s">
        <v>916</v>
      </c>
      <c r="C137" s="613">
        <f t="shared" si="6"/>
        <v>142618</v>
      </c>
      <c r="D137" s="620">
        <v>142618</v>
      </c>
      <c r="E137" s="620"/>
      <c r="F137" s="620"/>
      <c r="G137" s="138"/>
    </row>
    <row r="138" spans="1:10" ht="27" thickTop="1" thickBot="1" x14ac:dyDescent="0.25">
      <c r="A138" s="685"/>
      <c r="B138" s="691" t="s">
        <v>917</v>
      </c>
      <c r="C138" s="613">
        <f t="shared" si="6"/>
        <v>546559</v>
      </c>
      <c r="D138" s="620">
        <v>546559</v>
      </c>
      <c r="E138" s="620"/>
      <c r="F138" s="620"/>
      <c r="G138" s="138"/>
    </row>
    <row r="139" spans="1:10" ht="39.75" hidden="1" thickTop="1" thickBot="1" x14ac:dyDescent="0.25">
      <c r="A139" s="689"/>
      <c r="B139" s="692" t="s">
        <v>1126</v>
      </c>
      <c r="C139" s="142">
        <f t="shared" si="6"/>
        <v>0</v>
      </c>
      <c r="D139" s="143">
        <v>0</v>
      </c>
      <c r="E139" s="143"/>
      <c r="F139" s="143"/>
      <c r="G139" s="138"/>
    </row>
    <row r="140" spans="1:10" ht="27" hidden="1" thickTop="1" thickBot="1" x14ac:dyDescent="0.25">
      <c r="A140" s="689"/>
      <c r="B140" s="692" t="s">
        <v>1127</v>
      </c>
      <c r="C140" s="142">
        <f t="shared" si="6"/>
        <v>0</v>
      </c>
      <c r="D140" s="143"/>
      <c r="E140" s="143">
        <v>0</v>
      </c>
      <c r="F140" s="143">
        <v>0</v>
      </c>
      <c r="G140" s="138"/>
    </row>
    <row r="141" spans="1:10" ht="65.25" thickTop="1" thickBot="1" x14ac:dyDescent="0.25">
      <c r="A141" s="685">
        <v>41057700</v>
      </c>
      <c r="B141" s="688" t="s">
        <v>1500</v>
      </c>
      <c r="C141" s="609">
        <f>SUM(D141,E141)</f>
        <v>88281</v>
      </c>
      <c r="D141" s="610">
        <v>88281</v>
      </c>
      <c r="E141" s="610"/>
      <c r="F141" s="610"/>
      <c r="G141" s="138"/>
    </row>
    <row r="142" spans="1:10" ht="52.5" thickTop="1" thickBot="1" x14ac:dyDescent="0.25">
      <c r="A142" s="685">
        <v>41059000</v>
      </c>
      <c r="B142" s="688" t="s">
        <v>1529</v>
      </c>
      <c r="C142" s="609">
        <f>SUM(D142,E142)</f>
        <v>7200000</v>
      </c>
      <c r="D142" s="610">
        <v>7200000</v>
      </c>
      <c r="E142" s="610"/>
      <c r="F142" s="610"/>
      <c r="G142" s="138"/>
    </row>
    <row r="143" spans="1:10" ht="33.75" customHeight="1" thickTop="1" thickBot="1" x14ac:dyDescent="0.3">
      <c r="A143" s="693"/>
      <c r="B143" s="694" t="s">
        <v>1063</v>
      </c>
      <c r="C143" s="652">
        <f>SUM(D143,E143)</f>
        <v>4663656736.6400003</v>
      </c>
      <c r="D143" s="652">
        <f>SUM(D105,D106)</f>
        <v>4439618478.6400003</v>
      </c>
      <c r="E143" s="652">
        <f>SUM(E105,E112)</f>
        <v>224038258</v>
      </c>
      <c r="F143" s="652">
        <f>SUM(F105,F112)</f>
        <v>23512792</v>
      </c>
      <c r="G143" s="629" t="b">
        <f>C143=C138+C137+C136+C116+C110+C104+C97+C96+C92+C91+C90+C89+C86+C85+C84+C83+C81+C80+C78+C76+C75+C74+C71+C70+C69+C67+C66+C62+C61+C60+C57+C56+C55+C53+C52+C48+C47+C46+C45+C44+C43+C42+C41+C40+C39+C35+C33+C30+C28+C26+C23+C21+C20+C19+C18+C101+C100+C36+C50+C127+C126+C108+C141+C111+C142+C102</f>
        <v>1</v>
      </c>
      <c r="H143" s="629" t="b">
        <f>D143=D138+D137+D136+D116+D110+D104+D97+D96+D92+D91+D90+D89+D86+D85+D84+D83+D81+D80+D78+D76+D75+D74+D71+D70+D69+D67+D66+D62+D61+D60+D57+D56+D55+D53+D52+D48+D47+D46+D45+D44+D43+D42+D41+D40+D39+D35+D33+D30+D28+D26+D23+D21+D20+D19+D18+D101+D100+D36+D50+D127+D126+D108+D141+D142+D111+D102</f>
        <v>1</v>
      </c>
      <c r="I143" s="629" t="b">
        <f>E143=E138+E137+E136+E116+E110+E104+E97+E96+E92+E91+E90+E89+E86+E85+E84+E83+E81+E80+E78+E76+E75+E74+E71+E70+E69+E67+E66+E62+E61+E60+E57+E56+E55+E53+E52+E48+E47+E46+E45+E44+E43+E42+E41+E40+E39+E35+E33+E30+E28+E26+E23+E21+E20+E19+E18+E101+E100+E36+E50+E127+E126+E108+E141+E142+E111+E102</f>
        <v>1</v>
      </c>
      <c r="J143" s="629" t="b">
        <f>F143=F138+F137+F136+F116+F110+F104+F97+F96+F92+F91+F90+F89+F86+F85+F84+F83+F81+F80+F78+F76+F75+F74+F71+F70+F69+F67+F66+F62+F61+F60+F57+F56+F55+F53+F52+F48+F47+F46+F45+F44+F43+F42+F41+F40+F39+F35+F33+F30+F28+F26+F23+F21+F20+F19+F18+F101+F100+F36+F50+F127+F126+F108+F141+F142+F111+F102</f>
        <v>1</v>
      </c>
    </row>
    <row r="144" spans="1:10" ht="16.5" thickTop="1" x14ac:dyDescent="0.25">
      <c r="B144" s="144"/>
      <c r="G144" s="629" t="b">
        <f>((3453807039-'d2'!C32+7423154+961639+622418100+3715400+4544686)+16400+4309689+6350319+16579700+88281)+7200000+134764.64+550557565=C143</f>
        <v>1</v>
      </c>
      <c r="H144" s="630"/>
      <c r="I144" s="630"/>
      <c r="J144" s="630"/>
    </row>
    <row r="145" spans="1:7" ht="15.75" hidden="1" x14ac:dyDescent="0.25">
      <c r="B145" s="145"/>
      <c r="E145" s="145"/>
      <c r="G145" s="146"/>
    </row>
    <row r="146" spans="1:7" ht="15.75" x14ac:dyDescent="0.2">
      <c r="B146" s="1075" t="s">
        <v>1558</v>
      </c>
      <c r="C146"/>
      <c r="D146"/>
      <c r="E146" s="16" t="s">
        <v>1559</v>
      </c>
      <c r="F146" s="147"/>
    </row>
    <row r="147" spans="1:7" ht="15.75" x14ac:dyDescent="0.25">
      <c r="B147" s="1"/>
      <c r="C147" s="428"/>
      <c r="D147" s="428"/>
      <c r="E147" s="1"/>
    </row>
    <row r="148" spans="1:7" ht="15.75" x14ac:dyDescent="0.25">
      <c r="A148" s="148"/>
      <c r="B148" s="794" t="s">
        <v>529</v>
      </c>
      <c r="C148" s="1"/>
      <c r="D148" s="1"/>
      <c r="E148" s="1" t="s">
        <v>1465</v>
      </c>
      <c r="F148" s="148"/>
    </row>
    <row r="151" spans="1:7" x14ac:dyDescent="0.2">
      <c r="C151" s="149"/>
      <c r="D151" s="149"/>
      <c r="E151" s="149"/>
      <c r="F151" s="149"/>
    </row>
  </sheetData>
  <mergeCells count="13">
    <mergeCell ref="A6:F6"/>
    <mergeCell ref="A8:F8"/>
    <mergeCell ref="A9:F9"/>
    <mergeCell ref="A12:A13"/>
    <mergeCell ref="B12:B13"/>
    <mergeCell ref="C12:C13"/>
    <mergeCell ref="D12:D13"/>
    <mergeCell ref="E12:F12"/>
    <mergeCell ref="D1:G1"/>
    <mergeCell ref="D2:G2"/>
    <mergeCell ref="D3:G3"/>
    <mergeCell ref="A4:E4"/>
    <mergeCell ref="A5:F5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7" fitToHeight="0" orientation="portrait" verticalDpi="4294967295" r:id="rId1"/>
  <headerFooter alignWithMargins="0"/>
  <rowBreaks count="1" manualBreakCount="1">
    <brk id="10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J419"/>
  <sheetViews>
    <sheetView view="pageBreakPreview" topLeftCell="A96" zoomScaleNormal="100" zoomScaleSheetLayoutView="100" workbookViewId="0">
      <selection activeCell="D420" sqref="D420:P420"/>
    </sheetView>
  </sheetViews>
  <sheetFormatPr defaultColWidth="6.85546875" defaultRowHeight="12.75" x14ac:dyDescent="0.2"/>
  <cols>
    <col min="1" max="1" width="10.140625" style="135" customWidth="1"/>
    <col min="2" max="2" width="40.42578125" style="135" customWidth="1"/>
    <col min="3" max="4" width="17.28515625" style="135" customWidth="1"/>
    <col min="5" max="5" width="15.7109375" style="135" customWidth="1"/>
    <col min="6" max="6" width="14.5703125" style="135" customWidth="1"/>
    <col min="7" max="10" width="10.85546875" style="136" bestFit="1" customWidth="1"/>
    <col min="11" max="252" width="7.85546875" style="135" customWidth="1"/>
    <col min="253" max="16384" width="6.85546875" style="135"/>
  </cols>
  <sheetData>
    <row r="1" spans="1:7" ht="15.75" x14ac:dyDescent="0.2">
      <c r="A1" s="428"/>
      <c r="B1" s="428"/>
      <c r="C1" s="428"/>
      <c r="D1" s="857" t="s">
        <v>56</v>
      </c>
      <c r="E1" s="858"/>
      <c r="F1" s="858"/>
      <c r="G1" s="858"/>
    </row>
    <row r="2" spans="1:7" ht="15.75" x14ac:dyDescent="0.2">
      <c r="A2" s="428"/>
      <c r="B2" s="428"/>
      <c r="C2" s="429"/>
      <c r="D2" s="857" t="s">
        <v>1391</v>
      </c>
      <c r="E2" s="859"/>
      <c r="F2" s="859"/>
      <c r="G2" s="859"/>
    </row>
    <row r="3" spans="1:7" ht="6" hidden="1" customHeight="1" x14ac:dyDescent="0.2">
      <c r="A3" s="430"/>
      <c r="B3" s="430"/>
      <c r="C3" s="431"/>
      <c r="D3" s="860"/>
      <c r="E3" s="861"/>
      <c r="F3" s="861"/>
      <c r="G3" s="861"/>
    </row>
    <row r="4" spans="1:7" ht="12.75" customHeight="1" x14ac:dyDescent="0.2">
      <c r="A4" s="862"/>
      <c r="B4" s="862"/>
      <c r="C4" s="862"/>
      <c r="D4" s="862"/>
      <c r="E4" s="862"/>
      <c r="F4" s="430"/>
      <c r="G4" s="430"/>
    </row>
    <row r="5" spans="1:7" ht="20.25" x14ac:dyDescent="0.2">
      <c r="A5" s="862" t="s">
        <v>1556</v>
      </c>
      <c r="B5" s="863"/>
      <c r="C5" s="863"/>
      <c r="D5" s="863"/>
      <c r="E5" s="863"/>
      <c r="F5" s="863"/>
      <c r="G5" s="430"/>
    </row>
    <row r="6" spans="1:7" ht="20.25" x14ac:dyDescent="0.2">
      <c r="A6" s="862" t="s">
        <v>1315</v>
      </c>
      <c r="B6" s="863"/>
      <c r="C6" s="863"/>
      <c r="D6" s="863"/>
      <c r="E6" s="863"/>
      <c r="F6" s="863"/>
      <c r="G6" s="430"/>
    </row>
    <row r="7" spans="1:7" ht="20.25" x14ac:dyDescent="0.2">
      <c r="A7" s="795"/>
      <c r="B7" s="796"/>
      <c r="C7" s="796"/>
      <c r="D7" s="796"/>
      <c r="E7" s="796"/>
      <c r="F7" s="796"/>
      <c r="G7" s="430"/>
    </row>
    <row r="8" spans="1:7" ht="20.25" x14ac:dyDescent="0.2">
      <c r="A8" s="864">
        <v>2256400000</v>
      </c>
      <c r="B8" s="865"/>
      <c r="C8" s="865"/>
      <c r="D8" s="865"/>
      <c r="E8" s="865"/>
      <c r="F8" s="865"/>
      <c r="G8" s="430"/>
    </row>
    <row r="9" spans="1:7" ht="15.75" x14ac:dyDescent="0.2">
      <c r="A9" s="866" t="s">
        <v>495</v>
      </c>
      <c r="B9" s="867"/>
      <c r="C9" s="867"/>
      <c r="D9" s="867"/>
      <c r="E9" s="867"/>
      <c r="F9" s="867"/>
      <c r="G9" s="430"/>
    </row>
    <row r="10" spans="1:7" ht="20.25" x14ac:dyDescent="0.2">
      <c r="A10" s="795"/>
      <c r="B10" s="434"/>
      <c r="C10" s="434"/>
      <c r="D10" s="434"/>
      <c r="E10" s="434"/>
      <c r="F10" s="434"/>
      <c r="G10" s="430"/>
    </row>
    <row r="11" spans="1:7" ht="13.5" thickBot="1" x14ac:dyDescent="0.25">
      <c r="A11" s="430"/>
      <c r="B11" s="435"/>
      <c r="C11" s="435"/>
      <c r="D11" s="435"/>
      <c r="E11" s="435"/>
      <c r="F11" s="436" t="s">
        <v>409</v>
      </c>
      <c r="G11" s="430"/>
    </row>
    <row r="12" spans="1:7" ht="14.25" thickTop="1" thickBot="1" x14ac:dyDescent="0.25">
      <c r="A12" s="868" t="s">
        <v>57</v>
      </c>
      <c r="B12" s="868" t="s">
        <v>1316</v>
      </c>
      <c r="C12" s="868" t="s">
        <v>388</v>
      </c>
      <c r="D12" s="868" t="s">
        <v>12</v>
      </c>
      <c r="E12" s="868" t="s">
        <v>52</v>
      </c>
      <c r="F12" s="868"/>
      <c r="G12" s="437"/>
    </row>
    <row r="13" spans="1:7" ht="39.75" thickTop="1" thickBot="1" x14ac:dyDescent="0.3">
      <c r="A13" s="868"/>
      <c r="B13" s="868"/>
      <c r="C13" s="868"/>
      <c r="D13" s="868"/>
      <c r="E13" s="438" t="s">
        <v>389</v>
      </c>
      <c r="F13" s="438" t="s">
        <v>431</v>
      </c>
      <c r="G13" s="439"/>
    </row>
    <row r="14" spans="1:7" ht="16.5" thickTop="1" thickBot="1" x14ac:dyDescent="0.3">
      <c r="A14" s="438">
        <v>1</v>
      </c>
      <c r="B14" s="438">
        <v>2</v>
      </c>
      <c r="C14" s="438">
        <v>3</v>
      </c>
      <c r="D14" s="438">
        <v>4</v>
      </c>
      <c r="E14" s="438">
        <v>5</v>
      </c>
      <c r="F14" s="438">
        <v>6</v>
      </c>
      <c r="G14" s="439"/>
    </row>
    <row r="15" spans="1:7" ht="25.5" customHeight="1" thickTop="1" thickBot="1" x14ac:dyDescent="0.25">
      <c r="A15" s="653">
        <v>10000000</v>
      </c>
      <c r="B15" s="653" t="s">
        <v>58</v>
      </c>
      <c r="C15" s="654">
        <f t="shared" ref="C15:C78" si="0">SUM(D15,E15)</f>
        <v>3160709100</v>
      </c>
      <c r="D15" s="654">
        <f>SUM(D16,D29,D37,D58,D24)</f>
        <v>3159359100</v>
      </c>
      <c r="E15" s="654">
        <f>SUM(E16,E29,E37,E58,E24)</f>
        <v>1350000</v>
      </c>
      <c r="F15" s="654">
        <f>SUM(F16,F29,F37,F58,F24)</f>
        <v>0</v>
      </c>
      <c r="G15" s="138"/>
    </row>
    <row r="16" spans="1:7" ht="31.7" customHeight="1" thickTop="1" thickBot="1" x14ac:dyDescent="0.25">
      <c r="A16" s="615">
        <v>11000000</v>
      </c>
      <c r="B16" s="615" t="s">
        <v>59</v>
      </c>
      <c r="C16" s="609">
        <f>SUM(D16,E16)</f>
        <v>2257159100</v>
      </c>
      <c r="D16" s="609">
        <f>SUM(D17,D22)</f>
        <v>2257159100</v>
      </c>
      <c r="E16" s="609"/>
      <c r="F16" s="609"/>
      <c r="G16" s="139"/>
    </row>
    <row r="17" spans="1:7" ht="24.75" customHeight="1" thickTop="1" thickBot="1" x14ac:dyDescent="0.25">
      <c r="A17" s="611">
        <v>11010000</v>
      </c>
      <c r="B17" s="612" t="s">
        <v>60</v>
      </c>
      <c r="C17" s="613">
        <f t="shared" si="0"/>
        <v>2256159100</v>
      </c>
      <c r="D17" s="613">
        <f>SUM(D18:D21)</f>
        <v>2256159100</v>
      </c>
      <c r="E17" s="613"/>
      <c r="F17" s="613"/>
      <c r="G17" s="139"/>
    </row>
    <row r="18" spans="1:7" ht="39.75" thickTop="1" thickBot="1" x14ac:dyDescent="0.25">
      <c r="A18" s="607">
        <v>11010100</v>
      </c>
      <c r="B18" s="608" t="s">
        <v>61</v>
      </c>
      <c r="C18" s="609">
        <f t="shared" si="0"/>
        <v>1173299900</v>
      </c>
      <c r="D18" s="610">
        <v>1173299900</v>
      </c>
      <c r="E18" s="610"/>
      <c r="F18" s="610"/>
      <c r="G18" s="139"/>
    </row>
    <row r="19" spans="1:7" ht="65.25" thickTop="1" thickBot="1" x14ac:dyDescent="0.25">
      <c r="A19" s="607">
        <v>11010200</v>
      </c>
      <c r="B19" s="608" t="s">
        <v>62</v>
      </c>
      <c r="C19" s="609">
        <f t="shared" si="0"/>
        <v>1022159100</v>
      </c>
      <c r="D19" s="610">
        <v>1022159100</v>
      </c>
      <c r="E19" s="610"/>
      <c r="F19" s="610"/>
      <c r="G19" s="139"/>
    </row>
    <row r="20" spans="1:7" ht="39.75" thickTop="1" thickBot="1" x14ac:dyDescent="0.25">
      <c r="A20" s="607">
        <v>11010400</v>
      </c>
      <c r="B20" s="608" t="s">
        <v>63</v>
      </c>
      <c r="C20" s="609">
        <f t="shared" si="0"/>
        <v>40200100</v>
      </c>
      <c r="D20" s="610">
        <v>40200100</v>
      </c>
      <c r="E20" s="610"/>
      <c r="F20" s="610"/>
      <c r="G20" s="139"/>
    </row>
    <row r="21" spans="1:7" ht="39.75" thickTop="1" thickBot="1" x14ac:dyDescent="0.3">
      <c r="A21" s="607">
        <v>11010500</v>
      </c>
      <c r="B21" s="608" t="s">
        <v>64</v>
      </c>
      <c r="C21" s="609">
        <f t="shared" si="0"/>
        <v>20500000</v>
      </c>
      <c r="D21" s="610">
        <v>20500000</v>
      </c>
      <c r="E21" s="610"/>
      <c r="F21" s="610"/>
      <c r="G21" s="137"/>
    </row>
    <row r="22" spans="1:7" ht="28.5" customHeight="1" thickTop="1" thickBot="1" x14ac:dyDescent="0.25">
      <c r="A22" s="611">
        <v>11020000</v>
      </c>
      <c r="B22" s="612" t="s">
        <v>65</v>
      </c>
      <c r="C22" s="613">
        <f>SUM(D22,E22)</f>
        <v>1000000</v>
      </c>
      <c r="D22" s="613">
        <f>D23</f>
        <v>1000000</v>
      </c>
      <c r="E22" s="613"/>
      <c r="F22" s="613"/>
      <c r="G22" s="138"/>
    </row>
    <row r="23" spans="1:7" ht="27" thickTop="1" thickBot="1" x14ac:dyDescent="0.3">
      <c r="A23" s="607">
        <v>11020200</v>
      </c>
      <c r="B23" s="614" t="s">
        <v>66</v>
      </c>
      <c r="C23" s="609">
        <f>SUM(D23,E23)</f>
        <v>1000000</v>
      </c>
      <c r="D23" s="610">
        <v>1000000</v>
      </c>
      <c r="E23" s="610"/>
      <c r="F23" s="610"/>
      <c r="G23" s="137"/>
    </row>
    <row r="24" spans="1:7" ht="27" thickTop="1" thickBot="1" x14ac:dyDescent="0.3">
      <c r="A24" s="615">
        <v>13000000</v>
      </c>
      <c r="B24" s="616" t="s">
        <v>532</v>
      </c>
      <c r="C24" s="609">
        <f>D24+E24</f>
        <v>1200000</v>
      </c>
      <c r="D24" s="609">
        <f>SUM(D25,D27)</f>
        <v>1200000</v>
      </c>
      <c r="E24" s="610"/>
      <c r="F24" s="610"/>
      <c r="G24" s="137"/>
    </row>
    <row r="25" spans="1:7" ht="28.5" thickTop="1" thickBot="1" x14ac:dyDescent="0.3">
      <c r="A25" s="611">
        <v>13010000</v>
      </c>
      <c r="B25" s="617" t="s">
        <v>533</v>
      </c>
      <c r="C25" s="613">
        <f>D25+E25</f>
        <v>1155000</v>
      </c>
      <c r="D25" s="613">
        <f>SUM(D26)</f>
        <v>1155000</v>
      </c>
      <c r="E25" s="613"/>
      <c r="F25" s="613"/>
      <c r="G25" s="137"/>
    </row>
    <row r="26" spans="1:7" ht="65.25" thickTop="1" thickBot="1" x14ac:dyDescent="0.3">
      <c r="A26" s="607">
        <v>13010200</v>
      </c>
      <c r="B26" s="618" t="s">
        <v>534</v>
      </c>
      <c r="C26" s="609">
        <f t="shared" ref="C26:C29" si="1">D26+E26</f>
        <v>1155000</v>
      </c>
      <c r="D26" s="610">
        <v>1155000</v>
      </c>
      <c r="E26" s="610"/>
      <c r="F26" s="610"/>
      <c r="G26" s="137"/>
    </row>
    <row r="27" spans="1:7" ht="16.5" thickTop="1" thickBot="1" x14ac:dyDescent="0.3">
      <c r="A27" s="611">
        <v>13030000</v>
      </c>
      <c r="B27" s="619" t="s">
        <v>535</v>
      </c>
      <c r="C27" s="613">
        <f>D27+E27</f>
        <v>45000</v>
      </c>
      <c r="D27" s="613">
        <f>SUM(D28)</f>
        <v>45000</v>
      </c>
      <c r="E27" s="613"/>
      <c r="F27" s="613"/>
      <c r="G27" s="137"/>
    </row>
    <row r="28" spans="1:7" ht="39.75" thickTop="1" thickBot="1" x14ac:dyDescent="0.3">
      <c r="A28" s="607">
        <v>13030100</v>
      </c>
      <c r="B28" s="618" t="s">
        <v>536</v>
      </c>
      <c r="C28" s="609">
        <f t="shared" si="1"/>
        <v>45000</v>
      </c>
      <c r="D28" s="610">
        <v>45000</v>
      </c>
      <c r="E28" s="610"/>
      <c r="F28" s="610"/>
      <c r="G28" s="137"/>
    </row>
    <row r="29" spans="1:7" ht="26.45" customHeight="1" thickTop="1" thickBot="1" x14ac:dyDescent="0.3">
      <c r="A29" s="615">
        <v>14000000</v>
      </c>
      <c r="B29" s="616" t="s">
        <v>537</v>
      </c>
      <c r="C29" s="609">
        <f t="shared" si="1"/>
        <v>220250000</v>
      </c>
      <c r="D29" s="609">
        <f>SUM(D30,D32,D34)</f>
        <v>220250000</v>
      </c>
      <c r="E29" s="609"/>
      <c r="F29" s="610"/>
      <c r="G29" s="137"/>
    </row>
    <row r="30" spans="1:7" ht="30" customHeight="1" thickTop="1" thickBot="1" x14ac:dyDescent="0.3">
      <c r="A30" s="611">
        <v>14020000</v>
      </c>
      <c r="B30" s="617" t="s">
        <v>631</v>
      </c>
      <c r="C30" s="613">
        <f>SUM(D30,E30)</f>
        <v>9920600</v>
      </c>
      <c r="D30" s="613">
        <f>SUM(D31,E31)</f>
        <v>9920600</v>
      </c>
      <c r="E30" s="613"/>
      <c r="F30" s="620"/>
      <c r="G30" s="137"/>
    </row>
    <row r="31" spans="1:7" ht="16.5" thickTop="1" thickBot="1" x14ac:dyDescent="0.3">
      <c r="A31" s="607">
        <v>14021900</v>
      </c>
      <c r="B31" s="614" t="s">
        <v>630</v>
      </c>
      <c r="C31" s="610">
        <f>SUM(D31,E31)</f>
        <v>9920600</v>
      </c>
      <c r="D31" s="610">
        <v>9920600</v>
      </c>
      <c r="E31" s="609"/>
      <c r="F31" s="610"/>
      <c r="G31" s="137"/>
    </row>
    <row r="32" spans="1:7" ht="42" thickTop="1" thickBot="1" x14ac:dyDescent="0.3">
      <c r="A32" s="611">
        <v>14030000</v>
      </c>
      <c r="B32" s="617" t="s">
        <v>632</v>
      </c>
      <c r="C32" s="613">
        <f>SUM(D32,E32)</f>
        <v>50079400</v>
      </c>
      <c r="D32" s="613">
        <f>SUM(D33,E33)</f>
        <v>50079400</v>
      </c>
      <c r="E32" s="613"/>
      <c r="F32" s="620"/>
      <c r="G32" s="137"/>
    </row>
    <row r="33" spans="1:7" ht="16.5" thickTop="1" thickBot="1" x14ac:dyDescent="0.3">
      <c r="A33" s="607">
        <v>14031900</v>
      </c>
      <c r="B33" s="614" t="s">
        <v>630</v>
      </c>
      <c r="C33" s="610">
        <f>SUM(D33,E33)</f>
        <v>50079400</v>
      </c>
      <c r="D33" s="610">
        <v>50079400</v>
      </c>
      <c r="E33" s="609"/>
      <c r="F33" s="610"/>
      <c r="G33" s="137"/>
    </row>
    <row r="34" spans="1:7" ht="42" thickTop="1" thickBot="1" x14ac:dyDescent="0.3">
      <c r="A34" s="611">
        <v>14040000</v>
      </c>
      <c r="B34" s="617" t="s">
        <v>1258</v>
      </c>
      <c r="C34" s="613">
        <f>SUM(C35:C36)</f>
        <v>160250000</v>
      </c>
      <c r="D34" s="613">
        <f>SUM(D35:D36)</f>
        <v>160250000</v>
      </c>
      <c r="E34" s="613"/>
      <c r="F34" s="620"/>
      <c r="G34" s="137"/>
    </row>
    <row r="35" spans="1:7" ht="103.5" thickTop="1" thickBot="1" x14ac:dyDescent="0.25">
      <c r="A35" s="607">
        <v>14040100</v>
      </c>
      <c r="B35" s="614" t="s">
        <v>1279</v>
      </c>
      <c r="C35" s="610">
        <f>SUM(D35,E35)</f>
        <v>55050000</v>
      </c>
      <c r="D35" s="610">
        <v>55050000</v>
      </c>
      <c r="E35" s="609"/>
      <c r="F35" s="610"/>
      <c r="G35" s="140"/>
    </row>
    <row r="36" spans="1:7" ht="78" thickTop="1" thickBot="1" x14ac:dyDescent="0.25">
      <c r="A36" s="607">
        <v>14040200</v>
      </c>
      <c r="B36" s="614" t="s">
        <v>1257</v>
      </c>
      <c r="C36" s="610">
        <f>SUM(D36,E36)</f>
        <v>105200000</v>
      </c>
      <c r="D36" s="610">
        <v>105200000</v>
      </c>
      <c r="E36" s="609"/>
      <c r="F36" s="610"/>
      <c r="G36" s="140"/>
    </row>
    <row r="37" spans="1:7" ht="29.25" customHeight="1" thickTop="1" thickBot="1" x14ac:dyDescent="0.3">
      <c r="A37" s="615">
        <v>18000000</v>
      </c>
      <c r="B37" s="615" t="s">
        <v>67</v>
      </c>
      <c r="C37" s="609">
        <f t="shared" si="0"/>
        <v>680750000</v>
      </c>
      <c r="D37" s="609">
        <f>SUM(D38,D51,D54,D49)</f>
        <v>680750000</v>
      </c>
      <c r="E37" s="609"/>
      <c r="F37" s="609"/>
      <c r="G37" s="137"/>
    </row>
    <row r="38" spans="1:7" ht="16.5" thickTop="1" thickBot="1" x14ac:dyDescent="0.3">
      <c r="A38" s="611">
        <v>18010000</v>
      </c>
      <c r="B38" s="617" t="s">
        <v>68</v>
      </c>
      <c r="C38" s="613">
        <f>SUM(D38,E38)</f>
        <v>237500000</v>
      </c>
      <c r="D38" s="613">
        <f>SUM(D39:D48)</f>
        <v>237500000</v>
      </c>
      <c r="E38" s="613"/>
      <c r="F38" s="613"/>
      <c r="G38" s="137"/>
    </row>
    <row r="39" spans="1:7" ht="52.5" thickTop="1" thickBot="1" x14ac:dyDescent="0.3">
      <c r="A39" s="607">
        <v>18010100</v>
      </c>
      <c r="B39" s="614" t="s">
        <v>69</v>
      </c>
      <c r="C39" s="609">
        <f t="shared" si="0"/>
        <v>295000</v>
      </c>
      <c r="D39" s="610">
        <v>295000</v>
      </c>
      <c r="E39" s="610"/>
      <c r="F39" s="610"/>
      <c r="G39" s="137"/>
    </row>
    <row r="40" spans="1:7" ht="52.5" thickTop="1" thickBot="1" x14ac:dyDescent="0.3">
      <c r="A40" s="607">
        <v>18010200</v>
      </c>
      <c r="B40" s="614" t="s">
        <v>70</v>
      </c>
      <c r="C40" s="609">
        <f t="shared" si="0"/>
        <v>12597500</v>
      </c>
      <c r="D40" s="610">
        <v>12597500</v>
      </c>
      <c r="E40" s="610"/>
      <c r="F40" s="610"/>
      <c r="G40" s="137"/>
    </row>
    <row r="41" spans="1:7" ht="52.5" thickTop="1" thickBot="1" x14ac:dyDescent="0.3">
      <c r="A41" s="607">
        <v>18010300</v>
      </c>
      <c r="B41" s="614" t="s">
        <v>71</v>
      </c>
      <c r="C41" s="609">
        <f t="shared" si="0"/>
        <v>7200000</v>
      </c>
      <c r="D41" s="610">
        <v>7200000</v>
      </c>
      <c r="E41" s="610"/>
      <c r="F41" s="610"/>
      <c r="G41" s="137"/>
    </row>
    <row r="42" spans="1:7" ht="52.5" thickTop="1" thickBot="1" x14ac:dyDescent="0.3">
      <c r="A42" s="607">
        <v>18010400</v>
      </c>
      <c r="B42" s="614" t="s">
        <v>72</v>
      </c>
      <c r="C42" s="609">
        <f t="shared" si="0"/>
        <v>30507500</v>
      </c>
      <c r="D42" s="610">
        <v>30507500</v>
      </c>
      <c r="E42" s="610"/>
      <c r="F42" s="610"/>
      <c r="G42" s="137"/>
    </row>
    <row r="43" spans="1:7" ht="16.5" thickTop="1" thickBot="1" x14ac:dyDescent="0.3">
      <c r="A43" s="607">
        <v>18010500</v>
      </c>
      <c r="B43" s="614" t="s">
        <v>73</v>
      </c>
      <c r="C43" s="609">
        <f t="shared" si="0"/>
        <v>38050000</v>
      </c>
      <c r="D43" s="610">
        <v>38050000</v>
      </c>
      <c r="E43" s="610"/>
      <c r="F43" s="610"/>
      <c r="G43" s="137"/>
    </row>
    <row r="44" spans="1:7" ht="16.5" thickTop="1" thickBot="1" x14ac:dyDescent="0.3">
      <c r="A44" s="607">
        <v>18010600</v>
      </c>
      <c r="B44" s="614" t="s">
        <v>74</v>
      </c>
      <c r="C44" s="609">
        <f t="shared" si="0"/>
        <v>113600000</v>
      </c>
      <c r="D44" s="610">
        <v>113600000</v>
      </c>
      <c r="E44" s="610"/>
      <c r="F44" s="610"/>
      <c r="G44" s="137"/>
    </row>
    <row r="45" spans="1:7" ht="16.5" thickTop="1" thickBot="1" x14ac:dyDescent="0.3">
      <c r="A45" s="607">
        <v>18010700</v>
      </c>
      <c r="B45" s="614" t="s">
        <v>75</v>
      </c>
      <c r="C45" s="609">
        <f t="shared" si="0"/>
        <v>1705000</v>
      </c>
      <c r="D45" s="610">
        <v>1705000</v>
      </c>
      <c r="E45" s="610"/>
      <c r="F45" s="610"/>
      <c r="G45" s="137"/>
    </row>
    <row r="46" spans="1:7" ht="16.5" thickTop="1" thickBot="1" x14ac:dyDescent="0.3">
      <c r="A46" s="607">
        <v>18010900</v>
      </c>
      <c r="B46" s="614" t="s">
        <v>76</v>
      </c>
      <c r="C46" s="609">
        <f t="shared" si="0"/>
        <v>33145000</v>
      </c>
      <c r="D46" s="610">
        <v>33145000</v>
      </c>
      <c r="E46" s="610"/>
      <c r="F46" s="610"/>
      <c r="G46" s="137"/>
    </row>
    <row r="47" spans="1:7" ht="15.75" thickTop="1" thickBot="1" x14ac:dyDescent="0.25">
      <c r="A47" s="607">
        <v>18011000</v>
      </c>
      <c r="B47" s="614" t="s">
        <v>77</v>
      </c>
      <c r="C47" s="609">
        <f t="shared" si="0"/>
        <v>115000</v>
      </c>
      <c r="D47" s="610">
        <v>115000</v>
      </c>
      <c r="E47" s="610"/>
      <c r="F47" s="610"/>
      <c r="G47" s="138"/>
    </row>
    <row r="48" spans="1:7" ht="16.5" thickTop="1" thickBot="1" x14ac:dyDescent="0.3">
      <c r="A48" s="607">
        <v>18011100</v>
      </c>
      <c r="B48" s="614" t="s">
        <v>78</v>
      </c>
      <c r="C48" s="609">
        <f t="shared" si="0"/>
        <v>285000</v>
      </c>
      <c r="D48" s="610">
        <v>285000</v>
      </c>
      <c r="E48" s="610"/>
      <c r="F48" s="610"/>
      <c r="G48" s="137"/>
    </row>
    <row r="49" spans="1:7" ht="28.5" thickTop="1" thickBot="1" x14ac:dyDescent="0.3">
      <c r="A49" s="611">
        <v>18020000</v>
      </c>
      <c r="B49" s="617" t="s">
        <v>1202</v>
      </c>
      <c r="C49" s="613">
        <f t="shared" si="0"/>
        <v>250000</v>
      </c>
      <c r="D49" s="613">
        <f>SUM(D50,E50)</f>
        <v>250000</v>
      </c>
      <c r="E49" s="613"/>
      <c r="F49" s="613"/>
      <c r="G49" s="137"/>
    </row>
    <row r="50" spans="1:7" ht="27" thickTop="1" thickBot="1" x14ac:dyDescent="0.3">
      <c r="A50" s="607">
        <v>180201000</v>
      </c>
      <c r="B50" s="614" t="s">
        <v>1203</v>
      </c>
      <c r="C50" s="609">
        <f t="shared" si="0"/>
        <v>250000</v>
      </c>
      <c r="D50" s="610">
        <v>250000</v>
      </c>
      <c r="E50" s="610"/>
      <c r="F50" s="610"/>
      <c r="G50" s="137"/>
    </row>
    <row r="51" spans="1:7" ht="16.5" thickTop="1" thickBot="1" x14ac:dyDescent="0.3">
      <c r="A51" s="611">
        <v>18030000</v>
      </c>
      <c r="B51" s="617" t="s">
        <v>79</v>
      </c>
      <c r="C51" s="613">
        <f>SUM(D51,E51)</f>
        <v>1500000</v>
      </c>
      <c r="D51" s="613">
        <f>SUM(D52:D53)</f>
        <v>1500000</v>
      </c>
      <c r="E51" s="613"/>
      <c r="F51" s="613"/>
      <c r="G51" s="137"/>
    </row>
    <row r="52" spans="1:7" ht="27" thickTop="1" thickBot="1" x14ac:dyDescent="0.3">
      <c r="A52" s="607">
        <v>18030100</v>
      </c>
      <c r="B52" s="614" t="s">
        <v>80</v>
      </c>
      <c r="C52" s="609">
        <f>SUM(D52,E52)</f>
        <v>950200</v>
      </c>
      <c r="D52" s="610">
        <v>950200</v>
      </c>
      <c r="E52" s="610"/>
      <c r="F52" s="610"/>
      <c r="G52" s="137"/>
    </row>
    <row r="53" spans="1:7" ht="27" thickTop="1" thickBot="1" x14ac:dyDescent="0.3">
      <c r="A53" s="607">
        <v>18030200</v>
      </c>
      <c r="B53" s="614" t="s">
        <v>81</v>
      </c>
      <c r="C53" s="609">
        <f>SUM(D53,E53)</f>
        <v>549800</v>
      </c>
      <c r="D53" s="610">
        <v>549800</v>
      </c>
      <c r="E53" s="610"/>
      <c r="F53" s="610"/>
      <c r="G53" s="137"/>
    </row>
    <row r="54" spans="1:7" ht="16.5" thickTop="1" thickBot="1" x14ac:dyDescent="0.3">
      <c r="A54" s="611">
        <v>18050000</v>
      </c>
      <c r="B54" s="617" t="s">
        <v>82</v>
      </c>
      <c r="C54" s="613">
        <f>SUM(D54,E54)</f>
        <v>441500000</v>
      </c>
      <c r="D54" s="613">
        <f>SUM(D55:D57)</f>
        <v>441500000</v>
      </c>
      <c r="E54" s="620"/>
      <c r="F54" s="620"/>
      <c r="G54" s="137"/>
    </row>
    <row r="55" spans="1:7" ht="16.5" thickTop="1" thickBot="1" x14ac:dyDescent="0.3">
      <c r="A55" s="607">
        <v>18050300</v>
      </c>
      <c r="B55" s="608" t="s">
        <v>1064</v>
      </c>
      <c r="C55" s="609">
        <f t="shared" si="0"/>
        <v>87215000</v>
      </c>
      <c r="D55" s="610">
        <v>87215000</v>
      </c>
      <c r="E55" s="610"/>
      <c r="F55" s="610"/>
      <c r="G55" s="137"/>
    </row>
    <row r="56" spans="1:7" ht="15.75" thickTop="1" thickBot="1" x14ac:dyDescent="0.25">
      <c r="A56" s="607">
        <v>18050400</v>
      </c>
      <c r="B56" s="614" t="s">
        <v>83</v>
      </c>
      <c r="C56" s="609">
        <f t="shared" si="0"/>
        <v>350285000</v>
      </c>
      <c r="D56" s="610">
        <v>350285000</v>
      </c>
      <c r="E56" s="610"/>
      <c r="F56" s="610"/>
      <c r="G56" s="138"/>
    </row>
    <row r="57" spans="1:7" ht="65.25" thickTop="1" thickBot="1" x14ac:dyDescent="0.25">
      <c r="A57" s="607">
        <v>18050500</v>
      </c>
      <c r="B57" s="614" t="s">
        <v>545</v>
      </c>
      <c r="C57" s="609">
        <f t="shared" si="0"/>
        <v>4000000</v>
      </c>
      <c r="D57" s="610">
        <v>4000000</v>
      </c>
      <c r="E57" s="610"/>
      <c r="F57" s="610"/>
      <c r="G57" s="138"/>
    </row>
    <row r="58" spans="1:7" ht="31.7" customHeight="1" thickTop="1" thickBot="1" x14ac:dyDescent="0.25">
      <c r="A58" s="615">
        <v>19000000</v>
      </c>
      <c r="B58" s="621" t="s">
        <v>538</v>
      </c>
      <c r="C58" s="609">
        <f t="shared" si="0"/>
        <v>1350000</v>
      </c>
      <c r="D58" s="609"/>
      <c r="E58" s="609">
        <f>SUM(E60:E62)</f>
        <v>1350000</v>
      </c>
      <c r="F58" s="610"/>
      <c r="G58" s="138"/>
    </row>
    <row r="59" spans="1:7" ht="16.5" thickTop="1" thickBot="1" x14ac:dyDescent="0.3">
      <c r="A59" s="611">
        <v>1901000</v>
      </c>
      <c r="B59" s="612" t="s">
        <v>84</v>
      </c>
      <c r="C59" s="613">
        <f t="shared" si="0"/>
        <v>1350000</v>
      </c>
      <c r="D59" s="613">
        <f>SUM(D60:D62)</f>
        <v>0</v>
      </c>
      <c r="E59" s="613">
        <f>SUM(E60:E62)</f>
        <v>1350000</v>
      </c>
      <c r="F59" s="613"/>
      <c r="G59" s="137"/>
    </row>
    <row r="60" spans="1:7" ht="52.5" thickTop="1" thickBot="1" x14ac:dyDescent="0.3">
      <c r="A60" s="607">
        <v>19010100</v>
      </c>
      <c r="B60" s="608" t="s">
        <v>539</v>
      </c>
      <c r="C60" s="609">
        <f t="shared" si="0"/>
        <v>225100</v>
      </c>
      <c r="D60" s="610"/>
      <c r="E60" s="610">
        <v>225100</v>
      </c>
      <c r="F60" s="610"/>
      <c r="G60" s="137"/>
    </row>
    <row r="61" spans="1:7" ht="27" thickTop="1" thickBot="1" x14ac:dyDescent="0.25">
      <c r="A61" s="607">
        <v>19010200</v>
      </c>
      <c r="B61" s="608" t="s">
        <v>1360</v>
      </c>
      <c r="C61" s="609">
        <f t="shared" si="0"/>
        <v>195200</v>
      </c>
      <c r="D61" s="610"/>
      <c r="E61" s="610">
        <v>195200</v>
      </c>
      <c r="F61" s="610"/>
      <c r="G61" s="140"/>
    </row>
    <row r="62" spans="1:7" ht="52.5" thickTop="1" thickBot="1" x14ac:dyDescent="0.3">
      <c r="A62" s="607">
        <v>19010300</v>
      </c>
      <c r="B62" s="608" t="s">
        <v>1361</v>
      </c>
      <c r="C62" s="609">
        <f t="shared" si="0"/>
        <v>929700</v>
      </c>
      <c r="D62" s="610"/>
      <c r="E62" s="610">
        <v>929700</v>
      </c>
      <c r="F62" s="610"/>
      <c r="G62" s="137"/>
    </row>
    <row r="63" spans="1:7" ht="30" customHeight="1" thickTop="1" thickBot="1" x14ac:dyDescent="0.3">
      <c r="A63" s="653">
        <v>20000000</v>
      </c>
      <c r="B63" s="653" t="s">
        <v>85</v>
      </c>
      <c r="C63" s="654">
        <f t="shared" si="0"/>
        <v>272509778</v>
      </c>
      <c r="D63" s="654">
        <f>SUM(D64,D72,D82,D87)</f>
        <v>72535000</v>
      </c>
      <c r="E63" s="654">
        <f>SUM(E64,E72,E82,E87)</f>
        <v>199974778</v>
      </c>
      <c r="F63" s="654">
        <f>SUM(F64,F72,F82,F87)</f>
        <v>5000012</v>
      </c>
      <c r="G63" s="137"/>
    </row>
    <row r="64" spans="1:7" ht="27" thickTop="1" thickBot="1" x14ac:dyDescent="0.3">
      <c r="A64" s="615">
        <v>21000000</v>
      </c>
      <c r="B64" s="615" t="s">
        <v>540</v>
      </c>
      <c r="C64" s="609">
        <f>SUM(D64,E64)</f>
        <v>18700000</v>
      </c>
      <c r="D64" s="609">
        <f>SUM(D65,D68,D67)</f>
        <v>18700000</v>
      </c>
      <c r="E64" s="609"/>
      <c r="F64" s="609"/>
      <c r="G64" s="137"/>
    </row>
    <row r="65" spans="1:7" ht="55.5" thickTop="1" thickBot="1" x14ac:dyDescent="0.3">
      <c r="A65" s="611">
        <v>21010000</v>
      </c>
      <c r="B65" s="617" t="s">
        <v>541</v>
      </c>
      <c r="C65" s="613">
        <f t="shared" si="0"/>
        <v>700000</v>
      </c>
      <c r="D65" s="613">
        <f>D66</f>
        <v>700000</v>
      </c>
      <c r="E65" s="613"/>
      <c r="F65" s="613"/>
      <c r="G65" s="137"/>
    </row>
    <row r="66" spans="1:7" ht="52.5" thickTop="1" thickBot="1" x14ac:dyDescent="0.3">
      <c r="A66" s="607">
        <v>21010300</v>
      </c>
      <c r="B66" s="614" t="s">
        <v>86</v>
      </c>
      <c r="C66" s="609">
        <f t="shared" si="0"/>
        <v>700000</v>
      </c>
      <c r="D66" s="610">
        <v>700000</v>
      </c>
      <c r="E66" s="610"/>
      <c r="F66" s="610"/>
      <c r="G66" s="137"/>
    </row>
    <row r="67" spans="1:7" ht="28.5" thickTop="1" thickBot="1" x14ac:dyDescent="0.3">
      <c r="A67" s="611">
        <v>21050000</v>
      </c>
      <c r="B67" s="617" t="s">
        <v>87</v>
      </c>
      <c r="C67" s="613">
        <f t="shared" si="0"/>
        <v>3500000</v>
      </c>
      <c r="D67" s="613">
        <v>3500000</v>
      </c>
      <c r="E67" s="613"/>
      <c r="F67" s="613"/>
      <c r="G67" s="137"/>
    </row>
    <row r="68" spans="1:7" ht="15" thickTop="1" thickBot="1" x14ac:dyDescent="0.25">
      <c r="A68" s="611">
        <v>21080000</v>
      </c>
      <c r="B68" s="617" t="s">
        <v>1065</v>
      </c>
      <c r="C68" s="613">
        <f t="shared" si="0"/>
        <v>14500000</v>
      </c>
      <c r="D68" s="613">
        <f>SUM(D69:D71)</f>
        <v>14500000</v>
      </c>
      <c r="E68" s="613"/>
      <c r="F68" s="613"/>
      <c r="G68" s="140"/>
    </row>
    <row r="69" spans="1:7" ht="16.5" thickTop="1" thickBot="1" x14ac:dyDescent="0.3">
      <c r="A69" s="607">
        <v>21081100</v>
      </c>
      <c r="B69" s="622" t="s">
        <v>88</v>
      </c>
      <c r="C69" s="609">
        <f t="shared" si="0"/>
        <v>5000000</v>
      </c>
      <c r="D69" s="610">
        <v>5000000</v>
      </c>
      <c r="E69" s="610"/>
      <c r="F69" s="610"/>
      <c r="G69" s="137"/>
    </row>
    <row r="70" spans="1:7" ht="90.75" thickTop="1" thickBot="1" x14ac:dyDescent="0.3">
      <c r="A70" s="607">
        <v>21081500</v>
      </c>
      <c r="B70" s="608" t="s">
        <v>1378</v>
      </c>
      <c r="C70" s="609">
        <f t="shared" si="0"/>
        <v>500000</v>
      </c>
      <c r="D70" s="610">
        <v>500000</v>
      </c>
      <c r="E70" s="610"/>
      <c r="F70" s="610"/>
      <c r="G70" s="137"/>
    </row>
    <row r="71" spans="1:7" ht="16.5" thickTop="1" thickBot="1" x14ac:dyDescent="0.3">
      <c r="A71" s="607">
        <v>21081700</v>
      </c>
      <c r="B71" s="608" t="s">
        <v>379</v>
      </c>
      <c r="C71" s="609">
        <f t="shared" si="0"/>
        <v>9000000</v>
      </c>
      <c r="D71" s="610">
        <v>9000000</v>
      </c>
      <c r="E71" s="610"/>
      <c r="F71" s="610"/>
      <c r="G71" s="141"/>
    </row>
    <row r="72" spans="1:7" ht="27" thickTop="1" thickBot="1" x14ac:dyDescent="0.3">
      <c r="A72" s="615">
        <v>22000000</v>
      </c>
      <c r="B72" s="615" t="s">
        <v>89</v>
      </c>
      <c r="C72" s="609">
        <f t="shared" si="0"/>
        <v>34835000</v>
      </c>
      <c r="D72" s="609">
        <f>SUM(D73,D77,D79)</f>
        <v>34835000</v>
      </c>
      <c r="E72" s="610"/>
      <c r="F72" s="610"/>
      <c r="G72" s="137"/>
    </row>
    <row r="73" spans="1:7" ht="24.75" customHeight="1" thickTop="1" thickBot="1" x14ac:dyDescent="0.3">
      <c r="A73" s="611">
        <v>22010000</v>
      </c>
      <c r="B73" s="612" t="s">
        <v>542</v>
      </c>
      <c r="C73" s="613">
        <f t="shared" si="0"/>
        <v>24535000</v>
      </c>
      <c r="D73" s="613">
        <f>SUM(D74:D76)</f>
        <v>24535000</v>
      </c>
      <c r="E73" s="613"/>
      <c r="F73" s="613"/>
      <c r="G73" s="137"/>
    </row>
    <row r="74" spans="1:7" ht="39.75" thickTop="1" thickBot="1" x14ac:dyDescent="0.3">
      <c r="A74" s="607">
        <v>22010300</v>
      </c>
      <c r="B74" s="608" t="s">
        <v>148</v>
      </c>
      <c r="C74" s="609">
        <f t="shared" si="0"/>
        <v>900200</v>
      </c>
      <c r="D74" s="610">
        <v>900200</v>
      </c>
      <c r="E74" s="610"/>
      <c r="F74" s="610"/>
      <c r="G74" s="137"/>
    </row>
    <row r="75" spans="1:7" ht="16.5" thickTop="1" thickBot="1" x14ac:dyDescent="0.3">
      <c r="A75" s="607">
        <v>22012500</v>
      </c>
      <c r="B75" s="608" t="s">
        <v>91</v>
      </c>
      <c r="C75" s="609">
        <f t="shared" si="0"/>
        <v>22629150</v>
      </c>
      <c r="D75" s="610">
        <v>22629150</v>
      </c>
      <c r="E75" s="610"/>
      <c r="F75" s="610"/>
      <c r="G75" s="137"/>
    </row>
    <row r="76" spans="1:7" ht="27" thickTop="1" thickBot="1" x14ac:dyDescent="0.3">
      <c r="A76" s="607">
        <v>22012600</v>
      </c>
      <c r="B76" s="608" t="s">
        <v>90</v>
      </c>
      <c r="C76" s="609">
        <f>SUM(D76,E76)</f>
        <v>1005650</v>
      </c>
      <c r="D76" s="610">
        <v>1005650</v>
      </c>
      <c r="E76" s="610"/>
      <c r="F76" s="610"/>
      <c r="G76" s="137"/>
    </row>
    <row r="77" spans="1:7" ht="42" thickTop="1" thickBot="1" x14ac:dyDescent="0.3">
      <c r="A77" s="611">
        <v>2208000</v>
      </c>
      <c r="B77" s="612" t="s">
        <v>543</v>
      </c>
      <c r="C77" s="613">
        <f t="shared" si="0"/>
        <v>10000000</v>
      </c>
      <c r="D77" s="613">
        <f>D78</f>
        <v>10000000</v>
      </c>
      <c r="E77" s="613"/>
      <c r="F77" s="613"/>
      <c r="G77" s="137"/>
    </row>
    <row r="78" spans="1:7" ht="52.5" thickTop="1" thickBot="1" x14ac:dyDescent="0.3">
      <c r="A78" s="607">
        <v>22080400</v>
      </c>
      <c r="B78" s="622" t="s">
        <v>92</v>
      </c>
      <c r="C78" s="609">
        <f t="shared" si="0"/>
        <v>10000000</v>
      </c>
      <c r="D78" s="610">
        <v>10000000</v>
      </c>
      <c r="E78" s="610"/>
      <c r="F78" s="610"/>
      <c r="G78" s="137"/>
    </row>
    <row r="79" spans="1:7" ht="16.5" thickTop="1" thickBot="1" x14ac:dyDescent="0.3">
      <c r="A79" s="611">
        <v>22090000</v>
      </c>
      <c r="B79" s="623" t="s">
        <v>93</v>
      </c>
      <c r="C79" s="613">
        <f t="shared" ref="C79:C100" si="2">SUM(D79,E79)</f>
        <v>300000</v>
      </c>
      <c r="D79" s="613">
        <f>SUM(D80:D81)</f>
        <v>300000</v>
      </c>
      <c r="E79" s="613"/>
      <c r="F79" s="613"/>
      <c r="G79" s="137"/>
    </row>
    <row r="80" spans="1:7" ht="52.5" thickTop="1" thickBot="1" x14ac:dyDescent="0.3">
      <c r="A80" s="607">
        <v>22090100</v>
      </c>
      <c r="B80" s="614" t="s">
        <v>94</v>
      </c>
      <c r="C80" s="609">
        <f t="shared" si="2"/>
        <v>169800</v>
      </c>
      <c r="D80" s="610">
        <v>169800</v>
      </c>
      <c r="E80" s="610"/>
      <c r="F80" s="610"/>
      <c r="G80" s="137"/>
    </row>
    <row r="81" spans="1:7" ht="39.75" thickTop="1" thickBot="1" x14ac:dyDescent="0.25">
      <c r="A81" s="607">
        <v>22090400</v>
      </c>
      <c r="B81" s="614" t="s">
        <v>95</v>
      </c>
      <c r="C81" s="609">
        <f t="shared" si="2"/>
        <v>130200</v>
      </c>
      <c r="D81" s="610">
        <v>130200</v>
      </c>
      <c r="E81" s="610"/>
      <c r="F81" s="610"/>
      <c r="G81" s="139"/>
    </row>
    <row r="82" spans="1:7" ht="20.25" customHeight="1" thickTop="1" thickBot="1" x14ac:dyDescent="0.3">
      <c r="A82" s="615">
        <v>24000000</v>
      </c>
      <c r="B82" s="624" t="s">
        <v>96</v>
      </c>
      <c r="C82" s="609">
        <f t="shared" si="2"/>
        <v>24000012</v>
      </c>
      <c r="D82" s="609">
        <f>D83+D84+D86+D85</f>
        <v>19000000</v>
      </c>
      <c r="E82" s="609">
        <f>E83+E84+E86+E85</f>
        <v>5000012</v>
      </c>
      <c r="F82" s="609">
        <f>F83+F84+F86+F85</f>
        <v>5000012</v>
      </c>
      <c r="G82" s="137"/>
    </row>
    <row r="83" spans="1:7" ht="16.5" thickTop="1" thickBot="1" x14ac:dyDescent="0.3">
      <c r="A83" s="607">
        <v>24060300</v>
      </c>
      <c r="B83" s="608" t="s">
        <v>97</v>
      </c>
      <c r="C83" s="609">
        <f t="shared" si="2"/>
        <v>18000000</v>
      </c>
      <c r="D83" s="610">
        <v>18000000</v>
      </c>
      <c r="E83" s="610"/>
      <c r="F83" s="610"/>
      <c r="G83" s="137"/>
    </row>
    <row r="84" spans="1:7" ht="65.25" thickTop="1" thickBot="1" x14ac:dyDescent="0.3">
      <c r="A84" s="607">
        <v>24062200</v>
      </c>
      <c r="B84" s="608" t="s">
        <v>380</v>
      </c>
      <c r="C84" s="609">
        <f t="shared" si="2"/>
        <v>1000000</v>
      </c>
      <c r="D84" s="610">
        <v>1000000</v>
      </c>
      <c r="E84" s="610"/>
      <c r="F84" s="610"/>
      <c r="G84" s="137"/>
    </row>
    <row r="85" spans="1:7" ht="39.75" thickTop="1" thickBot="1" x14ac:dyDescent="0.3">
      <c r="A85" s="607">
        <v>24110700</v>
      </c>
      <c r="B85" s="625" t="s">
        <v>597</v>
      </c>
      <c r="C85" s="609">
        <f t="shared" si="2"/>
        <v>12</v>
      </c>
      <c r="D85" s="610"/>
      <c r="E85" s="610">
        <v>12</v>
      </c>
      <c r="F85" s="610">
        <v>12</v>
      </c>
      <c r="G85" s="137"/>
    </row>
    <row r="86" spans="1:7" ht="27" thickTop="1" thickBot="1" x14ac:dyDescent="0.25">
      <c r="A86" s="607">
        <v>24170000</v>
      </c>
      <c r="B86" s="614" t="s">
        <v>98</v>
      </c>
      <c r="C86" s="609">
        <f t="shared" si="2"/>
        <v>5000000</v>
      </c>
      <c r="D86" s="610"/>
      <c r="E86" s="610">
        <v>5000000</v>
      </c>
      <c r="F86" s="610">
        <v>5000000</v>
      </c>
      <c r="G86" s="138"/>
    </row>
    <row r="87" spans="1:7" ht="16.5" thickTop="1" thickBot="1" x14ac:dyDescent="0.3">
      <c r="A87" s="615">
        <v>25000000</v>
      </c>
      <c r="B87" s="626" t="s">
        <v>99</v>
      </c>
      <c r="C87" s="609">
        <f t="shared" si="2"/>
        <v>194974766</v>
      </c>
      <c r="D87" s="609">
        <f>SUM(D88:D92,)</f>
        <v>0</v>
      </c>
      <c r="E87" s="609">
        <f>SUM(E88)</f>
        <v>194974766</v>
      </c>
      <c r="F87" s="609"/>
      <c r="G87" s="137"/>
    </row>
    <row r="88" spans="1:7" ht="42" thickTop="1" thickBot="1" x14ac:dyDescent="0.3">
      <c r="A88" s="611">
        <v>25010000</v>
      </c>
      <c r="B88" s="617" t="s">
        <v>100</v>
      </c>
      <c r="C88" s="613">
        <f t="shared" si="2"/>
        <v>194974766</v>
      </c>
      <c r="D88" s="613">
        <v>0</v>
      </c>
      <c r="E88" s="613">
        <f>SUM(E89:E92)</f>
        <v>194974766</v>
      </c>
      <c r="F88" s="613"/>
      <c r="G88" s="137"/>
    </row>
    <row r="89" spans="1:7" ht="27" thickTop="1" thickBot="1" x14ac:dyDescent="0.3">
      <c r="A89" s="607">
        <v>25010100</v>
      </c>
      <c r="B89" s="614" t="s">
        <v>101</v>
      </c>
      <c r="C89" s="609">
        <f t="shared" si="2"/>
        <v>178761226</v>
      </c>
      <c r="D89" s="610"/>
      <c r="E89" s="610">
        <f>172410907+6350319</f>
        <v>178761226</v>
      </c>
      <c r="F89" s="610"/>
      <c r="G89" s="137"/>
    </row>
    <row r="90" spans="1:7" ht="27" thickTop="1" thickBot="1" x14ac:dyDescent="0.3">
      <c r="A90" s="607">
        <v>25010200</v>
      </c>
      <c r="B90" s="614" t="s">
        <v>102</v>
      </c>
      <c r="C90" s="609">
        <f t="shared" si="2"/>
        <v>13040510</v>
      </c>
      <c r="D90" s="610"/>
      <c r="E90" s="610">
        <v>13040510</v>
      </c>
      <c r="F90" s="610"/>
      <c r="G90" s="137"/>
    </row>
    <row r="91" spans="1:7" ht="16.5" thickTop="1" thickBot="1" x14ac:dyDescent="0.3">
      <c r="A91" s="607">
        <v>25010300</v>
      </c>
      <c r="B91" s="614" t="s">
        <v>103</v>
      </c>
      <c r="C91" s="609">
        <f t="shared" si="2"/>
        <v>3121470</v>
      </c>
      <c r="D91" s="610"/>
      <c r="E91" s="610">
        <v>3121470</v>
      </c>
      <c r="F91" s="610"/>
      <c r="G91" s="137"/>
    </row>
    <row r="92" spans="1:7" ht="39.75" thickTop="1" thickBot="1" x14ac:dyDescent="0.3">
      <c r="A92" s="607">
        <v>25010400</v>
      </c>
      <c r="B92" s="614" t="s">
        <v>104</v>
      </c>
      <c r="C92" s="609">
        <f t="shared" si="2"/>
        <v>51560</v>
      </c>
      <c r="D92" s="610"/>
      <c r="E92" s="610">
        <v>51560</v>
      </c>
      <c r="F92" s="610"/>
      <c r="G92" s="137"/>
    </row>
    <row r="93" spans="1:7" ht="24.75" customHeight="1" thickTop="1" thickBot="1" x14ac:dyDescent="0.25">
      <c r="A93" s="615">
        <v>30000000</v>
      </c>
      <c r="B93" s="615" t="s">
        <v>105</v>
      </c>
      <c r="C93" s="609">
        <f>SUM(D93,E93)</f>
        <v>9537780</v>
      </c>
      <c r="D93" s="609">
        <f>SUM(D94)+D98</f>
        <v>25000</v>
      </c>
      <c r="E93" s="609">
        <f>SUM(E94)+E98</f>
        <v>9512780</v>
      </c>
      <c r="F93" s="609">
        <f>SUM(F94)+F98</f>
        <v>9512780</v>
      </c>
      <c r="G93" s="139"/>
    </row>
    <row r="94" spans="1:7" ht="27" customHeight="1" thickTop="1" thickBot="1" x14ac:dyDescent="0.3">
      <c r="A94" s="615">
        <v>31000000</v>
      </c>
      <c r="B94" s="615" t="s">
        <v>106</v>
      </c>
      <c r="C94" s="609">
        <f>SUM(D94,E94)</f>
        <v>3525000</v>
      </c>
      <c r="D94" s="609">
        <f>D95+D97</f>
        <v>25000</v>
      </c>
      <c r="E94" s="609">
        <f>E95+E97</f>
        <v>3500000</v>
      </c>
      <c r="F94" s="609">
        <f>F95+F97</f>
        <v>3500000</v>
      </c>
      <c r="G94" s="137"/>
    </row>
    <row r="95" spans="1:7" ht="82.5" thickTop="1" thickBot="1" x14ac:dyDescent="0.3">
      <c r="A95" s="611">
        <v>3101000</v>
      </c>
      <c r="B95" s="612" t="s">
        <v>544</v>
      </c>
      <c r="C95" s="613">
        <f>SUM(D95,E95)</f>
        <v>25000</v>
      </c>
      <c r="D95" s="613">
        <f>D96</f>
        <v>25000</v>
      </c>
      <c r="E95" s="613"/>
      <c r="F95" s="613"/>
      <c r="G95" s="137"/>
    </row>
    <row r="96" spans="1:7" ht="78" thickTop="1" thickBot="1" x14ac:dyDescent="0.3">
      <c r="A96" s="607">
        <v>31010200</v>
      </c>
      <c r="B96" s="614" t="s">
        <v>107</v>
      </c>
      <c r="C96" s="609">
        <f>SUM(D96,E96)</f>
        <v>25000</v>
      </c>
      <c r="D96" s="610">
        <v>25000</v>
      </c>
      <c r="E96" s="610"/>
      <c r="F96" s="610"/>
      <c r="G96" s="137"/>
    </row>
    <row r="97" spans="1:7" ht="55.5" thickTop="1" thickBot="1" x14ac:dyDescent="0.3">
      <c r="A97" s="611">
        <v>31030000</v>
      </c>
      <c r="B97" s="617" t="s">
        <v>108</v>
      </c>
      <c r="C97" s="613">
        <f t="shared" si="2"/>
        <v>3500000</v>
      </c>
      <c r="D97" s="613"/>
      <c r="E97" s="613">
        <v>3500000</v>
      </c>
      <c r="F97" s="613">
        <v>3500000</v>
      </c>
      <c r="G97" s="137"/>
    </row>
    <row r="98" spans="1:7" ht="27" thickTop="1" thickBot="1" x14ac:dyDescent="0.3">
      <c r="A98" s="653">
        <v>33000000</v>
      </c>
      <c r="B98" s="653" t="s">
        <v>109</v>
      </c>
      <c r="C98" s="654">
        <f t="shared" si="2"/>
        <v>6012780</v>
      </c>
      <c r="D98" s="654"/>
      <c r="E98" s="654">
        <f>SUM(E99)</f>
        <v>6012780</v>
      </c>
      <c r="F98" s="654">
        <f>SUM(F99)</f>
        <v>6012780</v>
      </c>
      <c r="G98" s="137"/>
    </row>
    <row r="99" spans="1:7" ht="16.5" thickTop="1" thickBot="1" x14ac:dyDescent="0.3">
      <c r="A99" s="611">
        <v>33010000</v>
      </c>
      <c r="B99" s="612" t="s">
        <v>110</v>
      </c>
      <c r="C99" s="613">
        <f>SUM(D99,E99)</f>
        <v>6012780</v>
      </c>
      <c r="D99" s="613"/>
      <c r="E99" s="613">
        <f>SUM(E100,E101)</f>
        <v>6012780</v>
      </c>
      <c r="F99" s="613">
        <f>SUM(F100,F101)</f>
        <v>6012780</v>
      </c>
      <c r="G99" s="137"/>
    </row>
    <row r="100" spans="1:7" ht="52.5" thickTop="1" thickBot="1" x14ac:dyDescent="0.3">
      <c r="A100" s="607">
        <v>33010100</v>
      </c>
      <c r="B100" s="614" t="s">
        <v>348</v>
      </c>
      <c r="C100" s="609">
        <f t="shared" si="2"/>
        <v>5079350</v>
      </c>
      <c r="D100" s="610"/>
      <c r="E100" s="610">
        <v>5079350</v>
      </c>
      <c r="F100" s="610">
        <v>5079350</v>
      </c>
      <c r="G100" s="137"/>
    </row>
    <row r="101" spans="1:7" ht="52.5" thickTop="1" thickBot="1" x14ac:dyDescent="0.3">
      <c r="A101" s="607">
        <v>33010200</v>
      </c>
      <c r="B101" s="614" t="s">
        <v>111</v>
      </c>
      <c r="C101" s="609">
        <f>SUM(D101,E101)</f>
        <v>933430</v>
      </c>
      <c r="D101" s="610"/>
      <c r="E101" s="610">
        <v>933430</v>
      </c>
      <c r="F101" s="610">
        <v>933430</v>
      </c>
      <c r="G101" s="137"/>
    </row>
    <row r="102" spans="1:7" ht="27" customHeight="1" thickTop="1" thickBot="1" x14ac:dyDescent="0.3">
      <c r="A102" s="653">
        <v>50000000</v>
      </c>
      <c r="B102" s="653" t="s">
        <v>492</v>
      </c>
      <c r="C102" s="654">
        <f>SUM(D102,E102)</f>
        <v>2950700</v>
      </c>
      <c r="D102" s="654"/>
      <c r="E102" s="654">
        <f>SUM(E103)</f>
        <v>2950700</v>
      </c>
      <c r="F102" s="654"/>
      <c r="G102" s="137"/>
    </row>
    <row r="103" spans="1:7" ht="52.5" thickTop="1" thickBot="1" x14ac:dyDescent="0.3">
      <c r="A103" s="615">
        <v>50110000</v>
      </c>
      <c r="B103" s="621" t="s">
        <v>112</v>
      </c>
      <c r="C103" s="609">
        <f t="shared" ref="C103:C139" si="3">SUM(D103,E103)</f>
        <v>2950700</v>
      </c>
      <c r="D103" s="610"/>
      <c r="E103" s="609">
        <v>2950700</v>
      </c>
      <c r="F103" s="610"/>
      <c r="G103" s="137"/>
    </row>
    <row r="104" spans="1:7" ht="45.75" customHeight="1" thickTop="1" thickBot="1" x14ac:dyDescent="0.25">
      <c r="A104" s="650"/>
      <c r="B104" s="651" t="s">
        <v>493</v>
      </c>
      <c r="C104" s="652">
        <f t="shared" si="3"/>
        <v>3445707358</v>
      </c>
      <c r="D104" s="652">
        <f>D102+D93+D63+D15</f>
        <v>3231919100</v>
      </c>
      <c r="E104" s="652">
        <f>E102+E93+E63+E15</f>
        <v>213788258</v>
      </c>
      <c r="F104" s="652">
        <f>F102+F93+F63+F15</f>
        <v>14512792</v>
      </c>
      <c r="G104" s="138"/>
    </row>
    <row r="105" spans="1:7" ht="34.5" customHeight="1" thickTop="1" thickBot="1" x14ac:dyDescent="0.25">
      <c r="A105" s="653">
        <v>40000000</v>
      </c>
      <c r="B105" s="653" t="s">
        <v>432</v>
      </c>
      <c r="C105" s="654">
        <f>SUM(D105,E105)</f>
        <v>660057049</v>
      </c>
      <c r="D105" s="654">
        <f>SUM(D111,D108,D106)</f>
        <v>660057049</v>
      </c>
      <c r="E105" s="654">
        <f>SUM(E111,E108,E106)</f>
        <v>0</v>
      </c>
      <c r="F105" s="654">
        <f>SUM(F111,F108,F106)</f>
        <v>0</v>
      </c>
      <c r="G105" s="138"/>
    </row>
    <row r="106" spans="1:7" ht="34.5" customHeight="1" thickTop="1" thickBot="1" x14ac:dyDescent="0.25">
      <c r="A106" s="438">
        <v>41020000</v>
      </c>
      <c r="B106" s="684" t="s">
        <v>1457</v>
      </c>
      <c r="C106" s="609">
        <f t="shared" ref="C106:C107" si="4">SUM(D106,E106)</f>
        <v>16579700</v>
      </c>
      <c r="D106" s="609">
        <f>SUM(D107)</f>
        <v>16579700</v>
      </c>
      <c r="E106" s="609"/>
      <c r="F106" s="609"/>
      <c r="G106" s="138"/>
    </row>
    <row r="107" spans="1:7" ht="103.5" thickTop="1" thickBot="1" x14ac:dyDescent="0.25">
      <c r="A107" s="685">
        <v>41021400</v>
      </c>
      <c r="B107" s="686" t="s">
        <v>1464</v>
      </c>
      <c r="C107" s="609">
        <f t="shared" si="4"/>
        <v>16579700</v>
      </c>
      <c r="D107" s="610">
        <v>16579700</v>
      </c>
      <c r="E107" s="609"/>
      <c r="F107" s="609"/>
      <c r="G107" s="138"/>
    </row>
    <row r="108" spans="1:7" ht="27" thickTop="1" thickBot="1" x14ac:dyDescent="0.25">
      <c r="A108" s="438">
        <v>41040000</v>
      </c>
      <c r="B108" s="684" t="s">
        <v>349</v>
      </c>
      <c r="C108" s="609">
        <f t="shared" si="3"/>
        <v>7423154</v>
      </c>
      <c r="D108" s="609">
        <f>SUM(D109:D110)</f>
        <v>7423154</v>
      </c>
      <c r="E108" s="609"/>
      <c r="F108" s="609"/>
      <c r="G108" s="138"/>
    </row>
    <row r="109" spans="1:7" ht="65.25" thickTop="1" thickBot="1" x14ac:dyDescent="0.25">
      <c r="A109" s="685">
        <v>41040200</v>
      </c>
      <c r="B109" s="686" t="s">
        <v>1206</v>
      </c>
      <c r="C109" s="609">
        <f t="shared" si="3"/>
        <v>7423154</v>
      </c>
      <c r="D109" s="610">
        <v>7423154</v>
      </c>
      <c r="E109" s="609"/>
      <c r="F109" s="609"/>
      <c r="G109" s="138"/>
    </row>
    <row r="110" spans="1:7" ht="15.75" hidden="1" thickTop="1" thickBot="1" x14ac:dyDescent="0.25">
      <c r="A110" s="685">
        <v>41040400</v>
      </c>
      <c r="B110" s="686" t="s">
        <v>1266</v>
      </c>
      <c r="C110" s="609">
        <f t="shared" si="3"/>
        <v>0</v>
      </c>
      <c r="D110" s="610"/>
      <c r="E110" s="609"/>
      <c r="F110" s="609"/>
      <c r="G110" s="138"/>
    </row>
    <row r="111" spans="1:7" ht="15.75" thickTop="1" thickBot="1" x14ac:dyDescent="0.25">
      <c r="A111" s="438">
        <v>41000000</v>
      </c>
      <c r="B111" s="438" t="s">
        <v>113</v>
      </c>
      <c r="C111" s="609">
        <f t="shared" si="3"/>
        <v>636054195</v>
      </c>
      <c r="D111" s="609">
        <f>SUM(D112,D120)</f>
        <v>636054195</v>
      </c>
      <c r="E111" s="609">
        <f>SUM(E112,E120)</f>
        <v>0</v>
      </c>
      <c r="F111" s="609">
        <f>SUM(F112,F120)</f>
        <v>0</v>
      </c>
      <c r="G111" s="138"/>
    </row>
    <row r="112" spans="1:7" ht="27" thickTop="1" thickBot="1" x14ac:dyDescent="0.3">
      <c r="A112" s="438">
        <v>41030000</v>
      </c>
      <c r="B112" s="687" t="s">
        <v>443</v>
      </c>
      <c r="C112" s="609">
        <f t="shared" si="3"/>
        <v>622434500</v>
      </c>
      <c r="D112" s="609">
        <f>SUM(D113:D119)</f>
        <v>622434500</v>
      </c>
      <c r="E112" s="609">
        <f>SUM(E113:E119)</f>
        <v>0</v>
      </c>
      <c r="F112" s="609">
        <f>SUM(F113:F119)</f>
        <v>0</v>
      </c>
      <c r="G112" s="137"/>
    </row>
    <row r="113" spans="1:7" ht="52.5" thickTop="1" thickBot="1" x14ac:dyDescent="0.3">
      <c r="A113" s="685">
        <v>41032300</v>
      </c>
      <c r="B113" s="688" t="s">
        <v>1001</v>
      </c>
      <c r="C113" s="609">
        <f t="shared" si="3"/>
        <v>0</v>
      </c>
      <c r="D113" s="610">
        <v>0</v>
      </c>
      <c r="E113" s="609"/>
      <c r="F113" s="610"/>
      <c r="G113" s="137"/>
    </row>
    <row r="114" spans="1:7" ht="52.5" thickTop="1" thickBot="1" x14ac:dyDescent="0.3">
      <c r="A114" s="685">
        <v>41033800</v>
      </c>
      <c r="B114" s="688" t="s">
        <v>1067</v>
      </c>
      <c r="C114" s="609">
        <f t="shared" si="3"/>
        <v>0</v>
      </c>
      <c r="D114" s="610">
        <v>0</v>
      </c>
      <c r="E114" s="609"/>
      <c r="F114" s="610"/>
      <c r="G114" s="137"/>
    </row>
    <row r="115" spans="1:7" ht="27" thickTop="1" thickBot="1" x14ac:dyDescent="0.3">
      <c r="A115" s="685">
        <v>41033900</v>
      </c>
      <c r="B115" s="688" t="s">
        <v>114</v>
      </c>
      <c r="C115" s="609">
        <f t="shared" si="3"/>
        <v>622434500</v>
      </c>
      <c r="D115" s="610">
        <f>(622418100)+16400</f>
        <v>622434500</v>
      </c>
      <c r="E115" s="610"/>
      <c r="F115" s="610"/>
      <c r="G115" s="137"/>
    </row>
    <row r="116" spans="1:7" ht="52.5" thickTop="1" thickBot="1" x14ac:dyDescent="0.3">
      <c r="A116" s="685">
        <v>41034500</v>
      </c>
      <c r="B116" s="688" t="s">
        <v>1068</v>
      </c>
      <c r="C116" s="609">
        <f t="shared" si="3"/>
        <v>0</v>
      </c>
      <c r="D116" s="610">
        <v>0</v>
      </c>
      <c r="E116" s="610">
        <v>0</v>
      </c>
      <c r="F116" s="610">
        <v>0</v>
      </c>
      <c r="G116" s="137"/>
    </row>
    <row r="117" spans="1:7" ht="65.25" thickTop="1" thickBot="1" x14ac:dyDescent="0.3">
      <c r="A117" s="685">
        <v>41035500</v>
      </c>
      <c r="B117" s="688" t="s">
        <v>1003</v>
      </c>
      <c r="C117" s="609">
        <f t="shared" si="3"/>
        <v>0</v>
      </c>
      <c r="D117" s="610">
        <v>0</v>
      </c>
      <c r="E117" s="610"/>
      <c r="F117" s="610"/>
      <c r="G117" s="137"/>
    </row>
    <row r="118" spans="1:7" ht="65.25" thickTop="1" thickBot="1" x14ac:dyDescent="0.3">
      <c r="A118" s="685">
        <v>41035600</v>
      </c>
      <c r="B118" s="688" t="s">
        <v>1028</v>
      </c>
      <c r="C118" s="609">
        <f t="shared" si="3"/>
        <v>0</v>
      </c>
      <c r="D118" s="610">
        <v>0</v>
      </c>
      <c r="E118" s="610"/>
      <c r="F118" s="610"/>
      <c r="G118" s="137"/>
    </row>
    <row r="119" spans="1:7" ht="39.75" thickTop="1" thickBot="1" x14ac:dyDescent="0.3">
      <c r="A119" s="685">
        <v>41035700</v>
      </c>
      <c r="B119" s="688" t="s">
        <v>993</v>
      </c>
      <c r="C119" s="609">
        <f t="shared" si="3"/>
        <v>0</v>
      </c>
      <c r="D119" s="610">
        <v>0</v>
      </c>
      <c r="E119" s="610"/>
      <c r="F119" s="610"/>
      <c r="G119" s="137"/>
    </row>
    <row r="120" spans="1:7" ht="27" thickTop="1" thickBot="1" x14ac:dyDescent="0.3">
      <c r="A120" s="438">
        <v>41050000</v>
      </c>
      <c r="B120" s="687" t="s">
        <v>478</v>
      </c>
      <c r="C120" s="609">
        <f t="shared" si="3"/>
        <v>13619695</v>
      </c>
      <c r="D120" s="609">
        <f>SUM(D121:D133)+D140</f>
        <v>13619695</v>
      </c>
      <c r="E120" s="609">
        <f>SUM(E121:E133)</f>
        <v>0</v>
      </c>
      <c r="F120" s="609">
        <f>SUM(F121:F133)</f>
        <v>0</v>
      </c>
      <c r="G120" s="137"/>
    </row>
    <row r="121" spans="1:7" ht="282" hidden="1" thickTop="1" thickBot="1" x14ac:dyDescent="0.3">
      <c r="A121" s="689">
        <v>41050400</v>
      </c>
      <c r="B121" s="690" t="s">
        <v>1069</v>
      </c>
      <c r="C121" s="627">
        <f t="shared" si="3"/>
        <v>0</v>
      </c>
      <c r="D121" s="628">
        <v>0</v>
      </c>
      <c r="E121" s="628"/>
      <c r="F121" s="628"/>
      <c r="G121" s="137"/>
    </row>
    <row r="122" spans="1:7" ht="243.75" hidden="1" thickTop="1" thickBot="1" x14ac:dyDescent="0.3">
      <c r="A122" s="689">
        <v>41050500</v>
      </c>
      <c r="B122" s="690" t="s">
        <v>1070</v>
      </c>
      <c r="C122" s="627">
        <f t="shared" si="3"/>
        <v>0</v>
      </c>
      <c r="D122" s="628">
        <v>0</v>
      </c>
      <c r="E122" s="628"/>
      <c r="F122" s="628"/>
      <c r="G122" s="137"/>
    </row>
    <row r="123" spans="1:7" ht="345.75" hidden="1" thickTop="1" thickBot="1" x14ac:dyDescent="0.3">
      <c r="A123" s="689">
        <v>41050600</v>
      </c>
      <c r="B123" s="690" t="s">
        <v>1071</v>
      </c>
      <c r="C123" s="627">
        <f t="shared" si="3"/>
        <v>0</v>
      </c>
      <c r="D123" s="628">
        <v>0</v>
      </c>
      <c r="E123" s="628"/>
      <c r="F123" s="628"/>
      <c r="G123" s="137"/>
    </row>
    <row r="124" spans="1:7" ht="129" hidden="1" thickTop="1" thickBot="1" x14ac:dyDescent="0.3">
      <c r="A124" s="689">
        <v>41050900</v>
      </c>
      <c r="B124" s="690" t="s">
        <v>1072</v>
      </c>
      <c r="C124" s="627">
        <f t="shared" si="3"/>
        <v>0</v>
      </c>
      <c r="D124" s="628">
        <v>0</v>
      </c>
      <c r="E124" s="628"/>
      <c r="F124" s="628"/>
      <c r="G124" s="137"/>
    </row>
    <row r="125" spans="1:7" ht="39.75" thickTop="1" thickBot="1" x14ac:dyDescent="0.3">
      <c r="A125" s="685">
        <v>41051000</v>
      </c>
      <c r="B125" s="688" t="s">
        <v>479</v>
      </c>
      <c r="C125" s="609">
        <f t="shared" si="3"/>
        <v>8260086</v>
      </c>
      <c r="D125" s="610">
        <f>4544686+3715400</f>
        <v>8260086</v>
      </c>
      <c r="E125" s="610"/>
      <c r="F125" s="610"/>
      <c r="G125" s="137"/>
    </row>
    <row r="126" spans="1:7" ht="52.5" thickTop="1" thickBot="1" x14ac:dyDescent="0.3">
      <c r="A126" s="685">
        <v>41051200</v>
      </c>
      <c r="B126" s="688" t="s">
        <v>1380</v>
      </c>
      <c r="C126" s="609">
        <f>SUM(D126,E126)</f>
        <v>4309689</v>
      </c>
      <c r="D126" s="610">
        <v>4309689</v>
      </c>
      <c r="E126" s="610"/>
      <c r="F126" s="610"/>
      <c r="G126" s="137"/>
    </row>
    <row r="127" spans="1:7" ht="65.25" hidden="1" thickTop="1" thickBot="1" x14ac:dyDescent="0.3">
      <c r="A127" s="689">
        <v>41051400</v>
      </c>
      <c r="B127" s="690" t="s">
        <v>1006</v>
      </c>
      <c r="C127" s="627">
        <f t="shared" si="3"/>
        <v>0</v>
      </c>
      <c r="D127" s="628">
        <v>0</v>
      </c>
      <c r="E127" s="628"/>
      <c r="F127" s="628"/>
      <c r="G127" s="137"/>
    </row>
    <row r="128" spans="1:7" ht="65.25" hidden="1" thickTop="1" thickBot="1" x14ac:dyDescent="0.3">
      <c r="A128" s="689">
        <v>41051700</v>
      </c>
      <c r="B128" s="690" t="s">
        <v>962</v>
      </c>
      <c r="C128" s="627">
        <f t="shared" si="3"/>
        <v>0</v>
      </c>
      <c r="D128" s="628">
        <v>0</v>
      </c>
      <c r="E128" s="628"/>
      <c r="F128" s="628"/>
      <c r="G128" s="137"/>
    </row>
    <row r="129" spans="1:10" ht="103.5" hidden="1" thickTop="1" thickBot="1" x14ac:dyDescent="0.3">
      <c r="A129" s="689">
        <v>41056600</v>
      </c>
      <c r="B129" s="690" t="s">
        <v>1047</v>
      </c>
      <c r="C129" s="627">
        <f t="shared" si="3"/>
        <v>0</v>
      </c>
      <c r="D129" s="628">
        <f>10623233.82-10623233.82</f>
        <v>0</v>
      </c>
      <c r="E129" s="628"/>
      <c r="F129" s="628"/>
      <c r="G129" s="137"/>
    </row>
    <row r="130" spans="1:10" ht="65.25" hidden="1" thickTop="1" thickBot="1" x14ac:dyDescent="0.25">
      <c r="A130" s="689">
        <v>41055000</v>
      </c>
      <c r="B130" s="690" t="s">
        <v>1073</v>
      </c>
      <c r="C130" s="627">
        <f t="shared" si="3"/>
        <v>0</v>
      </c>
      <c r="D130" s="628">
        <v>0</v>
      </c>
      <c r="E130" s="628"/>
      <c r="F130" s="628"/>
      <c r="G130" s="138"/>
    </row>
    <row r="131" spans="1:10" ht="27" hidden="1" thickTop="1" thickBot="1" x14ac:dyDescent="0.25">
      <c r="A131" s="689">
        <v>41053600</v>
      </c>
      <c r="B131" s="690" t="s">
        <v>964</v>
      </c>
      <c r="C131" s="627">
        <f t="shared" si="3"/>
        <v>0</v>
      </c>
      <c r="D131" s="628"/>
      <c r="E131" s="628">
        <v>0</v>
      </c>
      <c r="F131" s="628"/>
      <c r="G131" s="138"/>
    </row>
    <row r="132" spans="1:10" ht="218.25" hidden="1" thickTop="1" thickBot="1" x14ac:dyDescent="0.25">
      <c r="A132" s="689">
        <v>41054200</v>
      </c>
      <c r="B132" s="690" t="s">
        <v>1074</v>
      </c>
      <c r="C132" s="627">
        <f t="shared" si="3"/>
        <v>0</v>
      </c>
      <c r="D132" s="628">
        <v>0</v>
      </c>
      <c r="E132" s="628"/>
      <c r="F132" s="628"/>
      <c r="G132" s="138"/>
    </row>
    <row r="133" spans="1:10" ht="27" thickTop="1" thickBot="1" x14ac:dyDescent="0.25">
      <c r="A133" s="685">
        <v>41053900</v>
      </c>
      <c r="B133" s="688" t="s">
        <v>914</v>
      </c>
      <c r="C133" s="609">
        <f t="shared" si="3"/>
        <v>961639</v>
      </c>
      <c r="D133" s="610">
        <f>SUM(D134:D139)</f>
        <v>961639</v>
      </c>
      <c r="E133" s="610">
        <f>SUM(E134:E139)</f>
        <v>0</v>
      </c>
      <c r="F133" s="610">
        <f>SUM(F134:F139)</f>
        <v>0</v>
      </c>
      <c r="G133" s="138"/>
    </row>
    <row r="134" spans="1:10" ht="15.75" thickTop="1" thickBot="1" x14ac:dyDescent="0.25">
      <c r="A134" s="685"/>
      <c r="B134" s="691" t="s">
        <v>965</v>
      </c>
      <c r="C134" s="613">
        <f>SUM(D134,E134)</f>
        <v>0</v>
      </c>
      <c r="D134" s="620"/>
      <c r="E134" s="620">
        <v>0</v>
      </c>
      <c r="F134" s="620">
        <v>0</v>
      </c>
      <c r="G134" s="138"/>
    </row>
    <row r="135" spans="1:10" ht="39.75" thickTop="1" thickBot="1" x14ac:dyDescent="0.25">
      <c r="A135" s="685"/>
      <c r="B135" s="691" t="s">
        <v>915</v>
      </c>
      <c r="C135" s="613">
        <f t="shared" si="3"/>
        <v>272462</v>
      </c>
      <c r="D135" s="620">
        <v>272462</v>
      </c>
      <c r="E135" s="620"/>
      <c r="F135" s="620"/>
      <c r="G135" s="138"/>
    </row>
    <row r="136" spans="1:10" ht="52.5" thickTop="1" thickBot="1" x14ac:dyDescent="0.25">
      <c r="A136" s="685"/>
      <c r="B136" s="691" t="s">
        <v>916</v>
      </c>
      <c r="C136" s="613">
        <f t="shared" si="3"/>
        <v>142618</v>
      </c>
      <c r="D136" s="620">
        <v>142618</v>
      </c>
      <c r="E136" s="620"/>
      <c r="F136" s="620"/>
      <c r="G136" s="138"/>
    </row>
    <row r="137" spans="1:10" ht="27" thickTop="1" thickBot="1" x14ac:dyDescent="0.25">
      <c r="A137" s="685"/>
      <c r="B137" s="691" t="s">
        <v>917</v>
      </c>
      <c r="C137" s="613">
        <f t="shared" si="3"/>
        <v>546559</v>
      </c>
      <c r="D137" s="620">
        <v>546559</v>
      </c>
      <c r="E137" s="620"/>
      <c r="F137" s="620"/>
      <c r="G137" s="138"/>
    </row>
    <row r="138" spans="1:10" ht="39.75" hidden="1" thickTop="1" thickBot="1" x14ac:dyDescent="0.25">
      <c r="A138" s="689"/>
      <c r="B138" s="692" t="s">
        <v>1126</v>
      </c>
      <c r="C138" s="142">
        <f t="shared" si="3"/>
        <v>0</v>
      </c>
      <c r="D138" s="143">
        <v>0</v>
      </c>
      <c r="E138" s="143"/>
      <c r="F138" s="143"/>
      <c r="G138" s="138"/>
    </row>
    <row r="139" spans="1:10" ht="27" hidden="1" thickTop="1" thickBot="1" x14ac:dyDescent="0.25">
      <c r="A139" s="689"/>
      <c r="B139" s="692" t="s">
        <v>1127</v>
      </c>
      <c r="C139" s="142">
        <f t="shared" si="3"/>
        <v>0</v>
      </c>
      <c r="D139" s="143"/>
      <c r="E139" s="143">
        <v>0</v>
      </c>
      <c r="F139" s="143">
        <v>0</v>
      </c>
      <c r="G139" s="138"/>
    </row>
    <row r="140" spans="1:10" ht="65.25" thickTop="1" thickBot="1" x14ac:dyDescent="0.25">
      <c r="A140" s="685">
        <v>41057700</v>
      </c>
      <c r="B140" s="688" t="s">
        <v>1500</v>
      </c>
      <c r="C140" s="609">
        <f>SUM(D140,E140)</f>
        <v>88281</v>
      </c>
      <c r="D140" s="610">
        <v>88281</v>
      </c>
      <c r="E140" s="610"/>
      <c r="F140" s="610"/>
      <c r="G140" s="138"/>
    </row>
    <row r="141" spans="1:10" ht="33.75" customHeight="1" thickTop="1" thickBot="1" x14ac:dyDescent="0.3">
      <c r="A141" s="693"/>
      <c r="B141" s="694" t="s">
        <v>1063</v>
      </c>
      <c r="C141" s="652">
        <f>SUM(D141,E141)</f>
        <v>4105764407</v>
      </c>
      <c r="D141" s="652">
        <f>SUM(D104,D105)</f>
        <v>3891976149</v>
      </c>
      <c r="E141" s="652">
        <f>SUM(E104,E111)</f>
        <v>213788258</v>
      </c>
      <c r="F141" s="652">
        <f>SUM(F104,F111)</f>
        <v>14512792</v>
      </c>
      <c r="G141" s="629" t="b">
        <f>C141=C137+C136+C135+C115+C109+C103+C97+C96+C92+C91+C90+C89+C86+C85+C84+C83+C81+C80+C78+C76+C75+C74+C71+C70+C69+C67+C66+C62+C61+C60+C57+C56+C55+C53+C52+C48+C47+C46+C45+C44+C43+C42+C41+C40+C39+C35+C33+C30+C28+C26+C23+C21+C20+C19+C18+C101+C100+C36+C50+C126+C125+C107+C140</f>
        <v>1</v>
      </c>
      <c r="H141" s="629" t="b">
        <f>D141=D137+D136+D135+D115+D109+D103+D97+D96+D92+D91+D90+D89+D86+D85+D84+D83+D81+D80+D78+D76+D75+D74+D71+D70+D69+D67+D66+D62+D61+D60+D57+D56+D55+D53+D52+D48+D47+D46+D45+D44+D43+D42+D41+D40+D39+D35+D33+D30+D28+D26+D23+D21+D20+D19+D18+D101+D100+D36+D50+D126+D125+D107+D140</f>
        <v>1</v>
      </c>
      <c r="I141" s="629" t="b">
        <f>E141=E137+E136+E135+E115+E109+E103+E97+E96+E92+E91+E90+E89+E86+E85+E84+E83+E81+E80+E78+E76+E75+E74+E71+E70+E69+E67+E66+E62+E61+E60+E57+E56+E55+E53+E52+E48+E47+E46+E45+E44+E43+E42+E41+E40+E39+E35+E33+E30+E28+E26+E23+E21+E20+E19+E18+E101+E100+E36+E50+E126+E125+E107+E140</f>
        <v>1</v>
      </c>
      <c r="J141" s="629" t="b">
        <f>F141=F137+F136+F135+F115+F109+F103+F97+F96+F92+F91+F90+F89+F86+F85+F84+F83+F81+F80+F78+F76+F75+F74+F71+F70+F69+F67+F66+F62+F61+F60+F57+F56+F55+F53+F52+F48+F47+F46+F45+F44+F43+F42+F41+F40+F39+F35+F33+F30+F28+F26+F23+F21+F20+F19+F18+F101+F100+F36+F50+F126+F125+F107+F140</f>
        <v>1</v>
      </c>
    </row>
    <row r="142" spans="1:10" ht="16.5" thickTop="1" x14ac:dyDescent="0.25">
      <c r="B142" s="144"/>
      <c r="G142" s="629" t="b">
        <f>(3453807039-[1]d2!C32+7423154+961639+622418100+3715400+4544686)+16400+4309689+6350319+16579700+88281=C141</f>
        <v>1</v>
      </c>
      <c r="H142" s="630"/>
      <c r="I142" s="630"/>
      <c r="J142" s="630"/>
    </row>
    <row r="143" spans="1:10" ht="15.75" hidden="1" x14ac:dyDescent="0.25">
      <c r="B143" s="145"/>
      <c r="E143" s="145"/>
      <c r="G143" s="146"/>
    </row>
    <row r="144" spans="1:10" ht="15.75" x14ac:dyDescent="0.2">
      <c r="B144" s="701" t="s">
        <v>1388</v>
      </c>
      <c r="C144" s="376"/>
      <c r="D144" s="376"/>
      <c r="E144" s="821" t="s">
        <v>1467</v>
      </c>
      <c r="F144" s="147"/>
    </row>
    <row r="145" spans="1:6" ht="15.75" x14ac:dyDescent="0.25">
      <c r="B145" s="1"/>
      <c r="C145" s="428"/>
      <c r="D145" s="428"/>
      <c r="E145" s="1"/>
    </row>
    <row r="146" spans="1:6" ht="15.75" x14ac:dyDescent="0.25">
      <c r="A146" s="148"/>
      <c r="B146" s="797" t="s">
        <v>529</v>
      </c>
      <c r="C146" s="1"/>
      <c r="D146" s="1"/>
      <c r="E146" s="1" t="s">
        <v>1465</v>
      </c>
      <c r="F146" s="148"/>
    </row>
    <row r="149" spans="1:6" x14ac:dyDescent="0.2">
      <c r="C149" s="149"/>
      <c r="D149" s="149"/>
      <c r="E149" s="149"/>
      <c r="F149" s="149"/>
    </row>
    <row r="417" hidden="1" x14ac:dyDescent="0.2"/>
    <row r="418" hidden="1" x14ac:dyDescent="0.2"/>
    <row r="419" hidden="1" x14ac:dyDescent="0.2"/>
  </sheetData>
  <mergeCells count="13">
    <mergeCell ref="A8:F8"/>
    <mergeCell ref="A9:F9"/>
    <mergeCell ref="A12:A13"/>
    <mergeCell ref="B12:B13"/>
    <mergeCell ref="C12:C13"/>
    <mergeCell ref="D12:D13"/>
    <mergeCell ref="E12:F12"/>
    <mergeCell ref="A6:F6"/>
    <mergeCell ref="D1:G1"/>
    <mergeCell ref="D2:G2"/>
    <mergeCell ref="D3:G3"/>
    <mergeCell ref="A4:E4"/>
    <mergeCell ref="A5:F5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7" fitToHeight="0" orientation="portrait" verticalDpi="4294967295" r:id="rId1"/>
  <headerFooter alignWithMargins="0"/>
  <rowBreaks count="1" manualBreakCount="1">
    <brk id="104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J419"/>
  <sheetViews>
    <sheetView view="pageBreakPreview" topLeftCell="A106" zoomScale="40" zoomScaleNormal="100" zoomScaleSheetLayoutView="40" workbookViewId="0">
      <selection activeCell="D420" sqref="D420:P420"/>
    </sheetView>
  </sheetViews>
  <sheetFormatPr defaultColWidth="6.85546875" defaultRowHeight="12.75" x14ac:dyDescent="0.2"/>
  <cols>
    <col min="1" max="1" width="10.140625" style="135" customWidth="1"/>
    <col min="2" max="2" width="40.42578125" style="135" customWidth="1"/>
    <col min="3" max="4" width="17.28515625" style="135" customWidth="1"/>
    <col min="5" max="5" width="15.7109375" style="135" customWidth="1"/>
    <col min="6" max="6" width="14.5703125" style="135" customWidth="1"/>
    <col min="7" max="10" width="10.85546875" style="136" bestFit="1" customWidth="1"/>
    <col min="11" max="252" width="7.85546875" style="135" customWidth="1"/>
    <col min="253" max="16384" width="6.85546875" style="135"/>
  </cols>
  <sheetData>
    <row r="1" spans="1:7" ht="15.75" x14ac:dyDescent="0.2">
      <c r="A1" s="428"/>
      <c r="B1" s="428"/>
      <c r="C1" s="428"/>
      <c r="D1" s="857" t="s">
        <v>56</v>
      </c>
      <c r="E1" s="858"/>
      <c r="F1" s="858"/>
      <c r="G1" s="858"/>
    </row>
    <row r="2" spans="1:7" ht="15.75" x14ac:dyDescent="0.2">
      <c r="A2" s="428"/>
      <c r="B2" s="428"/>
      <c r="C2" s="429"/>
      <c r="D2" s="857" t="s">
        <v>1391</v>
      </c>
      <c r="E2" s="859"/>
      <c r="F2" s="859"/>
      <c r="G2" s="859"/>
    </row>
    <row r="3" spans="1:7" ht="6" hidden="1" customHeight="1" x14ac:dyDescent="0.2">
      <c r="A3" s="430"/>
      <c r="B3" s="430"/>
      <c r="C3" s="431"/>
      <c r="D3" s="860"/>
      <c r="E3" s="861"/>
      <c r="F3" s="861"/>
      <c r="G3" s="861"/>
    </row>
    <row r="4" spans="1:7" ht="12.75" customHeight="1" x14ac:dyDescent="0.2">
      <c r="A4" s="862"/>
      <c r="B4" s="862"/>
      <c r="C4" s="862"/>
      <c r="D4" s="862"/>
      <c r="E4" s="862"/>
      <c r="F4" s="430"/>
      <c r="G4" s="430"/>
    </row>
    <row r="5" spans="1:7" ht="20.25" x14ac:dyDescent="0.2">
      <c r="A5" s="862" t="s">
        <v>1556</v>
      </c>
      <c r="B5" s="863"/>
      <c r="C5" s="863"/>
      <c r="D5" s="863"/>
      <c r="E5" s="863"/>
      <c r="F5" s="863"/>
      <c r="G5" s="430"/>
    </row>
    <row r="6" spans="1:7" ht="20.25" x14ac:dyDescent="0.2">
      <c r="A6" s="862" t="s">
        <v>1315</v>
      </c>
      <c r="B6" s="863"/>
      <c r="C6" s="863"/>
      <c r="D6" s="863"/>
      <c r="E6" s="863"/>
      <c r="F6" s="863"/>
      <c r="G6" s="430"/>
    </row>
    <row r="7" spans="1:7" ht="20.25" x14ac:dyDescent="0.2">
      <c r="A7" s="795"/>
      <c r="B7" s="796"/>
      <c r="C7" s="796"/>
      <c r="D7" s="796"/>
      <c r="E7" s="796"/>
      <c r="F7" s="796"/>
      <c r="G7" s="430"/>
    </row>
    <row r="8" spans="1:7" ht="20.25" x14ac:dyDescent="0.2">
      <c r="A8" s="864">
        <v>2256400000</v>
      </c>
      <c r="B8" s="865"/>
      <c r="C8" s="865"/>
      <c r="D8" s="865"/>
      <c r="E8" s="865"/>
      <c r="F8" s="865"/>
      <c r="G8" s="430"/>
    </row>
    <row r="9" spans="1:7" ht="15.75" x14ac:dyDescent="0.2">
      <c r="A9" s="866" t="s">
        <v>495</v>
      </c>
      <c r="B9" s="867"/>
      <c r="C9" s="867"/>
      <c r="D9" s="867"/>
      <c r="E9" s="867"/>
      <c r="F9" s="867"/>
      <c r="G9" s="430"/>
    </row>
    <row r="10" spans="1:7" ht="20.25" x14ac:dyDescent="0.2">
      <c r="A10" s="795"/>
      <c r="B10" s="434"/>
      <c r="C10" s="434"/>
      <c r="D10" s="434"/>
      <c r="E10" s="434"/>
      <c r="F10" s="434"/>
      <c r="G10" s="430"/>
    </row>
    <row r="11" spans="1:7" ht="13.5" thickBot="1" x14ac:dyDescent="0.25">
      <c r="A11" s="430"/>
      <c r="B11" s="435"/>
      <c r="C11" s="435"/>
      <c r="D11" s="435"/>
      <c r="E11" s="435"/>
      <c r="F11" s="436" t="s">
        <v>409</v>
      </c>
      <c r="G11" s="430"/>
    </row>
    <row r="12" spans="1:7" ht="14.25" thickTop="1" thickBot="1" x14ac:dyDescent="0.25">
      <c r="A12" s="868" t="s">
        <v>57</v>
      </c>
      <c r="B12" s="868" t="s">
        <v>1316</v>
      </c>
      <c r="C12" s="868" t="s">
        <v>388</v>
      </c>
      <c r="D12" s="868" t="s">
        <v>12</v>
      </c>
      <c r="E12" s="868" t="s">
        <v>52</v>
      </c>
      <c r="F12" s="868"/>
      <c r="G12" s="437"/>
    </row>
    <row r="13" spans="1:7" ht="39.75" thickTop="1" thickBot="1" x14ac:dyDescent="0.3">
      <c r="A13" s="868"/>
      <c r="B13" s="868"/>
      <c r="C13" s="868"/>
      <c r="D13" s="868"/>
      <c r="E13" s="438" t="s">
        <v>389</v>
      </c>
      <c r="F13" s="438" t="s">
        <v>431</v>
      </c>
      <c r="G13" s="439"/>
    </row>
    <row r="14" spans="1:7" ht="16.5" thickTop="1" thickBot="1" x14ac:dyDescent="0.3">
      <c r="A14" s="438">
        <v>1</v>
      </c>
      <c r="B14" s="438">
        <v>2</v>
      </c>
      <c r="C14" s="438">
        <v>3</v>
      </c>
      <c r="D14" s="438">
        <v>4</v>
      </c>
      <c r="E14" s="438">
        <v>5</v>
      </c>
      <c r="F14" s="438">
        <v>6</v>
      </c>
      <c r="G14" s="439"/>
    </row>
    <row r="15" spans="1:7" ht="25.5" customHeight="1" thickTop="1" thickBot="1" x14ac:dyDescent="0.25">
      <c r="A15" s="653">
        <v>10000000</v>
      </c>
      <c r="B15" s="653" t="s">
        <v>58</v>
      </c>
      <c r="C15" s="654">
        <f t="shared" ref="C15:C63" si="0">SUM(D15,E15)</f>
        <v>501307565</v>
      </c>
      <c r="D15" s="654">
        <f>SUM(D16,D29,D37,D58,D24)</f>
        <v>501307565</v>
      </c>
      <c r="E15" s="654">
        <f>SUM(E16,E29,E37,E58,E24)</f>
        <v>0</v>
      </c>
      <c r="F15" s="654">
        <f>SUM(F16,F29,F37,F58,F24)</f>
        <v>0</v>
      </c>
      <c r="G15" s="138"/>
    </row>
    <row r="16" spans="1:7" ht="31.7" customHeight="1" thickTop="1" thickBot="1" x14ac:dyDescent="0.25">
      <c r="A16" s="615">
        <v>11000000</v>
      </c>
      <c r="B16" s="615" t="s">
        <v>59</v>
      </c>
      <c r="C16" s="609">
        <f>'d1'!C16-d1П!C16</f>
        <v>406307565</v>
      </c>
      <c r="D16" s="609">
        <f>'d1'!D16-d1П!D16</f>
        <v>406307565</v>
      </c>
      <c r="E16" s="609">
        <f>'d1'!E16-d1П!E16</f>
        <v>0</v>
      </c>
      <c r="F16" s="609">
        <f>'d1'!F16-d1П!F16</f>
        <v>0</v>
      </c>
      <c r="G16" s="139"/>
    </row>
    <row r="17" spans="1:7" ht="24.75" customHeight="1" thickTop="1" thickBot="1" x14ac:dyDescent="0.25">
      <c r="A17" s="611">
        <v>11010000</v>
      </c>
      <c r="B17" s="612" t="s">
        <v>60</v>
      </c>
      <c r="C17" s="613">
        <f>'d1'!C17-d1П!C17</f>
        <v>406307565</v>
      </c>
      <c r="D17" s="613">
        <f>'d1'!D17-d1П!D17</f>
        <v>406307565</v>
      </c>
      <c r="E17" s="613">
        <f>'d1'!E17-d1П!E17</f>
        <v>0</v>
      </c>
      <c r="F17" s="613">
        <f>'d1'!F17-d1П!F17</f>
        <v>0</v>
      </c>
      <c r="G17" s="139"/>
    </row>
    <row r="18" spans="1:7" ht="39.75" thickTop="1" thickBot="1" x14ac:dyDescent="0.25">
      <c r="A18" s="607">
        <v>11010100</v>
      </c>
      <c r="B18" s="608" t="s">
        <v>61</v>
      </c>
      <c r="C18" s="610">
        <f>'d1'!C18-d1П!C18</f>
        <v>206307565</v>
      </c>
      <c r="D18" s="610">
        <f>'d1'!D18-d1П!D18</f>
        <v>206307565</v>
      </c>
      <c r="E18" s="610">
        <f>'d1'!E18-d1П!E18</f>
        <v>0</v>
      </c>
      <c r="F18" s="610">
        <f>'d1'!F18-d1П!F18</f>
        <v>0</v>
      </c>
      <c r="G18" s="139"/>
    </row>
    <row r="19" spans="1:7" ht="65.25" thickTop="1" thickBot="1" x14ac:dyDescent="0.25">
      <c r="A19" s="607">
        <v>11010200</v>
      </c>
      <c r="B19" s="608" t="s">
        <v>62</v>
      </c>
      <c r="C19" s="610">
        <f>'d1'!C19-d1П!C19</f>
        <v>200000000</v>
      </c>
      <c r="D19" s="610">
        <f>'d1'!D19-d1П!D19</f>
        <v>200000000</v>
      </c>
      <c r="E19" s="610">
        <f>'d1'!E19-d1П!E19</f>
        <v>0</v>
      </c>
      <c r="F19" s="610">
        <f>'d1'!F19-d1П!F19</f>
        <v>0</v>
      </c>
      <c r="G19" s="139"/>
    </row>
    <row r="20" spans="1:7" ht="39.75" thickTop="1" thickBot="1" x14ac:dyDescent="0.25">
      <c r="A20" s="607">
        <v>11010400</v>
      </c>
      <c r="B20" s="608" t="s">
        <v>63</v>
      </c>
      <c r="C20" s="610">
        <f>'d1'!C20-d1П!C20</f>
        <v>0</v>
      </c>
      <c r="D20" s="610">
        <f>'d1'!D20-d1П!D20</f>
        <v>0</v>
      </c>
      <c r="E20" s="610">
        <f>'d1'!E20-d1П!E20</f>
        <v>0</v>
      </c>
      <c r="F20" s="610">
        <f>'d1'!F20-d1П!F20</f>
        <v>0</v>
      </c>
      <c r="G20" s="139"/>
    </row>
    <row r="21" spans="1:7" ht="39.75" thickTop="1" thickBot="1" x14ac:dyDescent="0.3">
      <c r="A21" s="607">
        <v>11010500</v>
      </c>
      <c r="B21" s="608" t="s">
        <v>64</v>
      </c>
      <c r="C21" s="610">
        <f>'d1'!C21-d1П!C21</f>
        <v>0</v>
      </c>
      <c r="D21" s="610">
        <f>'d1'!D21-d1П!D21</f>
        <v>0</v>
      </c>
      <c r="E21" s="610">
        <f>'d1'!E21-d1П!E21</f>
        <v>0</v>
      </c>
      <c r="F21" s="610">
        <f>'d1'!F21-d1П!F21</f>
        <v>0</v>
      </c>
      <c r="G21" s="137"/>
    </row>
    <row r="22" spans="1:7" ht="28.5" customHeight="1" thickTop="1" thickBot="1" x14ac:dyDescent="0.25">
      <c r="A22" s="611">
        <v>11020000</v>
      </c>
      <c r="B22" s="612" t="s">
        <v>65</v>
      </c>
      <c r="C22" s="613">
        <f>'d1'!C22-d1П!C22</f>
        <v>0</v>
      </c>
      <c r="D22" s="613">
        <f>'d1'!D22-d1П!D22</f>
        <v>0</v>
      </c>
      <c r="E22" s="613">
        <f>'d1'!E22-d1П!E22</f>
        <v>0</v>
      </c>
      <c r="F22" s="613">
        <f>'d1'!F22-d1П!F22</f>
        <v>0</v>
      </c>
      <c r="G22" s="138"/>
    </row>
    <row r="23" spans="1:7" ht="27" thickTop="1" thickBot="1" x14ac:dyDescent="0.3">
      <c r="A23" s="607">
        <v>11020200</v>
      </c>
      <c r="B23" s="614" t="s">
        <v>66</v>
      </c>
      <c r="C23" s="610">
        <f>'d1'!C23-d1П!C23</f>
        <v>0</v>
      </c>
      <c r="D23" s="610">
        <f>'d1'!D23-d1П!D23</f>
        <v>0</v>
      </c>
      <c r="E23" s="610">
        <f>'d1'!E23-d1П!E23</f>
        <v>0</v>
      </c>
      <c r="F23" s="610">
        <f>'d1'!F23-d1П!F23</f>
        <v>0</v>
      </c>
      <c r="G23" s="137"/>
    </row>
    <row r="24" spans="1:7" ht="27" thickTop="1" thickBot="1" x14ac:dyDescent="0.3">
      <c r="A24" s="615">
        <v>13000000</v>
      </c>
      <c r="B24" s="616" t="s">
        <v>532</v>
      </c>
      <c r="C24" s="609">
        <f>'d1'!C24-d1П!C24</f>
        <v>0</v>
      </c>
      <c r="D24" s="609">
        <f>'d1'!D24-d1П!D24</f>
        <v>0</v>
      </c>
      <c r="E24" s="609">
        <f>'d1'!E24-d1П!E24</f>
        <v>0</v>
      </c>
      <c r="F24" s="609">
        <f>'d1'!F24-d1П!F24</f>
        <v>0</v>
      </c>
      <c r="G24" s="137"/>
    </row>
    <row r="25" spans="1:7" ht="28.5" thickTop="1" thickBot="1" x14ac:dyDescent="0.3">
      <c r="A25" s="611">
        <v>13010000</v>
      </c>
      <c r="B25" s="617" t="s">
        <v>533</v>
      </c>
      <c r="C25" s="613">
        <f>'d1'!C25-d1П!C25</f>
        <v>0</v>
      </c>
      <c r="D25" s="613">
        <f>'d1'!D25-d1П!D25</f>
        <v>0</v>
      </c>
      <c r="E25" s="613">
        <f>'d1'!E25-d1П!E25</f>
        <v>0</v>
      </c>
      <c r="F25" s="613">
        <f>'d1'!F25-d1П!F25</f>
        <v>0</v>
      </c>
      <c r="G25" s="137"/>
    </row>
    <row r="26" spans="1:7" ht="65.25" thickTop="1" thickBot="1" x14ac:dyDescent="0.3">
      <c r="A26" s="607">
        <v>13010200</v>
      </c>
      <c r="B26" s="618" t="s">
        <v>534</v>
      </c>
      <c r="C26" s="609">
        <f>'d1'!C26-d1П!C26</f>
        <v>0</v>
      </c>
      <c r="D26" s="609">
        <f>'d1'!D26-d1П!D26</f>
        <v>0</v>
      </c>
      <c r="E26" s="609">
        <f>'d1'!E26-d1П!E26</f>
        <v>0</v>
      </c>
      <c r="F26" s="609">
        <f>'d1'!F26-d1П!F26</f>
        <v>0</v>
      </c>
      <c r="G26" s="137"/>
    </row>
    <row r="27" spans="1:7" ht="16.5" thickTop="1" thickBot="1" x14ac:dyDescent="0.3">
      <c r="A27" s="611">
        <v>13030000</v>
      </c>
      <c r="B27" s="619" t="s">
        <v>535</v>
      </c>
      <c r="C27" s="613">
        <f>'d1'!C27-d1П!C27</f>
        <v>0</v>
      </c>
      <c r="D27" s="613">
        <f>'d1'!D27-d1П!D27</f>
        <v>0</v>
      </c>
      <c r="E27" s="613">
        <f>'d1'!E27-d1П!E27</f>
        <v>0</v>
      </c>
      <c r="F27" s="613">
        <f>'d1'!F27-d1П!F27</f>
        <v>0</v>
      </c>
      <c r="G27" s="137"/>
    </row>
    <row r="28" spans="1:7" ht="39.75" thickTop="1" thickBot="1" x14ac:dyDescent="0.3">
      <c r="A28" s="607">
        <v>13030100</v>
      </c>
      <c r="B28" s="618" t="s">
        <v>536</v>
      </c>
      <c r="C28" s="610">
        <f>'d1'!C28-d1П!C28</f>
        <v>0</v>
      </c>
      <c r="D28" s="610">
        <f>'d1'!D28-d1П!D28</f>
        <v>0</v>
      </c>
      <c r="E28" s="610">
        <f>'d1'!E28-d1П!E28</f>
        <v>0</v>
      </c>
      <c r="F28" s="610">
        <f>'d1'!F28-d1П!F28</f>
        <v>0</v>
      </c>
      <c r="G28" s="137"/>
    </row>
    <row r="29" spans="1:7" ht="26.45" customHeight="1" thickTop="1" thickBot="1" x14ac:dyDescent="0.3">
      <c r="A29" s="615">
        <v>14000000</v>
      </c>
      <c r="B29" s="616" t="s">
        <v>537</v>
      </c>
      <c r="C29" s="609">
        <f>'d1'!C29-d1П!C29</f>
        <v>65000000</v>
      </c>
      <c r="D29" s="609">
        <f>'d1'!D29-d1П!D29</f>
        <v>65000000</v>
      </c>
      <c r="E29" s="609">
        <f>'d1'!E29-d1П!E29</f>
        <v>0</v>
      </c>
      <c r="F29" s="609">
        <f>'d1'!F29-d1П!F29</f>
        <v>0</v>
      </c>
      <c r="G29" s="137"/>
    </row>
    <row r="30" spans="1:7" ht="30" customHeight="1" thickTop="1" thickBot="1" x14ac:dyDescent="0.3">
      <c r="A30" s="611">
        <v>14020000</v>
      </c>
      <c r="B30" s="617" t="s">
        <v>631</v>
      </c>
      <c r="C30" s="613">
        <f>'d1'!C30-d1П!C30</f>
        <v>2000000</v>
      </c>
      <c r="D30" s="613">
        <f>'d1'!D30-d1П!D30</f>
        <v>2000000</v>
      </c>
      <c r="E30" s="613">
        <f>'d1'!E30-d1П!E30</f>
        <v>0</v>
      </c>
      <c r="F30" s="613">
        <f>'d1'!F30-d1П!F30</f>
        <v>0</v>
      </c>
      <c r="G30" s="137"/>
    </row>
    <row r="31" spans="1:7" ht="16.5" thickTop="1" thickBot="1" x14ac:dyDescent="0.3">
      <c r="A31" s="607">
        <v>14021900</v>
      </c>
      <c r="B31" s="614" t="s">
        <v>630</v>
      </c>
      <c r="C31" s="610">
        <f>'d1'!C31-d1П!C31</f>
        <v>2000000</v>
      </c>
      <c r="D31" s="610">
        <f>'d1'!D31-d1П!D31</f>
        <v>2000000</v>
      </c>
      <c r="E31" s="610">
        <f>'d1'!E31-d1П!E31</f>
        <v>0</v>
      </c>
      <c r="F31" s="610">
        <f>'d1'!F31-d1П!F31</f>
        <v>0</v>
      </c>
      <c r="G31" s="137"/>
    </row>
    <row r="32" spans="1:7" ht="42" thickTop="1" thickBot="1" x14ac:dyDescent="0.3">
      <c r="A32" s="611">
        <v>14030000</v>
      </c>
      <c r="B32" s="617" t="s">
        <v>632</v>
      </c>
      <c r="C32" s="613">
        <f>'d1'!C32-d1П!C32</f>
        <v>3000000</v>
      </c>
      <c r="D32" s="613">
        <f>'d1'!D32-d1П!D32</f>
        <v>3000000</v>
      </c>
      <c r="E32" s="613">
        <f>'d1'!E32-d1П!E32</f>
        <v>0</v>
      </c>
      <c r="F32" s="613">
        <f>'d1'!F32-d1П!F32</f>
        <v>0</v>
      </c>
      <c r="G32" s="137"/>
    </row>
    <row r="33" spans="1:7" ht="16.5" thickTop="1" thickBot="1" x14ac:dyDescent="0.3">
      <c r="A33" s="607">
        <v>14031900</v>
      </c>
      <c r="B33" s="614" t="s">
        <v>630</v>
      </c>
      <c r="C33" s="610">
        <f>'d1'!C33-d1П!C33</f>
        <v>3000000</v>
      </c>
      <c r="D33" s="610">
        <f>'d1'!D33-d1П!D33</f>
        <v>3000000</v>
      </c>
      <c r="E33" s="610">
        <f>'d1'!E33-d1П!E33</f>
        <v>0</v>
      </c>
      <c r="F33" s="610">
        <f>'d1'!F33-d1П!F33</f>
        <v>0</v>
      </c>
      <c r="G33" s="137"/>
    </row>
    <row r="34" spans="1:7" ht="42" thickTop="1" thickBot="1" x14ac:dyDescent="0.3">
      <c r="A34" s="611">
        <v>14040000</v>
      </c>
      <c r="B34" s="617" t="s">
        <v>1258</v>
      </c>
      <c r="C34" s="613">
        <f>'d1'!C34-d1П!C34</f>
        <v>60000000</v>
      </c>
      <c r="D34" s="613">
        <f>'d1'!D34-d1П!D34</f>
        <v>60000000</v>
      </c>
      <c r="E34" s="613">
        <f>'d1'!E34-d1П!E34</f>
        <v>0</v>
      </c>
      <c r="F34" s="613">
        <f>'d1'!F34-d1П!F34</f>
        <v>0</v>
      </c>
      <c r="G34" s="137"/>
    </row>
    <row r="35" spans="1:7" ht="103.5" thickTop="1" thickBot="1" x14ac:dyDescent="0.25">
      <c r="A35" s="607">
        <v>14040100</v>
      </c>
      <c r="B35" s="614" t="s">
        <v>1279</v>
      </c>
      <c r="C35" s="610">
        <f>'d1'!C35-d1П!C35</f>
        <v>60000000</v>
      </c>
      <c r="D35" s="610">
        <f>'d1'!D35-d1П!D35</f>
        <v>60000000</v>
      </c>
      <c r="E35" s="610">
        <f>'d1'!E35-d1П!E35</f>
        <v>0</v>
      </c>
      <c r="F35" s="610">
        <f>'d1'!F35-d1П!F35</f>
        <v>0</v>
      </c>
      <c r="G35" s="140"/>
    </row>
    <row r="36" spans="1:7" ht="78" thickTop="1" thickBot="1" x14ac:dyDescent="0.25">
      <c r="A36" s="607">
        <v>14040200</v>
      </c>
      <c r="B36" s="614" t="s">
        <v>1257</v>
      </c>
      <c r="C36" s="610">
        <f>'d1'!C36-d1П!C36</f>
        <v>0</v>
      </c>
      <c r="D36" s="610">
        <f>'d1'!D36-d1П!D36</f>
        <v>0</v>
      </c>
      <c r="E36" s="610">
        <f>'d1'!E36-d1П!E36</f>
        <v>0</v>
      </c>
      <c r="F36" s="610">
        <f>'d1'!F36-d1П!F36</f>
        <v>0</v>
      </c>
      <c r="G36" s="140"/>
    </row>
    <row r="37" spans="1:7" ht="29.25" customHeight="1" thickTop="1" thickBot="1" x14ac:dyDescent="0.3">
      <c r="A37" s="615">
        <v>18000000</v>
      </c>
      <c r="B37" s="615" t="s">
        <v>67</v>
      </c>
      <c r="C37" s="609">
        <f>'d1'!C37-d1П!C37</f>
        <v>30000000</v>
      </c>
      <c r="D37" s="609">
        <f>'d1'!D37-d1П!D37</f>
        <v>30000000</v>
      </c>
      <c r="E37" s="609">
        <f>'d1'!E37-d1П!E37</f>
        <v>0</v>
      </c>
      <c r="F37" s="609">
        <f>'d1'!F37-d1П!F37</f>
        <v>0</v>
      </c>
      <c r="G37" s="137"/>
    </row>
    <row r="38" spans="1:7" ht="16.5" thickTop="1" thickBot="1" x14ac:dyDescent="0.3">
      <c r="A38" s="611">
        <v>18010000</v>
      </c>
      <c r="B38" s="617" t="s">
        <v>68</v>
      </c>
      <c r="C38" s="613">
        <f>'d1'!C38-d1П!C38</f>
        <v>20000000</v>
      </c>
      <c r="D38" s="613">
        <f>'d1'!D38-d1П!D38</f>
        <v>20000000</v>
      </c>
      <c r="E38" s="613">
        <f>'d1'!E38-d1П!E38</f>
        <v>0</v>
      </c>
      <c r="F38" s="613">
        <f>'d1'!F38-d1П!F38</f>
        <v>0</v>
      </c>
      <c r="G38" s="137"/>
    </row>
    <row r="39" spans="1:7" ht="52.5" thickTop="1" thickBot="1" x14ac:dyDescent="0.3">
      <c r="A39" s="607">
        <v>18010100</v>
      </c>
      <c r="B39" s="614" t="s">
        <v>69</v>
      </c>
      <c r="C39" s="610">
        <f>'d1'!C39-d1П!C39</f>
        <v>0</v>
      </c>
      <c r="D39" s="610">
        <f>'d1'!D39-d1П!D39</f>
        <v>0</v>
      </c>
      <c r="E39" s="610">
        <f>'d1'!E39-d1П!E39</f>
        <v>0</v>
      </c>
      <c r="F39" s="610">
        <f>'d1'!F39-d1П!F39</f>
        <v>0</v>
      </c>
      <c r="G39" s="137"/>
    </row>
    <row r="40" spans="1:7" ht="52.5" thickTop="1" thickBot="1" x14ac:dyDescent="0.3">
      <c r="A40" s="607">
        <v>18010200</v>
      </c>
      <c r="B40" s="614" t="s">
        <v>70</v>
      </c>
      <c r="C40" s="610">
        <f>'d1'!C40-d1П!C40</f>
        <v>3425000</v>
      </c>
      <c r="D40" s="610">
        <f>'d1'!D40-d1П!D40</f>
        <v>3425000</v>
      </c>
      <c r="E40" s="610">
        <f>'d1'!E40-d1П!E40</f>
        <v>0</v>
      </c>
      <c r="F40" s="610">
        <f>'d1'!F40-d1П!F40</f>
        <v>0</v>
      </c>
      <c r="G40" s="137"/>
    </row>
    <row r="41" spans="1:7" ht="52.5" thickTop="1" thickBot="1" x14ac:dyDescent="0.3">
      <c r="A41" s="607">
        <v>18010300</v>
      </c>
      <c r="B41" s="614" t="s">
        <v>71</v>
      </c>
      <c r="C41" s="610">
        <f>'d1'!C41-d1П!C41</f>
        <v>1750000</v>
      </c>
      <c r="D41" s="610">
        <f>'d1'!D41-d1П!D41</f>
        <v>1750000</v>
      </c>
      <c r="E41" s="610">
        <f>'d1'!E41-d1П!E41</f>
        <v>0</v>
      </c>
      <c r="F41" s="610">
        <f>'d1'!F41-d1П!F41</f>
        <v>0</v>
      </c>
      <c r="G41" s="137"/>
    </row>
    <row r="42" spans="1:7" ht="52.5" thickTop="1" thickBot="1" x14ac:dyDescent="0.3">
      <c r="A42" s="607">
        <v>18010400</v>
      </c>
      <c r="B42" s="614" t="s">
        <v>72</v>
      </c>
      <c r="C42" s="610">
        <f>'d1'!C42-d1П!C42</f>
        <v>4825000</v>
      </c>
      <c r="D42" s="610">
        <f>'d1'!D42-d1П!D42</f>
        <v>4825000</v>
      </c>
      <c r="E42" s="610">
        <f>'d1'!E42-d1П!E42</f>
        <v>0</v>
      </c>
      <c r="F42" s="610">
        <f>'d1'!F42-d1П!F42</f>
        <v>0</v>
      </c>
      <c r="G42" s="137"/>
    </row>
    <row r="43" spans="1:7" ht="16.5" thickTop="1" thickBot="1" x14ac:dyDescent="0.3">
      <c r="A43" s="607">
        <v>18010500</v>
      </c>
      <c r="B43" s="614" t="s">
        <v>73</v>
      </c>
      <c r="C43" s="610">
        <f>'d1'!C43-d1П!C43</f>
        <v>3200000</v>
      </c>
      <c r="D43" s="610">
        <f>'d1'!D43-d1П!D43</f>
        <v>3200000</v>
      </c>
      <c r="E43" s="610">
        <f>'d1'!E43-d1П!E43</f>
        <v>0</v>
      </c>
      <c r="F43" s="610">
        <f>'d1'!F43-d1П!F43</f>
        <v>0</v>
      </c>
      <c r="G43" s="137"/>
    </row>
    <row r="44" spans="1:7" ht="16.5" thickTop="1" thickBot="1" x14ac:dyDescent="0.3">
      <c r="A44" s="607">
        <v>18010600</v>
      </c>
      <c r="B44" s="614" t="s">
        <v>74</v>
      </c>
      <c r="C44" s="610">
        <f>'d1'!C44-d1П!C44</f>
        <v>6800000</v>
      </c>
      <c r="D44" s="610">
        <f>'d1'!D44-d1П!D44</f>
        <v>6800000</v>
      </c>
      <c r="E44" s="610">
        <f>'d1'!E44-d1П!E44</f>
        <v>0</v>
      </c>
      <c r="F44" s="610">
        <f>'d1'!F44-d1П!F44</f>
        <v>0</v>
      </c>
      <c r="G44" s="137"/>
    </row>
    <row r="45" spans="1:7" ht="16.5" thickTop="1" thickBot="1" x14ac:dyDescent="0.3">
      <c r="A45" s="607">
        <v>18010700</v>
      </c>
      <c r="B45" s="614" t="s">
        <v>75</v>
      </c>
      <c r="C45" s="610">
        <f>'d1'!C45-d1П!C45</f>
        <v>0</v>
      </c>
      <c r="D45" s="610">
        <f>'d1'!D45-d1П!D45</f>
        <v>0</v>
      </c>
      <c r="E45" s="610">
        <f>'d1'!E45-d1П!E45</f>
        <v>0</v>
      </c>
      <c r="F45" s="610">
        <f>'d1'!F45-d1П!F45</f>
        <v>0</v>
      </c>
      <c r="G45" s="137"/>
    </row>
    <row r="46" spans="1:7" ht="16.5" thickTop="1" thickBot="1" x14ac:dyDescent="0.3">
      <c r="A46" s="607">
        <v>18010900</v>
      </c>
      <c r="B46" s="614" t="s">
        <v>76</v>
      </c>
      <c r="C46" s="610">
        <f>'d1'!C46-d1П!C46</f>
        <v>0</v>
      </c>
      <c r="D46" s="610">
        <f>'d1'!D46-d1П!D46</f>
        <v>0</v>
      </c>
      <c r="E46" s="610">
        <f>'d1'!E46-d1П!E46</f>
        <v>0</v>
      </c>
      <c r="F46" s="610">
        <f>'d1'!F46-d1П!F46</f>
        <v>0</v>
      </c>
      <c r="G46" s="137"/>
    </row>
    <row r="47" spans="1:7" ht="15.75" thickTop="1" thickBot="1" x14ac:dyDescent="0.25">
      <c r="A47" s="607">
        <v>18011000</v>
      </c>
      <c r="B47" s="614" t="s">
        <v>77</v>
      </c>
      <c r="C47" s="610">
        <f>'d1'!C47-d1П!C47</f>
        <v>0</v>
      </c>
      <c r="D47" s="610">
        <f>'d1'!D47-d1П!D47</f>
        <v>0</v>
      </c>
      <c r="E47" s="610">
        <f>'d1'!E47-d1П!E47</f>
        <v>0</v>
      </c>
      <c r="F47" s="610">
        <f>'d1'!F47-d1П!F47</f>
        <v>0</v>
      </c>
      <c r="G47" s="138"/>
    </row>
    <row r="48" spans="1:7" ht="16.5" thickTop="1" thickBot="1" x14ac:dyDescent="0.3">
      <c r="A48" s="607">
        <v>18011100</v>
      </c>
      <c r="B48" s="614" t="s">
        <v>78</v>
      </c>
      <c r="C48" s="610">
        <f>'d1'!C48-d1П!C48</f>
        <v>0</v>
      </c>
      <c r="D48" s="610">
        <f>'d1'!D48-d1П!D48</f>
        <v>0</v>
      </c>
      <c r="E48" s="610">
        <f>'d1'!E48-d1П!E48</f>
        <v>0</v>
      </c>
      <c r="F48" s="610">
        <f>'d1'!F48-d1П!F48</f>
        <v>0</v>
      </c>
      <c r="G48" s="137"/>
    </row>
    <row r="49" spans="1:7" ht="28.5" thickTop="1" thickBot="1" x14ac:dyDescent="0.3">
      <c r="A49" s="611">
        <v>18020000</v>
      </c>
      <c r="B49" s="617" t="s">
        <v>1202</v>
      </c>
      <c r="C49" s="613">
        <f>'d1'!C49-d1П!C49</f>
        <v>0</v>
      </c>
      <c r="D49" s="613">
        <f>'d1'!D49-d1П!D49</f>
        <v>0</v>
      </c>
      <c r="E49" s="613">
        <f>'d1'!E49-d1П!E49</f>
        <v>0</v>
      </c>
      <c r="F49" s="613">
        <f>'d1'!F49-d1П!F49</f>
        <v>0</v>
      </c>
      <c r="G49" s="137"/>
    </row>
    <row r="50" spans="1:7" ht="27" thickTop="1" thickBot="1" x14ac:dyDescent="0.3">
      <c r="A50" s="607">
        <v>180201000</v>
      </c>
      <c r="B50" s="614" t="s">
        <v>1203</v>
      </c>
      <c r="C50" s="610">
        <f>'d1'!C50-d1П!C50</f>
        <v>0</v>
      </c>
      <c r="D50" s="610">
        <f>'d1'!D50-d1П!D50</f>
        <v>0</v>
      </c>
      <c r="E50" s="610">
        <f>'d1'!E50-d1П!E50</f>
        <v>0</v>
      </c>
      <c r="F50" s="610">
        <f>'d1'!F50-d1П!F50</f>
        <v>0</v>
      </c>
      <c r="G50" s="137"/>
    </row>
    <row r="51" spans="1:7" ht="16.5" thickTop="1" thickBot="1" x14ac:dyDescent="0.3">
      <c r="A51" s="611">
        <v>18030000</v>
      </c>
      <c r="B51" s="617" t="s">
        <v>79</v>
      </c>
      <c r="C51" s="613">
        <f>'d1'!C51-d1П!C51</f>
        <v>0</v>
      </c>
      <c r="D51" s="613">
        <f>'d1'!D51-d1П!D51</f>
        <v>0</v>
      </c>
      <c r="E51" s="613">
        <f>'d1'!E51-d1П!E51</f>
        <v>0</v>
      </c>
      <c r="F51" s="613">
        <f>'d1'!F51-d1П!F51</f>
        <v>0</v>
      </c>
      <c r="G51" s="137"/>
    </row>
    <row r="52" spans="1:7" ht="27" thickTop="1" thickBot="1" x14ac:dyDescent="0.3">
      <c r="A52" s="607">
        <v>18030100</v>
      </c>
      <c r="B52" s="614" t="s">
        <v>80</v>
      </c>
      <c r="C52" s="610">
        <f>'d1'!C52-d1П!C52</f>
        <v>0</v>
      </c>
      <c r="D52" s="610">
        <f>'d1'!D52-d1П!D52</f>
        <v>0</v>
      </c>
      <c r="E52" s="610">
        <f>'d1'!E52-d1П!E52</f>
        <v>0</v>
      </c>
      <c r="F52" s="610">
        <f>'d1'!F52-d1П!F52</f>
        <v>0</v>
      </c>
      <c r="G52" s="137"/>
    </row>
    <row r="53" spans="1:7" ht="27" thickTop="1" thickBot="1" x14ac:dyDescent="0.3">
      <c r="A53" s="607">
        <v>18030200</v>
      </c>
      <c r="B53" s="614" t="s">
        <v>81</v>
      </c>
      <c r="C53" s="610">
        <f>'d1'!C53-d1П!C53</f>
        <v>0</v>
      </c>
      <c r="D53" s="610">
        <f>'d1'!D53-d1П!D53</f>
        <v>0</v>
      </c>
      <c r="E53" s="610">
        <f>'d1'!E53-d1П!E53</f>
        <v>0</v>
      </c>
      <c r="F53" s="610">
        <f>'d1'!F53-d1П!F53</f>
        <v>0</v>
      </c>
      <c r="G53" s="137"/>
    </row>
    <row r="54" spans="1:7" ht="16.5" thickTop="1" thickBot="1" x14ac:dyDescent="0.3">
      <c r="A54" s="611">
        <v>18050000</v>
      </c>
      <c r="B54" s="617" t="s">
        <v>82</v>
      </c>
      <c r="C54" s="613">
        <f>'d1'!C54-d1П!C54</f>
        <v>10000000</v>
      </c>
      <c r="D54" s="613">
        <f>'d1'!D54-d1П!D54</f>
        <v>10000000</v>
      </c>
      <c r="E54" s="613">
        <f>'d1'!E54-d1П!E54</f>
        <v>0</v>
      </c>
      <c r="F54" s="613">
        <f>'d1'!F54-d1П!F54</f>
        <v>0</v>
      </c>
      <c r="G54" s="137"/>
    </row>
    <row r="55" spans="1:7" ht="16.5" thickTop="1" thickBot="1" x14ac:dyDescent="0.3">
      <c r="A55" s="607">
        <v>18050300</v>
      </c>
      <c r="B55" s="608" t="s">
        <v>1064</v>
      </c>
      <c r="C55" s="610">
        <f>'d1'!C55-d1П!C55</f>
        <v>10000000</v>
      </c>
      <c r="D55" s="610">
        <f>'d1'!D55-d1П!D55</f>
        <v>10000000</v>
      </c>
      <c r="E55" s="610">
        <f>'d1'!E55-d1П!E55</f>
        <v>0</v>
      </c>
      <c r="F55" s="610">
        <f>'d1'!F55-d1П!F55</f>
        <v>0</v>
      </c>
      <c r="G55" s="137"/>
    </row>
    <row r="56" spans="1:7" ht="15.75" thickTop="1" thickBot="1" x14ac:dyDescent="0.25">
      <c r="A56" s="607">
        <v>18050400</v>
      </c>
      <c r="B56" s="614" t="s">
        <v>83</v>
      </c>
      <c r="C56" s="610">
        <f>'d1'!C56-d1П!C56</f>
        <v>0</v>
      </c>
      <c r="D56" s="610">
        <f>'d1'!D56-d1П!D56</f>
        <v>0</v>
      </c>
      <c r="E56" s="610">
        <f>'d1'!E56-d1П!E56</f>
        <v>0</v>
      </c>
      <c r="F56" s="610">
        <f>'d1'!F56-d1П!F56</f>
        <v>0</v>
      </c>
      <c r="G56" s="138"/>
    </row>
    <row r="57" spans="1:7" ht="65.25" thickTop="1" thickBot="1" x14ac:dyDescent="0.25">
      <c r="A57" s="607">
        <v>18050500</v>
      </c>
      <c r="B57" s="614" t="s">
        <v>545</v>
      </c>
      <c r="C57" s="610">
        <f>'d1'!C57-d1П!C57</f>
        <v>0</v>
      </c>
      <c r="D57" s="610">
        <f>'d1'!D57-d1П!D57</f>
        <v>0</v>
      </c>
      <c r="E57" s="610">
        <f>'d1'!E57-d1П!E57</f>
        <v>0</v>
      </c>
      <c r="F57" s="610">
        <f>'d1'!F57-d1П!F57</f>
        <v>0</v>
      </c>
      <c r="G57" s="138"/>
    </row>
    <row r="58" spans="1:7" ht="31.7" customHeight="1" thickTop="1" thickBot="1" x14ac:dyDescent="0.25">
      <c r="A58" s="615">
        <v>19000000</v>
      </c>
      <c r="B58" s="621" t="s">
        <v>538</v>
      </c>
      <c r="C58" s="609">
        <f>'d1'!C58-d1П!C58</f>
        <v>0</v>
      </c>
      <c r="D58" s="609">
        <f>'d1'!D58-d1П!D58</f>
        <v>0</v>
      </c>
      <c r="E58" s="609">
        <f>'d1'!E58-d1П!E58</f>
        <v>0</v>
      </c>
      <c r="F58" s="609">
        <f>'d1'!F58-d1П!F58</f>
        <v>0</v>
      </c>
      <c r="G58" s="138"/>
    </row>
    <row r="59" spans="1:7" ht="16.5" thickTop="1" thickBot="1" x14ac:dyDescent="0.3">
      <c r="A59" s="611">
        <v>1901000</v>
      </c>
      <c r="B59" s="612" t="s">
        <v>84</v>
      </c>
      <c r="C59" s="613">
        <f>'d1'!C59-d1П!C59</f>
        <v>0</v>
      </c>
      <c r="D59" s="613">
        <f>'d1'!D59-d1П!D59</f>
        <v>0</v>
      </c>
      <c r="E59" s="613">
        <f>'d1'!E59-d1П!E59</f>
        <v>0</v>
      </c>
      <c r="F59" s="613">
        <f>'d1'!F59-d1П!F59</f>
        <v>0</v>
      </c>
      <c r="G59" s="137"/>
    </row>
    <row r="60" spans="1:7" ht="52.5" thickTop="1" thickBot="1" x14ac:dyDescent="0.3">
      <c r="A60" s="607">
        <v>19010100</v>
      </c>
      <c r="B60" s="608" t="s">
        <v>539</v>
      </c>
      <c r="C60" s="610">
        <f>'d1'!C60-d1П!C60</f>
        <v>0</v>
      </c>
      <c r="D60" s="610">
        <f>'d1'!D60-d1П!D60</f>
        <v>0</v>
      </c>
      <c r="E60" s="610">
        <f>'d1'!E60-d1П!E60</f>
        <v>0</v>
      </c>
      <c r="F60" s="610">
        <f>'d1'!F60-d1П!F60</f>
        <v>0</v>
      </c>
      <c r="G60" s="137"/>
    </row>
    <row r="61" spans="1:7" ht="27" thickTop="1" thickBot="1" x14ac:dyDescent="0.25">
      <c r="A61" s="607">
        <v>19010200</v>
      </c>
      <c r="B61" s="608" t="s">
        <v>1360</v>
      </c>
      <c r="C61" s="610">
        <f>'d1'!C61-d1П!C61</f>
        <v>0</v>
      </c>
      <c r="D61" s="610">
        <f>'d1'!D61-d1П!D61</f>
        <v>0</v>
      </c>
      <c r="E61" s="610">
        <f>'d1'!E61-d1П!E61</f>
        <v>0</v>
      </c>
      <c r="F61" s="610">
        <f>'d1'!F61-d1П!F61</f>
        <v>0</v>
      </c>
      <c r="G61" s="140"/>
    </row>
    <row r="62" spans="1:7" ht="52.5" thickTop="1" thickBot="1" x14ac:dyDescent="0.3">
      <c r="A62" s="607">
        <v>19010300</v>
      </c>
      <c r="B62" s="608" t="s">
        <v>1361</v>
      </c>
      <c r="C62" s="610">
        <f>'d1'!C62-d1П!C62</f>
        <v>0</v>
      </c>
      <c r="D62" s="610">
        <f>'d1'!D62-d1П!D62</f>
        <v>0</v>
      </c>
      <c r="E62" s="610">
        <f>'d1'!E62-d1П!E62</f>
        <v>0</v>
      </c>
      <c r="F62" s="610">
        <f>'d1'!F62-d1П!F62</f>
        <v>0</v>
      </c>
      <c r="G62" s="137"/>
    </row>
    <row r="63" spans="1:7" ht="30" customHeight="1" thickTop="1" thickBot="1" x14ac:dyDescent="0.3">
      <c r="A63" s="653">
        <v>20000000</v>
      </c>
      <c r="B63" s="653" t="s">
        <v>85</v>
      </c>
      <c r="C63" s="654">
        <f t="shared" si="0"/>
        <v>39000000</v>
      </c>
      <c r="D63" s="654">
        <f>SUM(D64,D72,D82,D87)</f>
        <v>39000000</v>
      </c>
      <c r="E63" s="654">
        <f>SUM(E64,E72,E82,E87)</f>
        <v>0</v>
      </c>
      <c r="F63" s="654">
        <f>SUM(F64,F72,F82,F87)</f>
        <v>0</v>
      </c>
      <c r="G63" s="137"/>
    </row>
    <row r="64" spans="1:7" ht="27" thickTop="1" thickBot="1" x14ac:dyDescent="0.3">
      <c r="A64" s="615">
        <v>21000000</v>
      </c>
      <c r="B64" s="615" t="s">
        <v>540</v>
      </c>
      <c r="C64" s="609">
        <f>'d1'!C64-d1П!C64</f>
        <v>35500000</v>
      </c>
      <c r="D64" s="609">
        <f>'d1'!D64-d1П!D64</f>
        <v>35500000</v>
      </c>
      <c r="E64" s="609">
        <f>'d1'!E64-d1П!E64</f>
        <v>0</v>
      </c>
      <c r="F64" s="609">
        <f>'d1'!F64-d1П!F64</f>
        <v>0</v>
      </c>
      <c r="G64" s="137"/>
    </row>
    <row r="65" spans="1:7" ht="55.5" thickTop="1" thickBot="1" x14ac:dyDescent="0.3">
      <c r="A65" s="611">
        <v>21010000</v>
      </c>
      <c r="B65" s="617" t="s">
        <v>541</v>
      </c>
      <c r="C65" s="613">
        <f>'d1'!C65-d1П!C65</f>
        <v>1000000</v>
      </c>
      <c r="D65" s="613">
        <f>'d1'!D65-d1П!D65</f>
        <v>1000000</v>
      </c>
      <c r="E65" s="613">
        <f>'d1'!E65-d1П!E65</f>
        <v>0</v>
      </c>
      <c r="F65" s="613">
        <f>'d1'!F65-d1П!F65</f>
        <v>0</v>
      </c>
      <c r="G65" s="137"/>
    </row>
    <row r="66" spans="1:7" ht="52.5" thickTop="1" thickBot="1" x14ac:dyDescent="0.3">
      <c r="A66" s="607">
        <v>21010300</v>
      </c>
      <c r="B66" s="614" t="s">
        <v>1527</v>
      </c>
      <c r="C66" s="610">
        <f>'d1'!C66-d1П!C66</f>
        <v>1000000</v>
      </c>
      <c r="D66" s="610">
        <f>'d1'!D66-d1П!D66</f>
        <v>1000000</v>
      </c>
      <c r="E66" s="610">
        <f>'d1'!E66-d1П!E66</f>
        <v>0</v>
      </c>
      <c r="F66" s="610">
        <f>'d1'!F66-d1П!F66</f>
        <v>0</v>
      </c>
      <c r="G66" s="137"/>
    </row>
    <row r="67" spans="1:7" ht="28.5" thickTop="1" thickBot="1" x14ac:dyDescent="0.3">
      <c r="A67" s="611">
        <v>21050000</v>
      </c>
      <c r="B67" s="617" t="s">
        <v>87</v>
      </c>
      <c r="C67" s="613">
        <f>'d1'!C67-d1П!C67</f>
        <v>29000000</v>
      </c>
      <c r="D67" s="613">
        <f>'d1'!D67-d1П!D67</f>
        <v>29000000</v>
      </c>
      <c r="E67" s="613">
        <f>'d1'!E67-d1П!E67</f>
        <v>0</v>
      </c>
      <c r="F67" s="613">
        <f>'d1'!F67-d1П!F67</f>
        <v>0</v>
      </c>
      <c r="G67" s="137"/>
    </row>
    <row r="68" spans="1:7" ht="15" thickTop="1" thickBot="1" x14ac:dyDescent="0.25">
      <c r="A68" s="611">
        <v>21080000</v>
      </c>
      <c r="B68" s="617" t="s">
        <v>1065</v>
      </c>
      <c r="C68" s="613">
        <f>'d1'!C68-d1П!C68</f>
        <v>5500000</v>
      </c>
      <c r="D68" s="613">
        <f>'d1'!D68-d1П!D68</f>
        <v>5500000</v>
      </c>
      <c r="E68" s="613">
        <f>'d1'!E68-d1П!E68</f>
        <v>0</v>
      </c>
      <c r="F68" s="613">
        <f>'d1'!F68-d1П!F68</f>
        <v>0</v>
      </c>
      <c r="G68" s="140"/>
    </row>
    <row r="69" spans="1:7" ht="16.5" thickTop="1" thickBot="1" x14ac:dyDescent="0.3">
      <c r="A69" s="607">
        <v>21081100</v>
      </c>
      <c r="B69" s="622" t="s">
        <v>88</v>
      </c>
      <c r="C69" s="610">
        <f>'d1'!C69-d1П!C69</f>
        <v>2000000</v>
      </c>
      <c r="D69" s="610">
        <f>'d1'!D69-d1П!D69</f>
        <v>2000000</v>
      </c>
      <c r="E69" s="610">
        <f>'d1'!E69-d1П!E69</f>
        <v>0</v>
      </c>
      <c r="F69" s="610">
        <f>'d1'!F69-d1П!F69</f>
        <v>0</v>
      </c>
      <c r="G69" s="137"/>
    </row>
    <row r="70" spans="1:7" ht="90.75" thickTop="1" thickBot="1" x14ac:dyDescent="0.3">
      <c r="A70" s="607">
        <v>21081500</v>
      </c>
      <c r="B70" s="608" t="s">
        <v>1378</v>
      </c>
      <c r="C70" s="610">
        <f>'d1'!C70-d1П!C70</f>
        <v>0</v>
      </c>
      <c r="D70" s="610">
        <f>'d1'!D70-d1П!D70</f>
        <v>0</v>
      </c>
      <c r="E70" s="610">
        <f>'d1'!E70-d1П!E70</f>
        <v>0</v>
      </c>
      <c r="F70" s="610">
        <f>'d1'!F70-d1П!F70</f>
        <v>0</v>
      </c>
      <c r="G70" s="137"/>
    </row>
    <row r="71" spans="1:7" ht="16.5" thickTop="1" thickBot="1" x14ac:dyDescent="0.3">
      <c r="A71" s="607">
        <v>21081700</v>
      </c>
      <c r="B71" s="608" t="s">
        <v>379</v>
      </c>
      <c r="C71" s="610">
        <f>'d1'!C71-d1П!C71</f>
        <v>3500000</v>
      </c>
      <c r="D71" s="610">
        <f>'d1'!D71-d1П!D71</f>
        <v>3500000</v>
      </c>
      <c r="E71" s="610">
        <f>'d1'!E71-d1П!E71</f>
        <v>0</v>
      </c>
      <c r="F71" s="610">
        <f>'d1'!F71-d1П!F71</f>
        <v>0</v>
      </c>
      <c r="G71" s="141"/>
    </row>
    <row r="72" spans="1:7" ht="27" thickTop="1" thickBot="1" x14ac:dyDescent="0.3">
      <c r="A72" s="615">
        <v>22000000</v>
      </c>
      <c r="B72" s="615" t="s">
        <v>89</v>
      </c>
      <c r="C72" s="609">
        <f>'d1'!C72-d1П!C72</f>
        <v>3000000</v>
      </c>
      <c r="D72" s="609">
        <f>'d1'!D72-d1П!D72</f>
        <v>3000000</v>
      </c>
      <c r="E72" s="609">
        <f>'d1'!E72-d1П!E72</f>
        <v>0</v>
      </c>
      <c r="F72" s="609">
        <f>'d1'!F72-d1П!F72</f>
        <v>0</v>
      </c>
      <c r="G72" s="137"/>
    </row>
    <row r="73" spans="1:7" ht="24.75" customHeight="1" thickTop="1" thickBot="1" x14ac:dyDescent="0.3">
      <c r="A73" s="611">
        <v>22010000</v>
      </c>
      <c r="B73" s="612" t="s">
        <v>542</v>
      </c>
      <c r="C73" s="613">
        <f>'d1'!C73-d1П!C73</f>
        <v>3000000</v>
      </c>
      <c r="D73" s="613">
        <f>'d1'!D73-d1П!D73</f>
        <v>3000000</v>
      </c>
      <c r="E73" s="613">
        <f>'d1'!E73-d1П!E73</f>
        <v>0</v>
      </c>
      <c r="F73" s="613">
        <f>'d1'!F73-d1П!F73</f>
        <v>0</v>
      </c>
      <c r="G73" s="137"/>
    </row>
    <row r="74" spans="1:7" ht="39.75" thickTop="1" thickBot="1" x14ac:dyDescent="0.3">
      <c r="A74" s="607">
        <v>22010300</v>
      </c>
      <c r="B74" s="608" t="s">
        <v>148</v>
      </c>
      <c r="C74" s="610">
        <f>'d1'!C74-d1П!C74</f>
        <v>0</v>
      </c>
      <c r="D74" s="610">
        <f>'d1'!D74-d1П!D74</f>
        <v>0</v>
      </c>
      <c r="E74" s="610">
        <f>'d1'!E74-d1П!E74</f>
        <v>0</v>
      </c>
      <c r="F74" s="610">
        <f>'d1'!F74-d1П!F74</f>
        <v>0</v>
      </c>
      <c r="G74" s="137"/>
    </row>
    <row r="75" spans="1:7" ht="16.5" thickTop="1" thickBot="1" x14ac:dyDescent="0.3">
      <c r="A75" s="607">
        <v>22012500</v>
      </c>
      <c r="B75" s="608" t="s">
        <v>91</v>
      </c>
      <c r="C75" s="610">
        <f>'d1'!C75-d1П!C75</f>
        <v>3000000</v>
      </c>
      <c r="D75" s="610">
        <f>'d1'!D75-d1П!D75</f>
        <v>3000000</v>
      </c>
      <c r="E75" s="610">
        <f>'d1'!E75-d1П!E75</f>
        <v>0</v>
      </c>
      <c r="F75" s="610">
        <f>'d1'!F75-d1П!F75</f>
        <v>0</v>
      </c>
      <c r="G75" s="137"/>
    </row>
    <row r="76" spans="1:7" ht="27" thickTop="1" thickBot="1" x14ac:dyDescent="0.3">
      <c r="A76" s="607">
        <v>22012600</v>
      </c>
      <c r="B76" s="608" t="s">
        <v>90</v>
      </c>
      <c r="C76" s="610">
        <f>'d1'!C76-d1П!C76</f>
        <v>0</v>
      </c>
      <c r="D76" s="610">
        <f>'d1'!D76-d1П!D76</f>
        <v>0</v>
      </c>
      <c r="E76" s="610">
        <f>'d1'!E76-d1П!E76</f>
        <v>0</v>
      </c>
      <c r="F76" s="610">
        <f>'d1'!F76-d1П!F76</f>
        <v>0</v>
      </c>
      <c r="G76" s="137"/>
    </row>
    <row r="77" spans="1:7" ht="42" thickTop="1" thickBot="1" x14ac:dyDescent="0.3">
      <c r="A77" s="611">
        <v>2208000</v>
      </c>
      <c r="B77" s="612" t="s">
        <v>543</v>
      </c>
      <c r="C77" s="613">
        <f>'d1'!C77-d1П!C77</f>
        <v>0</v>
      </c>
      <c r="D77" s="613">
        <f>'d1'!D77-d1П!D77</f>
        <v>0</v>
      </c>
      <c r="E77" s="613">
        <f>'d1'!E77-d1П!E77</f>
        <v>0</v>
      </c>
      <c r="F77" s="613">
        <f>'d1'!F77-d1П!F77</f>
        <v>0</v>
      </c>
      <c r="G77" s="137"/>
    </row>
    <row r="78" spans="1:7" ht="52.5" thickTop="1" thickBot="1" x14ac:dyDescent="0.3">
      <c r="A78" s="607">
        <v>22080400</v>
      </c>
      <c r="B78" s="622" t="s">
        <v>92</v>
      </c>
      <c r="C78" s="610">
        <f>'d1'!C78-d1П!C78</f>
        <v>0</v>
      </c>
      <c r="D78" s="610">
        <f>'d1'!D78-d1П!D78</f>
        <v>0</v>
      </c>
      <c r="E78" s="610">
        <f>'d1'!E78-d1П!E78</f>
        <v>0</v>
      </c>
      <c r="F78" s="610">
        <f>'d1'!F78-d1П!F78</f>
        <v>0</v>
      </c>
      <c r="G78" s="137"/>
    </row>
    <row r="79" spans="1:7" ht="16.5" thickTop="1" thickBot="1" x14ac:dyDescent="0.3">
      <c r="A79" s="611">
        <v>22090000</v>
      </c>
      <c r="B79" s="623" t="s">
        <v>93</v>
      </c>
      <c r="C79" s="613">
        <f>'d1'!C79-d1П!C79</f>
        <v>0</v>
      </c>
      <c r="D79" s="613">
        <f>'d1'!D79-d1П!D79</f>
        <v>0</v>
      </c>
      <c r="E79" s="613">
        <f>'d1'!E79-d1П!E79</f>
        <v>0</v>
      </c>
      <c r="F79" s="613">
        <f>'d1'!F79-d1П!F79</f>
        <v>0</v>
      </c>
      <c r="G79" s="137"/>
    </row>
    <row r="80" spans="1:7" ht="52.5" thickTop="1" thickBot="1" x14ac:dyDescent="0.3">
      <c r="A80" s="607">
        <v>22090100</v>
      </c>
      <c r="B80" s="614" t="s">
        <v>94</v>
      </c>
      <c r="C80" s="610">
        <f>'d1'!C80-d1П!C80</f>
        <v>0</v>
      </c>
      <c r="D80" s="610">
        <f>'d1'!D80-d1П!D80</f>
        <v>0</v>
      </c>
      <c r="E80" s="610">
        <f>'d1'!E80-d1П!E80</f>
        <v>0</v>
      </c>
      <c r="F80" s="610">
        <f>'d1'!F80-d1П!F80</f>
        <v>0</v>
      </c>
      <c r="G80" s="137"/>
    </row>
    <row r="81" spans="1:7" ht="39.75" thickTop="1" thickBot="1" x14ac:dyDescent="0.25">
      <c r="A81" s="607">
        <v>22090400</v>
      </c>
      <c r="B81" s="614" t="s">
        <v>95</v>
      </c>
      <c r="C81" s="610">
        <f>'d1'!C81-d1П!C81</f>
        <v>0</v>
      </c>
      <c r="D81" s="610">
        <f>'d1'!D81-d1П!D81</f>
        <v>0</v>
      </c>
      <c r="E81" s="610">
        <f>'d1'!E81-d1П!E81</f>
        <v>0</v>
      </c>
      <c r="F81" s="610">
        <f>'d1'!F81-d1П!F81</f>
        <v>0</v>
      </c>
      <c r="G81" s="139"/>
    </row>
    <row r="82" spans="1:7" ht="20.25" customHeight="1" thickTop="1" thickBot="1" x14ac:dyDescent="0.3">
      <c r="A82" s="615">
        <v>24000000</v>
      </c>
      <c r="B82" s="624" t="s">
        <v>96</v>
      </c>
      <c r="C82" s="609">
        <f>'d1'!C82-d1П!C82</f>
        <v>500000</v>
      </c>
      <c r="D82" s="609">
        <f>'d1'!D82-d1П!D82</f>
        <v>500000</v>
      </c>
      <c r="E82" s="609">
        <f>'d1'!E82-d1П!E82</f>
        <v>0</v>
      </c>
      <c r="F82" s="609">
        <f>'d1'!F82-d1П!F82</f>
        <v>0</v>
      </c>
      <c r="G82" s="137"/>
    </row>
    <row r="83" spans="1:7" ht="16.5" thickTop="1" thickBot="1" x14ac:dyDescent="0.3">
      <c r="A83" s="607">
        <v>24060300</v>
      </c>
      <c r="B83" s="608" t="s">
        <v>97</v>
      </c>
      <c r="C83" s="610">
        <f>'d1'!C83-d1П!C83</f>
        <v>0</v>
      </c>
      <c r="D83" s="610">
        <f>'d1'!D83-d1П!D83</f>
        <v>0</v>
      </c>
      <c r="E83" s="610">
        <f>'d1'!E83-d1П!E83</f>
        <v>0</v>
      </c>
      <c r="F83" s="610">
        <f>'d1'!F83-d1П!F83</f>
        <v>0</v>
      </c>
      <c r="G83" s="137"/>
    </row>
    <row r="84" spans="1:7" ht="65.25" thickTop="1" thickBot="1" x14ac:dyDescent="0.3">
      <c r="A84" s="607">
        <v>24062200</v>
      </c>
      <c r="B84" s="608" t="s">
        <v>380</v>
      </c>
      <c r="C84" s="610">
        <f>'d1'!C84-d1П!C84</f>
        <v>500000</v>
      </c>
      <c r="D84" s="610">
        <f>'d1'!D84-d1П!D84</f>
        <v>500000</v>
      </c>
      <c r="E84" s="610">
        <f>'d1'!E84-d1П!E84</f>
        <v>0</v>
      </c>
      <c r="F84" s="610">
        <f>'d1'!F84-d1П!F84</f>
        <v>0</v>
      </c>
      <c r="G84" s="137"/>
    </row>
    <row r="85" spans="1:7" ht="39.75" thickTop="1" thickBot="1" x14ac:dyDescent="0.3">
      <c r="A85" s="607">
        <v>24110700</v>
      </c>
      <c r="B85" s="625" t="s">
        <v>597</v>
      </c>
      <c r="C85" s="610">
        <f>'d1'!C85-d1П!C85</f>
        <v>0</v>
      </c>
      <c r="D85" s="610">
        <f>'d1'!D85-d1П!D85</f>
        <v>0</v>
      </c>
      <c r="E85" s="610">
        <f>'d1'!E85-d1П!E85</f>
        <v>0</v>
      </c>
      <c r="F85" s="610">
        <f>'d1'!F85-d1П!F85</f>
        <v>0</v>
      </c>
      <c r="G85" s="137"/>
    </row>
    <row r="86" spans="1:7" ht="27" thickTop="1" thickBot="1" x14ac:dyDescent="0.25">
      <c r="A86" s="607">
        <v>24170000</v>
      </c>
      <c r="B86" s="614" t="s">
        <v>98</v>
      </c>
      <c r="C86" s="610">
        <f>'d1'!C86-d1П!C86</f>
        <v>0</v>
      </c>
      <c r="D86" s="610">
        <f>'d1'!D86-d1П!D86</f>
        <v>0</v>
      </c>
      <c r="E86" s="610">
        <f>'d1'!E86-d1П!E86</f>
        <v>0</v>
      </c>
      <c r="F86" s="610">
        <f>'d1'!F86-d1П!F86</f>
        <v>0</v>
      </c>
      <c r="G86" s="138"/>
    </row>
    <row r="87" spans="1:7" ht="16.5" thickTop="1" thickBot="1" x14ac:dyDescent="0.3">
      <c r="A87" s="615">
        <v>25000000</v>
      </c>
      <c r="B87" s="626" t="s">
        <v>99</v>
      </c>
      <c r="C87" s="609">
        <f>'d1'!C87-d1П!C87</f>
        <v>0</v>
      </c>
      <c r="D87" s="609">
        <f>'d1'!D87-d1П!D87</f>
        <v>0</v>
      </c>
      <c r="E87" s="609">
        <f>'d1'!E87-d1П!E87</f>
        <v>0</v>
      </c>
      <c r="F87" s="609">
        <f>'d1'!F87-d1П!F87</f>
        <v>0</v>
      </c>
      <c r="G87" s="137"/>
    </row>
    <row r="88" spans="1:7" ht="42" thickTop="1" thickBot="1" x14ac:dyDescent="0.3">
      <c r="A88" s="611">
        <v>25010000</v>
      </c>
      <c r="B88" s="617" t="s">
        <v>100</v>
      </c>
      <c r="C88" s="613">
        <f>'d1'!C88-d1П!C88</f>
        <v>0</v>
      </c>
      <c r="D88" s="613">
        <f>'d1'!D88-d1П!D88</f>
        <v>0</v>
      </c>
      <c r="E88" s="613">
        <f>'d1'!E88-d1П!E88</f>
        <v>0</v>
      </c>
      <c r="F88" s="613">
        <f>'d1'!F88-d1П!F88</f>
        <v>0</v>
      </c>
      <c r="G88" s="137"/>
    </row>
    <row r="89" spans="1:7" ht="27" thickTop="1" thickBot="1" x14ac:dyDescent="0.3">
      <c r="A89" s="607">
        <v>25010100</v>
      </c>
      <c r="B89" s="614" t="s">
        <v>101</v>
      </c>
      <c r="C89" s="610">
        <f>'d1'!C89-d1П!C89</f>
        <v>0</v>
      </c>
      <c r="D89" s="610">
        <f>'d1'!D89-d1П!D89</f>
        <v>0</v>
      </c>
      <c r="E89" s="610">
        <f>'d1'!E89-d1П!E89</f>
        <v>0</v>
      </c>
      <c r="F89" s="610">
        <f>'d1'!F89-d1П!F89</f>
        <v>0</v>
      </c>
      <c r="G89" s="137"/>
    </row>
    <row r="90" spans="1:7" ht="27" thickTop="1" thickBot="1" x14ac:dyDescent="0.3">
      <c r="A90" s="607">
        <v>25010200</v>
      </c>
      <c r="B90" s="614" t="s">
        <v>102</v>
      </c>
      <c r="C90" s="610">
        <f>'d1'!C90-d1П!C90</f>
        <v>0</v>
      </c>
      <c r="D90" s="610">
        <f>'d1'!D90-d1П!D90</f>
        <v>0</v>
      </c>
      <c r="E90" s="610">
        <f>'d1'!E90-d1П!E90</f>
        <v>0</v>
      </c>
      <c r="F90" s="610">
        <f>'d1'!F90-d1П!F90</f>
        <v>0</v>
      </c>
      <c r="G90" s="137"/>
    </row>
    <row r="91" spans="1:7" ht="16.5" thickTop="1" thickBot="1" x14ac:dyDescent="0.3">
      <c r="A91" s="607">
        <v>25010300</v>
      </c>
      <c r="B91" s="614" t="s">
        <v>103</v>
      </c>
      <c r="C91" s="610">
        <f>'d1'!C91-d1П!C91</f>
        <v>0</v>
      </c>
      <c r="D91" s="610">
        <f>'d1'!D91-d1П!D91</f>
        <v>0</v>
      </c>
      <c r="E91" s="610">
        <f>'d1'!E91-d1П!E91</f>
        <v>0</v>
      </c>
      <c r="F91" s="610">
        <f>'d1'!F91-d1П!F91</f>
        <v>0</v>
      </c>
      <c r="G91" s="137"/>
    </row>
    <row r="92" spans="1:7" ht="39.75" thickTop="1" thickBot="1" x14ac:dyDescent="0.3">
      <c r="A92" s="607">
        <v>25010400</v>
      </c>
      <c r="B92" s="614" t="s">
        <v>104</v>
      </c>
      <c r="C92" s="610">
        <f>'d1'!C92-d1П!C92</f>
        <v>0</v>
      </c>
      <c r="D92" s="610">
        <f>'d1'!D92-d1П!D92</f>
        <v>0</v>
      </c>
      <c r="E92" s="610">
        <f>'d1'!E92-d1П!E92</f>
        <v>0</v>
      </c>
      <c r="F92" s="610">
        <f>'d1'!F92-d1П!F92</f>
        <v>0</v>
      </c>
      <c r="G92" s="137"/>
    </row>
    <row r="93" spans="1:7" ht="24.75" customHeight="1" thickTop="1" thickBot="1" x14ac:dyDescent="0.25">
      <c r="A93" s="615">
        <v>30000000</v>
      </c>
      <c r="B93" s="615" t="s">
        <v>105</v>
      </c>
      <c r="C93" s="609">
        <f>'d1'!C93-d1П!C93</f>
        <v>9000000</v>
      </c>
      <c r="D93" s="609">
        <f>'d1'!D93-d1П!D93</f>
        <v>0</v>
      </c>
      <c r="E93" s="609">
        <f>'d1'!E93-d1П!E93</f>
        <v>9000000</v>
      </c>
      <c r="F93" s="609">
        <f>'d1'!F93-d1П!F93</f>
        <v>9000000</v>
      </c>
      <c r="G93" s="139"/>
    </row>
    <row r="94" spans="1:7" ht="27" customHeight="1" thickTop="1" thickBot="1" x14ac:dyDescent="0.3">
      <c r="A94" s="615">
        <v>31000000</v>
      </c>
      <c r="B94" s="615" t="s">
        <v>106</v>
      </c>
      <c r="C94" s="609">
        <f>'d1'!C94-d1П!C94</f>
        <v>2500000</v>
      </c>
      <c r="D94" s="609">
        <f>'d1'!D94-d1П!D94</f>
        <v>0</v>
      </c>
      <c r="E94" s="609">
        <f>'d1'!E94-d1П!E94</f>
        <v>2500000</v>
      </c>
      <c r="F94" s="609">
        <f>'d1'!F94-d1П!F94</f>
        <v>2500000</v>
      </c>
      <c r="G94" s="137"/>
    </row>
    <row r="95" spans="1:7" ht="82.5" thickTop="1" thickBot="1" x14ac:dyDescent="0.3">
      <c r="A95" s="611">
        <v>3101000</v>
      </c>
      <c r="B95" s="612" t="s">
        <v>544</v>
      </c>
      <c r="C95" s="613">
        <f>'d1'!C95-d1П!C95</f>
        <v>0</v>
      </c>
      <c r="D95" s="613">
        <f>'d1'!D95-d1П!D95</f>
        <v>0</v>
      </c>
      <c r="E95" s="613">
        <f>'d1'!E95-d1П!E95</f>
        <v>0</v>
      </c>
      <c r="F95" s="613">
        <f>'d1'!F95-d1П!F95</f>
        <v>0</v>
      </c>
      <c r="G95" s="137"/>
    </row>
    <row r="96" spans="1:7" ht="78" thickTop="1" thickBot="1" x14ac:dyDescent="0.3">
      <c r="A96" s="607">
        <v>31010200</v>
      </c>
      <c r="B96" s="614" t="s">
        <v>107</v>
      </c>
      <c r="C96" s="610">
        <f>'d1'!C96-d1П!C96</f>
        <v>0</v>
      </c>
      <c r="D96" s="610">
        <f>'d1'!D96-d1П!D96</f>
        <v>0</v>
      </c>
      <c r="E96" s="610">
        <f>'d1'!E96-d1П!E96</f>
        <v>0</v>
      </c>
      <c r="F96" s="610">
        <f>'d1'!F96-d1П!F96</f>
        <v>0</v>
      </c>
      <c r="G96" s="137"/>
    </row>
    <row r="97" spans="1:7" ht="55.5" thickTop="1" thickBot="1" x14ac:dyDescent="0.3">
      <c r="A97" s="611">
        <v>31030000</v>
      </c>
      <c r="B97" s="617" t="s">
        <v>108</v>
      </c>
      <c r="C97" s="613">
        <f>'d1'!C97-d1П!C97</f>
        <v>2500000</v>
      </c>
      <c r="D97" s="613">
        <f>'d1'!D97-d1П!D97</f>
        <v>0</v>
      </c>
      <c r="E97" s="613">
        <f>'d1'!E97-d1П!E97</f>
        <v>2500000</v>
      </c>
      <c r="F97" s="613">
        <f>'d1'!F97-d1П!F97</f>
        <v>2500000</v>
      </c>
      <c r="G97" s="137"/>
    </row>
    <row r="98" spans="1:7" ht="27" thickTop="1" thickBot="1" x14ac:dyDescent="0.3">
      <c r="A98" s="653">
        <v>33000000</v>
      </c>
      <c r="B98" s="653" t="s">
        <v>109</v>
      </c>
      <c r="C98" s="654">
        <f t="shared" ref="C98" si="1">SUM(D98,E98)</f>
        <v>6500000</v>
      </c>
      <c r="D98" s="654"/>
      <c r="E98" s="654">
        <f>SUM(E99)</f>
        <v>6500000</v>
      </c>
      <c r="F98" s="654">
        <f>SUM(F99)</f>
        <v>6500000</v>
      </c>
      <c r="G98" s="137"/>
    </row>
    <row r="99" spans="1:7" ht="16.5" thickTop="1" thickBot="1" x14ac:dyDescent="0.3">
      <c r="A99" s="611">
        <v>33010000</v>
      </c>
      <c r="B99" s="612" t="s">
        <v>110</v>
      </c>
      <c r="C99" s="613">
        <f>'d1'!C99-d1П!C99</f>
        <v>6500000</v>
      </c>
      <c r="D99" s="613">
        <f>'d1'!D99-d1П!D99</f>
        <v>0</v>
      </c>
      <c r="E99" s="613">
        <f>'d1'!E99-d1П!E99</f>
        <v>6500000</v>
      </c>
      <c r="F99" s="613">
        <f>'d1'!F99-d1П!F99</f>
        <v>6500000</v>
      </c>
      <c r="G99" s="137"/>
    </row>
    <row r="100" spans="1:7" ht="52.5" thickTop="1" thickBot="1" x14ac:dyDescent="0.3">
      <c r="A100" s="607">
        <v>33010100</v>
      </c>
      <c r="B100" s="614" t="s">
        <v>348</v>
      </c>
      <c r="C100" s="610">
        <f>'d1'!C100-d1П!C100</f>
        <v>5100000</v>
      </c>
      <c r="D100" s="610">
        <f>'d1'!D100-d1П!D100</f>
        <v>0</v>
      </c>
      <c r="E100" s="610">
        <f>'d1'!E100-d1П!E100</f>
        <v>5100000</v>
      </c>
      <c r="F100" s="610">
        <f>'d1'!F100-d1П!F100</f>
        <v>5100000</v>
      </c>
      <c r="G100" s="137"/>
    </row>
    <row r="101" spans="1:7" ht="52.5" thickTop="1" thickBot="1" x14ac:dyDescent="0.3">
      <c r="A101" s="607">
        <v>33010200</v>
      </c>
      <c r="B101" s="614" t="s">
        <v>111</v>
      </c>
      <c r="C101" s="610">
        <f>'d1'!C101-d1П!C101</f>
        <v>0</v>
      </c>
      <c r="D101" s="610">
        <f>'d1'!D101-d1П!D101</f>
        <v>0</v>
      </c>
      <c r="E101" s="610">
        <f>'d1'!E101-d1П!E101</f>
        <v>0</v>
      </c>
      <c r="F101" s="610">
        <f>'d1'!F101-d1П!F101</f>
        <v>0</v>
      </c>
      <c r="G101" s="137"/>
    </row>
    <row r="102" spans="1:7" ht="65.25" thickTop="1" thickBot="1" x14ac:dyDescent="0.3">
      <c r="A102" s="607">
        <v>33010500</v>
      </c>
      <c r="B102" s="614" t="s">
        <v>1528</v>
      </c>
      <c r="C102" s="610">
        <f>'d1'!C102-0</f>
        <v>1400000</v>
      </c>
      <c r="D102" s="610">
        <f>'d1'!D102-0</f>
        <v>0</v>
      </c>
      <c r="E102" s="610">
        <f>'d1'!E102-0</f>
        <v>1400000</v>
      </c>
      <c r="F102" s="610">
        <f>'d1'!F102-0</f>
        <v>1400000</v>
      </c>
      <c r="G102" s="137"/>
    </row>
    <row r="103" spans="1:7" ht="27" customHeight="1" thickTop="1" thickBot="1" x14ac:dyDescent="0.3">
      <c r="A103" s="653">
        <v>50000000</v>
      </c>
      <c r="B103" s="653" t="s">
        <v>492</v>
      </c>
      <c r="C103" s="654">
        <f>SUM(D103,E103)</f>
        <v>1250000</v>
      </c>
      <c r="D103" s="654"/>
      <c r="E103" s="654">
        <f>SUM(E104)</f>
        <v>1250000</v>
      </c>
      <c r="F103" s="654"/>
      <c r="G103" s="137"/>
    </row>
    <row r="104" spans="1:7" ht="52.5" thickTop="1" thickBot="1" x14ac:dyDescent="0.3">
      <c r="A104" s="615">
        <v>50110000</v>
      </c>
      <c r="B104" s="621" t="s">
        <v>112</v>
      </c>
      <c r="C104" s="609">
        <f>'d1'!C104-d1П!C103</f>
        <v>1250000</v>
      </c>
      <c r="D104" s="609">
        <f>'d1'!D104-d1П!D103</f>
        <v>0</v>
      </c>
      <c r="E104" s="609">
        <f>'d1'!E104-d1П!E103</f>
        <v>1250000</v>
      </c>
      <c r="F104" s="609">
        <f>'d1'!F104-d1П!F103</f>
        <v>0</v>
      </c>
      <c r="G104" s="137"/>
    </row>
    <row r="105" spans="1:7" ht="45.75" customHeight="1" thickTop="1" thickBot="1" x14ac:dyDescent="0.25">
      <c r="A105" s="650"/>
      <c r="B105" s="651" t="s">
        <v>493</v>
      </c>
      <c r="C105" s="652">
        <f t="shared" ref="C105" si="2">SUM(D105,E105)</f>
        <v>550557565</v>
      </c>
      <c r="D105" s="652">
        <f>D103+D93+D63+D15</f>
        <v>540307565</v>
      </c>
      <c r="E105" s="652">
        <f>E103+E93+E63+E15</f>
        <v>10250000</v>
      </c>
      <c r="F105" s="652">
        <f>F103+F93+F63+F15</f>
        <v>9000000</v>
      </c>
      <c r="G105" s="138"/>
    </row>
    <row r="106" spans="1:7" ht="34.5" customHeight="1" thickTop="1" thickBot="1" x14ac:dyDescent="0.25">
      <c r="A106" s="653">
        <v>40000000</v>
      </c>
      <c r="B106" s="653" t="s">
        <v>432</v>
      </c>
      <c r="C106" s="654">
        <f>SUM(D106,E106)</f>
        <v>7334764.6399999997</v>
      </c>
      <c r="D106" s="654">
        <f>SUM(D112,D109,D107)</f>
        <v>7334764.6399999997</v>
      </c>
      <c r="E106" s="654">
        <f>SUM(E112,E109,E107)</f>
        <v>0</v>
      </c>
      <c r="F106" s="654">
        <f>SUM(F112,F109,F107)</f>
        <v>0</v>
      </c>
      <c r="G106" s="138"/>
    </row>
    <row r="107" spans="1:7" ht="34.5" customHeight="1" thickTop="1" thickBot="1" x14ac:dyDescent="0.25">
      <c r="A107" s="438">
        <v>41020000</v>
      </c>
      <c r="B107" s="684" t="s">
        <v>1457</v>
      </c>
      <c r="C107" s="609">
        <f>'d1'!C107-d1П!C106</f>
        <v>0</v>
      </c>
      <c r="D107" s="609">
        <f>'d1'!D107-d1П!D106</f>
        <v>0</v>
      </c>
      <c r="E107" s="609">
        <f>'d1'!E107-d1П!E106</f>
        <v>0</v>
      </c>
      <c r="F107" s="609">
        <f>'d1'!F107-d1П!F106</f>
        <v>0</v>
      </c>
      <c r="G107" s="138"/>
    </row>
    <row r="108" spans="1:7" ht="103.5" thickTop="1" thickBot="1" x14ac:dyDescent="0.25">
      <c r="A108" s="685">
        <v>41021400</v>
      </c>
      <c r="B108" s="686" t="s">
        <v>1464</v>
      </c>
      <c r="C108" s="610">
        <f>'d1'!C108-d1П!C107</f>
        <v>0</v>
      </c>
      <c r="D108" s="610">
        <f>'d1'!D108-d1П!D107</f>
        <v>0</v>
      </c>
      <c r="E108" s="610">
        <f>'d1'!E108-d1П!E107</f>
        <v>0</v>
      </c>
      <c r="F108" s="610">
        <f>'d1'!F108-d1П!F107</f>
        <v>0</v>
      </c>
      <c r="G108" s="138"/>
    </row>
    <row r="109" spans="1:7" ht="27" thickTop="1" thickBot="1" x14ac:dyDescent="0.25">
      <c r="A109" s="438">
        <v>41040000</v>
      </c>
      <c r="B109" s="684" t="s">
        <v>349</v>
      </c>
      <c r="C109" s="609">
        <f>'d1'!C109-d1П!C108</f>
        <v>134764.63999999966</v>
      </c>
      <c r="D109" s="609">
        <f>'d1'!D109-d1П!D108</f>
        <v>134764.63999999966</v>
      </c>
      <c r="E109" s="609">
        <f>'d1'!E109-d1П!E108</f>
        <v>0</v>
      </c>
      <c r="F109" s="609">
        <f>'d1'!F109-d1П!F108</f>
        <v>0</v>
      </c>
      <c r="G109" s="138"/>
    </row>
    <row r="110" spans="1:7" ht="65.25" thickTop="1" thickBot="1" x14ac:dyDescent="0.25">
      <c r="A110" s="685">
        <v>41040200</v>
      </c>
      <c r="B110" s="686" t="s">
        <v>1206</v>
      </c>
      <c r="C110" s="610">
        <f>'d1'!C110-d1П!C109</f>
        <v>0</v>
      </c>
      <c r="D110" s="610">
        <f>'d1'!D110-d1П!D109</f>
        <v>0</v>
      </c>
      <c r="E110" s="610">
        <f>'d1'!E110-d1П!E109</f>
        <v>0</v>
      </c>
      <c r="F110" s="610">
        <f>'d1'!F110-d1П!F109</f>
        <v>0</v>
      </c>
      <c r="G110" s="138"/>
    </row>
    <row r="111" spans="1:7" ht="15.75" thickTop="1" thickBot="1" x14ac:dyDescent="0.25">
      <c r="A111" s="685">
        <v>41040400</v>
      </c>
      <c r="B111" s="686" t="s">
        <v>1266</v>
      </c>
      <c r="C111" s="610">
        <f>'d1'!C111-d1П!C110</f>
        <v>134764.64000000001</v>
      </c>
      <c r="D111" s="610">
        <f>'d1'!D111-d1П!D110</f>
        <v>134764.64000000001</v>
      </c>
      <c r="E111" s="610">
        <f>'d1'!E111-d1П!E110</f>
        <v>0</v>
      </c>
      <c r="F111" s="610">
        <f>'d1'!F111-d1П!F110</f>
        <v>0</v>
      </c>
      <c r="G111" s="138"/>
    </row>
    <row r="112" spans="1:7" ht="15.75" thickTop="1" thickBot="1" x14ac:dyDescent="0.25">
      <c r="A112" s="438">
        <v>41000000</v>
      </c>
      <c r="B112" s="438" t="s">
        <v>113</v>
      </c>
      <c r="C112" s="609">
        <f>'d1'!C112-d1П!C111</f>
        <v>7200000</v>
      </c>
      <c r="D112" s="609">
        <f>'d1'!D112-d1П!D111</f>
        <v>7200000</v>
      </c>
      <c r="E112" s="609">
        <f>'d1'!E112-d1П!E111</f>
        <v>0</v>
      </c>
      <c r="F112" s="609">
        <f>'d1'!F112-d1П!F111</f>
        <v>0</v>
      </c>
      <c r="G112" s="138"/>
    </row>
    <row r="113" spans="1:7" ht="27" thickTop="1" thickBot="1" x14ac:dyDescent="0.3">
      <c r="A113" s="438">
        <v>41030000</v>
      </c>
      <c r="B113" s="687" t="s">
        <v>443</v>
      </c>
      <c r="C113" s="609">
        <f>'d1'!C113-d1П!C112</f>
        <v>0</v>
      </c>
      <c r="D113" s="609">
        <f>'d1'!D113-d1П!D112</f>
        <v>0</v>
      </c>
      <c r="E113" s="609">
        <f>'d1'!E113-d1П!E112</f>
        <v>0</v>
      </c>
      <c r="F113" s="609">
        <f>'d1'!F113-d1П!F112</f>
        <v>0</v>
      </c>
      <c r="G113" s="137"/>
    </row>
    <row r="114" spans="1:7" ht="52.5" thickTop="1" thickBot="1" x14ac:dyDescent="0.3">
      <c r="A114" s="685">
        <v>41032300</v>
      </c>
      <c r="B114" s="688" t="s">
        <v>1001</v>
      </c>
      <c r="C114" s="610">
        <f>'d1'!C114-d1П!C113</f>
        <v>0</v>
      </c>
      <c r="D114" s="610">
        <f>'d1'!D114-d1П!D113</f>
        <v>0</v>
      </c>
      <c r="E114" s="610">
        <f>'d1'!E114-d1П!E113</f>
        <v>0</v>
      </c>
      <c r="F114" s="610">
        <f>'d1'!F114-d1П!F113</f>
        <v>0</v>
      </c>
      <c r="G114" s="137"/>
    </row>
    <row r="115" spans="1:7" ht="52.5" thickTop="1" thickBot="1" x14ac:dyDescent="0.3">
      <c r="A115" s="685">
        <v>41033800</v>
      </c>
      <c r="B115" s="688" t="s">
        <v>1067</v>
      </c>
      <c r="C115" s="610">
        <f>'d1'!C115-d1П!C114</f>
        <v>0</v>
      </c>
      <c r="D115" s="610">
        <f>'d1'!D115-d1П!D114</f>
        <v>0</v>
      </c>
      <c r="E115" s="610">
        <f>'d1'!E115-d1П!E114</f>
        <v>0</v>
      </c>
      <c r="F115" s="610">
        <f>'d1'!F115-d1П!F114</f>
        <v>0</v>
      </c>
      <c r="G115" s="137"/>
    </row>
    <row r="116" spans="1:7" ht="27" thickTop="1" thickBot="1" x14ac:dyDescent="0.3">
      <c r="A116" s="685">
        <v>41033900</v>
      </c>
      <c r="B116" s="688" t="s">
        <v>114</v>
      </c>
      <c r="C116" s="610">
        <f>'d1'!C116-d1П!C115</f>
        <v>0</v>
      </c>
      <c r="D116" s="610">
        <f>'d1'!D116-d1П!D115</f>
        <v>0</v>
      </c>
      <c r="E116" s="610">
        <f>'d1'!E116-d1П!E115</f>
        <v>0</v>
      </c>
      <c r="F116" s="610">
        <f>'d1'!F116-d1П!F115</f>
        <v>0</v>
      </c>
      <c r="G116" s="137"/>
    </row>
    <row r="117" spans="1:7" ht="52.5" thickTop="1" thickBot="1" x14ac:dyDescent="0.3">
      <c r="A117" s="685">
        <v>41034500</v>
      </c>
      <c r="B117" s="688" t="s">
        <v>1068</v>
      </c>
      <c r="C117" s="610">
        <f>'d1'!C117-d1П!C116</f>
        <v>0</v>
      </c>
      <c r="D117" s="610">
        <f>'d1'!D117-d1П!D116</f>
        <v>0</v>
      </c>
      <c r="E117" s="610">
        <f>'d1'!E117-d1П!E116</f>
        <v>0</v>
      </c>
      <c r="F117" s="610">
        <f>'d1'!F117-d1П!F116</f>
        <v>0</v>
      </c>
      <c r="G117" s="137"/>
    </row>
    <row r="118" spans="1:7" ht="65.25" thickTop="1" thickBot="1" x14ac:dyDescent="0.3">
      <c r="A118" s="685">
        <v>41035500</v>
      </c>
      <c r="B118" s="688" t="s">
        <v>1003</v>
      </c>
      <c r="C118" s="610">
        <f>'d1'!C118-d1П!C117</f>
        <v>0</v>
      </c>
      <c r="D118" s="610">
        <f>'d1'!D118-d1П!D117</f>
        <v>0</v>
      </c>
      <c r="E118" s="610">
        <f>'d1'!E118-d1П!E117</f>
        <v>0</v>
      </c>
      <c r="F118" s="610">
        <f>'d1'!F118-d1П!F117</f>
        <v>0</v>
      </c>
      <c r="G118" s="137"/>
    </row>
    <row r="119" spans="1:7" ht="65.25" thickTop="1" thickBot="1" x14ac:dyDescent="0.3">
      <c r="A119" s="685">
        <v>41035600</v>
      </c>
      <c r="B119" s="688" t="s">
        <v>1028</v>
      </c>
      <c r="C119" s="610">
        <f>'d1'!C119-d1П!C118</f>
        <v>0</v>
      </c>
      <c r="D119" s="610">
        <f>'d1'!D119-d1П!D118</f>
        <v>0</v>
      </c>
      <c r="E119" s="610">
        <f>'d1'!E119-d1П!E118</f>
        <v>0</v>
      </c>
      <c r="F119" s="610">
        <f>'d1'!F119-d1П!F118</f>
        <v>0</v>
      </c>
      <c r="G119" s="137"/>
    </row>
    <row r="120" spans="1:7" ht="39.75" thickTop="1" thickBot="1" x14ac:dyDescent="0.3">
      <c r="A120" s="685">
        <v>41035700</v>
      </c>
      <c r="B120" s="688" t="s">
        <v>993</v>
      </c>
      <c r="C120" s="610">
        <f>'d1'!C120-d1П!C119</f>
        <v>0</v>
      </c>
      <c r="D120" s="610">
        <f>'d1'!D120-d1П!D119</f>
        <v>0</v>
      </c>
      <c r="E120" s="610">
        <f>'d1'!E120-d1П!E119</f>
        <v>0</v>
      </c>
      <c r="F120" s="610">
        <f>'d1'!F120-d1П!F119</f>
        <v>0</v>
      </c>
      <c r="G120" s="137"/>
    </row>
    <row r="121" spans="1:7" ht="27" thickTop="1" thickBot="1" x14ac:dyDescent="0.3">
      <c r="A121" s="438">
        <v>41050000</v>
      </c>
      <c r="B121" s="687" t="s">
        <v>478</v>
      </c>
      <c r="C121" s="609">
        <f>'d1'!C121-d1П!C120</f>
        <v>7200000</v>
      </c>
      <c r="D121" s="609">
        <f>'d1'!D121-d1П!D120</f>
        <v>7200000</v>
      </c>
      <c r="E121" s="609">
        <f>'d1'!E121-d1П!E120</f>
        <v>0</v>
      </c>
      <c r="F121" s="609">
        <f>'d1'!F121-d1П!F120</f>
        <v>0</v>
      </c>
      <c r="G121" s="137"/>
    </row>
    <row r="122" spans="1:7" ht="282" hidden="1" thickTop="1" thickBot="1" x14ac:dyDescent="0.3">
      <c r="A122" s="689">
        <v>41050400</v>
      </c>
      <c r="B122" s="690" t="s">
        <v>1069</v>
      </c>
      <c r="C122" s="610">
        <f>'d1'!C122-d1П!C121</f>
        <v>0</v>
      </c>
      <c r="D122" s="610">
        <f>'d1'!D122-d1П!D121</f>
        <v>0</v>
      </c>
      <c r="E122" s="610">
        <f>'d1'!E122-d1П!E121</f>
        <v>0</v>
      </c>
      <c r="F122" s="610">
        <f>'d1'!F122-d1П!F121</f>
        <v>0</v>
      </c>
      <c r="G122" s="137"/>
    </row>
    <row r="123" spans="1:7" ht="243.75" hidden="1" thickTop="1" thickBot="1" x14ac:dyDescent="0.3">
      <c r="A123" s="689">
        <v>41050500</v>
      </c>
      <c r="B123" s="690" t="s">
        <v>1070</v>
      </c>
      <c r="C123" s="610">
        <f>'d1'!C123-d1П!C122</f>
        <v>0</v>
      </c>
      <c r="D123" s="610">
        <f>'d1'!D123-d1П!D122</f>
        <v>0</v>
      </c>
      <c r="E123" s="610">
        <f>'d1'!E123-d1П!E122</f>
        <v>0</v>
      </c>
      <c r="F123" s="610">
        <f>'d1'!F123-d1П!F122</f>
        <v>0</v>
      </c>
      <c r="G123" s="137"/>
    </row>
    <row r="124" spans="1:7" ht="345.75" hidden="1" thickTop="1" thickBot="1" x14ac:dyDescent="0.3">
      <c r="A124" s="689">
        <v>41050600</v>
      </c>
      <c r="B124" s="690" t="s">
        <v>1071</v>
      </c>
      <c r="C124" s="610">
        <f>'d1'!C124-d1П!C123</f>
        <v>0</v>
      </c>
      <c r="D124" s="610">
        <f>'d1'!D124-d1П!D123</f>
        <v>0</v>
      </c>
      <c r="E124" s="610">
        <f>'d1'!E124-d1П!E123</f>
        <v>0</v>
      </c>
      <c r="F124" s="610">
        <f>'d1'!F124-d1П!F123</f>
        <v>0</v>
      </c>
      <c r="G124" s="137"/>
    </row>
    <row r="125" spans="1:7" ht="129" hidden="1" thickTop="1" thickBot="1" x14ac:dyDescent="0.3">
      <c r="A125" s="689">
        <v>41050900</v>
      </c>
      <c r="B125" s="690" t="s">
        <v>1072</v>
      </c>
      <c r="C125" s="610">
        <f>'d1'!C125-d1П!C124</f>
        <v>0</v>
      </c>
      <c r="D125" s="610">
        <f>'d1'!D125-d1П!D124</f>
        <v>0</v>
      </c>
      <c r="E125" s="610">
        <f>'d1'!E125-d1П!E124</f>
        <v>0</v>
      </c>
      <c r="F125" s="610">
        <f>'d1'!F125-d1П!F124</f>
        <v>0</v>
      </c>
      <c r="G125" s="137"/>
    </row>
    <row r="126" spans="1:7" ht="39.75" thickTop="1" thickBot="1" x14ac:dyDescent="0.3">
      <c r="A126" s="685">
        <v>41051000</v>
      </c>
      <c r="B126" s="688" t="s">
        <v>479</v>
      </c>
      <c r="C126" s="610">
        <f>'d1'!C126-d1П!C125</f>
        <v>0</v>
      </c>
      <c r="D126" s="610">
        <f>'d1'!D126-d1П!D125</f>
        <v>0</v>
      </c>
      <c r="E126" s="610">
        <f>'d1'!E126-d1П!E125</f>
        <v>0</v>
      </c>
      <c r="F126" s="610">
        <f>'d1'!F126-d1П!F125</f>
        <v>0</v>
      </c>
      <c r="G126" s="137"/>
    </row>
    <row r="127" spans="1:7" ht="52.5" thickTop="1" thickBot="1" x14ac:dyDescent="0.3">
      <c r="A127" s="685">
        <v>41051200</v>
      </c>
      <c r="B127" s="688" t="s">
        <v>1380</v>
      </c>
      <c r="C127" s="610">
        <f>'d1'!C127-d1П!C126</f>
        <v>0</v>
      </c>
      <c r="D127" s="610">
        <f>'d1'!D127-d1П!D126</f>
        <v>0</v>
      </c>
      <c r="E127" s="610">
        <f>'d1'!E127-d1П!E126</f>
        <v>0</v>
      </c>
      <c r="F127" s="610">
        <f>'d1'!F127-d1П!F126</f>
        <v>0</v>
      </c>
      <c r="G127" s="137"/>
    </row>
    <row r="128" spans="1:7" ht="65.25" hidden="1" thickTop="1" thickBot="1" x14ac:dyDescent="0.3">
      <c r="A128" s="689">
        <v>41051400</v>
      </c>
      <c r="B128" s="690" t="s">
        <v>1006</v>
      </c>
      <c r="C128" s="610">
        <f>'d1'!C128-d1П!C127</f>
        <v>0</v>
      </c>
      <c r="D128" s="610">
        <f>'d1'!D128-d1П!D127</f>
        <v>0</v>
      </c>
      <c r="E128" s="610">
        <f>'d1'!E128-d1П!E127</f>
        <v>0</v>
      </c>
      <c r="F128" s="610">
        <f>'d1'!F128-d1П!F127</f>
        <v>0</v>
      </c>
      <c r="G128" s="137"/>
    </row>
    <row r="129" spans="1:10" ht="65.25" hidden="1" thickTop="1" thickBot="1" x14ac:dyDescent="0.3">
      <c r="A129" s="689">
        <v>41051700</v>
      </c>
      <c r="B129" s="690" t="s">
        <v>962</v>
      </c>
      <c r="C129" s="610">
        <f>'d1'!C129-d1П!C128</f>
        <v>0</v>
      </c>
      <c r="D129" s="610">
        <f>'d1'!D129-d1П!D128</f>
        <v>0</v>
      </c>
      <c r="E129" s="610">
        <f>'d1'!E129-d1П!E128</f>
        <v>0</v>
      </c>
      <c r="F129" s="610">
        <f>'d1'!F129-d1П!F128</f>
        <v>0</v>
      </c>
      <c r="G129" s="137"/>
    </row>
    <row r="130" spans="1:10" ht="103.5" hidden="1" thickTop="1" thickBot="1" x14ac:dyDescent="0.3">
      <c r="A130" s="689">
        <v>41056600</v>
      </c>
      <c r="B130" s="690" t="s">
        <v>1047</v>
      </c>
      <c r="C130" s="610">
        <f>'d1'!C130-d1П!C129</f>
        <v>0</v>
      </c>
      <c r="D130" s="610">
        <f>'d1'!D130-d1П!D129</f>
        <v>0</v>
      </c>
      <c r="E130" s="610">
        <f>'d1'!E130-d1П!E129</f>
        <v>0</v>
      </c>
      <c r="F130" s="610">
        <f>'d1'!F130-d1П!F129</f>
        <v>0</v>
      </c>
      <c r="G130" s="137"/>
    </row>
    <row r="131" spans="1:10" ht="65.25" hidden="1" thickTop="1" thickBot="1" x14ac:dyDescent="0.25">
      <c r="A131" s="689">
        <v>41055000</v>
      </c>
      <c r="B131" s="690" t="s">
        <v>1073</v>
      </c>
      <c r="C131" s="610">
        <f>'d1'!C131-d1П!C130</f>
        <v>0</v>
      </c>
      <c r="D131" s="610">
        <f>'d1'!D131-d1П!D130</f>
        <v>0</v>
      </c>
      <c r="E131" s="610">
        <f>'d1'!E131-d1П!E130</f>
        <v>0</v>
      </c>
      <c r="F131" s="610">
        <f>'d1'!F131-d1П!F130</f>
        <v>0</v>
      </c>
      <c r="G131" s="138"/>
    </row>
    <row r="132" spans="1:10" ht="27" hidden="1" thickTop="1" thickBot="1" x14ac:dyDescent="0.25">
      <c r="A132" s="689">
        <v>41053600</v>
      </c>
      <c r="B132" s="690" t="s">
        <v>964</v>
      </c>
      <c r="C132" s="610">
        <f>'d1'!C132-d1П!C131</f>
        <v>0</v>
      </c>
      <c r="D132" s="610">
        <f>'d1'!D132-d1П!D131</f>
        <v>0</v>
      </c>
      <c r="E132" s="610">
        <f>'d1'!E132-d1П!E131</f>
        <v>0</v>
      </c>
      <c r="F132" s="610">
        <f>'d1'!F132-d1П!F131</f>
        <v>0</v>
      </c>
      <c r="G132" s="138"/>
    </row>
    <row r="133" spans="1:10" ht="218.25" hidden="1" thickTop="1" thickBot="1" x14ac:dyDescent="0.25">
      <c r="A133" s="689">
        <v>41054200</v>
      </c>
      <c r="B133" s="690" t="s">
        <v>1074</v>
      </c>
      <c r="C133" s="610">
        <f>'d1'!C133-d1П!C132</f>
        <v>0</v>
      </c>
      <c r="D133" s="610">
        <f>'d1'!D133-d1П!D132</f>
        <v>0</v>
      </c>
      <c r="E133" s="610">
        <f>'d1'!E133-d1П!E132</f>
        <v>0</v>
      </c>
      <c r="F133" s="610">
        <f>'d1'!F133-d1П!F132</f>
        <v>0</v>
      </c>
      <c r="G133" s="138"/>
    </row>
    <row r="134" spans="1:10" ht="27" thickTop="1" thickBot="1" x14ac:dyDescent="0.25">
      <c r="A134" s="685">
        <v>41053900</v>
      </c>
      <c r="B134" s="688" t="s">
        <v>914</v>
      </c>
      <c r="C134" s="610">
        <f>'d1'!C134-d1П!C133</f>
        <v>0</v>
      </c>
      <c r="D134" s="610">
        <f>'d1'!D134-d1П!D133</f>
        <v>0</v>
      </c>
      <c r="E134" s="610">
        <f>'d1'!E134-d1П!E133</f>
        <v>0</v>
      </c>
      <c r="F134" s="610">
        <f>'d1'!F134-d1П!F133</f>
        <v>0</v>
      </c>
      <c r="G134" s="138"/>
    </row>
    <row r="135" spans="1:10" ht="15.75" thickTop="1" thickBot="1" x14ac:dyDescent="0.25">
      <c r="A135" s="685"/>
      <c r="B135" s="691" t="s">
        <v>965</v>
      </c>
      <c r="C135" s="620">
        <f>'d1'!C135-d1П!C134</f>
        <v>0</v>
      </c>
      <c r="D135" s="620">
        <f>'d1'!D135-d1П!D134</f>
        <v>0</v>
      </c>
      <c r="E135" s="620">
        <f>'d1'!E135-d1П!E134</f>
        <v>0</v>
      </c>
      <c r="F135" s="620">
        <f>'d1'!F135-d1П!F134</f>
        <v>0</v>
      </c>
      <c r="G135" s="138"/>
    </row>
    <row r="136" spans="1:10" ht="39.75" thickTop="1" thickBot="1" x14ac:dyDescent="0.25">
      <c r="A136" s="685"/>
      <c r="B136" s="691" t="s">
        <v>915</v>
      </c>
      <c r="C136" s="620">
        <f>'d1'!C136-d1П!C135</f>
        <v>0</v>
      </c>
      <c r="D136" s="620">
        <f>'d1'!D136-d1П!D135</f>
        <v>0</v>
      </c>
      <c r="E136" s="620">
        <f>'d1'!E136-d1П!E135</f>
        <v>0</v>
      </c>
      <c r="F136" s="620">
        <f>'d1'!F136-d1П!F135</f>
        <v>0</v>
      </c>
      <c r="G136" s="138"/>
    </row>
    <row r="137" spans="1:10" ht="52.5" thickTop="1" thickBot="1" x14ac:dyDescent="0.25">
      <c r="A137" s="685"/>
      <c r="B137" s="691" t="s">
        <v>916</v>
      </c>
      <c r="C137" s="620">
        <f>'d1'!C137-d1П!C136</f>
        <v>0</v>
      </c>
      <c r="D137" s="620">
        <f>'d1'!D137-d1П!D136</f>
        <v>0</v>
      </c>
      <c r="E137" s="620">
        <f>'d1'!E137-d1П!E136</f>
        <v>0</v>
      </c>
      <c r="F137" s="620">
        <f>'d1'!F137-d1П!F136</f>
        <v>0</v>
      </c>
      <c r="G137" s="138"/>
    </row>
    <row r="138" spans="1:10" ht="27" thickTop="1" thickBot="1" x14ac:dyDescent="0.25">
      <c r="A138" s="685"/>
      <c r="B138" s="691" t="s">
        <v>917</v>
      </c>
      <c r="C138" s="620">
        <f>'d1'!C138-d1П!C137</f>
        <v>0</v>
      </c>
      <c r="D138" s="620">
        <f>'d1'!D138-d1П!D137</f>
        <v>0</v>
      </c>
      <c r="E138" s="620">
        <f>'d1'!E138-d1П!E137</f>
        <v>0</v>
      </c>
      <c r="F138" s="620">
        <f>'d1'!F138-d1П!F137</f>
        <v>0</v>
      </c>
      <c r="G138" s="138"/>
    </row>
    <row r="139" spans="1:10" ht="39.75" hidden="1" thickTop="1" thickBot="1" x14ac:dyDescent="0.25">
      <c r="A139" s="689"/>
      <c r="B139" s="692" t="s">
        <v>1126</v>
      </c>
      <c r="C139" s="142"/>
      <c r="D139" s="143"/>
      <c r="E139" s="143"/>
      <c r="F139" s="143"/>
      <c r="G139" s="138"/>
    </row>
    <row r="140" spans="1:10" ht="27" hidden="1" thickTop="1" thickBot="1" x14ac:dyDescent="0.25">
      <c r="A140" s="689"/>
      <c r="B140" s="692" t="s">
        <v>1127</v>
      </c>
      <c r="C140" s="142"/>
      <c r="D140" s="143"/>
      <c r="E140" s="143"/>
      <c r="F140" s="143"/>
      <c r="G140" s="138"/>
    </row>
    <row r="141" spans="1:10" ht="65.25" thickTop="1" thickBot="1" x14ac:dyDescent="0.25">
      <c r="A141" s="685">
        <v>41057700</v>
      </c>
      <c r="B141" s="688" t="s">
        <v>1500</v>
      </c>
      <c r="C141" s="610">
        <f>'d1'!C141-d1П!C140</f>
        <v>0</v>
      </c>
      <c r="D141" s="610">
        <f>'d1'!D141-d1П!D140</f>
        <v>0</v>
      </c>
      <c r="E141" s="610">
        <f>'d1'!E141-d1П!E140</f>
        <v>0</v>
      </c>
      <c r="F141" s="610">
        <f>'d1'!F141-d1П!F140</f>
        <v>0</v>
      </c>
      <c r="G141" s="138"/>
    </row>
    <row r="142" spans="1:10" ht="52.5" thickTop="1" thickBot="1" x14ac:dyDescent="0.25">
      <c r="A142" s="685">
        <v>41059000</v>
      </c>
      <c r="B142" s="688" t="s">
        <v>1529</v>
      </c>
      <c r="C142" s="610">
        <f>'d1'!C142-0</f>
        <v>7200000</v>
      </c>
      <c r="D142" s="610">
        <f>'d1'!D142-0</f>
        <v>7200000</v>
      </c>
      <c r="E142" s="610">
        <f>'d1'!E142-0</f>
        <v>0</v>
      </c>
      <c r="F142" s="610">
        <f>'d1'!F142-0</f>
        <v>0</v>
      </c>
      <c r="G142" s="138"/>
    </row>
    <row r="143" spans="1:10" ht="33.75" customHeight="1" thickTop="1" thickBot="1" x14ac:dyDescent="0.3">
      <c r="A143" s="693"/>
      <c r="B143" s="694" t="s">
        <v>1063</v>
      </c>
      <c r="C143" s="652">
        <f>SUM(D143,E143)</f>
        <v>557892329.63999999</v>
      </c>
      <c r="D143" s="652">
        <f>SUM(D105,D106)</f>
        <v>547642329.63999999</v>
      </c>
      <c r="E143" s="652">
        <f>SUM(E105,E112)</f>
        <v>10250000</v>
      </c>
      <c r="F143" s="652">
        <f>SUM(F105,F112)</f>
        <v>9000000</v>
      </c>
      <c r="G143" s="629" t="b">
        <f>C143=C138+C137+C136+C116+C110+C104+C97+C96+C92+C91+C90+C89+C86+C85+C84+C83+C81+C80+C78+C76+C75+C74+C71+C70+C69+C67+C66+C62+C61+C60+C57+C56+C55+C53+C52+C48+C47+C46+C45+C44+C43+C42+C41+C40+C39+C35+C33+C30+C28+C26+C23+C21+C20+C19+C18+C101+C100+C36+C50+C127+C126+C108+C141+C111+C142+C102</f>
        <v>1</v>
      </c>
      <c r="H143" s="629" t="b">
        <f>D143=D138+D137+D136+D116+D110+D104+D97+D96+D92+D91+D90+D89+D86+D85+D84+D83+D81+D80+D78+D76+D75+D74+D71+D70+D69+D67+D66+D62+D61+D60+D57+D56+D55+D53+D52+D48+D47+D46+D45+D44+D43+D42+D41+D40+D39+D35+D33+D30+D28+D26+D23+D21+D20+D19+D18+D101+D100+D36+D50+D127+D126+D108+D141+D142+D111+D102</f>
        <v>1</v>
      </c>
      <c r="I143" s="629" t="b">
        <f>E143=E138+E137+E136+E116+E110+E104+E97+E96+E92+E91+E90+E89+E86+E85+E84+E83+E81+E80+E78+E76+E75+E74+E71+E70+E69+E67+E66+E62+E61+E60+E57+E56+E55+E53+E52+E48+E47+E46+E45+E44+E43+E42+E41+E40+E39+E35+E33+E30+E28+E26+E23+E21+E20+E19+E18+E101+E100+E36+E50+E127+E126+E108+E141+E142+E111+E102</f>
        <v>1</v>
      </c>
      <c r="J143" s="629" t="b">
        <f>F143=F138+F137+F136+F116+F110+F104+F97+F96+F92+F91+F90+F89+F86+F85+F84+F83+F81+F80+F78+F76+F75+F74+F71+F70+F69+F67+F66+F62+F61+F60+F57+F56+F55+F53+F52+F48+F47+F46+F45+F44+F43+F42+F41+F40+F39+F35+F33+F30+F28+F26+F23+F21+F20+F19+F18+F101+F100+F36+F50+F127+F126+F108+F141+F142+F111+F102</f>
        <v>1</v>
      </c>
    </row>
    <row r="144" spans="1:10" ht="16.5" thickTop="1" x14ac:dyDescent="0.25">
      <c r="B144" s="144"/>
      <c r="G144" s="629" t="b">
        <f>((3453807039-'d2'!C32+7423154+961639+622418100+3715400+4544686)+16400+4309689+6350319+16579700+88281)+7200000+134764.64+544250000=C143</f>
        <v>0</v>
      </c>
      <c r="H144" s="630"/>
      <c r="I144" s="630"/>
      <c r="J144" s="630"/>
    </row>
    <row r="145" spans="1:7" ht="15.75" hidden="1" x14ac:dyDescent="0.25">
      <c r="B145" s="145"/>
      <c r="E145" s="145"/>
      <c r="G145" s="146"/>
    </row>
    <row r="146" spans="1:7" ht="15.75" x14ac:dyDescent="0.2">
      <c r="B146" s="701" t="s">
        <v>1388</v>
      </c>
      <c r="C146" s="376"/>
      <c r="D146" s="376"/>
      <c r="E146" s="821" t="s">
        <v>1467</v>
      </c>
      <c r="F146" s="147"/>
    </row>
    <row r="147" spans="1:7" ht="15.75" x14ac:dyDescent="0.25">
      <c r="B147" s="1"/>
      <c r="C147" s="428"/>
      <c r="D147" s="428"/>
      <c r="E147" s="1"/>
    </row>
    <row r="148" spans="1:7" ht="15.75" x14ac:dyDescent="0.25">
      <c r="A148" s="148"/>
      <c r="B148" s="797" t="s">
        <v>529</v>
      </c>
      <c r="C148" s="1"/>
      <c r="D148" s="1"/>
      <c r="E148" s="1" t="s">
        <v>1465</v>
      </c>
      <c r="F148" s="148"/>
    </row>
    <row r="151" spans="1:7" x14ac:dyDescent="0.2">
      <c r="C151" s="149"/>
      <c r="D151" s="149"/>
      <c r="E151" s="149"/>
      <c r="F151" s="149"/>
    </row>
    <row r="417" hidden="1" x14ac:dyDescent="0.2"/>
    <row r="418" hidden="1" x14ac:dyDescent="0.2"/>
    <row r="419" hidden="1" x14ac:dyDescent="0.2"/>
  </sheetData>
  <mergeCells count="13">
    <mergeCell ref="A8:F8"/>
    <mergeCell ref="A9:F9"/>
    <mergeCell ref="A12:A13"/>
    <mergeCell ref="B12:B13"/>
    <mergeCell ref="C12:C13"/>
    <mergeCell ref="D12:D13"/>
    <mergeCell ref="E12:F12"/>
    <mergeCell ref="A6:F6"/>
    <mergeCell ref="D1:G1"/>
    <mergeCell ref="D2:G2"/>
    <mergeCell ref="D3:G3"/>
    <mergeCell ref="A4:E4"/>
    <mergeCell ref="A5:F5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7" fitToHeight="0" orientation="portrait" verticalDpi="4294967295" r:id="rId1"/>
  <headerFooter alignWithMargins="0"/>
  <rowBreaks count="1" manualBreakCount="1">
    <brk id="104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T436"/>
  <sheetViews>
    <sheetView view="pageBreakPreview" zoomScale="25" zoomScaleNormal="25" zoomScaleSheetLayoutView="25" zoomScalePageLayoutView="10" workbookViewId="0">
      <pane ySplit="14" topLeftCell="A272" activePane="bottomLeft" state="frozen"/>
      <selection activeCell="D420" sqref="D420:P420"/>
      <selection pane="bottomLeft" activeCell="E263" sqref="E263"/>
    </sheetView>
  </sheetViews>
  <sheetFormatPr defaultColWidth="9.140625" defaultRowHeight="12.75" x14ac:dyDescent="0.2"/>
  <cols>
    <col min="1" max="1" width="48" style="20" customWidth="1"/>
    <col min="2" max="2" width="52.5703125" style="20" customWidth="1"/>
    <col min="3" max="3" width="65.7109375" style="20" customWidth="1"/>
    <col min="4" max="4" width="106.28515625" style="20" customWidth="1"/>
    <col min="5" max="5" width="66.42578125" style="60" customWidth="1"/>
    <col min="6" max="6" width="62.5703125" style="20" customWidth="1"/>
    <col min="7" max="7" width="59.7109375" style="20" customWidth="1"/>
    <col min="8" max="8" width="53.140625" style="20" customWidth="1"/>
    <col min="9" max="9" width="41.85546875" style="20" customWidth="1"/>
    <col min="10" max="10" width="50.5703125" style="60" customWidth="1"/>
    <col min="11" max="11" width="52.5703125" style="60" customWidth="1"/>
    <col min="12" max="12" width="56.140625" style="20" customWidth="1"/>
    <col min="13" max="13" width="54.85546875" style="20" customWidth="1"/>
    <col min="14" max="14" width="51" style="20" customWidth="1"/>
    <col min="15" max="15" width="56.140625" style="20" bestFit="1" customWidth="1"/>
    <col min="16" max="16" width="86.28515625" style="60" customWidth="1"/>
    <col min="17" max="17" width="52.140625" style="96" customWidth="1"/>
    <col min="18" max="18" width="33.85546875" style="22" customWidth="1"/>
    <col min="19" max="19" width="40.140625" style="118" bestFit="1" customWidth="1"/>
    <col min="20" max="20" width="43.5703125" style="118" bestFit="1" customWidth="1"/>
    <col min="21" max="16384" width="9.140625" style="118"/>
  </cols>
  <sheetData>
    <row r="1" spans="1:18" ht="45.75" x14ac:dyDescent="0.2">
      <c r="A1" s="81"/>
      <c r="B1" s="81"/>
      <c r="C1" s="81"/>
      <c r="D1" s="812"/>
      <c r="E1" s="813"/>
      <c r="F1" s="811"/>
      <c r="G1" s="813"/>
      <c r="H1" s="813"/>
      <c r="I1" s="813"/>
      <c r="J1" s="813"/>
      <c r="K1" s="813"/>
      <c r="L1" s="813"/>
      <c r="M1" s="813"/>
      <c r="N1" s="902" t="s">
        <v>498</v>
      </c>
      <c r="O1" s="903"/>
      <c r="P1" s="903"/>
      <c r="Q1" s="903"/>
    </row>
    <row r="2" spans="1:18" ht="45.75" x14ac:dyDescent="0.2">
      <c r="A2" s="812"/>
      <c r="B2" s="812"/>
      <c r="C2" s="812"/>
      <c r="D2" s="812"/>
      <c r="E2" s="813"/>
      <c r="F2" s="811"/>
      <c r="G2" s="813"/>
      <c r="H2" s="813"/>
      <c r="I2" s="813"/>
      <c r="J2" s="813"/>
      <c r="K2" s="813"/>
      <c r="L2" s="813"/>
      <c r="M2" s="813"/>
      <c r="N2" s="902" t="s">
        <v>1393</v>
      </c>
      <c r="O2" s="904"/>
      <c r="P2" s="904"/>
      <c r="Q2" s="904"/>
    </row>
    <row r="3" spans="1:18" ht="40.700000000000003" customHeight="1" x14ac:dyDescent="0.2">
      <c r="A3" s="812"/>
      <c r="B3" s="812"/>
      <c r="C3" s="812"/>
      <c r="D3" s="812"/>
      <c r="E3" s="813"/>
      <c r="F3" s="811"/>
      <c r="G3" s="813"/>
      <c r="H3" s="813"/>
      <c r="I3" s="813"/>
      <c r="J3" s="813"/>
      <c r="K3" s="813"/>
      <c r="L3" s="813"/>
      <c r="M3" s="813"/>
      <c r="N3" s="813"/>
      <c r="O3" s="902"/>
      <c r="P3" s="905"/>
      <c r="Q3" s="95"/>
    </row>
    <row r="4" spans="1:18" ht="45.75" hidden="1" x14ac:dyDescent="0.2">
      <c r="A4" s="812"/>
      <c r="B4" s="812"/>
      <c r="C4" s="812"/>
      <c r="D4" s="812"/>
      <c r="E4" s="813"/>
      <c r="F4" s="811"/>
      <c r="G4" s="813"/>
      <c r="H4" s="813"/>
      <c r="I4" s="813"/>
      <c r="J4" s="813"/>
      <c r="K4" s="813"/>
      <c r="L4" s="813"/>
      <c r="M4" s="813"/>
      <c r="N4" s="813"/>
      <c r="O4" s="812"/>
      <c r="P4" s="811"/>
      <c r="Q4" s="95"/>
    </row>
    <row r="5" spans="1:18" ht="45" x14ac:dyDescent="0.2">
      <c r="A5" s="906" t="s">
        <v>1556</v>
      </c>
      <c r="B5" s="906"/>
      <c r="C5" s="906"/>
      <c r="D5" s="906"/>
      <c r="E5" s="906"/>
      <c r="F5" s="906"/>
      <c r="G5" s="906"/>
      <c r="H5" s="906"/>
      <c r="I5" s="906"/>
      <c r="J5" s="906"/>
      <c r="K5" s="906"/>
      <c r="L5" s="906"/>
      <c r="M5" s="906"/>
      <c r="N5" s="906"/>
      <c r="O5" s="906"/>
      <c r="P5" s="906"/>
      <c r="Q5" s="95"/>
    </row>
    <row r="6" spans="1:18" ht="45" x14ac:dyDescent="0.2">
      <c r="A6" s="906" t="s">
        <v>1313</v>
      </c>
      <c r="B6" s="906"/>
      <c r="C6" s="906"/>
      <c r="D6" s="906"/>
      <c r="E6" s="906"/>
      <c r="F6" s="906"/>
      <c r="G6" s="906"/>
      <c r="H6" s="906"/>
      <c r="I6" s="906"/>
      <c r="J6" s="906"/>
      <c r="K6" s="906"/>
      <c r="L6" s="906"/>
      <c r="M6" s="906"/>
      <c r="N6" s="906"/>
      <c r="O6" s="906"/>
      <c r="P6" s="906"/>
      <c r="Q6" s="95"/>
    </row>
    <row r="7" spans="1:18" ht="45" x14ac:dyDescent="0.2">
      <c r="A7" s="813"/>
      <c r="B7" s="813"/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  <c r="Q7" s="95"/>
    </row>
    <row r="8" spans="1:18" ht="45.75" x14ac:dyDescent="0.65">
      <c r="A8" s="907">
        <v>2256400000</v>
      </c>
      <c r="B8" s="908"/>
      <c r="C8" s="813"/>
      <c r="D8" s="813"/>
      <c r="E8" s="813"/>
      <c r="F8" s="813"/>
      <c r="G8" s="813"/>
      <c r="H8" s="813"/>
      <c r="I8" s="813"/>
      <c r="J8" s="813"/>
      <c r="K8" s="813"/>
      <c r="L8" s="813"/>
      <c r="M8" s="813"/>
      <c r="N8" s="813"/>
      <c r="O8" s="813"/>
      <c r="P8" s="813"/>
      <c r="Q8" s="15"/>
    </row>
    <row r="9" spans="1:18" ht="45.75" x14ac:dyDescent="0.2">
      <c r="A9" s="912" t="s">
        <v>495</v>
      </c>
      <c r="B9" s="913"/>
      <c r="C9" s="813"/>
      <c r="D9" s="813"/>
      <c r="E9" s="813"/>
      <c r="F9" s="813"/>
      <c r="G9" s="813"/>
      <c r="H9" s="813"/>
      <c r="I9" s="813"/>
      <c r="J9" s="813"/>
      <c r="K9" s="813"/>
      <c r="L9" s="813"/>
      <c r="M9" s="813"/>
      <c r="N9" s="813"/>
      <c r="O9" s="813"/>
      <c r="P9" s="813"/>
      <c r="Q9" s="15"/>
    </row>
    <row r="10" spans="1:18" ht="53.45" customHeight="1" thickBot="1" x14ac:dyDescent="0.25">
      <c r="A10" s="813"/>
      <c r="B10" s="813"/>
      <c r="C10" s="813"/>
      <c r="D10" s="813"/>
      <c r="E10" s="813"/>
      <c r="F10" s="811"/>
      <c r="G10" s="813"/>
      <c r="H10" s="813"/>
      <c r="I10" s="813"/>
      <c r="J10" s="813"/>
      <c r="K10" s="813"/>
      <c r="L10" s="813"/>
      <c r="M10" s="813"/>
      <c r="N10" s="813"/>
      <c r="O10" s="813"/>
      <c r="P10" s="395" t="s">
        <v>409</v>
      </c>
      <c r="Q10" s="15"/>
    </row>
    <row r="11" spans="1:18" ht="62.45" customHeight="1" thickTop="1" thickBot="1" x14ac:dyDescent="0.25">
      <c r="A11" s="911" t="s">
        <v>496</v>
      </c>
      <c r="B11" s="911" t="s">
        <v>497</v>
      </c>
      <c r="C11" s="911" t="s">
        <v>395</v>
      </c>
      <c r="D11" s="911" t="s">
        <v>579</v>
      </c>
      <c r="E11" s="909" t="s">
        <v>12</v>
      </c>
      <c r="F11" s="909"/>
      <c r="G11" s="909"/>
      <c r="H11" s="909"/>
      <c r="I11" s="909"/>
      <c r="J11" s="909" t="s">
        <v>52</v>
      </c>
      <c r="K11" s="909"/>
      <c r="L11" s="909"/>
      <c r="M11" s="909"/>
      <c r="N11" s="909"/>
      <c r="O11" s="910"/>
      <c r="P11" s="909" t="s">
        <v>11</v>
      </c>
      <c r="Q11" s="22"/>
    </row>
    <row r="12" spans="1:18" ht="96" customHeight="1" thickTop="1" thickBot="1" x14ac:dyDescent="0.25">
      <c r="A12" s="909"/>
      <c r="B12" s="914"/>
      <c r="C12" s="914"/>
      <c r="D12" s="909"/>
      <c r="E12" s="911" t="s">
        <v>389</v>
      </c>
      <c r="F12" s="911" t="s">
        <v>53</v>
      </c>
      <c r="G12" s="911" t="s">
        <v>13</v>
      </c>
      <c r="H12" s="911"/>
      <c r="I12" s="911" t="s">
        <v>55</v>
      </c>
      <c r="J12" s="911" t="s">
        <v>389</v>
      </c>
      <c r="K12" s="911" t="s">
        <v>390</v>
      </c>
      <c r="L12" s="911" t="s">
        <v>53</v>
      </c>
      <c r="M12" s="911" t="s">
        <v>13</v>
      </c>
      <c r="N12" s="911"/>
      <c r="O12" s="911" t="s">
        <v>55</v>
      </c>
      <c r="P12" s="909"/>
      <c r="Q12" s="22"/>
    </row>
    <row r="13" spans="1:18" ht="328.7" customHeight="1" thickTop="1" thickBot="1" x14ac:dyDescent="0.25">
      <c r="A13" s="914"/>
      <c r="B13" s="914"/>
      <c r="C13" s="914"/>
      <c r="D13" s="914"/>
      <c r="E13" s="911"/>
      <c r="F13" s="911"/>
      <c r="G13" s="814" t="s">
        <v>54</v>
      </c>
      <c r="H13" s="814" t="s">
        <v>15</v>
      </c>
      <c r="I13" s="911"/>
      <c r="J13" s="911"/>
      <c r="K13" s="911"/>
      <c r="L13" s="911"/>
      <c r="M13" s="814" t="s">
        <v>54</v>
      </c>
      <c r="N13" s="814" t="s">
        <v>15</v>
      </c>
      <c r="O13" s="911"/>
      <c r="P13" s="909"/>
      <c r="Q13" s="22"/>
    </row>
    <row r="14" spans="1:18" s="26" customFormat="1" ht="47.25" thickTop="1" thickBot="1" x14ac:dyDescent="0.25">
      <c r="A14" s="385" t="s">
        <v>2</v>
      </c>
      <c r="B14" s="385" t="s">
        <v>3</v>
      </c>
      <c r="C14" s="385" t="s">
        <v>14</v>
      </c>
      <c r="D14" s="385" t="s">
        <v>5</v>
      </c>
      <c r="E14" s="385" t="s">
        <v>397</v>
      </c>
      <c r="F14" s="385" t="s">
        <v>398</v>
      </c>
      <c r="G14" s="385" t="s">
        <v>399</v>
      </c>
      <c r="H14" s="385" t="s">
        <v>400</v>
      </c>
      <c r="I14" s="385" t="s">
        <v>401</v>
      </c>
      <c r="J14" s="385" t="s">
        <v>402</v>
      </c>
      <c r="K14" s="385" t="s">
        <v>403</v>
      </c>
      <c r="L14" s="385" t="s">
        <v>404</v>
      </c>
      <c r="M14" s="385" t="s">
        <v>405</v>
      </c>
      <c r="N14" s="385" t="s">
        <v>406</v>
      </c>
      <c r="O14" s="385" t="s">
        <v>407</v>
      </c>
      <c r="P14" s="385" t="s">
        <v>408</v>
      </c>
      <c r="Q14" s="160"/>
      <c r="R14" s="25"/>
    </row>
    <row r="15" spans="1:18" s="26" customFormat="1" ht="136.5" thickTop="1" thickBot="1" x14ac:dyDescent="0.25">
      <c r="A15" s="460" t="s">
        <v>149</v>
      </c>
      <c r="B15" s="460"/>
      <c r="C15" s="460"/>
      <c r="D15" s="461" t="s">
        <v>151</v>
      </c>
      <c r="E15" s="463">
        <f>E16</f>
        <v>262684905.81</v>
      </c>
      <c r="F15" s="462">
        <f t="shared" ref="F15:N15" si="0">F16</f>
        <v>262684905.81</v>
      </c>
      <c r="G15" s="462">
        <f t="shared" si="0"/>
        <v>97820900</v>
      </c>
      <c r="H15" s="462">
        <f t="shared" si="0"/>
        <v>7110100</v>
      </c>
      <c r="I15" s="462">
        <f t="shared" si="0"/>
        <v>0</v>
      </c>
      <c r="J15" s="463">
        <f t="shared" si="0"/>
        <v>95671400.670000002</v>
      </c>
      <c r="K15" s="462">
        <f t="shared" si="0"/>
        <v>91913762.460000008</v>
      </c>
      <c r="L15" s="462">
        <f t="shared" si="0"/>
        <v>3357638.209999999</v>
      </c>
      <c r="M15" s="462">
        <f t="shared" si="0"/>
        <v>0</v>
      </c>
      <c r="N15" s="462">
        <f t="shared" si="0"/>
        <v>0</v>
      </c>
      <c r="O15" s="463">
        <f>O16</f>
        <v>92313762.460000008</v>
      </c>
      <c r="P15" s="462">
        <f t="shared" ref="P15" si="1">P16</f>
        <v>358356306.48000002</v>
      </c>
      <c r="Q15" s="27"/>
      <c r="R15" s="27"/>
    </row>
    <row r="16" spans="1:18" s="26" customFormat="1" ht="136.5" thickTop="1" thickBot="1" x14ac:dyDescent="0.25">
      <c r="A16" s="464" t="s">
        <v>150</v>
      </c>
      <c r="B16" s="464"/>
      <c r="C16" s="464"/>
      <c r="D16" s="465" t="s">
        <v>152</v>
      </c>
      <c r="E16" s="466">
        <f>E17+E22+E32+E38</f>
        <v>262684905.81</v>
      </c>
      <c r="F16" s="466">
        <f>F17+F22+F32+F38</f>
        <v>262684905.81</v>
      </c>
      <c r="G16" s="466">
        <f>G17+G22+G32+G38</f>
        <v>97820900</v>
      </c>
      <c r="H16" s="466">
        <f>H17+H22+H32+H38</f>
        <v>7110100</v>
      </c>
      <c r="I16" s="466">
        <f>I17+I22+I32+I38</f>
        <v>0</v>
      </c>
      <c r="J16" s="466">
        <f>L16+O16</f>
        <v>95671400.670000002</v>
      </c>
      <c r="K16" s="466">
        <f>K17+K22+K32+K38</f>
        <v>91913762.460000008</v>
      </c>
      <c r="L16" s="466">
        <f>L17+L22+L32+L38</f>
        <v>3357638.209999999</v>
      </c>
      <c r="M16" s="466">
        <f>M17+M22+M32+M38</f>
        <v>0</v>
      </c>
      <c r="N16" s="466">
        <f>N17+N22+N32+N38</f>
        <v>0</v>
      </c>
      <c r="O16" s="466">
        <f>O17+O22+O32+O38</f>
        <v>92313762.460000008</v>
      </c>
      <c r="P16" s="466">
        <f>E16+J16</f>
        <v>358356306.48000002</v>
      </c>
      <c r="Q16" s="459" t="b">
        <f>P16=P18+P20+P21+P24+P27+P29+P31+P34+P35+P37+P40+P41+P42+P43</f>
        <v>1</v>
      </c>
      <c r="R16" s="28"/>
    </row>
    <row r="17" spans="1:18" s="30" customFormat="1" ht="47.25" thickTop="1" thickBot="1" x14ac:dyDescent="0.25">
      <c r="A17" s="385" t="s">
        <v>692</v>
      </c>
      <c r="B17" s="385" t="s">
        <v>693</v>
      </c>
      <c r="C17" s="385"/>
      <c r="D17" s="385" t="s">
        <v>694</v>
      </c>
      <c r="E17" s="816">
        <f>SUM(E18:E21)</f>
        <v>181784323</v>
      </c>
      <c r="F17" s="816">
        <f>SUM(F18:F21)</f>
        <v>181784323</v>
      </c>
      <c r="G17" s="816">
        <f t="shared" ref="G17:P17" si="2">SUM(G18:G21)</f>
        <v>97820900</v>
      </c>
      <c r="H17" s="816">
        <f t="shared" si="2"/>
        <v>7110100</v>
      </c>
      <c r="I17" s="816">
        <f t="shared" si="2"/>
        <v>0</v>
      </c>
      <c r="J17" s="816">
        <f t="shared" si="2"/>
        <v>4135522</v>
      </c>
      <c r="K17" s="816">
        <f t="shared" si="2"/>
        <v>4135522</v>
      </c>
      <c r="L17" s="816">
        <f t="shared" si="2"/>
        <v>0</v>
      </c>
      <c r="M17" s="816">
        <f t="shared" si="2"/>
        <v>0</v>
      </c>
      <c r="N17" s="816">
        <f t="shared" si="2"/>
        <v>0</v>
      </c>
      <c r="O17" s="816">
        <f t="shared" si="2"/>
        <v>4135522</v>
      </c>
      <c r="P17" s="816">
        <f t="shared" si="2"/>
        <v>185919845</v>
      </c>
      <c r="Q17" s="33"/>
      <c r="R17" s="29"/>
    </row>
    <row r="18" spans="1:18" ht="321.75" thickTop="1" thickBot="1" x14ac:dyDescent="0.25">
      <c r="A18" s="808" t="s">
        <v>237</v>
      </c>
      <c r="B18" s="808" t="s">
        <v>238</v>
      </c>
      <c r="C18" s="808" t="s">
        <v>239</v>
      </c>
      <c r="D18" s="808" t="s">
        <v>236</v>
      </c>
      <c r="E18" s="816">
        <f t="shared" ref="E18:E43" si="3">F18</f>
        <v>136244453</v>
      </c>
      <c r="F18" s="441">
        <f>((135815958)+13895+600+500000)-86000</f>
        <v>136244453</v>
      </c>
      <c r="G18" s="441">
        <v>97820900</v>
      </c>
      <c r="H18" s="441">
        <f>3400000+149000+3021200+420900+119000</f>
        <v>7110100</v>
      </c>
      <c r="I18" s="441"/>
      <c r="J18" s="816">
        <f t="shared" ref="J18:J27" si="4">L18+O18</f>
        <v>4135522</v>
      </c>
      <c r="K18" s="441">
        <f>(2000000)+2135522</f>
        <v>4135522</v>
      </c>
      <c r="L18" s="442"/>
      <c r="M18" s="451"/>
      <c r="N18" s="451"/>
      <c r="O18" s="810">
        <f t="shared" ref="O18:O27" si="5">K18</f>
        <v>4135522</v>
      </c>
      <c r="P18" s="816">
        <f>+J18+E18</f>
        <v>140379975</v>
      </c>
      <c r="Q18" s="167"/>
      <c r="R18" s="31"/>
    </row>
    <row r="19" spans="1:18" ht="230.25" hidden="1" thickTop="1" thickBot="1" x14ac:dyDescent="0.25">
      <c r="A19" s="805" t="s">
        <v>590</v>
      </c>
      <c r="B19" s="805" t="s">
        <v>241</v>
      </c>
      <c r="C19" s="805" t="s">
        <v>239</v>
      </c>
      <c r="D19" s="805" t="s">
        <v>240</v>
      </c>
      <c r="E19" s="807">
        <f t="shared" si="3"/>
        <v>0</v>
      </c>
      <c r="F19" s="163"/>
      <c r="G19" s="163"/>
      <c r="H19" s="163"/>
      <c r="I19" s="163"/>
      <c r="J19" s="807">
        <f t="shared" si="4"/>
        <v>0</v>
      </c>
      <c r="K19" s="163"/>
      <c r="L19" s="164"/>
      <c r="M19" s="165"/>
      <c r="N19" s="165"/>
      <c r="O19" s="801">
        <f t="shared" si="5"/>
        <v>0</v>
      </c>
      <c r="P19" s="807">
        <f>+J19+E19</f>
        <v>0</v>
      </c>
      <c r="Q19" s="167"/>
      <c r="R19" s="31"/>
    </row>
    <row r="20" spans="1:18" ht="184.5" thickTop="1" thickBot="1" x14ac:dyDescent="0.25">
      <c r="A20" s="808" t="s">
        <v>633</v>
      </c>
      <c r="B20" s="808" t="s">
        <v>367</v>
      </c>
      <c r="C20" s="808" t="s">
        <v>634</v>
      </c>
      <c r="D20" s="808" t="s">
        <v>635</v>
      </c>
      <c r="E20" s="816">
        <f t="shared" si="3"/>
        <v>139400</v>
      </c>
      <c r="F20" s="441">
        <f>((49000)+4400)+86000</f>
        <v>139400</v>
      </c>
      <c r="G20" s="441"/>
      <c r="H20" s="441"/>
      <c r="I20" s="441"/>
      <c r="J20" s="816">
        <f t="shared" si="4"/>
        <v>0</v>
      </c>
      <c r="K20" s="441"/>
      <c r="L20" s="442"/>
      <c r="M20" s="451"/>
      <c r="N20" s="451"/>
      <c r="O20" s="810">
        <f t="shared" si="5"/>
        <v>0</v>
      </c>
      <c r="P20" s="816">
        <f>+J20+E20</f>
        <v>139400</v>
      </c>
      <c r="Q20" s="167"/>
      <c r="R20" s="32"/>
    </row>
    <row r="21" spans="1:18" ht="93" thickTop="1" thickBot="1" x14ac:dyDescent="0.25">
      <c r="A21" s="808" t="s">
        <v>252</v>
      </c>
      <c r="B21" s="808" t="s">
        <v>43</v>
      </c>
      <c r="C21" s="808" t="s">
        <v>42</v>
      </c>
      <c r="D21" s="808" t="s">
        <v>253</v>
      </c>
      <c r="E21" s="816">
        <f t="shared" si="3"/>
        <v>45400470</v>
      </c>
      <c r="F21" s="389">
        <f>(((26700470+20000000+10000000)-17307000-5864000)+107839798-50000000-5963614)-33705184-6300000</f>
        <v>45400470</v>
      </c>
      <c r="G21" s="389"/>
      <c r="H21" s="389"/>
      <c r="I21" s="389"/>
      <c r="J21" s="816">
        <f t="shared" si="4"/>
        <v>0</v>
      </c>
      <c r="K21" s="389"/>
      <c r="L21" s="389"/>
      <c r="M21" s="389"/>
      <c r="N21" s="389"/>
      <c r="O21" s="810">
        <f t="shared" si="5"/>
        <v>0</v>
      </c>
      <c r="P21" s="816">
        <f>E21+J21</f>
        <v>45400470</v>
      </c>
      <c r="Q21" s="167"/>
      <c r="R21" s="32"/>
    </row>
    <row r="22" spans="1:18" s="30" customFormat="1" ht="47.25" thickTop="1" thickBot="1" x14ac:dyDescent="0.3">
      <c r="A22" s="385" t="s">
        <v>756</v>
      </c>
      <c r="B22" s="385" t="s">
        <v>757</v>
      </c>
      <c r="C22" s="385"/>
      <c r="D22" s="385" t="s">
        <v>758</v>
      </c>
      <c r="E22" s="816">
        <f t="shared" ref="E22:P22" si="6">SUM(E23:E31)-E23-E26-E28</f>
        <v>7577809.4800000004</v>
      </c>
      <c r="F22" s="816">
        <f t="shared" si="6"/>
        <v>7577809.4800000004</v>
      </c>
      <c r="G22" s="816">
        <f t="shared" si="6"/>
        <v>0</v>
      </c>
      <c r="H22" s="816">
        <f t="shared" si="6"/>
        <v>0</v>
      </c>
      <c r="I22" s="816">
        <f t="shared" si="6"/>
        <v>0</v>
      </c>
      <c r="J22" s="816">
        <f t="shared" si="6"/>
        <v>5437638.2099999981</v>
      </c>
      <c r="K22" s="816">
        <f t="shared" si="6"/>
        <v>1680000</v>
      </c>
      <c r="L22" s="816">
        <f t="shared" si="6"/>
        <v>3357638.209999999</v>
      </c>
      <c r="M22" s="816">
        <f t="shared" si="6"/>
        <v>0</v>
      </c>
      <c r="N22" s="816">
        <f t="shared" si="6"/>
        <v>0</v>
      </c>
      <c r="O22" s="816">
        <f t="shared" si="6"/>
        <v>2080000</v>
      </c>
      <c r="P22" s="816">
        <f t="shared" si="6"/>
        <v>13015447.690000001</v>
      </c>
      <c r="Q22" s="169"/>
      <c r="R22" s="33"/>
    </row>
    <row r="23" spans="1:18" s="35" customFormat="1" ht="91.5" thickTop="1" thickBot="1" x14ac:dyDescent="0.25">
      <c r="A23" s="387" t="s">
        <v>695</v>
      </c>
      <c r="B23" s="387" t="s">
        <v>696</v>
      </c>
      <c r="C23" s="387"/>
      <c r="D23" s="387" t="s">
        <v>697</v>
      </c>
      <c r="E23" s="391">
        <f t="shared" ref="E23:P23" si="7">SUM(E24:E25)</f>
        <v>5028364.9800000004</v>
      </c>
      <c r="F23" s="391">
        <f t="shared" si="7"/>
        <v>5028364.9800000004</v>
      </c>
      <c r="G23" s="391">
        <f t="shared" si="7"/>
        <v>0</v>
      </c>
      <c r="H23" s="391">
        <f t="shared" si="7"/>
        <v>0</v>
      </c>
      <c r="I23" s="391">
        <f t="shared" si="7"/>
        <v>0</v>
      </c>
      <c r="J23" s="391">
        <f t="shared" si="7"/>
        <v>1680000</v>
      </c>
      <c r="K23" s="391">
        <f t="shared" si="7"/>
        <v>1680000</v>
      </c>
      <c r="L23" s="391">
        <f t="shared" si="7"/>
        <v>0</v>
      </c>
      <c r="M23" s="391">
        <f t="shared" si="7"/>
        <v>0</v>
      </c>
      <c r="N23" s="391">
        <f t="shared" si="7"/>
        <v>0</v>
      </c>
      <c r="O23" s="391">
        <f t="shared" si="7"/>
        <v>1680000</v>
      </c>
      <c r="P23" s="391">
        <f t="shared" si="7"/>
        <v>6708364.9800000004</v>
      </c>
      <c r="Q23" s="172"/>
      <c r="R23" s="34"/>
    </row>
    <row r="24" spans="1:18" ht="93" thickTop="1" thickBot="1" x14ac:dyDescent="0.25">
      <c r="A24" s="808" t="s">
        <v>243</v>
      </c>
      <c r="B24" s="808" t="s">
        <v>244</v>
      </c>
      <c r="C24" s="808" t="s">
        <v>245</v>
      </c>
      <c r="D24" s="808" t="s">
        <v>242</v>
      </c>
      <c r="E24" s="816">
        <f t="shared" si="3"/>
        <v>5028364.9800000004</v>
      </c>
      <c r="F24" s="389">
        <f>(4937300)+91064.98</f>
        <v>5028364.9800000004</v>
      </c>
      <c r="G24" s="389"/>
      <c r="H24" s="389"/>
      <c r="I24" s="389"/>
      <c r="J24" s="816">
        <f t="shared" si="4"/>
        <v>1680000</v>
      </c>
      <c r="K24" s="389">
        <v>1680000</v>
      </c>
      <c r="L24" s="389"/>
      <c r="M24" s="389"/>
      <c r="N24" s="389"/>
      <c r="O24" s="810">
        <f t="shared" si="5"/>
        <v>1680000</v>
      </c>
      <c r="P24" s="816">
        <f>+J24+E24</f>
        <v>6708364.9800000004</v>
      </c>
      <c r="Q24" s="167"/>
      <c r="R24" s="31"/>
    </row>
    <row r="25" spans="1:18" ht="230.25" hidden="1" thickTop="1" thickBot="1" x14ac:dyDescent="0.25">
      <c r="A25" s="803" t="s">
        <v>995</v>
      </c>
      <c r="B25" s="803" t="s">
        <v>996</v>
      </c>
      <c r="C25" s="803" t="s">
        <v>245</v>
      </c>
      <c r="D25" s="803" t="s">
        <v>997</v>
      </c>
      <c r="E25" s="807">
        <f t="shared" si="3"/>
        <v>0</v>
      </c>
      <c r="F25" s="168">
        <v>0</v>
      </c>
      <c r="G25" s="168"/>
      <c r="H25" s="168"/>
      <c r="I25" s="168"/>
      <c r="J25" s="807">
        <f t="shared" si="4"/>
        <v>0</v>
      </c>
      <c r="K25" s="46"/>
      <c r="L25" s="46"/>
      <c r="M25" s="46"/>
      <c r="N25" s="46"/>
      <c r="O25" s="806"/>
      <c r="P25" s="804">
        <f>+J25+E25</f>
        <v>0</v>
      </c>
      <c r="Q25" s="167"/>
      <c r="R25" s="31"/>
    </row>
    <row r="26" spans="1:18" s="37" customFormat="1" ht="136.5" thickTop="1" thickBot="1" x14ac:dyDescent="0.25">
      <c r="A26" s="387" t="s">
        <v>699</v>
      </c>
      <c r="B26" s="387" t="s">
        <v>700</v>
      </c>
      <c r="C26" s="387"/>
      <c r="D26" s="387" t="s">
        <v>698</v>
      </c>
      <c r="E26" s="391">
        <f>SUM(E27)+E28</f>
        <v>2549444.5</v>
      </c>
      <c r="F26" s="391">
        <f t="shared" ref="F26:P26" si="8">SUM(F27)+F28</f>
        <v>2549444.5</v>
      </c>
      <c r="G26" s="391">
        <f t="shared" si="8"/>
        <v>0</v>
      </c>
      <c r="H26" s="391">
        <f t="shared" si="8"/>
        <v>0</v>
      </c>
      <c r="I26" s="391">
        <f t="shared" si="8"/>
        <v>0</v>
      </c>
      <c r="J26" s="391">
        <f t="shared" si="8"/>
        <v>3757638.21</v>
      </c>
      <c r="K26" s="391">
        <f t="shared" si="8"/>
        <v>0</v>
      </c>
      <c r="L26" s="391">
        <f t="shared" si="8"/>
        <v>3357638.21</v>
      </c>
      <c r="M26" s="391">
        <f t="shared" si="8"/>
        <v>0</v>
      </c>
      <c r="N26" s="391">
        <f t="shared" si="8"/>
        <v>0</v>
      </c>
      <c r="O26" s="391">
        <f t="shared" si="8"/>
        <v>400000</v>
      </c>
      <c r="P26" s="391">
        <f t="shared" si="8"/>
        <v>6307082.71</v>
      </c>
      <c r="Q26" s="173"/>
      <c r="R26" s="36"/>
    </row>
    <row r="27" spans="1:18" ht="138.75" thickTop="1" thickBot="1" x14ac:dyDescent="0.25">
      <c r="A27" s="808" t="s">
        <v>304</v>
      </c>
      <c r="B27" s="808" t="s">
        <v>305</v>
      </c>
      <c r="C27" s="808" t="s">
        <v>171</v>
      </c>
      <c r="D27" s="808" t="s">
        <v>447</v>
      </c>
      <c r="E27" s="816">
        <f t="shared" si="3"/>
        <v>341770.5</v>
      </c>
      <c r="F27" s="389">
        <f>(292900)+48870.5</f>
        <v>341770.5</v>
      </c>
      <c r="G27" s="389"/>
      <c r="H27" s="389"/>
      <c r="I27" s="389"/>
      <c r="J27" s="816">
        <f t="shared" si="4"/>
        <v>0</v>
      </c>
      <c r="K27" s="389"/>
      <c r="L27" s="389"/>
      <c r="M27" s="389"/>
      <c r="N27" s="389"/>
      <c r="O27" s="810">
        <f t="shared" si="5"/>
        <v>0</v>
      </c>
      <c r="P27" s="816">
        <f>+J27+E27</f>
        <v>341770.5</v>
      </c>
      <c r="Q27" s="167"/>
      <c r="R27" s="32"/>
    </row>
    <row r="28" spans="1:18" s="37" customFormat="1" ht="48" thickTop="1" thickBot="1" x14ac:dyDescent="0.25">
      <c r="A28" s="455" t="s">
        <v>702</v>
      </c>
      <c r="B28" s="455" t="s">
        <v>703</v>
      </c>
      <c r="C28" s="455"/>
      <c r="D28" s="456" t="s">
        <v>701</v>
      </c>
      <c r="E28" s="440">
        <f>SUM(E29:E31)</f>
        <v>2207674</v>
      </c>
      <c r="F28" s="440">
        <f t="shared" ref="F28:O28" si="9">SUM(F29:F31)</f>
        <v>2207674</v>
      </c>
      <c r="G28" s="440">
        <f t="shared" si="9"/>
        <v>0</v>
      </c>
      <c r="H28" s="440">
        <f t="shared" si="9"/>
        <v>0</v>
      </c>
      <c r="I28" s="440">
        <f t="shared" si="9"/>
        <v>0</v>
      </c>
      <c r="J28" s="440">
        <f t="shared" si="9"/>
        <v>3757638.21</v>
      </c>
      <c r="K28" s="440">
        <f t="shared" si="9"/>
        <v>0</v>
      </c>
      <c r="L28" s="440">
        <f t="shared" si="9"/>
        <v>3357638.21</v>
      </c>
      <c r="M28" s="440">
        <f t="shared" si="9"/>
        <v>0</v>
      </c>
      <c r="N28" s="440">
        <f t="shared" si="9"/>
        <v>0</v>
      </c>
      <c r="O28" s="440">
        <f t="shared" si="9"/>
        <v>400000</v>
      </c>
      <c r="P28" s="440">
        <f>E28+J28</f>
        <v>5965312.21</v>
      </c>
      <c r="Q28" s="173"/>
      <c r="R28" s="38"/>
    </row>
    <row r="29" spans="1:18" s="35" customFormat="1" ht="361.5" customHeight="1" thickTop="1" thickBot="1" x14ac:dyDescent="0.7">
      <c r="A29" s="895" t="s">
        <v>344</v>
      </c>
      <c r="B29" s="895" t="s">
        <v>343</v>
      </c>
      <c r="C29" s="895" t="s">
        <v>171</v>
      </c>
      <c r="D29" s="86" t="s">
        <v>445</v>
      </c>
      <c r="E29" s="893">
        <f t="shared" si="3"/>
        <v>0</v>
      </c>
      <c r="F29" s="887"/>
      <c r="G29" s="887"/>
      <c r="H29" s="887"/>
      <c r="I29" s="887"/>
      <c r="J29" s="897">
        <f>L29+O29</f>
        <v>3757638.21</v>
      </c>
      <c r="K29" s="887"/>
      <c r="L29" s="887">
        <f>(919800+166000+357900+1407000)+6360+500578.21</f>
        <v>3357638.21</v>
      </c>
      <c r="M29" s="887"/>
      <c r="N29" s="887"/>
      <c r="O29" s="889">
        <f>(100000)+300000</f>
        <v>400000</v>
      </c>
      <c r="P29" s="891">
        <f>E29+J29</f>
        <v>3757638.21</v>
      </c>
      <c r="Q29" s="176"/>
      <c r="R29" s="39"/>
    </row>
    <row r="30" spans="1:18" s="35" customFormat="1" ht="184.5" thickTop="1" thickBot="1" x14ac:dyDescent="0.25">
      <c r="A30" s="896"/>
      <c r="B30" s="926"/>
      <c r="C30" s="896"/>
      <c r="D30" s="87" t="s">
        <v>446</v>
      </c>
      <c r="E30" s="896"/>
      <c r="F30" s="888"/>
      <c r="G30" s="888"/>
      <c r="H30" s="888"/>
      <c r="I30" s="888"/>
      <c r="J30" s="898"/>
      <c r="K30" s="888"/>
      <c r="L30" s="888"/>
      <c r="M30" s="888"/>
      <c r="N30" s="888"/>
      <c r="O30" s="890"/>
      <c r="P30" s="892"/>
      <c r="Q30" s="39"/>
      <c r="R30" s="39"/>
    </row>
    <row r="31" spans="1:18" s="35" customFormat="1" ht="93" thickTop="1" thickBot="1" x14ac:dyDescent="0.25">
      <c r="A31" s="808" t="s">
        <v>927</v>
      </c>
      <c r="B31" s="808" t="s">
        <v>262</v>
      </c>
      <c r="C31" s="808" t="s">
        <v>171</v>
      </c>
      <c r="D31" s="808" t="s">
        <v>260</v>
      </c>
      <c r="E31" s="816">
        <f>F31</f>
        <v>2207674</v>
      </c>
      <c r="F31" s="389">
        <v>2207674</v>
      </c>
      <c r="G31" s="389"/>
      <c r="H31" s="389"/>
      <c r="I31" s="389"/>
      <c r="J31" s="816">
        <f>L31+O31</f>
        <v>0</v>
      </c>
      <c r="K31" s="389"/>
      <c r="L31" s="389"/>
      <c r="M31" s="389"/>
      <c r="N31" s="389"/>
      <c r="O31" s="810"/>
      <c r="P31" s="816">
        <f>E31+J31</f>
        <v>2207674</v>
      </c>
      <c r="Q31" s="39"/>
      <c r="R31" s="39"/>
    </row>
    <row r="32" spans="1:18" s="35" customFormat="1" ht="46.5" customHeight="1" thickTop="1" thickBot="1" x14ac:dyDescent="0.25">
      <c r="A32" s="385" t="s">
        <v>704</v>
      </c>
      <c r="B32" s="385" t="s">
        <v>705</v>
      </c>
      <c r="C32" s="385"/>
      <c r="D32" s="385" t="s">
        <v>706</v>
      </c>
      <c r="E32" s="816">
        <f t="shared" ref="E32:P32" si="10">E36+E33</f>
        <v>16571546</v>
      </c>
      <c r="F32" s="816">
        <f t="shared" si="10"/>
        <v>16571546</v>
      </c>
      <c r="G32" s="816">
        <f t="shared" si="10"/>
        <v>0</v>
      </c>
      <c r="H32" s="816">
        <f t="shared" si="10"/>
        <v>0</v>
      </c>
      <c r="I32" s="816">
        <f t="shared" si="10"/>
        <v>0</v>
      </c>
      <c r="J32" s="816">
        <f t="shared" si="10"/>
        <v>3500000</v>
      </c>
      <c r="K32" s="816">
        <f t="shared" si="10"/>
        <v>3500000</v>
      </c>
      <c r="L32" s="816">
        <f t="shared" si="10"/>
        <v>0</v>
      </c>
      <c r="M32" s="816">
        <f t="shared" si="10"/>
        <v>0</v>
      </c>
      <c r="N32" s="816">
        <f t="shared" si="10"/>
        <v>0</v>
      </c>
      <c r="O32" s="816">
        <f t="shared" si="10"/>
        <v>3500000</v>
      </c>
      <c r="P32" s="816">
        <f t="shared" si="10"/>
        <v>20071546</v>
      </c>
      <c r="Q32" s="39"/>
      <c r="R32" s="39"/>
    </row>
    <row r="33" spans="1:18" s="35" customFormat="1" ht="103.5" customHeight="1" thickTop="1" thickBot="1" x14ac:dyDescent="0.25">
      <c r="A33" s="387" t="s">
        <v>1233</v>
      </c>
      <c r="B33" s="387" t="s">
        <v>1234</v>
      </c>
      <c r="C33" s="387"/>
      <c r="D33" s="387" t="s">
        <v>1232</v>
      </c>
      <c r="E33" s="391">
        <f t="shared" ref="E33:P33" si="11">SUM(E34:E35)</f>
        <v>9071546</v>
      </c>
      <c r="F33" s="391">
        <f t="shared" si="11"/>
        <v>9071546</v>
      </c>
      <c r="G33" s="391">
        <f t="shared" si="11"/>
        <v>0</v>
      </c>
      <c r="H33" s="391">
        <f t="shared" si="11"/>
        <v>0</v>
      </c>
      <c r="I33" s="391">
        <f t="shared" si="11"/>
        <v>0</v>
      </c>
      <c r="J33" s="391">
        <f t="shared" si="11"/>
        <v>3500000</v>
      </c>
      <c r="K33" s="391">
        <f t="shared" si="11"/>
        <v>3500000</v>
      </c>
      <c r="L33" s="391">
        <f t="shared" si="11"/>
        <v>0</v>
      </c>
      <c r="M33" s="391">
        <f t="shared" si="11"/>
        <v>0</v>
      </c>
      <c r="N33" s="391">
        <f t="shared" si="11"/>
        <v>0</v>
      </c>
      <c r="O33" s="391">
        <f t="shared" si="11"/>
        <v>3500000</v>
      </c>
      <c r="P33" s="391">
        <f t="shared" si="11"/>
        <v>12571546</v>
      </c>
      <c r="Q33" s="39"/>
      <c r="R33" s="39"/>
    </row>
    <row r="34" spans="1:18" s="35" customFormat="1" ht="103.5" customHeight="1" thickTop="1" thickBot="1" x14ac:dyDescent="0.25">
      <c r="A34" s="808" t="s">
        <v>1261</v>
      </c>
      <c r="B34" s="808" t="s">
        <v>1262</v>
      </c>
      <c r="C34" s="808" t="s">
        <v>1236</v>
      </c>
      <c r="D34" s="808" t="s">
        <v>1263</v>
      </c>
      <c r="E34" s="816">
        <f>F34</f>
        <v>600000</v>
      </c>
      <c r="F34" s="389">
        <f>(600000)</f>
        <v>600000</v>
      </c>
      <c r="G34" s="389"/>
      <c r="H34" s="389"/>
      <c r="I34" s="389"/>
      <c r="J34" s="816">
        <f>L34+O34</f>
        <v>400000</v>
      </c>
      <c r="K34" s="389">
        <v>400000</v>
      </c>
      <c r="L34" s="389"/>
      <c r="M34" s="389"/>
      <c r="N34" s="389"/>
      <c r="O34" s="810">
        <f>K34</f>
        <v>400000</v>
      </c>
      <c r="P34" s="816">
        <f>E34+J34</f>
        <v>1000000</v>
      </c>
      <c r="Q34" s="39"/>
      <c r="R34" s="39"/>
    </row>
    <row r="35" spans="1:18" s="35" customFormat="1" ht="93" thickTop="1" thickBot="1" x14ac:dyDescent="0.25">
      <c r="A35" s="808" t="s">
        <v>1237</v>
      </c>
      <c r="B35" s="808" t="s">
        <v>1238</v>
      </c>
      <c r="C35" s="808" t="s">
        <v>1236</v>
      </c>
      <c r="D35" s="808" t="s">
        <v>1235</v>
      </c>
      <c r="E35" s="816">
        <f>F35</f>
        <v>8471546</v>
      </c>
      <c r="F35" s="389">
        <v>8471546</v>
      </c>
      <c r="G35" s="389"/>
      <c r="H35" s="389"/>
      <c r="I35" s="389"/>
      <c r="J35" s="816">
        <f>L35+O35</f>
        <v>3100000</v>
      </c>
      <c r="K35" s="389">
        <f>(100000)+2500000+500000</f>
        <v>3100000</v>
      </c>
      <c r="L35" s="389"/>
      <c r="M35" s="389"/>
      <c r="N35" s="389"/>
      <c r="O35" s="810">
        <f>K35</f>
        <v>3100000</v>
      </c>
      <c r="P35" s="816">
        <f>E35+J35</f>
        <v>11571546</v>
      </c>
      <c r="Q35" s="39"/>
      <c r="R35" s="39"/>
    </row>
    <row r="36" spans="1:18" s="35" customFormat="1" ht="47.25" thickTop="1" thickBot="1" x14ac:dyDescent="0.25">
      <c r="A36" s="387" t="s">
        <v>707</v>
      </c>
      <c r="B36" s="387" t="s">
        <v>708</v>
      </c>
      <c r="C36" s="387"/>
      <c r="D36" s="387" t="s">
        <v>709</v>
      </c>
      <c r="E36" s="391">
        <f>SUM(E37)</f>
        <v>7500000</v>
      </c>
      <c r="F36" s="391">
        <f t="shared" ref="F36:P36" si="12">SUM(F37)</f>
        <v>7500000</v>
      </c>
      <c r="G36" s="391">
        <f t="shared" si="12"/>
        <v>0</v>
      </c>
      <c r="H36" s="391">
        <f t="shared" si="12"/>
        <v>0</v>
      </c>
      <c r="I36" s="391">
        <f t="shared" si="12"/>
        <v>0</v>
      </c>
      <c r="J36" s="391">
        <f t="shared" si="12"/>
        <v>0</v>
      </c>
      <c r="K36" s="391">
        <f t="shared" si="12"/>
        <v>0</v>
      </c>
      <c r="L36" s="391">
        <f t="shared" si="12"/>
        <v>0</v>
      </c>
      <c r="M36" s="391">
        <f t="shared" si="12"/>
        <v>0</v>
      </c>
      <c r="N36" s="391">
        <f t="shared" si="12"/>
        <v>0</v>
      </c>
      <c r="O36" s="391">
        <f t="shared" si="12"/>
        <v>0</v>
      </c>
      <c r="P36" s="391">
        <f t="shared" si="12"/>
        <v>7500000</v>
      </c>
      <c r="Q36" s="39"/>
    </row>
    <row r="37" spans="1:18" ht="93" thickTop="1" thickBot="1" x14ac:dyDescent="0.25">
      <c r="A37" s="808" t="s">
        <v>246</v>
      </c>
      <c r="B37" s="808" t="s">
        <v>247</v>
      </c>
      <c r="C37" s="808" t="s">
        <v>248</v>
      </c>
      <c r="D37" s="808" t="s">
        <v>249</v>
      </c>
      <c r="E37" s="816">
        <f>F37</f>
        <v>7500000</v>
      </c>
      <c r="F37" s="389">
        <v>7500000</v>
      </c>
      <c r="G37" s="389"/>
      <c r="H37" s="389"/>
      <c r="I37" s="389"/>
      <c r="J37" s="816">
        <f>L37+O37</f>
        <v>0</v>
      </c>
      <c r="K37" s="389"/>
      <c r="L37" s="389"/>
      <c r="M37" s="389"/>
      <c r="N37" s="389"/>
      <c r="O37" s="810">
        <f>K37</f>
        <v>0</v>
      </c>
      <c r="P37" s="816">
        <f>E37+J37</f>
        <v>7500000</v>
      </c>
      <c r="Q37" s="22"/>
    </row>
    <row r="38" spans="1:18" ht="47.25" thickTop="1" thickBot="1" x14ac:dyDescent="0.25">
      <c r="A38" s="385" t="s">
        <v>710</v>
      </c>
      <c r="B38" s="385" t="s">
        <v>711</v>
      </c>
      <c r="C38" s="385"/>
      <c r="D38" s="385" t="s">
        <v>712</v>
      </c>
      <c r="E38" s="816">
        <f>E39+E42+E43</f>
        <v>56751227.329999998</v>
      </c>
      <c r="F38" s="816">
        <f>F39+F42+F43</f>
        <v>56751227.329999998</v>
      </c>
      <c r="G38" s="816">
        <f t="shared" ref="G38:P38" si="13">G39+G42+G43</f>
        <v>0</v>
      </c>
      <c r="H38" s="816">
        <f t="shared" si="13"/>
        <v>0</v>
      </c>
      <c r="I38" s="816">
        <f t="shared" si="13"/>
        <v>0</v>
      </c>
      <c r="J38" s="816">
        <f t="shared" si="13"/>
        <v>82598240.460000008</v>
      </c>
      <c r="K38" s="816">
        <f t="shared" si="13"/>
        <v>82598240.460000008</v>
      </c>
      <c r="L38" s="816">
        <f t="shared" si="13"/>
        <v>0</v>
      </c>
      <c r="M38" s="816">
        <f t="shared" si="13"/>
        <v>0</v>
      </c>
      <c r="N38" s="816">
        <f t="shared" si="13"/>
        <v>0</v>
      </c>
      <c r="O38" s="816">
        <f t="shared" si="13"/>
        <v>82598240.460000008</v>
      </c>
      <c r="P38" s="816">
        <f t="shared" si="13"/>
        <v>139349467.79000002</v>
      </c>
      <c r="Q38" s="22"/>
    </row>
    <row r="39" spans="1:18" s="35" customFormat="1" ht="271.5" thickTop="1" thickBot="1" x14ac:dyDescent="0.25">
      <c r="A39" s="387" t="s">
        <v>713</v>
      </c>
      <c r="B39" s="387" t="s">
        <v>714</v>
      </c>
      <c r="C39" s="387"/>
      <c r="D39" s="387" t="s">
        <v>715</v>
      </c>
      <c r="E39" s="391">
        <f>SUM(E40:E41)</f>
        <v>1312400</v>
      </c>
      <c r="F39" s="391">
        <f t="shared" ref="F39:P39" si="14">SUM(F40:F41)</f>
        <v>1312400</v>
      </c>
      <c r="G39" s="391">
        <f t="shared" si="14"/>
        <v>0</v>
      </c>
      <c r="H39" s="391">
        <f t="shared" si="14"/>
        <v>0</v>
      </c>
      <c r="I39" s="391">
        <f t="shared" si="14"/>
        <v>0</v>
      </c>
      <c r="J39" s="391">
        <f t="shared" si="14"/>
        <v>0</v>
      </c>
      <c r="K39" s="391">
        <f t="shared" si="14"/>
        <v>0</v>
      </c>
      <c r="L39" s="391">
        <f t="shared" si="14"/>
        <v>0</v>
      </c>
      <c r="M39" s="391">
        <f t="shared" si="14"/>
        <v>0</v>
      </c>
      <c r="N39" s="391">
        <f t="shared" si="14"/>
        <v>0</v>
      </c>
      <c r="O39" s="391">
        <f t="shared" si="14"/>
        <v>0</v>
      </c>
      <c r="P39" s="391">
        <f t="shared" si="14"/>
        <v>1312400</v>
      </c>
      <c r="Q39" s="39"/>
      <c r="R39" s="39"/>
    </row>
    <row r="40" spans="1:18" ht="276" thickTop="1" thickBot="1" x14ac:dyDescent="0.25">
      <c r="A40" s="808" t="s">
        <v>250</v>
      </c>
      <c r="B40" s="808" t="s">
        <v>251</v>
      </c>
      <c r="C40" s="808" t="s">
        <v>43</v>
      </c>
      <c r="D40" s="808" t="s">
        <v>448</v>
      </c>
      <c r="E40" s="816">
        <f t="shared" si="3"/>
        <v>1163700</v>
      </c>
      <c r="F40" s="389">
        <v>1163700</v>
      </c>
      <c r="G40" s="389"/>
      <c r="H40" s="389"/>
      <c r="I40" s="389"/>
      <c r="J40" s="816">
        <f>L40+O40</f>
        <v>0</v>
      </c>
      <c r="K40" s="389"/>
      <c r="L40" s="389"/>
      <c r="M40" s="389"/>
      <c r="N40" s="389"/>
      <c r="O40" s="810">
        <f>K40</f>
        <v>0</v>
      </c>
      <c r="P40" s="816">
        <f>E40+J40</f>
        <v>1163700</v>
      </c>
      <c r="Q40" s="22"/>
    </row>
    <row r="41" spans="1:18" ht="93" thickTop="1" thickBot="1" x14ac:dyDescent="0.25">
      <c r="A41" s="808" t="s">
        <v>581</v>
      </c>
      <c r="B41" s="808" t="s">
        <v>368</v>
      </c>
      <c r="C41" s="808" t="s">
        <v>43</v>
      </c>
      <c r="D41" s="808" t="s">
        <v>369</v>
      </c>
      <c r="E41" s="816">
        <f t="shared" si="3"/>
        <v>148700</v>
      </c>
      <c r="F41" s="389">
        <v>148700</v>
      </c>
      <c r="G41" s="389"/>
      <c r="H41" s="389"/>
      <c r="I41" s="389"/>
      <c r="J41" s="816">
        <f>L41+O41</f>
        <v>0</v>
      </c>
      <c r="K41" s="389">
        <f>(1000000)-1000000</f>
        <v>0</v>
      </c>
      <c r="L41" s="389"/>
      <c r="M41" s="389"/>
      <c r="N41" s="389"/>
      <c r="O41" s="810">
        <f>K41</f>
        <v>0</v>
      </c>
      <c r="P41" s="816">
        <f>E41+J41</f>
        <v>148700</v>
      </c>
      <c r="Q41" s="22"/>
    </row>
    <row r="42" spans="1:18" ht="271.5" thickTop="1" thickBot="1" x14ac:dyDescent="0.25">
      <c r="A42" s="387" t="s">
        <v>518</v>
      </c>
      <c r="B42" s="387" t="s">
        <v>519</v>
      </c>
      <c r="C42" s="387" t="s">
        <v>43</v>
      </c>
      <c r="D42" s="387" t="s">
        <v>520</v>
      </c>
      <c r="E42" s="391">
        <f t="shared" si="3"/>
        <v>53438827.329999998</v>
      </c>
      <c r="F42" s="391">
        <f>((10831000+415230+969000)+10811682+300000+1000000-86000+505900+115000+3805614)+19381401.33-410000+5800000</f>
        <v>53438827.329999998</v>
      </c>
      <c r="G42" s="391"/>
      <c r="H42" s="391"/>
      <c r="I42" s="391"/>
      <c r="J42" s="391">
        <f>L42+O42</f>
        <v>82598240.460000008</v>
      </c>
      <c r="K42" s="389">
        <f>((12286000+1300000+150000+4895000)+25598520+1400000+86000+75000+1100000+2158000)+33049720.46+500000</f>
        <v>82598240.460000008</v>
      </c>
      <c r="L42" s="391"/>
      <c r="M42" s="391"/>
      <c r="N42" s="391"/>
      <c r="O42" s="391">
        <f>K42</f>
        <v>82598240.460000008</v>
      </c>
      <c r="P42" s="391">
        <f>E42+J42</f>
        <v>136037067.79000002</v>
      </c>
      <c r="Q42" s="22"/>
      <c r="R42" s="28"/>
    </row>
    <row r="43" spans="1:18" ht="409.6" thickTop="1" thickBot="1" x14ac:dyDescent="0.25">
      <c r="A43" s="808" t="s">
        <v>1512</v>
      </c>
      <c r="B43" s="808" t="s">
        <v>1513</v>
      </c>
      <c r="C43" s="808" t="s">
        <v>43</v>
      </c>
      <c r="D43" s="784" t="s">
        <v>1511</v>
      </c>
      <c r="E43" s="816">
        <f t="shared" si="3"/>
        <v>2000000</v>
      </c>
      <c r="F43" s="389">
        <v>2000000</v>
      </c>
      <c r="G43" s="389"/>
      <c r="H43" s="389"/>
      <c r="I43" s="389"/>
      <c r="J43" s="816">
        <f>L43+O43</f>
        <v>0</v>
      </c>
      <c r="K43" s="389"/>
      <c r="L43" s="389"/>
      <c r="M43" s="389"/>
      <c r="N43" s="389"/>
      <c r="O43" s="810">
        <f>K43</f>
        <v>0</v>
      </c>
      <c r="P43" s="816">
        <f>E43+J43</f>
        <v>2000000</v>
      </c>
      <c r="Q43" s="22"/>
      <c r="R43" s="28"/>
    </row>
    <row r="44" spans="1:18" ht="177.75" customHeight="1" thickTop="1" thickBot="1" x14ac:dyDescent="0.25">
      <c r="A44" s="460" t="s">
        <v>153</v>
      </c>
      <c r="B44" s="460"/>
      <c r="C44" s="460"/>
      <c r="D44" s="461" t="s">
        <v>0</v>
      </c>
      <c r="E44" s="463">
        <f>E45</f>
        <v>1968040000.27</v>
      </c>
      <c r="F44" s="462">
        <f t="shared" ref="F44" si="15">F45</f>
        <v>1968040000.27</v>
      </c>
      <c r="G44" s="462">
        <f>G45</f>
        <v>1217378134</v>
      </c>
      <c r="H44" s="462">
        <f>H45</f>
        <v>200267223.48000002</v>
      </c>
      <c r="I44" s="462">
        <f t="shared" ref="I44" si="16">I45</f>
        <v>0</v>
      </c>
      <c r="J44" s="463">
        <f>J45</f>
        <v>368625355.52999997</v>
      </c>
      <c r="K44" s="462">
        <f>K45</f>
        <v>193494595.53</v>
      </c>
      <c r="L44" s="462">
        <f>L45</f>
        <v>171642131</v>
      </c>
      <c r="M44" s="462">
        <f t="shared" ref="M44" si="17">M45</f>
        <v>39544820</v>
      </c>
      <c r="N44" s="462">
        <f>N45</f>
        <v>15551110</v>
      </c>
      <c r="O44" s="463">
        <f>O45</f>
        <v>196983224.53</v>
      </c>
      <c r="P44" s="462">
        <f t="shared" ref="P44" si="18">P45</f>
        <v>2336665355.8000002</v>
      </c>
      <c r="Q44" s="22"/>
    </row>
    <row r="45" spans="1:18" ht="159" customHeight="1" thickTop="1" thickBot="1" x14ac:dyDescent="0.25">
      <c r="A45" s="464" t="s">
        <v>154</v>
      </c>
      <c r="B45" s="464"/>
      <c r="C45" s="464"/>
      <c r="D45" s="465" t="s">
        <v>1</v>
      </c>
      <c r="E45" s="466">
        <f>E46+E81+E93+E84+E90</f>
        <v>1968040000.27</v>
      </c>
      <c r="F45" s="466">
        <f>F46+F81+F93+F84+F90</f>
        <v>1968040000.27</v>
      </c>
      <c r="G45" s="466">
        <f>G46+G81+G93+G84+G90</f>
        <v>1217378134</v>
      </c>
      <c r="H45" s="466">
        <f>H46+H81+H93+H84+H90</f>
        <v>200267223.48000002</v>
      </c>
      <c r="I45" s="466">
        <f>I46+I81+I93+I84+I90</f>
        <v>0</v>
      </c>
      <c r="J45" s="466">
        <f>L45+O45</f>
        <v>368625355.52999997</v>
      </c>
      <c r="K45" s="466">
        <f>K46+K81+K93+K84+K90</f>
        <v>193494595.53</v>
      </c>
      <c r="L45" s="466">
        <f>L46+L81+L93+L84+L90</f>
        <v>171642131</v>
      </c>
      <c r="M45" s="466">
        <f>M46+M81+M93+M84+M90</f>
        <v>39544820</v>
      </c>
      <c r="N45" s="466">
        <f>N46+N81+N93+N84+N90</f>
        <v>15551110</v>
      </c>
      <c r="O45" s="466">
        <f>O46+O81+O93+O84+O90</f>
        <v>196983224.53</v>
      </c>
      <c r="P45" s="466">
        <f>E45+J45</f>
        <v>2336665355.8000002</v>
      </c>
      <c r="Q45" s="459" t="b">
        <f>P45=P47+P49+P50+P51+P58+P60+P63+P64+P66+P68+P79+P83+P87+P92+P53+P54+P61+P76+P67+P89</f>
        <v>1</v>
      </c>
      <c r="R45" s="28"/>
    </row>
    <row r="46" spans="1:18" ht="47.25" thickTop="1" thickBot="1" x14ac:dyDescent="0.25">
      <c r="A46" s="385" t="s">
        <v>716</v>
      </c>
      <c r="B46" s="385" t="s">
        <v>717</v>
      </c>
      <c r="C46" s="385"/>
      <c r="D46" s="385" t="s">
        <v>718</v>
      </c>
      <c r="E46" s="816">
        <f t="shared" ref="E46:P46" si="19">E47+E48+E52+E58+E59+E62+E65+E68+E69+E76+E55+E77+E72+E78</f>
        <v>1966521700.27</v>
      </c>
      <c r="F46" s="816">
        <f t="shared" si="19"/>
        <v>1966521700.27</v>
      </c>
      <c r="G46" s="816">
        <f t="shared" si="19"/>
        <v>1217378134</v>
      </c>
      <c r="H46" s="816">
        <f t="shared" si="19"/>
        <v>199705623.48000002</v>
      </c>
      <c r="I46" s="816">
        <f t="shared" si="19"/>
        <v>0</v>
      </c>
      <c r="J46" s="816">
        <f t="shared" si="19"/>
        <v>246824263.92999998</v>
      </c>
      <c r="K46" s="816">
        <f t="shared" si="19"/>
        <v>71693503.930000007</v>
      </c>
      <c r="L46" s="816">
        <f t="shared" si="19"/>
        <v>171642131</v>
      </c>
      <c r="M46" s="816">
        <f t="shared" si="19"/>
        <v>39544820</v>
      </c>
      <c r="N46" s="816">
        <f t="shared" si="19"/>
        <v>15551110</v>
      </c>
      <c r="O46" s="816">
        <f t="shared" si="19"/>
        <v>75182132.930000007</v>
      </c>
      <c r="P46" s="816">
        <f t="shared" si="19"/>
        <v>2213345964.1999998</v>
      </c>
      <c r="Q46" s="32"/>
      <c r="R46" s="28"/>
    </row>
    <row r="47" spans="1:18" ht="99" customHeight="1" thickTop="1" thickBot="1" x14ac:dyDescent="0.6">
      <c r="A47" s="808" t="s">
        <v>203</v>
      </c>
      <c r="B47" s="808" t="s">
        <v>204</v>
      </c>
      <c r="C47" s="808" t="s">
        <v>206</v>
      </c>
      <c r="D47" s="808" t="s">
        <v>207</v>
      </c>
      <c r="E47" s="816">
        <f>F47</f>
        <v>546083450.55999994</v>
      </c>
      <c r="F47" s="389">
        <f>((400040240+6826450+124590+53766100+4976300+32989243+2983694+26550438+1371161+1730057+724954+69630+3560+1548795+200000+410000+22000+1000000+500000+875000)+1082161+4198058+61993.56+3565000)+504026-40000</f>
        <v>546083450.55999994</v>
      </c>
      <c r="G47" s="389">
        <v>327901836</v>
      </c>
      <c r="H47" s="389">
        <f>32989243+2983694+26550438+1371161+1730057+724954</f>
        <v>66349547</v>
      </c>
      <c r="I47" s="389"/>
      <c r="J47" s="816">
        <f t="shared" ref="J47:J71" si="20">L47+O47</f>
        <v>99808930</v>
      </c>
      <c r="K47" s="389">
        <f>((80000+800000+4500000)+1000000+179520+5000000+500000)+40000</f>
        <v>12099520</v>
      </c>
      <c r="L47" s="389">
        <f>(85884000)-22999+30000</f>
        <v>85891001</v>
      </c>
      <c r="M47" s="389">
        <v>15449160</v>
      </c>
      <c r="N47" s="389">
        <v>4392000</v>
      </c>
      <c r="O47" s="810">
        <f>(K47+1825410)+22999-30000</f>
        <v>13917929</v>
      </c>
      <c r="P47" s="816">
        <f t="shared" ref="P47:P61" si="21">E47+J47</f>
        <v>645892380.55999994</v>
      </c>
      <c r="Q47" s="177"/>
      <c r="R47" s="28"/>
    </row>
    <row r="48" spans="1:18" s="37" customFormat="1" ht="138.75" thickTop="1" thickBot="1" x14ac:dyDescent="0.6">
      <c r="A48" s="455" t="s">
        <v>208</v>
      </c>
      <c r="B48" s="455" t="s">
        <v>205</v>
      </c>
      <c r="C48" s="455"/>
      <c r="D48" s="455" t="s">
        <v>652</v>
      </c>
      <c r="E48" s="440">
        <f>E49+E50+E51</f>
        <v>560849919.33999991</v>
      </c>
      <c r="F48" s="440">
        <f>F49+F50+F51</f>
        <v>560849919.33999991</v>
      </c>
      <c r="G48" s="440">
        <f t="shared" ref="G48:O48" si="22">G49+G50+G51</f>
        <v>259865950</v>
      </c>
      <c r="H48" s="440">
        <f t="shared" si="22"/>
        <v>98664106.609999999</v>
      </c>
      <c r="I48" s="440">
        <f t="shared" si="22"/>
        <v>0</v>
      </c>
      <c r="J48" s="440">
        <f t="shared" si="22"/>
        <v>95793031.700000003</v>
      </c>
      <c r="K48" s="440">
        <f t="shared" si="22"/>
        <v>40358811.700000003</v>
      </c>
      <c r="L48" s="440">
        <f t="shared" si="22"/>
        <v>54213500</v>
      </c>
      <c r="M48" s="440">
        <f t="shared" si="22"/>
        <v>15085870</v>
      </c>
      <c r="N48" s="440">
        <f t="shared" si="22"/>
        <v>1403040</v>
      </c>
      <c r="O48" s="440">
        <f t="shared" si="22"/>
        <v>41579531.700000003</v>
      </c>
      <c r="P48" s="440">
        <f>E48+J48</f>
        <v>656642951.03999996</v>
      </c>
      <c r="Q48" s="177"/>
      <c r="R48" s="40"/>
    </row>
    <row r="49" spans="1:20" ht="184.5" thickTop="1" thickBot="1" x14ac:dyDescent="0.6">
      <c r="A49" s="808" t="s">
        <v>650</v>
      </c>
      <c r="B49" s="808" t="s">
        <v>651</v>
      </c>
      <c r="C49" s="808" t="s">
        <v>209</v>
      </c>
      <c r="D49" s="808" t="s">
        <v>1363</v>
      </c>
      <c r="E49" s="816">
        <f t="shared" ref="E49:E61" si="23">F49</f>
        <v>505476542.33999997</v>
      </c>
      <c r="F49" s="389">
        <f>((278478740+14949120+232788+68902488.28+6324200+49423800+1957040+28032408+2824915+6227487+147250+17044+402147+7030+1000000+620800+1258600+2000000+1300000+1505000+4601586)+428761+335283+40000+384864+79778+28689487.61+58752.45+1154067+3430000-1543567+396762)+853015+300000+364381+23946+66470+79400+122699</f>
        <v>505476542.33999997</v>
      </c>
      <c r="G49" s="389">
        <v>228261262</v>
      </c>
      <c r="H49" s="389">
        <f>(49423800+1957040+28032408+2824915+6227487+4601586)+45699.61</f>
        <v>93112935.609999999</v>
      </c>
      <c r="I49" s="389"/>
      <c r="J49" s="816">
        <f t="shared" si="20"/>
        <v>94983031.700000003</v>
      </c>
      <c r="K49" s="389">
        <f>((300000+800000+2064862.22+1330068.27+500000+450000+300000+300000+300000+300000+300000+3000000+1000000+1200000+7740000)+545838+746697.15+30878+185905+57151+53047+47077+4393825+108378.06+500000+10500000+500000)+1749105+121900+125620+83060+70400</f>
        <v>39703811.700000003</v>
      </c>
      <c r="L49" s="389">
        <v>54058500</v>
      </c>
      <c r="M49" s="389">
        <v>15085870</v>
      </c>
      <c r="N49" s="389">
        <v>1329840</v>
      </c>
      <c r="O49" s="810">
        <f>(K49+1220720)</f>
        <v>40924531.700000003</v>
      </c>
      <c r="P49" s="816">
        <f t="shared" si="21"/>
        <v>600459574.03999996</v>
      </c>
      <c r="Q49" s="177"/>
      <c r="R49" s="28"/>
      <c r="T49" s="41"/>
    </row>
    <row r="50" spans="1:20" ht="367.5" thickTop="1" thickBot="1" x14ac:dyDescent="0.25">
      <c r="A50" s="808" t="s">
        <v>659</v>
      </c>
      <c r="B50" s="808" t="s">
        <v>660</v>
      </c>
      <c r="C50" s="808" t="s">
        <v>212</v>
      </c>
      <c r="D50" s="808" t="s">
        <v>1364</v>
      </c>
      <c r="E50" s="816">
        <f t="shared" si="23"/>
        <v>29034536</v>
      </c>
      <c r="F50" s="389">
        <f>(25431320+268386+7230+657580+216630+2600+1606499+33482+292578+12894+4700+5400+20000+70000)+405237</f>
        <v>29034536</v>
      </c>
      <c r="G50" s="389">
        <v>20845344</v>
      </c>
      <c r="H50" s="389">
        <f>1606499+33482+292578+12894</f>
        <v>1945453</v>
      </c>
      <c r="I50" s="389"/>
      <c r="J50" s="816">
        <f t="shared" si="20"/>
        <v>515000</v>
      </c>
      <c r="K50" s="389">
        <f>360000</f>
        <v>360000</v>
      </c>
      <c r="L50" s="389">
        <v>155000</v>
      </c>
      <c r="M50" s="389"/>
      <c r="N50" s="389">
        <v>73200</v>
      </c>
      <c r="O50" s="810">
        <f>K50</f>
        <v>360000</v>
      </c>
      <c r="P50" s="816">
        <f t="shared" si="21"/>
        <v>29549536</v>
      </c>
      <c r="Q50" s="22"/>
      <c r="R50" s="29"/>
    </row>
    <row r="51" spans="1:20" ht="230.25" thickTop="1" thickBot="1" x14ac:dyDescent="0.25">
      <c r="A51" s="808" t="s">
        <v>1015</v>
      </c>
      <c r="B51" s="808" t="s">
        <v>1016</v>
      </c>
      <c r="C51" s="808" t="s">
        <v>212</v>
      </c>
      <c r="D51" s="808" t="s">
        <v>1365</v>
      </c>
      <c r="E51" s="816">
        <f t="shared" si="23"/>
        <v>26338841</v>
      </c>
      <c r="F51" s="389">
        <f>(13126400+398670+13800+5375100+417390+199390+2311854+120372+1153100+20392+3310+2700+170000+200000+21700+150000+35000)+2619663</f>
        <v>26338841</v>
      </c>
      <c r="G51" s="389">
        <v>10759344</v>
      </c>
      <c r="H51" s="389">
        <f>2311854+120372+1153100+20392</f>
        <v>3605718</v>
      </c>
      <c r="I51" s="389"/>
      <c r="J51" s="816">
        <f t="shared" si="20"/>
        <v>295000</v>
      </c>
      <c r="K51" s="389">
        <f>50000+65000+180000</f>
        <v>295000</v>
      </c>
      <c r="L51" s="389"/>
      <c r="M51" s="389"/>
      <c r="N51" s="389"/>
      <c r="O51" s="810">
        <f>K51</f>
        <v>295000</v>
      </c>
      <c r="P51" s="816">
        <f t="shared" si="21"/>
        <v>26633841</v>
      </c>
      <c r="Q51" s="22"/>
      <c r="R51" s="29"/>
    </row>
    <row r="52" spans="1:20" s="37" customFormat="1" ht="138.75" thickTop="1" thickBot="1" x14ac:dyDescent="0.25">
      <c r="A52" s="455" t="s">
        <v>503</v>
      </c>
      <c r="B52" s="455" t="s">
        <v>210</v>
      </c>
      <c r="C52" s="455"/>
      <c r="D52" s="455" t="s">
        <v>667</v>
      </c>
      <c r="E52" s="440">
        <f>SUM(E53:E54)</f>
        <v>602605586</v>
      </c>
      <c r="F52" s="440">
        <f>SUM(F53:F54)</f>
        <v>602605586</v>
      </c>
      <c r="G52" s="440">
        <f>SUM(G53:G54)</f>
        <v>490213860</v>
      </c>
      <c r="H52" s="440">
        <f>SUM(H53:H54)</f>
        <v>0</v>
      </c>
      <c r="I52" s="440">
        <f>SUM(I53:I54)</f>
        <v>0</v>
      </c>
      <c r="J52" s="440">
        <f t="shared" ref="J52:P52" si="24">SUM(J53:J54)</f>
        <v>0</v>
      </c>
      <c r="K52" s="440">
        <f t="shared" si="24"/>
        <v>0</v>
      </c>
      <c r="L52" s="440">
        <f t="shared" si="24"/>
        <v>0</v>
      </c>
      <c r="M52" s="440">
        <f t="shared" si="24"/>
        <v>0</v>
      </c>
      <c r="N52" s="440">
        <f t="shared" si="24"/>
        <v>0</v>
      </c>
      <c r="O52" s="440">
        <f t="shared" si="24"/>
        <v>0</v>
      </c>
      <c r="P52" s="440">
        <f t="shared" si="24"/>
        <v>602605586</v>
      </c>
      <c r="Q52" s="22"/>
      <c r="R52" s="38"/>
    </row>
    <row r="53" spans="1:20" ht="184.5" thickTop="1" thickBot="1" x14ac:dyDescent="0.25">
      <c r="A53" s="808" t="s">
        <v>668</v>
      </c>
      <c r="B53" s="808" t="s">
        <v>669</v>
      </c>
      <c r="C53" s="808" t="s">
        <v>209</v>
      </c>
      <c r="D53" s="808" t="s">
        <v>1366</v>
      </c>
      <c r="E53" s="816">
        <f t="shared" ref="E53:E54" si="25">F53</f>
        <v>600318986</v>
      </c>
      <c r="F53" s="389">
        <f>(595757900+4544686)+16400</f>
        <v>600318986</v>
      </c>
      <c r="G53" s="389">
        <f>(488326150)+13450</f>
        <v>488339600</v>
      </c>
      <c r="H53" s="389"/>
      <c r="I53" s="389"/>
      <c r="J53" s="816">
        <f t="shared" ref="J53:J54" si="26">L53+O53</f>
        <v>0</v>
      </c>
      <c r="K53" s="389"/>
      <c r="L53" s="389"/>
      <c r="M53" s="389"/>
      <c r="N53" s="389"/>
      <c r="O53" s="810">
        <f>K53</f>
        <v>0</v>
      </c>
      <c r="P53" s="816">
        <f t="shared" ref="P53:P57" si="27">E53+J53</f>
        <v>600318986</v>
      </c>
      <c r="Q53" s="22"/>
      <c r="R53" s="32"/>
    </row>
    <row r="54" spans="1:20" ht="230.25" thickTop="1" thickBot="1" x14ac:dyDescent="0.25">
      <c r="A54" s="808" t="s">
        <v>1174</v>
      </c>
      <c r="B54" s="818" t="s">
        <v>1175</v>
      </c>
      <c r="C54" s="808" t="s">
        <v>212</v>
      </c>
      <c r="D54" s="808" t="s">
        <v>1367</v>
      </c>
      <c r="E54" s="816">
        <f t="shared" si="25"/>
        <v>2286600</v>
      </c>
      <c r="F54" s="802">
        <v>2286600</v>
      </c>
      <c r="G54" s="802">
        <v>1874260</v>
      </c>
      <c r="H54" s="802"/>
      <c r="I54" s="802"/>
      <c r="J54" s="816">
        <f t="shared" si="26"/>
        <v>0</v>
      </c>
      <c r="K54" s="802"/>
      <c r="L54" s="802"/>
      <c r="M54" s="802"/>
      <c r="N54" s="802"/>
      <c r="O54" s="815"/>
      <c r="P54" s="816">
        <f t="shared" si="27"/>
        <v>2286600</v>
      </c>
      <c r="Q54" s="22"/>
      <c r="R54" s="32"/>
    </row>
    <row r="55" spans="1:20" ht="409.6" hidden="1" thickTop="1" thickBot="1" x14ac:dyDescent="0.7">
      <c r="A55" s="899" t="s">
        <v>943</v>
      </c>
      <c r="B55" s="899" t="s">
        <v>50</v>
      </c>
      <c r="C55" s="899"/>
      <c r="D55" s="486" t="s">
        <v>946</v>
      </c>
      <c r="E55" s="901">
        <f t="shared" ref="E55:O55" si="28">E57</f>
        <v>0</v>
      </c>
      <c r="F55" s="901">
        <f t="shared" si="28"/>
        <v>0</v>
      </c>
      <c r="G55" s="901">
        <f t="shared" si="28"/>
        <v>0</v>
      </c>
      <c r="H55" s="901">
        <f t="shared" si="28"/>
        <v>0</v>
      </c>
      <c r="I55" s="901">
        <f t="shared" si="28"/>
        <v>0</v>
      </c>
      <c r="J55" s="901">
        <f t="shared" si="28"/>
        <v>0</v>
      </c>
      <c r="K55" s="901">
        <f t="shared" si="28"/>
        <v>0</v>
      </c>
      <c r="L55" s="901">
        <f t="shared" si="28"/>
        <v>0</v>
      </c>
      <c r="M55" s="901">
        <f t="shared" si="28"/>
        <v>0</v>
      </c>
      <c r="N55" s="901">
        <f t="shared" si="28"/>
        <v>0</v>
      </c>
      <c r="O55" s="901">
        <f t="shared" si="28"/>
        <v>0</v>
      </c>
      <c r="P55" s="901">
        <f>E55+J55</f>
        <v>0</v>
      </c>
      <c r="Q55" s="22"/>
      <c r="R55" s="32"/>
    </row>
    <row r="56" spans="1:20" ht="184.5" hidden="1" thickTop="1" thickBot="1" x14ac:dyDescent="0.25">
      <c r="A56" s="900"/>
      <c r="B56" s="900"/>
      <c r="C56" s="900"/>
      <c r="D56" s="487" t="s">
        <v>947</v>
      </c>
      <c r="E56" s="900"/>
      <c r="F56" s="900"/>
      <c r="G56" s="900"/>
      <c r="H56" s="900"/>
      <c r="I56" s="900"/>
      <c r="J56" s="900"/>
      <c r="K56" s="900"/>
      <c r="L56" s="900"/>
      <c r="M56" s="900"/>
      <c r="N56" s="900"/>
      <c r="O56" s="900"/>
      <c r="P56" s="900"/>
      <c r="Q56" s="22"/>
      <c r="R56" s="32"/>
    </row>
    <row r="57" spans="1:20" ht="138.75" hidden="1" thickTop="1" thickBot="1" x14ac:dyDescent="0.25">
      <c r="A57" s="452" t="s">
        <v>944</v>
      </c>
      <c r="B57" s="452" t="s">
        <v>945</v>
      </c>
      <c r="C57" s="452" t="s">
        <v>209</v>
      </c>
      <c r="D57" s="452" t="s">
        <v>948</v>
      </c>
      <c r="E57" s="488">
        <f t="shared" ref="E57" si="29">F57</f>
        <v>0</v>
      </c>
      <c r="F57" s="468"/>
      <c r="G57" s="468"/>
      <c r="H57" s="468"/>
      <c r="I57" s="468"/>
      <c r="J57" s="488">
        <f t="shared" ref="J57" si="30">L57+O57</f>
        <v>0</v>
      </c>
      <c r="K57" s="468"/>
      <c r="L57" s="468"/>
      <c r="M57" s="468"/>
      <c r="N57" s="468"/>
      <c r="O57" s="489">
        <f>K57</f>
        <v>0</v>
      </c>
      <c r="P57" s="488">
        <f t="shared" si="27"/>
        <v>0</v>
      </c>
      <c r="Q57" s="22"/>
      <c r="R57" s="28"/>
    </row>
    <row r="58" spans="1:20" ht="184.5" thickTop="1" thickBot="1" x14ac:dyDescent="0.25">
      <c r="A58" s="808" t="s">
        <v>670</v>
      </c>
      <c r="B58" s="808" t="s">
        <v>211</v>
      </c>
      <c r="C58" s="808" t="s">
        <v>186</v>
      </c>
      <c r="D58" s="808" t="s">
        <v>504</v>
      </c>
      <c r="E58" s="816">
        <f t="shared" si="23"/>
        <v>31985971</v>
      </c>
      <c r="F58" s="389">
        <f>(25963460+430050+14000+475600+159020+3164837+73186+907670+79855+39033+3510+237440+310+250000)+188000</f>
        <v>31985971</v>
      </c>
      <c r="G58" s="389">
        <v>21281525</v>
      </c>
      <c r="H58" s="389">
        <f>3164837+73186+907670+79855+39033</f>
        <v>4264581</v>
      </c>
      <c r="I58" s="389"/>
      <c r="J58" s="816">
        <f t="shared" si="20"/>
        <v>11092430</v>
      </c>
      <c r="K58" s="389">
        <f>10000000</f>
        <v>10000000</v>
      </c>
      <c r="L58" s="389">
        <v>872930</v>
      </c>
      <c r="M58" s="389">
        <v>15440</v>
      </c>
      <c r="N58" s="389">
        <v>111310</v>
      </c>
      <c r="O58" s="810">
        <f>(K58+219500)</f>
        <v>10219500</v>
      </c>
      <c r="P58" s="816">
        <f t="shared" si="21"/>
        <v>43078401</v>
      </c>
      <c r="Q58" s="22"/>
      <c r="R58" s="28"/>
    </row>
    <row r="59" spans="1:20" s="37" customFormat="1" ht="184.5" thickTop="1" thickBot="1" x14ac:dyDescent="0.25">
      <c r="A59" s="455" t="s">
        <v>213</v>
      </c>
      <c r="B59" s="455" t="s">
        <v>196</v>
      </c>
      <c r="C59" s="455"/>
      <c r="D59" s="455" t="s">
        <v>505</v>
      </c>
      <c r="E59" s="440">
        <f>E60+E61</f>
        <v>183827084.87</v>
      </c>
      <c r="F59" s="440">
        <f t="shared" ref="F59:O59" si="31">F60+F61</f>
        <v>183827084.87</v>
      </c>
      <c r="G59" s="440">
        <f t="shared" si="31"/>
        <v>89421552</v>
      </c>
      <c r="H59" s="440">
        <f t="shared" si="31"/>
        <v>27947199.870000001</v>
      </c>
      <c r="I59" s="440">
        <f t="shared" si="31"/>
        <v>0</v>
      </c>
      <c r="J59" s="440">
        <f t="shared" si="31"/>
        <v>31590468.23</v>
      </c>
      <c r="K59" s="440">
        <f t="shared" si="31"/>
        <v>1200468.23</v>
      </c>
      <c r="L59" s="440">
        <f t="shared" si="31"/>
        <v>30160000</v>
      </c>
      <c r="M59" s="440">
        <f t="shared" si="31"/>
        <v>8894270</v>
      </c>
      <c r="N59" s="440">
        <f t="shared" si="31"/>
        <v>9529290</v>
      </c>
      <c r="O59" s="440">
        <f t="shared" si="31"/>
        <v>1430468.23</v>
      </c>
      <c r="P59" s="440">
        <f t="shared" si="21"/>
        <v>215417553.09999999</v>
      </c>
      <c r="Q59" s="22"/>
      <c r="R59" s="38"/>
    </row>
    <row r="60" spans="1:20" ht="230.25" thickTop="1" thickBot="1" x14ac:dyDescent="0.25">
      <c r="A60" s="808" t="s">
        <v>671</v>
      </c>
      <c r="B60" s="808" t="s">
        <v>672</v>
      </c>
      <c r="C60" s="808" t="s">
        <v>214</v>
      </c>
      <c r="D60" s="808" t="s">
        <v>673</v>
      </c>
      <c r="E60" s="816">
        <f t="shared" si="23"/>
        <v>159453484.87</v>
      </c>
      <c r="F60" s="389">
        <f>((84519260+111000+22600+5254600+433200+14205640+1588100+11939030+21300+186500+15360+33077300+1043800+500000+250000)+5454565.87-99000)+930229</f>
        <v>159453484.87</v>
      </c>
      <c r="G60" s="389">
        <v>69278082</v>
      </c>
      <c r="H60" s="389">
        <f>(14205640+1588100+11939030+21300+186500)+6629.87</f>
        <v>27947199.870000001</v>
      </c>
      <c r="I60" s="389"/>
      <c r="J60" s="816">
        <f>L60+O60</f>
        <v>31590468.23</v>
      </c>
      <c r="K60" s="389">
        <f>(101468.23+800000)+99000+200000</f>
        <v>1200468.23</v>
      </c>
      <c r="L60" s="389">
        <f>(30210000)-50000</f>
        <v>30160000</v>
      </c>
      <c r="M60" s="389">
        <v>8894270</v>
      </c>
      <c r="N60" s="389">
        <v>9529290</v>
      </c>
      <c r="O60" s="810">
        <f>(K60+180000)+50000</f>
        <v>1430468.23</v>
      </c>
      <c r="P60" s="816">
        <f t="shared" si="21"/>
        <v>191043953.09999999</v>
      </c>
      <c r="Q60" s="22"/>
      <c r="R60" s="28"/>
    </row>
    <row r="61" spans="1:20" ht="230.25" thickTop="1" thickBot="1" x14ac:dyDescent="0.25">
      <c r="A61" s="808" t="s">
        <v>675</v>
      </c>
      <c r="B61" s="808" t="s">
        <v>674</v>
      </c>
      <c r="C61" s="808" t="s">
        <v>214</v>
      </c>
      <c r="D61" s="808" t="s">
        <v>676</v>
      </c>
      <c r="E61" s="816">
        <f t="shared" si="23"/>
        <v>24373600</v>
      </c>
      <c r="F61" s="389">
        <v>24373600</v>
      </c>
      <c r="G61" s="389">
        <v>20143470</v>
      </c>
      <c r="H61" s="389"/>
      <c r="I61" s="389"/>
      <c r="J61" s="816">
        <f>L61+O61</f>
        <v>0</v>
      </c>
      <c r="K61" s="389"/>
      <c r="L61" s="389"/>
      <c r="M61" s="389"/>
      <c r="N61" s="389"/>
      <c r="O61" s="810"/>
      <c r="P61" s="816">
        <f t="shared" si="21"/>
        <v>24373600</v>
      </c>
      <c r="Q61" s="22"/>
      <c r="R61" s="32"/>
    </row>
    <row r="62" spans="1:20" s="37" customFormat="1" ht="93" thickTop="1" thickBot="1" x14ac:dyDescent="0.25">
      <c r="A62" s="455" t="s">
        <v>678</v>
      </c>
      <c r="B62" s="455" t="s">
        <v>677</v>
      </c>
      <c r="C62" s="455"/>
      <c r="D62" s="455" t="s">
        <v>679</v>
      </c>
      <c r="E62" s="440">
        <f>E63+E64</f>
        <v>28685805</v>
      </c>
      <c r="F62" s="440">
        <f t="shared" ref="F62:O62" si="32">F63+F64</f>
        <v>28685805</v>
      </c>
      <c r="G62" s="440">
        <f t="shared" si="32"/>
        <v>19102541</v>
      </c>
      <c r="H62" s="440">
        <f t="shared" si="32"/>
        <v>2208742</v>
      </c>
      <c r="I62" s="440">
        <f t="shared" si="32"/>
        <v>0</v>
      </c>
      <c r="J62" s="440">
        <f t="shared" si="32"/>
        <v>6708401</v>
      </c>
      <c r="K62" s="440">
        <f t="shared" si="32"/>
        <v>6203701</v>
      </c>
      <c r="L62" s="440">
        <f t="shared" si="32"/>
        <v>504700</v>
      </c>
      <c r="M62" s="440">
        <f t="shared" si="32"/>
        <v>100080</v>
      </c>
      <c r="N62" s="440">
        <f t="shared" si="32"/>
        <v>115470</v>
      </c>
      <c r="O62" s="440">
        <f t="shared" si="32"/>
        <v>6203701</v>
      </c>
      <c r="P62" s="440">
        <f>E62+J62</f>
        <v>35394206</v>
      </c>
      <c r="Q62" s="22"/>
      <c r="R62" s="38"/>
    </row>
    <row r="63" spans="1:20" ht="93" thickTop="1" thickBot="1" x14ac:dyDescent="0.25">
      <c r="A63" s="808" t="s">
        <v>680</v>
      </c>
      <c r="B63" s="808" t="s">
        <v>681</v>
      </c>
      <c r="C63" s="808" t="s">
        <v>215</v>
      </c>
      <c r="D63" s="808" t="s">
        <v>506</v>
      </c>
      <c r="E63" s="816">
        <f>F63</f>
        <v>28165985</v>
      </c>
      <c r="F63" s="389">
        <f>(23305100+814015+1855+882100+1246141+24736+912211+25654+6060+2700+200000)+742713+2700</f>
        <v>28165985</v>
      </c>
      <c r="G63" s="389">
        <v>19102541</v>
      </c>
      <c r="H63" s="389">
        <f>1246141+24736+912211+25654</f>
        <v>2208742</v>
      </c>
      <c r="I63" s="389"/>
      <c r="J63" s="816">
        <f>L63+O63</f>
        <v>6708401</v>
      </c>
      <c r="K63" s="389">
        <f>(500000+100000)+5603701</f>
        <v>6203701</v>
      </c>
      <c r="L63" s="389">
        <v>504700</v>
      </c>
      <c r="M63" s="389">
        <v>100080</v>
      </c>
      <c r="N63" s="389">
        <v>115470</v>
      </c>
      <c r="O63" s="810">
        <f>K63</f>
        <v>6203701</v>
      </c>
      <c r="P63" s="816">
        <f>E63+J63</f>
        <v>34874386</v>
      </c>
      <c r="Q63" s="22"/>
      <c r="R63" s="32"/>
    </row>
    <row r="64" spans="1:20" ht="93" thickTop="1" thickBot="1" x14ac:dyDescent="0.25">
      <c r="A64" s="808" t="s">
        <v>682</v>
      </c>
      <c r="B64" s="808" t="s">
        <v>683</v>
      </c>
      <c r="C64" s="808" t="s">
        <v>215</v>
      </c>
      <c r="D64" s="808" t="s">
        <v>342</v>
      </c>
      <c r="E64" s="816">
        <f>F64</f>
        <v>519820</v>
      </c>
      <c r="F64" s="389">
        <f>(219820)+300000</f>
        <v>519820</v>
      </c>
      <c r="G64" s="389"/>
      <c r="H64" s="389"/>
      <c r="I64" s="389"/>
      <c r="J64" s="816">
        <f>L64+O64</f>
        <v>0</v>
      </c>
      <c r="K64" s="389"/>
      <c r="L64" s="389"/>
      <c r="M64" s="389"/>
      <c r="N64" s="389"/>
      <c r="O64" s="810">
        <f>K64</f>
        <v>0</v>
      </c>
      <c r="P64" s="816">
        <f>E64+J64</f>
        <v>519820</v>
      </c>
      <c r="Q64" s="22"/>
      <c r="R64" s="32"/>
    </row>
    <row r="65" spans="1:18" s="37" customFormat="1" ht="93" thickTop="1" thickBot="1" x14ac:dyDescent="0.25">
      <c r="A65" s="455" t="s">
        <v>684</v>
      </c>
      <c r="B65" s="455" t="s">
        <v>685</v>
      </c>
      <c r="C65" s="455"/>
      <c r="D65" s="455" t="s">
        <v>434</v>
      </c>
      <c r="E65" s="440">
        <f>E66+E67</f>
        <v>4857614.5</v>
      </c>
      <c r="F65" s="440">
        <f>F66+F67</f>
        <v>4857614.5</v>
      </c>
      <c r="G65" s="440">
        <f t="shared" ref="G65:O65" si="33">G66+G67</f>
        <v>3649272</v>
      </c>
      <c r="H65" s="440">
        <f t="shared" si="33"/>
        <v>170565</v>
      </c>
      <c r="I65" s="440">
        <f t="shared" si="33"/>
        <v>0</v>
      </c>
      <c r="J65" s="440">
        <f t="shared" si="33"/>
        <v>219300</v>
      </c>
      <c r="K65" s="440">
        <f t="shared" si="33"/>
        <v>219300</v>
      </c>
      <c r="L65" s="440">
        <f t="shared" si="33"/>
        <v>0</v>
      </c>
      <c r="M65" s="440">
        <f t="shared" si="33"/>
        <v>0</v>
      </c>
      <c r="N65" s="440">
        <f t="shared" si="33"/>
        <v>0</v>
      </c>
      <c r="O65" s="440">
        <f t="shared" si="33"/>
        <v>219300</v>
      </c>
      <c r="P65" s="440">
        <f>E65+J65</f>
        <v>5076914.5</v>
      </c>
      <c r="Q65" s="22"/>
      <c r="R65" s="38"/>
    </row>
    <row r="66" spans="1:18" ht="184.5" thickTop="1" thickBot="1" x14ac:dyDescent="0.25">
      <c r="A66" s="808" t="s">
        <v>686</v>
      </c>
      <c r="B66" s="808" t="s">
        <v>687</v>
      </c>
      <c r="C66" s="808" t="s">
        <v>215</v>
      </c>
      <c r="D66" s="808" t="s">
        <v>688</v>
      </c>
      <c r="E66" s="816">
        <f>F66</f>
        <v>1142214.5</v>
      </c>
      <c r="F66" s="389">
        <f>(736700+167810+59750+5000+125493+10551+31952+2569+900)+1489.5</f>
        <v>1142214.5</v>
      </c>
      <c r="G66" s="389">
        <v>603852</v>
      </c>
      <c r="H66" s="389">
        <f>125493+10551+31952+2569</f>
        <v>170565</v>
      </c>
      <c r="I66" s="389"/>
      <c r="J66" s="816">
        <f>L66+O66</f>
        <v>219300</v>
      </c>
      <c r="K66" s="389">
        <f>219300</f>
        <v>219300</v>
      </c>
      <c r="L66" s="389"/>
      <c r="M66" s="389"/>
      <c r="N66" s="389"/>
      <c r="O66" s="810">
        <f>K66</f>
        <v>219300</v>
      </c>
      <c r="P66" s="816">
        <f>E66+J66</f>
        <v>1361514.5</v>
      </c>
      <c r="Q66" s="22"/>
      <c r="R66" s="28"/>
    </row>
    <row r="67" spans="1:18" ht="138.75" thickTop="1" thickBot="1" x14ac:dyDescent="0.25">
      <c r="A67" s="808" t="s">
        <v>689</v>
      </c>
      <c r="B67" s="808" t="s">
        <v>690</v>
      </c>
      <c r="C67" s="808" t="s">
        <v>215</v>
      </c>
      <c r="D67" s="808" t="s">
        <v>691</v>
      </c>
      <c r="E67" s="816">
        <f>F67</f>
        <v>3715400</v>
      </c>
      <c r="F67" s="389">
        <v>3715400</v>
      </c>
      <c r="G67" s="389">
        <v>3045420</v>
      </c>
      <c r="H67" s="389"/>
      <c r="I67" s="389"/>
      <c r="J67" s="816">
        <f t="shared" ref="J67:J68" si="34">L67+O67</f>
        <v>0</v>
      </c>
      <c r="K67" s="389"/>
      <c r="L67" s="389"/>
      <c r="M67" s="389"/>
      <c r="N67" s="389"/>
      <c r="O67" s="810">
        <f t="shared" ref="O67:O68" si="35">K67</f>
        <v>0</v>
      </c>
      <c r="P67" s="816">
        <f t="shared" ref="P67:P74" si="36">E67+J67</f>
        <v>3715400</v>
      </c>
      <c r="Q67" s="22"/>
      <c r="R67" s="32"/>
    </row>
    <row r="68" spans="1:18" ht="138.75" thickTop="1" thickBot="1" x14ac:dyDescent="0.25">
      <c r="A68" s="808" t="s">
        <v>656</v>
      </c>
      <c r="B68" s="808" t="s">
        <v>657</v>
      </c>
      <c r="C68" s="808" t="s">
        <v>215</v>
      </c>
      <c r="D68" s="808" t="s">
        <v>658</v>
      </c>
      <c r="E68" s="816">
        <f t="shared" ref="E68:E83" si="37">F68</f>
        <v>3316580</v>
      </c>
      <c r="F68" s="389">
        <f>2939060+224488+42150+10000+60964+6421+28228+5269</f>
        <v>3316580</v>
      </c>
      <c r="G68" s="389">
        <v>2409066</v>
      </c>
      <c r="H68" s="389">
        <f>60964+6421+28228+5269</f>
        <v>100882</v>
      </c>
      <c r="I68" s="389"/>
      <c r="J68" s="816">
        <f t="shared" si="34"/>
        <v>0</v>
      </c>
      <c r="K68" s="389"/>
      <c r="L68" s="389"/>
      <c r="M68" s="389"/>
      <c r="N68" s="389"/>
      <c r="O68" s="810">
        <f t="shared" si="35"/>
        <v>0</v>
      </c>
      <c r="P68" s="816">
        <f t="shared" si="36"/>
        <v>3316580</v>
      </c>
      <c r="Q68" s="22"/>
      <c r="R68" s="28"/>
    </row>
    <row r="69" spans="1:18" s="35" customFormat="1" ht="230.25" hidden="1" thickTop="1" thickBot="1" x14ac:dyDescent="0.25">
      <c r="A69" s="490" t="s">
        <v>661</v>
      </c>
      <c r="B69" s="490" t="s">
        <v>662</v>
      </c>
      <c r="C69" s="490"/>
      <c r="D69" s="490" t="s">
        <v>663</v>
      </c>
      <c r="E69" s="469">
        <f t="shared" si="37"/>
        <v>0</v>
      </c>
      <c r="F69" s="469">
        <f>SUM(F70:F71)</f>
        <v>0</v>
      </c>
      <c r="G69" s="469">
        <f t="shared" ref="G69:I69" si="38">SUM(G70:G71)</f>
        <v>0</v>
      </c>
      <c r="H69" s="469">
        <f t="shared" si="38"/>
        <v>0</v>
      </c>
      <c r="I69" s="469">
        <f t="shared" si="38"/>
        <v>0</v>
      </c>
      <c r="J69" s="469">
        <f t="shared" si="20"/>
        <v>0</v>
      </c>
      <c r="K69" s="440">
        <f>SUM(K70:K71)</f>
        <v>0</v>
      </c>
      <c r="L69" s="469">
        <f t="shared" ref="L69:N69" si="39">SUM(L70:L71)</f>
        <v>0</v>
      </c>
      <c r="M69" s="469">
        <f t="shared" si="39"/>
        <v>0</v>
      </c>
      <c r="N69" s="469">
        <f t="shared" si="39"/>
        <v>0</v>
      </c>
      <c r="O69" s="469">
        <f>SUM(O70:O71)</f>
        <v>0</v>
      </c>
      <c r="P69" s="469">
        <f t="shared" si="36"/>
        <v>0</v>
      </c>
      <c r="Q69" s="39"/>
      <c r="R69" s="40"/>
    </row>
    <row r="70" spans="1:18" s="35" customFormat="1" ht="367.5" hidden="1" thickTop="1" thickBot="1" x14ac:dyDescent="0.25">
      <c r="A70" s="452" t="s">
        <v>664</v>
      </c>
      <c r="B70" s="452" t="s">
        <v>665</v>
      </c>
      <c r="C70" s="452" t="s">
        <v>215</v>
      </c>
      <c r="D70" s="452" t="s">
        <v>666</v>
      </c>
      <c r="E70" s="488">
        <f t="shared" si="37"/>
        <v>0</v>
      </c>
      <c r="F70" s="468"/>
      <c r="G70" s="468"/>
      <c r="H70" s="468"/>
      <c r="I70" s="468"/>
      <c r="J70" s="488">
        <f t="shared" si="20"/>
        <v>0</v>
      </c>
      <c r="K70" s="389"/>
      <c r="L70" s="468"/>
      <c r="M70" s="468"/>
      <c r="N70" s="468"/>
      <c r="O70" s="489">
        <f t="shared" ref="O70:O71" si="40">K70</f>
        <v>0</v>
      </c>
      <c r="P70" s="488">
        <f t="shared" si="36"/>
        <v>0</v>
      </c>
      <c r="Q70" s="39"/>
      <c r="R70" s="28"/>
    </row>
    <row r="71" spans="1:18" s="35" customFormat="1" ht="367.5" hidden="1" thickTop="1" thickBot="1" x14ac:dyDescent="0.25">
      <c r="A71" s="452" t="s">
        <v>998</v>
      </c>
      <c r="B71" s="452" t="s">
        <v>999</v>
      </c>
      <c r="C71" s="452" t="s">
        <v>215</v>
      </c>
      <c r="D71" s="452" t="s">
        <v>1000</v>
      </c>
      <c r="E71" s="488">
        <f t="shared" si="37"/>
        <v>0</v>
      </c>
      <c r="F71" s="468"/>
      <c r="G71" s="468"/>
      <c r="H71" s="468"/>
      <c r="I71" s="468"/>
      <c r="J71" s="488">
        <f t="shared" si="20"/>
        <v>0</v>
      </c>
      <c r="K71" s="389"/>
      <c r="L71" s="468"/>
      <c r="M71" s="468"/>
      <c r="N71" s="468"/>
      <c r="O71" s="489">
        <f t="shared" si="40"/>
        <v>0</v>
      </c>
      <c r="P71" s="488">
        <f t="shared" si="36"/>
        <v>0</v>
      </c>
      <c r="Q71" s="39"/>
      <c r="R71" s="28"/>
    </row>
    <row r="72" spans="1:18" s="35" customFormat="1" ht="409.6" hidden="1" thickTop="1" thickBot="1" x14ac:dyDescent="0.25">
      <c r="A72" s="490" t="s">
        <v>1017</v>
      </c>
      <c r="B72" s="490" t="s">
        <v>1019</v>
      </c>
      <c r="C72" s="490"/>
      <c r="D72" s="490" t="s">
        <v>1021</v>
      </c>
      <c r="E72" s="469">
        <f>E73+E74</f>
        <v>0</v>
      </c>
      <c r="F72" s="469">
        <f>F73+F74</f>
        <v>0</v>
      </c>
      <c r="G72" s="469">
        <f t="shared" ref="G72:I72" si="41">G73+G74</f>
        <v>0</v>
      </c>
      <c r="H72" s="469">
        <f t="shared" si="41"/>
        <v>0</v>
      </c>
      <c r="I72" s="469">
        <f t="shared" si="41"/>
        <v>0</v>
      </c>
      <c r="J72" s="469">
        <f>L72+O72</f>
        <v>0</v>
      </c>
      <c r="K72" s="440">
        <f t="shared" ref="K72:O72" si="42">K73+K74</f>
        <v>0</v>
      </c>
      <c r="L72" s="469">
        <f t="shared" si="42"/>
        <v>0</v>
      </c>
      <c r="M72" s="469">
        <f t="shared" si="42"/>
        <v>0</v>
      </c>
      <c r="N72" s="469">
        <f t="shared" si="42"/>
        <v>0</v>
      </c>
      <c r="O72" s="469">
        <f t="shared" si="42"/>
        <v>0</v>
      </c>
      <c r="P72" s="469">
        <f t="shared" si="36"/>
        <v>0</v>
      </c>
      <c r="Q72" s="39"/>
      <c r="R72" s="28"/>
    </row>
    <row r="73" spans="1:18" s="35" customFormat="1" ht="409.6" hidden="1" thickTop="1" thickBot="1" x14ac:dyDescent="0.25">
      <c r="A73" s="452" t="s">
        <v>1018</v>
      </c>
      <c r="B73" s="452" t="s">
        <v>1020</v>
      </c>
      <c r="C73" s="452" t="s">
        <v>215</v>
      </c>
      <c r="D73" s="452" t="s">
        <v>1022</v>
      </c>
      <c r="E73" s="488">
        <f t="shared" ref="E73:E74" si="43">F73</f>
        <v>0</v>
      </c>
      <c r="F73" s="468"/>
      <c r="G73" s="468"/>
      <c r="H73" s="468"/>
      <c r="I73" s="468"/>
      <c r="J73" s="488">
        <f t="shared" ref="J73:J74" si="44">L73+O73</f>
        <v>0</v>
      </c>
      <c r="K73" s="389">
        <f>4547046.18-4547046.18</f>
        <v>0</v>
      </c>
      <c r="L73" s="468"/>
      <c r="M73" s="468"/>
      <c r="N73" s="468"/>
      <c r="O73" s="489">
        <f t="shared" ref="O73:O74" si="45">K73</f>
        <v>0</v>
      </c>
      <c r="P73" s="488">
        <f t="shared" si="36"/>
        <v>0</v>
      </c>
      <c r="Q73" s="39"/>
      <c r="R73" s="28"/>
    </row>
    <row r="74" spans="1:18" s="35" customFormat="1" ht="46.5" hidden="1" thickTop="1" thickBot="1" x14ac:dyDescent="0.25">
      <c r="A74" s="921" t="s">
        <v>1037</v>
      </c>
      <c r="B74" s="921" t="s">
        <v>1038</v>
      </c>
      <c r="C74" s="921" t="s">
        <v>215</v>
      </c>
      <c r="D74" s="921" t="s">
        <v>1039</v>
      </c>
      <c r="E74" s="922">
        <f t="shared" si="43"/>
        <v>0</v>
      </c>
      <c r="F74" s="922"/>
      <c r="G74" s="922"/>
      <c r="H74" s="922"/>
      <c r="I74" s="922"/>
      <c r="J74" s="922">
        <f t="shared" si="44"/>
        <v>0</v>
      </c>
      <c r="K74" s="934">
        <f>10623233.82-10623233.82</f>
        <v>0</v>
      </c>
      <c r="L74" s="922"/>
      <c r="M74" s="922"/>
      <c r="N74" s="922"/>
      <c r="O74" s="937">
        <f t="shared" si="45"/>
        <v>0</v>
      </c>
      <c r="P74" s="922">
        <f t="shared" si="36"/>
        <v>0</v>
      </c>
      <c r="Q74" s="39"/>
      <c r="R74" s="28"/>
    </row>
    <row r="75" spans="1:18" s="35" customFormat="1" ht="46.5" hidden="1" thickTop="1" thickBot="1" x14ac:dyDescent="0.25">
      <c r="A75" s="900"/>
      <c r="B75" s="900"/>
      <c r="C75" s="900"/>
      <c r="D75" s="900"/>
      <c r="E75" s="900"/>
      <c r="F75" s="900"/>
      <c r="G75" s="900"/>
      <c r="H75" s="900"/>
      <c r="I75" s="900"/>
      <c r="J75" s="900"/>
      <c r="K75" s="925"/>
      <c r="L75" s="900"/>
      <c r="M75" s="900"/>
      <c r="N75" s="900"/>
      <c r="O75" s="900"/>
      <c r="P75" s="900"/>
      <c r="Q75" s="39"/>
      <c r="R75" s="28"/>
    </row>
    <row r="76" spans="1:18" s="35" customFormat="1" ht="321.75" thickTop="1" thickBot="1" x14ac:dyDescent="0.25">
      <c r="A76" s="808" t="s">
        <v>653</v>
      </c>
      <c r="B76" s="808" t="s">
        <v>654</v>
      </c>
      <c r="C76" s="808" t="s">
        <v>215</v>
      </c>
      <c r="D76" s="808" t="s">
        <v>655</v>
      </c>
      <c r="E76" s="816">
        <f t="shared" si="37"/>
        <v>4309689</v>
      </c>
      <c r="F76" s="389">
        <v>4309689</v>
      </c>
      <c r="G76" s="389">
        <v>3532532</v>
      </c>
      <c r="H76" s="389"/>
      <c r="I76" s="389"/>
      <c r="J76" s="816">
        <f t="shared" ref="J76:J77" si="46">L76+O76</f>
        <v>0</v>
      </c>
      <c r="K76" s="389"/>
      <c r="L76" s="389"/>
      <c r="M76" s="389"/>
      <c r="N76" s="389"/>
      <c r="O76" s="810">
        <f t="shared" ref="O76:O77" si="47">K76</f>
        <v>0</v>
      </c>
      <c r="P76" s="816">
        <f t="shared" ref="P76:P77" si="48">E76+J76</f>
        <v>4309689</v>
      </c>
      <c r="Q76" s="39"/>
      <c r="R76" s="28"/>
    </row>
    <row r="77" spans="1:18" s="35" customFormat="1" ht="321.75" hidden="1" thickTop="1" thickBot="1" x14ac:dyDescent="0.25">
      <c r="A77" s="452" t="s">
        <v>957</v>
      </c>
      <c r="B77" s="452" t="s">
        <v>958</v>
      </c>
      <c r="C77" s="452" t="s">
        <v>215</v>
      </c>
      <c r="D77" s="452" t="s">
        <v>959</v>
      </c>
      <c r="E77" s="488">
        <f t="shared" si="37"/>
        <v>0</v>
      </c>
      <c r="F77" s="468"/>
      <c r="G77" s="468"/>
      <c r="H77" s="468"/>
      <c r="I77" s="468"/>
      <c r="J77" s="488">
        <f t="shared" si="46"/>
        <v>0</v>
      </c>
      <c r="K77" s="389"/>
      <c r="L77" s="468"/>
      <c r="M77" s="468"/>
      <c r="N77" s="468"/>
      <c r="O77" s="489">
        <f t="shared" si="47"/>
        <v>0</v>
      </c>
      <c r="P77" s="488">
        <f t="shared" si="48"/>
        <v>0</v>
      </c>
      <c r="Q77" s="39"/>
      <c r="R77" s="28"/>
    </row>
    <row r="78" spans="1:18" s="35" customFormat="1" ht="276" thickTop="1" thickBot="1" x14ac:dyDescent="0.25">
      <c r="A78" s="455" t="s">
        <v>1023</v>
      </c>
      <c r="B78" s="455" t="s">
        <v>1025</v>
      </c>
      <c r="C78" s="455"/>
      <c r="D78" s="455" t="s">
        <v>1320</v>
      </c>
      <c r="E78" s="440">
        <f>F78</f>
        <v>0</v>
      </c>
      <c r="F78" s="440">
        <f>SUM(F79:F80)</f>
        <v>0</v>
      </c>
      <c r="G78" s="440">
        <f>SUM(G79:G80)</f>
        <v>0</v>
      </c>
      <c r="H78" s="440">
        <f>SUM(H79:H80)</f>
        <v>0</v>
      </c>
      <c r="I78" s="440">
        <f>SUM(I79:I80)</f>
        <v>0</v>
      </c>
      <c r="J78" s="440">
        <f>L78+O78</f>
        <v>1611703</v>
      </c>
      <c r="K78" s="440">
        <f>SUM(K79:K80)</f>
        <v>1611703</v>
      </c>
      <c r="L78" s="440">
        <f>SUM(L79:L80)</f>
        <v>0</v>
      </c>
      <c r="M78" s="440">
        <f>SUM(M79:M80)</f>
        <v>0</v>
      </c>
      <c r="N78" s="440">
        <f>SUM(N79:N80)</f>
        <v>0</v>
      </c>
      <c r="O78" s="440">
        <f>SUM(O79:O80)</f>
        <v>1611703</v>
      </c>
      <c r="P78" s="440">
        <f>E78+J78</f>
        <v>1611703</v>
      </c>
      <c r="Q78" s="39"/>
      <c r="R78" s="28"/>
    </row>
    <row r="79" spans="1:18" s="35" customFormat="1" ht="367.5" thickTop="1" thickBot="1" x14ac:dyDescent="0.25">
      <c r="A79" s="808" t="s">
        <v>1024</v>
      </c>
      <c r="B79" s="808" t="s">
        <v>1026</v>
      </c>
      <c r="C79" s="808" t="s">
        <v>215</v>
      </c>
      <c r="D79" s="808" t="s">
        <v>1321</v>
      </c>
      <c r="E79" s="816">
        <f>F79</f>
        <v>0</v>
      </c>
      <c r="F79" s="389"/>
      <c r="G79" s="389"/>
      <c r="H79" s="389"/>
      <c r="I79" s="389"/>
      <c r="J79" s="816">
        <f t="shared" ref="J79:J80" si="49">L79+O79</f>
        <v>1611703</v>
      </c>
      <c r="K79" s="389">
        <v>1611703</v>
      </c>
      <c r="L79" s="389"/>
      <c r="M79" s="389"/>
      <c r="N79" s="389"/>
      <c r="O79" s="810">
        <f t="shared" ref="O79:O80" si="50">K79</f>
        <v>1611703</v>
      </c>
      <c r="P79" s="816">
        <f>E79+J79</f>
        <v>1611703</v>
      </c>
      <c r="Q79" s="39"/>
      <c r="R79" s="28"/>
    </row>
    <row r="80" spans="1:18" s="35" customFormat="1" ht="321.75" hidden="1" thickTop="1" thickBot="1" x14ac:dyDescent="0.25">
      <c r="A80" s="452" t="s">
        <v>1076</v>
      </c>
      <c r="B80" s="452" t="s">
        <v>1077</v>
      </c>
      <c r="C80" s="452" t="s">
        <v>215</v>
      </c>
      <c r="D80" s="452" t="s">
        <v>1075</v>
      </c>
      <c r="E80" s="816">
        <f>F80</f>
        <v>0</v>
      </c>
      <c r="F80" s="389">
        <f>(553900)-553900</f>
        <v>0</v>
      </c>
      <c r="G80" s="389"/>
      <c r="H80" s="389"/>
      <c r="I80" s="389"/>
      <c r="J80" s="816">
        <f t="shared" si="49"/>
        <v>0</v>
      </c>
      <c r="K80" s="389"/>
      <c r="L80" s="468"/>
      <c r="M80" s="468"/>
      <c r="N80" s="468"/>
      <c r="O80" s="489">
        <f t="shared" si="50"/>
        <v>0</v>
      </c>
      <c r="P80" s="488">
        <f>E80+J80</f>
        <v>0</v>
      </c>
      <c r="Q80" s="39"/>
      <c r="R80" s="28"/>
    </row>
    <row r="81" spans="1:18" s="35" customFormat="1" ht="91.5" thickTop="1" thickBot="1" x14ac:dyDescent="0.25">
      <c r="A81" s="385" t="s">
        <v>719</v>
      </c>
      <c r="B81" s="385" t="s">
        <v>720</v>
      </c>
      <c r="C81" s="385"/>
      <c r="D81" s="385" t="s">
        <v>721</v>
      </c>
      <c r="E81" s="816">
        <f t="shared" ref="E81:P81" si="51">SUM(E82:E83)</f>
        <v>1518300</v>
      </c>
      <c r="F81" s="816">
        <f t="shared" si="51"/>
        <v>1518300</v>
      </c>
      <c r="G81" s="816">
        <f t="shared" si="51"/>
        <v>0</v>
      </c>
      <c r="H81" s="816">
        <f t="shared" si="51"/>
        <v>561600</v>
      </c>
      <c r="I81" s="816">
        <f t="shared" si="51"/>
        <v>0</v>
      </c>
      <c r="J81" s="816">
        <f t="shared" si="51"/>
        <v>0</v>
      </c>
      <c r="K81" s="816">
        <f t="shared" si="51"/>
        <v>0</v>
      </c>
      <c r="L81" s="816">
        <f t="shared" si="51"/>
        <v>0</v>
      </c>
      <c r="M81" s="816">
        <f t="shared" si="51"/>
        <v>0</v>
      </c>
      <c r="N81" s="816">
        <f t="shared" si="51"/>
        <v>0</v>
      </c>
      <c r="O81" s="816">
        <f t="shared" si="51"/>
        <v>0</v>
      </c>
      <c r="P81" s="816">
        <f t="shared" si="51"/>
        <v>1518300</v>
      </c>
      <c r="Q81" s="39"/>
      <c r="R81" s="28"/>
    </row>
    <row r="82" spans="1:18" s="35" customFormat="1" ht="367.5" hidden="1" thickTop="1" thickBot="1" x14ac:dyDescent="0.25">
      <c r="A82" s="808" t="s">
        <v>436</v>
      </c>
      <c r="B82" s="808" t="s">
        <v>437</v>
      </c>
      <c r="C82" s="808" t="s">
        <v>190</v>
      </c>
      <c r="D82" s="808" t="s">
        <v>435</v>
      </c>
      <c r="E82" s="816">
        <f t="shared" si="37"/>
        <v>0</v>
      </c>
      <c r="F82" s="389"/>
      <c r="G82" s="389"/>
      <c r="H82" s="389"/>
      <c r="I82" s="389"/>
      <c r="J82" s="816">
        <f>L82+O82</f>
        <v>0</v>
      </c>
      <c r="K82" s="389"/>
      <c r="L82" s="389"/>
      <c r="M82" s="389"/>
      <c r="N82" s="389"/>
      <c r="O82" s="810">
        <f>K82</f>
        <v>0</v>
      </c>
      <c r="P82" s="816">
        <f>E82+J82</f>
        <v>0</v>
      </c>
      <c r="Q82" s="39"/>
      <c r="R82" s="42"/>
    </row>
    <row r="83" spans="1:18" s="35" customFormat="1" ht="230.25" thickTop="1" thickBot="1" x14ac:dyDescent="0.25">
      <c r="A83" s="808" t="s">
        <v>1283</v>
      </c>
      <c r="B83" s="808" t="s">
        <v>1249</v>
      </c>
      <c r="C83" s="808" t="s">
        <v>211</v>
      </c>
      <c r="D83" s="470" t="s">
        <v>1250</v>
      </c>
      <c r="E83" s="816">
        <f t="shared" si="37"/>
        <v>1518300</v>
      </c>
      <c r="F83" s="389">
        <v>1518300</v>
      </c>
      <c r="G83" s="389"/>
      <c r="H83" s="389">
        <v>561600</v>
      </c>
      <c r="I83" s="389"/>
      <c r="J83" s="816">
        <f>L83+O83</f>
        <v>0</v>
      </c>
      <c r="K83" s="389"/>
      <c r="L83" s="389"/>
      <c r="M83" s="389"/>
      <c r="N83" s="389"/>
      <c r="O83" s="810">
        <f>K83</f>
        <v>0</v>
      </c>
      <c r="P83" s="816">
        <f>E83+J83</f>
        <v>1518300</v>
      </c>
      <c r="Q83" s="39"/>
      <c r="R83" s="42"/>
    </row>
    <row r="84" spans="1:18" s="35" customFormat="1" ht="47.25" thickTop="1" thickBot="1" x14ac:dyDescent="0.25">
      <c r="A84" s="385" t="s">
        <v>1130</v>
      </c>
      <c r="B84" s="385" t="s">
        <v>757</v>
      </c>
      <c r="C84" s="385"/>
      <c r="D84" s="385" t="s">
        <v>1129</v>
      </c>
      <c r="E84" s="816">
        <f>E85+E88</f>
        <v>0</v>
      </c>
      <c r="F84" s="816">
        <f t="shared" ref="F84:P84" si="52">F85+F88</f>
        <v>0</v>
      </c>
      <c r="G84" s="816">
        <f t="shared" si="52"/>
        <v>0</v>
      </c>
      <c r="H84" s="816">
        <f t="shared" si="52"/>
        <v>0</v>
      </c>
      <c r="I84" s="816">
        <f t="shared" si="52"/>
        <v>0</v>
      </c>
      <c r="J84" s="816">
        <f t="shared" si="52"/>
        <v>118031091.59999999</v>
      </c>
      <c r="K84" s="816">
        <f t="shared" si="52"/>
        <v>118031091.59999999</v>
      </c>
      <c r="L84" s="816">
        <f t="shared" si="52"/>
        <v>0</v>
      </c>
      <c r="M84" s="816">
        <f t="shared" si="52"/>
        <v>0</v>
      </c>
      <c r="N84" s="816">
        <f t="shared" si="52"/>
        <v>0</v>
      </c>
      <c r="O84" s="816">
        <f t="shared" si="52"/>
        <v>118031091.59999999</v>
      </c>
      <c r="P84" s="816">
        <f t="shared" si="52"/>
        <v>118031091.59999999</v>
      </c>
      <c r="Q84" s="39"/>
      <c r="R84" s="28"/>
    </row>
    <row r="85" spans="1:18" s="35" customFormat="1" ht="91.5" thickTop="1" thickBot="1" x14ac:dyDescent="0.25">
      <c r="A85" s="387" t="s">
        <v>1128</v>
      </c>
      <c r="B85" s="387" t="s">
        <v>813</v>
      </c>
      <c r="C85" s="387"/>
      <c r="D85" s="387" t="s">
        <v>814</v>
      </c>
      <c r="E85" s="391">
        <f>E86</f>
        <v>0</v>
      </c>
      <c r="F85" s="391">
        <f t="shared" ref="F85:P86" si="53">F86</f>
        <v>0</v>
      </c>
      <c r="G85" s="391">
        <f t="shared" si="53"/>
        <v>0</v>
      </c>
      <c r="H85" s="391">
        <f t="shared" si="53"/>
        <v>0</v>
      </c>
      <c r="I85" s="391">
        <f t="shared" si="53"/>
        <v>0</v>
      </c>
      <c r="J85" s="391">
        <f t="shared" si="53"/>
        <v>73031091.599999994</v>
      </c>
      <c r="K85" s="391">
        <f t="shared" si="53"/>
        <v>73031091.599999994</v>
      </c>
      <c r="L85" s="391">
        <f t="shared" si="53"/>
        <v>0</v>
      </c>
      <c r="M85" s="391">
        <f t="shared" si="53"/>
        <v>0</v>
      </c>
      <c r="N85" s="391">
        <f t="shared" si="53"/>
        <v>0</v>
      </c>
      <c r="O85" s="391">
        <f t="shared" si="53"/>
        <v>73031091.599999994</v>
      </c>
      <c r="P85" s="391">
        <f t="shared" si="53"/>
        <v>73031091.599999994</v>
      </c>
      <c r="Q85" s="39"/>
      <c r="R85" s="28"/>
    </row>
    <row r="86" spans="1:18" s="35" customFormat="1" ht="145.5" thickTop="1" thickBot="1" x14ac:dyDescent="0.25">
      <c r="A86" s="455" t="s">
        <v>1131</v>
      </c>
      <c r="B86" s="455" t="s">
        <v>831</v>
      </c>
      <c r="C86" s="455"/>
      <c r="D86" s="455" t="s">
        <v>1318</v>
      </c>
      <c r="E86" s="440">
        <f>E87</f>
        <v>0</v>
      </c>
      <c r="F86" s="440">
        <f t="shared" si="53"/>
        <v>0</v>
      </c>
      <c r="G86" s="440">
        <f t="shared" si="53"/>
        <v>0</v>
      </c>
      <c r="H86" s="440">
        <f t="shared" si="53"/>
        <v>0</v>
      </c>
      <c r="I86" s="440">
        <f t="shared" si="53"/>
        <v>0</v>
      </c>
      <c r="J86" s="440">
        <f t="shared" si="53"/>
        <v>73031091.599999994</v>
      </c>
      <c r="K86" s="440">
        <f t="shared" si="53"/>
        <v>73031091.599999994</v>
      </c>
      <c r="L86" s="440">
        <f t="shared" si="53"/>
        <v>0</v>
      </c>
      <c r="M86" s="440">
        <f t="shared" si="53"/>
        <v>0</v>
      </c>
      <c r="N86" s="440">
        <f t="shared" si="53"/>
        <v>0</v>
      </c>
      <c r="O86" s="440">
        <f t="shared" si="53"/>
        <v>73031091.599999994</v>
      </c>
      <c r="P86" s="440">
        <f t="shared" si="53"/>
        <v>73031091.599999994</v>
      </c>
      <c r="Q86" s="39"/>
      <c r="R86" s="28"/>
    </row>
    <row r="87" spans="1:18" s="35" customFormat="1" ht="99.75" thickTop="1" thickBot="1" x14ac:dyDescent="0.25">
      <c r="A87" s="808" t="s">
        <v>1143</v>
      </c>
      <c r="B87" s="808" t="s">
        <v>316</v>
      </c>
      <c r="C87" s="808" t="s">
        <v>309</v>
      </c>
      <c r="D87" s="808" t="s">
        <v>1319</v>
      </c>
      <c r="E87" s="816">
        <f t="shared" ref="E87" si="54">F87</f>
        <v>0</v>
      </c>
      <c r="F87" s="389"/>
      <c r="G87" s="389"/>
      <c r="H87" s="389"/>
      <c r="I87" s="389"/>
      <c r="J87" s="816">
        <f t="shared" ref="J87" si="55">L87+O87</f>
        <v>73031091.599999994</v>
      </c>
      <c r="K87" s="389">
        <f>(10000000+200000+2597000)+60228541+5550.6</f>
        <v>73031091.599999994</v>
      </c>
      <c r="L87" s="389"/>
      <c r="M87" s="389"/>
      <c r="N87" s="389"/>
      <c r="O87" s="810">
        <f t="shared" ref="O87" si="56">K87</f>
        <v>73031091.599999994</v>
      </c>
      <c r="P87" s="816">
        <f>E87+J87</f>
        <v>73031091.599999994</v>
      </c>
      <c r="Q87" s="32"/>
      <c r="R87" s="28"/>
    </row>
    <row r="88" spans="1:18" s="35" customFormat="1" ht="136.5" thickTop="1" thickBot="1" x14ac:dyDescent="0.25">
      <c r="A88" s="387" t="s">
        <v>1132</v>
      </c>
      <c r="B88" s="387" t="s">
        <v>700</v>
      </c>
      <c r="C88" s="387"/>
      <c r="D88" s="387" t="s">
        <v>698</v>
      </c>
      <c r="E88" s="391">
        <f>E89</f>
        <v>0</v>
      </c>
      <c r="F88" s="391">
        <f t="shared" ref="F88:P88" si="57">F89</f>
        <v>0</v>
      </c>
      <c r="G88" s="391">
        <f t="shared" si="57"/>
        <v>0</v>
      </c>
      <c r="H88" s="391">
        <f t="shared" si="57"/>
        <v>0</v>
      </c>
      <c r="I88" s="391">
        <f t="shared" si="57"/>
        <v>0</v>
      </c>
      <c r="J88" s="391">
        <f t="shared" si="57"/>
        <v>45000000</v>
      </c>
      <c r="K88" s="391">
        <f t="shared" si="57"/>
        <v>45000000</v>
      </c>
      <c r="L88" s="391">
        <f t="shared" si="57"/>
        <v>0</v>
      </c>
      <c r="M88" s="391">
        <f t="shared" si="57"/>
        <v>0</v>
      </c>
      <c r="N88" s="391">
        <f t="shared" si="57"/>
        <v>0</v>
      </c>
      <c r="O88" s="391">
        <f t="shared" si="57"/>
        <v>45000000</v>
      </c>
      <c r="P88" s="391">
        <f t="shared" si="57"/>
        <v>45000000</v>
      </c>
      <c r="Q88" s="32"/>
      <c r="R88" s="28"/>
    </row>
    <row r="89" spans="1:18" s="35" customFormat="1" ht="48" thickTop="1" thickBot="1" x14ac:dyDescent="0.25">
      <c r="A89" s="808" t="s">
        <v>1133</v>
      </c>
      <c r="B89" s="455" t="s">
        <v>217</v>
      </c>
      <c r="C89" s="808" t="s">
        <v>218</v>
      </c>
      <c r="D89" s="808" t="s">
        <v>41</v>
      </c>
      <c r="E89" s="816">
        <f t="shared" ref="E89" si="58">F89</f>
        <v>0</v>
      </c>
      <c r="F89" s="389"/>
      <c r="G89" s="389"/>
      <c r="H89" s="389"/>
      <c r="I89" s="389"/>
      <c r="J89" s="816">
        <f t="shared" ref="J89" si="59">L89+O89</f>
        <v>45000000</v>
      </c>
      <c r="K89" s="389">
        <v>45000000</v>
      </c>
      <c r="L89" s="389"/>
      <c r="M89" s="389"/>
      <c r="N89" s="389"/>
      <c r="O89" s="810">
        <f t="shared" ref="O89" si="60">K89</f>
        <v>45000000</v>
      </c>
      <c r="P89" s="816">
        <f>E89+J89</f>
        <v>45000000</v>
      </c>
      <c r="Q89" s="32"/>
      <c r="R89" s="28"/>
    </row>
    <row r="90" spans="1:18" s="35" customFormat="1" ht="47.25" thickTop="1" thickBot="1" x14ac:dyDescent="0.25">
      <c r="A90" s="385" t="s">
        <v>1273</v>
      </c>
      <c r="B90" s="385" t="s">
        <v>705</v>
      </c>
      <c r="C90" s="385"/>
      <c r="D90" s="385" t="s">
        <v>706</v>
      </c>
      <c r="E90" s="816">
        <f t="shared" ref="E90:P91" si="61">E91</f>
        <v>0</v>
      </c>
      <c r="F90" s="816">
        <f t="shared" si="61"/>
        <v>0</v>
      </c>
      <c r="G90" s="816">
        <f t="shared" si="61"/>
        <v>0</v>
      </c>
      <c r="H90" s="816">
        <f t="shared" si="61"/>
        <v>0</v>
      </c>
      <c r="I90" s="816">
        <f t="shared" si="61"/>
        <v>0</v>
      </c>
      <c r="J90" s="816">
        <f t="shared" si="61"/>
        <v>3770000</v>
      </c>
      <c r="K90" s="816">
        <f t="shared" si="61"/>
        <v>3770000</v>
      </c>
      <c r="L90" s="816">
        <f t="shared" si="61"/>
        <v>0</v>
      </c>
      <c r="M90" s="816">
        <f t="shared" si="61"/>
        <v>0</v>
      </c>
      <c r="N90" s="816">
        <f t="shared" si="61"/>
        <v>0</v>
      </c>
      <c r="O90" s="816">
        <f t="shared" si="61"/>
        <v>3770000</v>
      </c>
      <c r="P90" s="816">
        <f t="shared" si="61"/>
        <v>3770000</v>
      </c>
      <c r="Q90" s="32"/>
      <c r="R90" s="28"/>
    </row>
    <row r="91" spans="1:18" s="35" customFormat="1" ht="91.5" thickTop="1" thickBot="1" x14ac:dyDescent="0.25">
      <c r="A91" s="387" t="s">
        <v>1274</v>
      </c>
      <c r="B91" s="387" t="s">
        <v>1234</v>
      </c>
      <c r="C91" s="387"/>
      <c r="D91" s="387" t="s">
        <v>1232</v>
      </c>
      <c r="E91" s="391">
        <f t="shared" si="61"/>
        <v>0</v>
      </c>
      <c r="F91" s="391">
        <f t="shared" si="61"/>
        <v>0</v>
      </c>
      <c r="G91" s="391">
        <f t="shared" si="61"/>
        <v>0</v>
      </c>
      <c r="H91" s="391">
        <f t="shared" si="61"/>
        <v>0</v>
      </c>
      <c r="I91" s="391">
        <f t="shared" si="61"/>
        <v>0</v>
      </c>
      <c r="J91" s="391">
        <f t="shared" si="61"/>
        <v>3770000</v>
      </c>
      <c r="K91" s="391">
        <f t="shared" si="61"/>
        <v>3770000</v>
      </c>
      <c r="L91" s="391">
        <f t="shared" si="61"/>
        <v>0</v>
      </c>
      <c r="M91" s="391">
        <f t="shared" si="61"/>
        <v>0</v>
      </c>
      <c r="N91" s="391">
        <f t="shared" si="61"/>
        <v>0</v>
      </c>
      <c r="O91" s="391">
        <f t="shared" si="61"/>
        <v>3770000</v>
      </c>
      <c r="P91" s="391">
        <f t="shared" si="61"/>
        <v>3770000</v>
      </c>
      <c r="Q91" s="32"/>
      <c r="R91" s="28"/>
    </row>
    <row r="92" spans="1:18" s="35" customFormat="1" ht="93" thickTop="1" thickBot="1" x14ac:dyDescent="0.25">
      <c r="A92" s="808" t="s">
        <v>1275</v>
      </c>
      <c r="B92" s="808" t="s">
        <v>1238</v>
      </c>
      <c r="C92" s="808" t="s">
        <v>1236</v>
      </c>
      <c r="D92" s="808" t="s">
        <v>1235</v>
      </c>
      <c r="E92" s="816">
        <f>F92</f>
        <v>0</v>
      </c>
      <c r="F92" s="389"/>
      <c r="G92" s="389"/>
      <c r="H92" s="389"/>
      <c r="I92" s="389"/>
      <c r="J92" s="816">
        <f>L92+O92</f>
        <v>3770000</v>
      </c>
      <c r="K92" s="389">
        <v>3770000</v>
      </c>
      <c r="L92" s="389"/>
      <c r="M92" s="389"/>
      <c r="N92" s="389"/>
      <c r="O92" s="810">
        <f>K92</f>
        <v>3770000</v>
      </c>
      <c r="P92" s="816">
        <f>E92+J92</f>
        <v>3770000</v>
      </c>
      <c r="Q92" s="32"/>
      <c r="R92" s="28"/>
    </row>
    <row r="93" spans="1:18" s="35" customFormat="1" ht="47.25" hidden="1" customHeight="1" thickTop="1" thickBot="1" x14ac:dyDescent="0.25">
      <c r="A93" s="180" t="s">
        <v>1050</v>
      </c>
      <c r="B93" s="180" t="s">
        <v>711</v>
      </c>
      <c r="C93" s="180"/>
      <c r="D93" s="180" t="s">
        <v>712</v>
      </c>
      <c r="E93" s="804">
        <f>E94</f>
        <v>0</v>
      </c>
      <c r="F93" s="804">
        <f t="shared" ref="F93:P94" si="62">F94</f>
        <v>0</v>
      </c>
      <c r="G93" s="804">
        <f t="shared" si="62"/>
        <v>0</v>
      </c>
      <c r="H93" s="804">
        <f t="shared" si="62"/>
        <v>0</v>
      </c>
      <c r="I93" s="804">
        <f t="shared" si="62"/>
        <v>0</v>
      </c>
      <c r="J93" s="804">
        <f t="shared" si="62"/>
        <v>0</v>
      </c>
      <c r="K93" s="804">
        <f t="shared" si="62"/>
        <v>0</v>
      </c>
      <c r="L93" s="804">
        <f t="shared" si="62"/>
        <v>0</v>
      </c>
      <c r="M93" s="804">
        <f t="shared" si="62"/>
        <v>0</v>
      </c>
      <c r="N93" s="804">
        <f t="shared" si="62"/>
        <v>0</v>
      </c>
      <c r="O93" s="804">
        <f t="shared" si="62"/>
        <v>0</v>
      </c>
      <c r="P93" s="804">
        <f t="shared" si="62"/>
        <v>0</v>
      </c>
      <c r="Q93" s="39"/>
      <c r="R93" s="28"/>
    </row>
    <row r="94" spans="1:18" s="35" customFormat="1" ht="271.5" hidden="1" thickTop="1" thickBot="1" x14ac:dyDescent="0.25">
      <c r="A94" s="181" t="s">
        <v>1051</v>
      </c>
      <c r="B94" s="181" t="s">
        <v>714</v>
      </c>
      <c r="C94" s="181"/>
      <c r="D94" s="181" t="s">
        <v>715</v>
      </c>
      <c r="E94" s="182">
        <f>E95</f>
        <v>0</v>
      </c>
      <c r="F94" s="182">
        <f t="shared" si="62"/>
        <v>0</v>
      </c>
      <c r="G94" s="182">
        <f t="shared" si="62"/>
        <v>0</v>
      </c>
      <c r="H94" s="182">
        <f t="shared" si="62"/>
        <v>0</v>
      </c>
      <c r="I94" s="182">
        <f t="shared" si="62"/>
        <v>0</v>
      </c>
      <c r="J94" s="182">
        <f t="shared" si="62"/>
        <v>0</v>
      </c>
      <c r="K94" s="182">
        <f t="shared" si="62"/>
        <v>0</v>
      </c>
      <c r="L94" s="182">
        <f t="shared" si="62"/>
        <v>0</v>
      </c>
      <c r="M94" s="182">
        <f t="shared" si="62"/>
        <v>0</v>
      </c>
      <c r="N94" s="182">
        <f t="shared" si="62"/>
        <v>0</v>
      </c>
      <c r="O94" s="182">
        <f t="shared" si="62"/>
        <v>0</v>
      </c>
      <c r="P94" s="182">
        <f t="shared" si="62"/>
        <v>0</v>
      </c>
      <c r="Q94" s="39"/>
      <c r="R94" s="28"/>
    </row>
    <row r="95" spans="1:18" s="35" customFormat="1" ht="93" hidden="1" thickTop="1" thickBot="1" x14ac:dyDescent="0.25">
      <c r="A95" s="803" t="s">
        <v>1052</v>
      </c>
      <c r="B95" s="803" t="s">
        <v>368</v>
      </c>
      <c r="C95" s="803" t="s">
        <v>43</v>
      </c>
      <c r="D95" s="803" t="s">
        <v>369</v>
      </c>
      <c r="E95" s="804">
        <f t="shared" ref="E95" si="63">F95</f>
        <v>0</v>
      </c>
      <c r="F95" s="46"/>
      <c r="G95" s="46"/>
      <c r="H95" s="46"/>
      <c r="I95" s="46"/>
      <c r="J95" s="804">
        <f>L95+O95</f>
        <v>0</v>
      </c>
      <c r="K95" s="46"/>
      <c r="L95" s="46"/>
      <c r="M95" s="46"/>
      <c r="N95" s="46"/>
      <c r="O95" s="806">
        <f>K95</f>
        <v>0</v>
      </c>
      <c r="P95" s="804">
        <f>E95+J95</f>
        <v>0</v>
      </c>
      <c r="Q95" s="39"/>
      <c r="R95" s="28"/>
    </row>
    <row r="96" spans="1:18" ht="136.5" thickTop="1" thickBot="1" x14ac:dyDescent="0.25">
      <c r="A96" s="460" t="s">
        <v>155</v>
      </c>
      <c r="B96" s="460"/>
      <c r="C96" s="460"/>
      <c r="D96" s="461" t="s">
        <v>18</v>
      </c>
      <c r="E96" s="463">
        <f>E97</f>
        <v>153856230</v>
      </c>
      <c r="F96" s="462">
        <f t="shared" ref="F96:G96" si="64">F97</f>
        <v>153856230</v>
      </c>
      <c r="G96" s="462">
        <f t="shared" si="64"/>
        <v>4896310</v>
      </c>
      <c r="H96" s="462">
        <f>H97</f>
        <v>438898</v>
      </c>
      <c r="I96" s="462">
        <f t="shared" ref="I96" si="65">I97</f>
        <v>0</v>
      </c>
      <c r="J96" s="463">
        <f>J97</f>
        <v>71421866</v>
      </c>
      <c r="K96" s="462">
        <f>K97</f>
        <v>71421866</v>
      </c>
      <c r="L96" s="462">
        <f>L97</f>
        <v>0</v>
      </c>
      <c r="M96" s="462">
        <f t="shared" ref="M96" si="66">M97</f>
        <v>0</v>
      </c>
      <c r="N96" s="462">
        <f>N97</f>
        <v>0</v>
      </c>
      <c r="O96" s="463">
        <f>O97</f>
        <v>71421866</v>
      </c>
      <c r="P96" s="462">
        <f>P97</f>
        <v>225278096</v>
      </c>
      <c r="Q96" s="22"/>
    </row>
    <row r="97" spans="1:18" ht="181.5" thickTop="1" thickBot="1" x14ac:dyDescent="0.25">
      <c r="A97" s="464" t="s">
        <v>156</v>
      </c>
      <c r="B97" s="464"/>
      <c r="C97" s="464"/>
      <c r="D97" s="465" t="s">
        <v>36</v>
      </c>
      <c r="E97" s="466">
        <f>E98+E101+E116+E114</f>
        <v>153856230</v>
      </c>
      <c r="F97" s="466">
        <f t="shared" ref="F97:P97" si="67">F98+F101+F116+F114</f>
        <v>153856230</v>
      </c>
      <c r="G97" s="466">
        <f t="shared" si="67"/>
        <v>4896310</v>
      </c>
      <c r="H97" s="466">
        <f t="shared" si="67"/>
        <v>438898</v>
      </c>
      <c r="I97" s="466">
        <f t="shared" si="67"/>
        <v>0</v>
      </c>
      <c r="J97" s="466">
        <f t="shared" si="67"/>
        <v>71421866</v>
      </c>
      <c r="K97" s="466">
        <f t="shared" si="67"/>
        <v>71421866</v>
      </c>
      <c r="L97" s="466">
        <f t="shared" si="67"/>
        <v>0</v>
      </c>
      <c r="M97" s="466">
        <f t="shared" si="67"/>
        <v>0</v>
      </c>
      <c r="N97" s="466">
        <f t="shared" si="67"/>
        <v>0</v>
      </c>
      <c r="O97" s="466">
        <f t="shared" si="67"/>
        <v>71421866</v>
      </c>
      <c r="P97" s="466">
        <f t="shared" si="67"/>
        <v>225278096</v>
      </c>
      <c r="Q97" s="459" t="b">
        <f>P97=P99+P102+P103+P104+P105+P108+P112+P113+P115+P123+P100+P119</f>
        <v>1</v>
      </c>
      <c r="R97" s="28"/>
    </row>
    <row r="98" spans="1:18" ht="47.25" thickTop="1" thickBot="1" x14ac:dyDescent="0.25">
      <c r="A98" s="385" t="s">
        <v>722</v>
      </c>
      <c r="B98" s="385" t="s">
        <v>693</v>
      </c>
      <c r="C98" s="385"/>
      <c r="D98" s="385" t="s">
        <v>694</v>
      </c>
      <c r="E98" s="816">
        <f>SUM(E99:E100)</f>
        <v>3147800</v>
      </c>
      <c r="F98" s="816">
        <f t="shared" ref="F98:P98" si="68">SUM(F99:F100)</f>
        <v>3147800</v>
      </c>
      <c r="G98" s="816">
        <f t="shared" si="68"/>
        <v>2259700</v>
      </c>
      <c r="H98" s="816">
        <f t="shared" si="68"/>
        <v>222800</v>
      </c>
      <c r="I98" s="816">
        <f t="shared" si="68"/>
        <v>0</v>
      </c>
      <c r="J98" s="816">
        <f t="shared" si="68"/>
        <v>60000</v>
      </c>
      <c r="K98" s="816">
        <f t="shared" si="68"/>
        <v>60000</v>
      </c>
      <c r="L98" s="816">
        <f t="shared" si="68"/>
        <v>0</v>
      </c>
      <c r="M98" s="816">
        <f t="shared" si="68"/>
        <v>0</v>
      </c>
      <c r="N98" s="816">
        <f t="shared" si="68"/>
        <v>0</v>
      </c>
      <c r="O98" s="816">
        <f t="shared" si="68"/>
        <v>60000</v>
      </c>
      <c r="P98" s="816">
        <f t="shared" si="68"/>
        <v>3207800</v>
      </c>
      <c r="Q98" s="32"/>
      <c r="R98" s="28"/>
    </row>
    <row r="99" spans="1:18" ht="230.25" thickTop="1" thickBot="1" x14ac:dyDescent="0.25">
      <c r="A99" s="808" t="s">
        <v>421</v>
      </c>
      <c r="B99" s="808" t="s">
        <v>241</v>
      </c>
      <c r="C99" s="808" t="s">
        <v>239</v>
      </c>
      <c r="D99" s="808" t="s">
        <v>240</v>
      </c>
      <c r="E99" s="816">
        <f>F99</f>
        <v>3140800</v>
      </c>
      <c r="F99" s="389">
        <v>3140800</v>
      </c>
      <c r="G99" s="389">
        <v>2259700</v>
      </c>
      <c r="H99" s="389">
        <f>3700+90000+129100</f>
        <v>222800</v>
      </c>
      <c r="I99" s="389"/>
      <c r="J99" s="816">
        <f t="shared" ref="J99:J125" si="69">L99+O99</f>
        <v>60000</v>
      </c>
      <c r="K99" s="389">
        <v>60000</v>
      </c>
      <c r="L99" s="389"/>
      <c r="M99" s="389"/>
      <c r="N99" s="389"/>
      <c r="O99" s="810">
        <f>K99</f>
        <v>60000</v>
      </c>
      <c r="P99" s="816">
        <f t="shared" ref="P99:P125" si="70">E99+J99</f>
        <v>3200800</v>
      </c>
      <c r="Q99" s="42"/>
      <c r="R99" s="28"/>
    </row>
    <row r="100" spans="1:18" ht="184.5" thickTop="1" thickBot="1" x14ac:dyDescent="0.25">
      <c r="A100" s="808" t="s">
        <v>1332</v>
      </c>
      <c r="B100" s="808" t="s">
        <v>367</v>
      </c>
      <c r="C100" s="808" t="s">
        <v>634</v>
      </c>
      <c r="D100" s="808" t="s">
        <v>635</v>
      </c>
      <c r="E100" s="816">
        <f>F100</f>
        <v>7000</v>
      </c>
      <c r="F100" s="389">
        <v>7000</v>
      </c>
      <c r="G100" s="389"/>
      <c r="H100" s="389"/>
      <c r="I100" s="389"/>
      <c r="J100" s="816">
        <f t="shared" si="69"/>
        <v>0</v>
      </c>
      <c r="K100" s="389"/>
      <c r="L100" s="389"/>
      <c r="M100" s="389"/>
      <c r="N100" s="389"/>
      <c r="O100" s="810">
        <f>K100</f>
        <v>0</v>
      </c>
      <c r="P100" s="816">
        <f t="shared" si="70"/>
        <v>7000</v>
      </c>
      <c r="Q100" s="42"/>
      <c r="R100" s="28"/>
    </row>
    <row r="101" spans="1:18" ht="47.25" thickTop="1" thickBot="1" x14ac:dyDescent="0.25">
      <c r="A101" s="385" t="s">
        <v>723</v>
      </c>
      <c r="B101" s="385" t="s">
        <v>724</v>
      </c>
      <c r="C101" s="385"/>
      <c r="D101" s="385" t="s">
        <v>725</v>
      </c>
      <c r="E101" s="816">
        <f>SUM(E102:E113)-E107-E109-E111</f>
        <v>150608430</v>
      </c>
      <c r="F101" s="816">
        <f t="shared" ref="F101:P101" si="71">SUM(F102:F113)-F107-F109-F111</f>
        <v>150608430</v>
      </c>
      <c r="G101" s="816">
        <f t="shared" si="71"/>
        <v>2636610</v>
      </c>
      <c r="H101" s="816">
        <f t="shared" si="71"/>
        <v>216098</v>
      </c>
      <c r="I101" s="816">
        <f t="shared" si="71"/>
        <v>0</v>
      </c>
      <c r="J101" s="816">
        <f t="shared" si="71"/>
        <v>37052507</v>
      </c>
      <c r="K101" s="816">
        <f t="shared" si="71"/>
        <v>37052507</v>
      </c>
      <c r="L101" s="816">
        <f t="shared" si="71"/>
        <v>0</v>
      </c>
      <c r="M101" s="816">
        <f t="shared" si="71"/>
        <v>0</v>
      </c>
      <c r="N101" s="816">
        <f t="shared" si="71"/>
        <v>0</v>
      </c>
      <c r="O101" s="816">
        <f t="shared" si="71"/>
        <v>37052507</v>
      </c>
      <c r="P101" s="816">
        <f t="shared" si="71"/>
        <v>187660937</v>
      </c>
      <c r="Q101" s="42"/>
      <c r="R101" s="42"/>
    </row>
    <row r="102" spans="1:18" ht="93" thickTop="1" thickBot="1" x14ac:dyDescent="0.25">
      <c r="A102" s="808" t="s">
        <v>219</v>
      </c>
      <c r="B102" s="808" t="s">
        <v>216</v>
      </c>
      <c r="C102" s="808" t="s">
        <v>220</v>
      </c>
      <c r="D102" s="808" t="s">
        <v>19</v>
      </c>
      <c r="E102" s="816">
        <f>F102</f>
        <v>63215953</v>
      </c>
      <c r="F102" s="389">
        <f>((32850105+1231068)+17889080+11808500+575000-1100000-99000)+61200</f>
        <v>63215953</v>
      </c>
      <c r="G102" s="389"/>
      <c r="H102" s="389"/>
      <c r="I102" s="389"/>
      <c r="J102" s="816">
        <f t="shared" si="69"/>
        <v>31138207</v>
      </c>
      <c r="K102" s="389">
        <f>((2200000+490000)+18809407+11200000-1800000)+150000+88800</f>
        <v>31138207</v>
      </c>
      <c r="L102" s="389"/>
      <c r="M102" s="389"/>
      <c r="N102" s="389"/>
      <c r="O102" s="810">
        <f>K102</f>
        <v>31138207</v>
      </c>
      <c r="P102" s="816">
        <f t="shared" si="70"/>
        <v>94354160</v>
      </c>
      <c r="Q102" s="22"/>
      <c r="R102" s="32"/>
    </row>
    <row r="103" spans="1:18" ht="93" thickTop="1" thickBot="1" x14ac:dyDescent="0.25">
      <c r="A103" s="808" t="s">
        <v>510</v>
      </c>
      <c r="B103" s="808" t="s">
        <v>513</v>
      </c>
      <c r="C103" s="808" t="s">
        <v>512</v>
      </c>
      <c r="D103" s="808" t="s">
        <v>511</v>
      </c>
      <c r="E103" s="816">
        <f>F103</f>
        <v>15240699</v>
      </c>
      <c r="F103" s="389">
        <f>(11450199+1590500)+2200000</f>
        <v>15240699</v>
      </c>
      <c r="G103" s="389"/>
      <c r="H103" s="389"/>
      <c r="I103" s="389"/>
      <c r="J103" s="816">
        <f t="shared" si="69"/>
        <v>0</v>
      </c>
      <c r="K103" s="389"/>
      <c r="L103" s="389"/>
      <c r="M103" s="389"/>
      <c r="N103" s="389"/>
      <c r="O103" s="810">
        <f>K103</f>
        <v>0</v>
      </c>
      <c r="P103" s="816">
        <f t="shared" si="70"/>
        <v>15240699</v>
      </c>
      <c r="Q103" s="22"/>
      <c r="R103" s="42"/>
    </row>
    <row r="104" spans="1:18" ht="138.75" thickTop="1" thickBot="1" x14ac:dyDescent="0.25">
      <c r="A104" s="808" t="s">
        <v>221</v>
      </c>
      <c r="B104" s="808" t="s">
        <v>222</v>
      </c>
      <c r="C104" s="808" t="s">
        <v>223</v>
      </c>
      <c r="D104" s="808" t="s">
        <v>224</v>
      </c>
      <c r="E104" s="816">
        <f t="shared" ref="E104:E125" si="72">F104</f>
        <v>18957732</v>
      </c>
      <c r="F104" s="389">
        <f>(10157732)+3800000+5000000</f>
        <v>18957732</v>
      </c>
      <c r="G104" s="389"/>
      <c r="H104" s="389"/>
      <c r="I104" s="389"/>
      <c r="J104" s="816">
        <f t="shared" si="69"/>
        <v>5820000</v>
      </c>
      <c r="K104" s="389">
        <f>920000+4900000</f>
        <v>5820000</v>
      </c>
      <c r="L104" s="389"/>
      <c r="M104" s="389"/>
      <c r="N104" s="389"/>
      <c r="O104" s="810">
        <f>K104</f>
        <v>5820000</v>
      </c>
      <c r="P104" s="816">
        <f t="shared" si="70"/>
        <v>24777732</v>
      </c>
      <c r="Q104" s="22"/>
      <c r="R104" s="42"/>
    </row>
    <row r="105" spans="1:18" ht="138.75" thickTop="1" thickBot="1" x14ac:dyDescent="0.25">
      <c r="A105" s="808" t="s">
        <v>225</v>
      </c>
      <c r="B105" s="808" t="s">
        <v>226</v>
      </c>
      <c r="C105" s="808" t="s">
        <v>227</v>
      </c>
      <c r="D105" s="808" t="s">
        <v>350</v>
      </c>
      <c r="E105" s="816">
        <f t="shared" si="72"/>
        <v>25095495</v>
      </c>
      <c r="F105" s="389">
        <f>(25043595)+51900</f>
        <v>25095495</v>
      </c>
      <c r="G105" s="389"/>
      <c r="H105" s="389"/>
      <c r="I105" s="389"/>
      <c r="J105" s="816">
        <f t="shared" si="69"/>
        <v>94300</v>
      </c>
      <c r="K105" s="389">
        <v>94300</v>
      </c>
      <c r="L105" s="389"/>
      <c r="M105" s="389"/>
      <c r="N105" s="389"/>
      <c r="O105" s="810">
        <f>K105</f>
        <v>94300</v>
      </c>
      <c r="P105" s="816">
        <f t="shared" si="70"/>
        <v>25189795</v>
      </c>
      <c r="Q105" s="22"/>
      <c r="R105" s="42"/>
    </row>
    <row r="106" spans="1:18" ht="93" hidden="1" thickTop="1" thickBot="1" x14ac:dyDescent="0.25">
      <c r="A106" s="805" t="s">
        <v>228</v>
      </c>
      <c r="B106" s="805" t="s">
        <v>229</v>
      </c>
      <c r="C106" s="805" t="s">
        <v>230</v>
      </c>
      <c r="D106" s="805" t="s">
        <v>231</v>
      </c>
      <c r="E106" s="816">
        <f t="shared" si="72"/>
        <v>0</v>
      </c>
      <c r="F106" s="389">
        <f>(7556300)-7556300</f>
        <v>0</v>
      </c>
      <c r="G106" s="389"/>
      <c r="H106" s="389"/>
      <c r="I106" s="389"/>
      <c r="J106" s="816">
        <f t="shared" si="69"/>
        <v>0</v>
      </c>
      <c r="K106" s="389">
        <f>(200000)-200000</f>
        <v>0</v>
      </c>
      <c r="L106" s="389"/>
      <c r="M106" s="389"/>
      <c r="N106" s="389"/>
      <c r="O106" s="810">
        <f>K106</f>
        <v>0</v>
      </c>
      <c r="P106" s="816">
        <f t="shared" si="70"/>
        <v>0</v>
      </c>
      <c r="Q106" s="22"/>
      <c r="R106" s="42"/>
    </row>
    <row r="107" spans="1:18" ht="93" thickTop="1" thickBot="1" x14ac:dyDescent="0.25">
      <c r="A107" s="455" t="s">
        <v>726</v>
      </c>
      <c r="B107" s="455" t="s">
        <v>727</v>
      </c>
      <c r="C107" s="455"/>
      <c r="D107" s="455" t="s">
        <v>728</v>
      </c>
      <c r="E107" s="440">
        <f>E108</f>
        <v>18156325</v>
      </c>
      <c r="F107" s="440">
        <f t="shared" ref="F107:P107" si="73">F108</f>
        <v>18156325</v>
      </c>
      <c r="G107" s="440">
        <f t="shared" si="73"/>
        <v>0</v>
      </c>
      <c r="H107" s="440">
        <f t="shared" si="73"/>
        <v>0</v>
      </c>
      <c r="I107" s="440">
        <f t="shared" si="73"/>
        <v>0</v>
      </c>
      <c r="J107" s="440">
        <f t="shared" si="73"/>
        <v>0</v>
      </c>
      <c r="K107" s="440">
        <f t="shared" si="73"/>
        <v>0</v>
      </c>
      <c r="L107" s="440">
        <f t="shared" si="73"/>
        <v>0</v>
      </c>
      <c r="M107" s="440">
        <f t="shared" si="73"/>
        <v>0</v>
      </c>
      <c r="N107" s="440">
        <f t="shared" si="73"/>
        <v>0</v>
      </c>
      <c r="O107" s="440">
        <f t="shared" si="73"/>
        <v>0</v>
      </c>
      <c r="P107" s="440">
        <f t="shared" si="73"/>
        <v>18156325</v>
      </c>
      <c r="Q107" s="22"/>
      <c r="R107" s="42"/>
    </row>
    <row r="108" spans="1:18" ht="184.5" thickTop="1" thickBot="1" x14ac:dyDescent="0.25">
      <c r="A108" s="808" t="s">
        <v>232</v>
      </c>
      <c r="B108" s="808" t="s">
        <v>233</v>
      </c>
      <c r="C108" s="808" t="s">
        <v>351</v>
      </c>
      <c r="D108" s="808" t="s">
        <v>234</v>
      </c>
      <c r="E108" s="816">
        <f t="shared" si="72"/>
        <v>18156325</v>
      </c>
      <c r="F108" s="389">
        <v>18156325</v>
      </c>
      <c r="G108" s="389"/>
      <c r="H108" s="389"/>
      <c r="I108" s="389"/>
      <c r="J108" s="816">
        <f t="shared" si="69"/>
        <v>0</v>
      </c>
      <c r="K108" s="389"/>
      <c r="L108" s="389"/>
      <c r="M108" s="389"/>
      <c r="N108" s="389"/>
      <c r="O108" s="810">
        <f t="shared" ref="O108:O125" si="74">K108</f>
        <v>0</v>
      </c>
      <c r="P108" s="816">
        <f t="shared" si="70"/>
        <v>18156325</v>
      </c>
      <c r="Q108" s="22"/>
      <c r="R108" s="42"/>
    </row>
    <row r="109" spans="1:18" ht="138.75" hidden="1" thickTop="1" thickBot="1" x14ac:dyDescent="0.25">
      <c r="A109" s="174" t="s">
        <v>729</v>
      </c>
      <c r="B109" s="174" t="s">
        <v>730</v>
      </c>
      <c r="C109" s="174"/>
      <c r="D109" s="174" t="s">
        <v>731</v>
      </c>
      <c r="E109" s="175">
        <f>E110</f>
        <v>0</v>
      </c>
      <c r="F109" s="175">
        <f t="shared" ref="F109:P109" si="75">F110</f>
        <v>0</v>
      </c>
      <c r="G109" s="440">
        <f t="shared" si="75"/>
        <v>0</v>
      </c>
      <c r="H109" s="440">
        <f t="shared" si="75"/>
        <v>0</v>
      </c>
      <c r="I109" s="440">
        <f t="shared" si="75"/>
        <v>0</v>
      </c>
      <c r="J109" s="469">
        <f t="shared" si="75"/>
        <v>0</v>
      </c>
      <c r="K109" s="469">
        <f t="shared" si="75"/>
        <v>0</v>
      </c>
      <c r="L109" s="469">
        <f t="shared" si="75"/>
        <v>0</v>
      </c>
      <c r="M109" s="469">
        <f t="shared" si="75"/>
        <v>0</v>
      </c>
      <c r="N109" s="469">
        <f t="shared" si="75"/>
        <v>0</v>
      </c>
      <c r="O109" s="469">
        <f t="shared" si="75"/>
        <v>0</v>
      </c>
      <c r="P109" s="469">
        <f t="shared" si="75"/>
        <v>0</v>
      </c>
      <c r="Q109" s="22"/>
      <c r="R109" s="42"/>
    </row>
    <row r="110" spans="1:18" ht="138.75" hidden="1" thickTop="1" thickBot="1" x14ac:dyDescent="0.25">
      <c r="A110" s="805" t="s">
        <v>480</v>
      </c>
      <c r="B110" s="805" t="s">
        <v>481</v>
      </c>
      <c r="C110" s="805" t="s">
        <v>235</v>
      </c>
      <c r="D110" s="805" t="s">
        <v>482</v>
      </c>
      <c r="E110" s="807">
        <f t="shared" si="72"/>
        <v>0</v>
      </c>
      <c r="F110" s="168">
        <v>0</v>
      </c>
      <c r="G110" s="389"/>
      <c r="H110" s="389"/>
      <c r="I110" s="389"/>
      <c r="J110" s="488">
        <f t="shared" si="69"/>
        <v>0</v>
      </c>
      <c r="K110" s="468"/>
      <c r="L110" s="468"/>
      <c r="M110" s="468"/>
      <c r="N110" s="468"/>
      <c r="O110" s="489">
        <f t="shared" si="74"/>
        <v>0</v>
      </c>
      <c r="P110" s="488">
        <f t="shared" si="70"/>
        <v>0</v>
      </c>
      <c r="Q110" s="22"/>
      <c r="R110" s="42"/>
    </row>
    <row r="111" spans="1:18" ht="138.75" thickTop="1" thickBot="1" x14ac:dyDescent="0.25">
      <c r="A111" s="455" t="s">
        <v>732</v>
      </c>
      <c r="B111" s="455" t="s">
        <v>733</v>
      </c>
      <c r="C111" s="455"/>
      <c r="D111" s="455" t="s">
        <v>734</v>
      </c>
      <c r="E111" s="440">
        <f>SUM(E112:E113)</f>
        <v>9942226</v>
      </c>
      <c r="F111" s="440">
        <f t="shared" ref="F111:P111" si="76">SUM(F112:F113)</f>
        <v>9942226</v>
      </c>
      <c r="G111" s="440">
        <f t="shared" si="76"/>
        <v>2636610</v>
      </c>
      <c r="H111" s="440">
        <f t="shared" si="76"/>
        <v>216098</v>
      </c>
      <c r="I111" s="440">
        <f t="shared" si="76"/>
        <v>0</v>
      </c>
      <c r="J111" s="440">
        <f t="shared" si="76"/>
        <v>0</v>
      </c>
      <c r="K111" s="440">
        <f t="shared" si="76"/>
        <v>0</v>
      </c>
      <c r="L111" s="440">
        <f t="shared" si="76"/>
        <v>0</v>
      </c>
      <c r="M111" s="440">
        <f t="shared" si="76"/>
        <v>0</v>
      </c>
      <c r="N111" s="440">
        <f t="shared" si="76"/>
        <v>0</v>
      </c>
      <c r="O111" s="440">
        <f t="shared" si="76"/>
        <v>0</v>
      </c>
      <c r="P111" s="440">
        <f t="shared" si="76"/>
        <v>9942226</v>
      </c>
      <c r="Q111" s="22"/>
      <c r="R111" s="42"/>
    </row>
    <row r="112" spans="1:18" s="35" customFormat="1" ht="138.75" thickTop="1" thickBot="1" x14ac:dyDescent="0.25">
      <c r="A112" s="808" t="s">
        <v>326</v>
      </c>
      <c r="B112" s="808" t="s">
        <v>328</v>
      </c>
      <c r="C112" s="808" t="s">
        <v>235</v>
      </c>
      <c r="D112" s="470" t="s">
        <v>324</v>
      </c>
      <c r="E112" s="816">
        <f t="shared" si="72"/>
        <v>3648776</v>
      </c>
      <c r="F112" s="389">
        <v>3648776</v>
      </c>
      <c r="G112" s="389">
        <v>2636610</v>
      </c>
      <c r="H112" s="389">
        <v>216098</v>
      </c>
      <c r="I112" s="389"/>
      <c r="J112" s="816">
        <f t="shared" si="69"/>
        <v>0</v>
      </c>
      <c r="K112" s="389"/>
      <c r="L112" s="389"/>
      <c r="M112" s="389"/>
      <c r="N112" s="389"/>
      <c r="O112" s="810">
        <f t="shared" si="74"/>
        <v>0</v>
      </c>
      <c r="P112" s="816">
        <f t="shared" si="70"/>
        <v>3648776</v>
      </c>
      <c r="Q112" s="39"/>
      <c r="R112" s="28"/>
    </row>
    <row r="113" spans="1:20" s="35" customFormat="1" ht="93" thickTop="1" thickBot="1" x14ac:dyDescent="0.25">
      <c r="A113" s="808" t="s">
        <v>327</v>
      </c>
      <c r="B113" s="808" t="s">
        <v>329</v>
      </c>
      <c r="C113" s="808" t="s">
        <v>235</v>
      </c>
      <c r="D113" s="470" t="s">
        <v>325</v>
      </c>
      <c r="E113" s="816">
        <f t="shared" si="72"/>
        <v>6293450</v>
      </c>
      <c r="F113" s="389">
        <f>(5434200)+859250</f>
        <v>6293450</v>
      </c>
      <c r="G113" s="389"/>
      <c r="H113" s="389"/>
      <c r="I113" s="389"/>
      <c r="J113" s="816">
        <f t="shared" si="69"/>
        <v>0</v>
      </c>
      <c r="K113" s="389"/>
      <c r="L113" s="389"/>
      <c r="M113" s="389"/>
      <c r="N113" s="389"/>
      <c r="O113" s="810">
        <f t="shared" si="74"/>
        <v>0</v>
      </c>
      <c r="P113" s="816">
        <f t="shared" si="70"/>
        <v>6293450</v>
      </c>
      <c r="Q113" s="39"/>
      <c r="R113" s="42"/>
    </row>
    <row r="114" spans="1:20" s="35" customFormat="1" ht="91.5" thickTop="1" thickBot="1" x14ac:dyDescent="0.25">
      <c r="A114" s="385" t="s">
        <v>1247</v>
      </c>
      <c r="B114" s="385" t="s">
        <v>720</v>
      </c>
      <c r="C114" s="385"/>
      <c r="D114" s="385" t="s">
        <v>721</v>
      </c>
      <c r="E114" s="816">
        <f>E115</f>
        <v>100000</v>
      </c>
      <c r="F114" s="816">
        <f t="shared" ref="F114:P114" si="77">F115</f>
        <v>100000</v>
      </c>
      <c r="G114" s="816">
        <f t="shared" si="77"/>
        <v>0</v>
      </c>
      <c r="H114" s="816">
        <f t="shared" si="77"/>
        <v>0</v>
      </c>
      <c r="I114" s="816">
        <f t="shared" si="77"/>
        <v>0</v>
      </c>
      <c r="J114" s="816">
        <f t="shared" si="77"/>
        <v>0</v>
      </c>
      <c r="K114" s="816">
        <f t="shared" si="77"/>
        <v>0</v>
      </c>
      <c r="L114" s="816">
        <f t="shared" si="77"/>
        <v>0</v>
      </c>
      <c r="M114" s="816">
        <f t="shared" si="77"/>
        <v>0</v>
      </c>
      <c r="N114" s="816">
        <f t="shared" si="77"/>
        <v>0</v>
      </c>
      <c r="O114" s="816">
        <f t="shared" si="77"/>
        <v>0</v>
      </c>
      <c r="P114" s="816">
        <f t="shared" si="77"/>
        <v>100000</v>
      </c>
      <c r="Q114" s="39"/>
      <c r="R114" s="42"/>
    </row>
    <row r="115" spans="1:20" s="35" customFormat="1" ht="230.25" thickTop="1" thickBot="1" x14ac:dyDescent="0.25">
      <c r="A115" s="808" t="s">
        <v>1248</v>
      </c>
      <c r="B115" s="808" t="s">
        <v>1249</v>
      </c>
      <c r="C115" s="808" t="s">
        <v>211</v>
      </c>
      <c r="D115" s="470" t="s">
        <v>1250</v>
      </c>
      <c r="E115" s="816">
        <f t="shared" ref="E115" si="78">F115</f>
        <v>100000</v>
      </c>
      <c r="F115" s="389">
        <v>100000</v>
      </c>
      <c r="G115" s="389"/>
      <c r="H115" s="389"/>
      <c r="I115" s="389"/>
      <c r="J115" s="816">
        <f t="shared" ref="J115" si="79">L115+O115</f>
        <v>0</v>
      </c>
      <c r="K115" s="389"/>
      <c r="L115" s="389"/>
      <c r="M115" s="389"/>
      <c r="N115" s="389"/>
      <c r="O115" s="810">
        <f t="shared" ref="O115" si="80">K115</f>
        <v>0</v>
      </c>
      <c r="P115" s="816">
        <f t="shared" ref="P115" si="81">E115+J115</f>
        <v>100000</v>
      </c>
      <c r="Q115" s="39"/>
      <c r="R115" s="42"/>
    </row>
    <row r="116" spans="1:20" s="35" customFormat="1" ht="47.25" thickTop="1" thickBot="1" x14ac:dyDescent="0.25">
      <c r="A116" s="385" t="s">
        <v>759</v>
      </c>
      <c r="B116" s="385" t="s">
        <v>757</v>
      </c>
      <c r="C116" s="385"/>
      <c r="D116" s="385" t="s">
        <v>758</v>
      </c>
      <c r="E116" s="816">
        <f>SUM(E122)+E117</f>
        <v>0</v>
      </c>
      <c r="F116" s="816">
        <f t="shared" ref="F116:P116" si="82">SUM(F122)+F117</f>
        <v>0</v>
      </c>
      <c r="G116" s="816">
        <f t="shared" si="82"/>
        <v>0</v>
      </c>
      <c r="H116" s="816">
        <f t="shared" si="82"/>
        <v>0</v>
      </c>
      <c r="I116" s="816">
        <f t="shared" si="82"/>
        <v>0</v>
      </c>
      <c r="J116" s="816">
        <f t="shared" si="82"/>
        <v>34309359</v>
      </c>
      <c r="K116" s="816">
        <f t="shared" si="82"/>
        <v>34309359</v>
      </c>
      <c r="L116" s="816">
        <f t="shared" si="82"/>
        <v>0</v>
      </c>
      <c r="M116" s="816">
        <f t="shared" si="82"/>
        <v>0</v>
      </c>
      <c r="N116" s="816">
        <f t="shared" si="82"/>
        <v>0</v>
      </c>
      <c r="O116" s="816">
        <f t="shared" si="82"/>
        <v>34309359</v>
      </c>
      <c r="P116" s="816">
        <f t="shared" si="82"/>
        <v>34309359</v>
      </c>
      <c r="Q116" s="39"/>
      <c r="R116" s="42"/>
    </row>
    <row r="117" spans="1:20" s="35" customFormat="1" ht="91.5" thickTop="1" thickBot="1" x14ac:dyDescent="0.25">
      <c r="A117" s="387" t="s">
        <v>1080</v>
      </c>
      <c r="B117" s="387" t="s">
        <v>813</v>
      </c>
      <c r="C117" s="387"/>
      <c r="D117" s="387" t="s">
        <v>814</v>
      </c>
      <c r="E117" s="391">
        <f>E120+E118</f>
        <v>0</v>
      </c>
      <c r="F117" s="391">
        <f t="shared" ref="F117:P117" si="83">F120+F118</f>
        <v>0</v>
      </c>
      <c r="G117" s="391">
        <f t="shared" si="83"/>
        <v>0</v>
      </c>
      <c r="H117" s="391">
        <f t="shared" si="83"/>
        <v>0</v>
      </c>
      <c r="I117" s="391">
        <f t="shared" si="83"/>
        <v>0</v>
      </c>
      <c r="J117" s="391">
        <f t="shared" si="83"/>
        <v>11239495</v>
      </c>
      <c r="K117" s="391">
        <f t="shared" si="83"/>
        <v>11239495</v>
      </c>
      <c r="L117" s="391">
        <f t="shared" si="83"/>
        <v>0</v>
      </c>
      <c r="M117" s="391">
        <f t="shared" si="83"/>
        <v>0</v>
      </c>
      <c r="N117" s="391">
        <f t="shared" si="83"/>
        <v>0</v>
      </c>
      <c r="O117" s="391">
        <f t="shared" si="83"/>
        <v>11239495</v>
      </c>
      <c r="P117" s="391">
        <f t="shared" si="83"/>
        <v>11239495</v>
      </c>
      <c r="Q117" s="39"/>
      <c r="R117" s="42"/>
    </row>
    <row r="118" spans="1:20" s="35" customFormat="1" ht="146.25" thickTop="1" thickBot="1" x14ac:dyDescent="0.25">
      <c r="A118" s="455" t="s">
        <v>1228</v>
      </c>
      <c r="B118" s="455" t="s">
        <v>831</v>
      </c>
      <c r="C118" s="455"/>
      <c r="D118" s="455" t="s">
        <v>1335</v>
      </c>
      <c r="E118" s="440">
        <f>E119</f>
        <v>0</v>
      </c>
      <c r="F118" s="440">
        <f t="shared" ref="F118:P118" si="84">F119</f>
        <v>0</v>
      </c>
      <c r="G118" s="440">
        <f t="shared" si="84"/>
        <v>0</v>
      </c>
      <c r="H118" s="440">
        <f t="shared" si="84"/>
        <v>0</v>
      </c>
      <c r="I118" s="440">
        <f t="shared" si="84"/>
        <v>0</v>
      </c>
      <c r="J118" s="440">
        <f t="shared" si="84"/>
        <v>11239495</v>
      </c>
      <c r="K118" s="440">
        <f t="shared" si="84"/>
        <v>11239495</v>
      </c>
      <c r="L118" s="440">
        <f t="shared" si="84"/>
        <v>0</v>
      </c>
      <c r="M118" s="440">
        <f t="shared" si="84"/>
        <v>0</v>
      </c>
      <c r="N118" s="440">
        <f t="shared" si="84"/>
        <v>0</v>
      </c>
      <c r="O118" s="440">
        <f t="shared" si="84"/>
        <v>11239495</v>
      </c>
      <c r="P118" s="440">
        <f t="shared" si="84"/>
        <v>11239495</v>
      </c>
      <c r="Q118" s="39"/>
      <c r="R118" s="42"/>
    </row>
    <row r="119" spans="1:20" s="35" customFormat="1" ht="99.75" thickTop="1" thickBot="1" x14ac:dyDescent="0.25">
      <c r="A119" s="808" t="s">
        <v>1227</v>
      </c>
      <c r="B119" s="808" t="s">
        <v>1229</v>
      </c>
      <c r="C119" s="808" t="s">
        <v>309</v>
      </c>
      <c r="D119" s="808" t="s">
        <v>1334</v>
      </c>
      <c r="E119" s="816">
        <f t="shared" ref="E119" si="85">F119</f>
        <v>0</v>
      </c>
      <c r="F119" s="389"/>
      <c r="G119" s="389"/>
      <c r="H119" s="389"/>
      <c r="I119" s="389"/>
      <c r="J119" s="816">
        <f t="shared" ref="J119" si="86">L119+O119</f>
        <v>11239495</v>
      </c>
      <c r="K119" s="389">
        <v>11239495</v>
      </c>
      <c r="L119" s="389"/>
      <c r="M119" s="389"/>
      <c r="N119" s="389"/>
      <c r="O119" s="810">
        <f>K119</f>
        <v>11239495</v>
      </c>
      <c r="P119" s="816">
        <f t="shared" ref="P119" si="87">E119+J119</f>
        <v>11239495</v>
      </c>
      <c r="Q119" s="39"/>
      <c r="R119" s="42"/>
    </row>
    <row r="120" spans="1:20" s="35" customFormat="1" ht="93" hidden="1" thickTop="1" thickBot="1" x14ac:dyDescent="0.25">
      <c r="A120" s="178" t="s">
        <v>1081</v>
      </c>
      <c r="B120" s="178" t="s">
        <v>1079</v>
      </c>
      <c r="C120" s="178"/>
      <c r="D120" s="178" t="s">
        <v>1078</v>
      </c>
      <c r="E120" s="179">
        <f>E121</f>
        <v>0</v>
      </c>
      <c r="F120" s="179">
        <f t="shared" ref="F120:P120" si="88">F121</f>
        <v>0</v>
      </c>
      <c r="G120" s="179">
        <f t="shared" si="88"/>
        <v>0</v>
      </c>
      <c r="H120" s="179">
        <f t="shared" si="88"/>
        <v>0</v>
      </c>
      <c r="I120" s="179">
        <f t="shared" si="88"/>
        <v>0</v>
      </c>
      <c r="J120" s="179">
        <f t="shared" si="88"/>
        <v>0</v>
      </c>
      <c r="K120" s="179">
        <f t="shared" si="88"/>
        <v>0</v>
      </c>
      <c r="L120" s="179">
        <f t="shared" si="88"/>
        <v>0</v>
      </c>
      <c r="M120" s="179">
        <f t="shared" si="88"/>
        <v>0</v>
      </c>
      <c r="N120" s="179">
        <f t="shared" si="88"/>
        <v>0</v>
      </c>
      <c r="O120" s="179">
        <f t="shared" si="88"/>
        <v>0</v>
      </c>
      <c r="P120" s="179">
        <f t="shared" si="88"/>
        <v>0</v>
      </c>
      <c r="Q120" s="39"/>
      <c r="R120" s="42"/>
    </row>
    <row r="121" spans="1:20" s="35" customFormat="1" ht="230.25" hidden="1" thickTop="1" thickBot="1" x14ac:dyDescent="0.25">
      <c r="A121" s="803" t="s">
        <v>1082</v>
      </c>
      <c r="B121" s="803" t="s">
        <v>1083</v>
      </c>
      <c r="C121" s="803" t="s">
        <v>171</v>
      </c>
      <c r="D121" s="803" t="s">
        <v>1084</v>
      </c>
      <c r="E121" s="804">
        <f t="shared" si="72"/>
        <v>0</v>
      </c>
      <c r="F121" s="46"/>
      <c r="G121" s="46"/>
      <c r="H121" s="46"/>
      <c r="I121" s="46"/>
      <c r="J121" s="804">
        <f t="shared" si="69"/>
        <v>0</v>
      </c>
      <c r="K121" s="46"/>
      <c r="L121" s="46"/>
      <c r="M121" s="46"/>
      <c r="N121" s="46"/>
      <c r="O121" s="806">
        <f>K121</f>
        <v>0</v>
      </c>
      <c r="P121" s="804">
        <f t="shared" si="70"/>
        <v>0</v>
      </c>
      <c r="Q121" s="39"/>
      <c r="R121" s="28"/>
    </row>
    <row r="122" spans="1:20" s="30" customFormat="1" ht="136.5" thickTop="1" thickBot="1" x14ac:dyDescent="0.25">
      <c r="A122" s="387" t="s">
        <v>735</v>
      </c>
      <c r="B122" s="387" t="s">
        <v>700</v>
      </c>
      <c r="C122" s="387"/>
      <c r="D122" s="387" t="s">
        <v>698</v>
      </c>
      <c r="E122" s="391">
        <f>E123</f>
        <v>0</v>
      </c>
      <c r="F122" s="391">
        <f t="shared" ref="F122:P122" si="89">F123</f>
        <v>0</v>
      </c>
      <c r="G122" s="391">
        <f t="shared" si="89"/>
        <v>0</v>
      </c>
      <c r="H122" s="391">
        <f t="shared" si="89"/>
        <v>0</v>
      </c>
      <c r="I122" s="391">
        <f t="shared" si="89"/>
        <v>0</v>
      </c>
      <c r="J122" s="391">
        <f t="shared" si="89"/>
        <v>23069864</v>
      </c>
      <c r="K122" s="391">
        <f t="shared" si="89"/>
        <v>23069864</v>
      </c>
      <c r="L122" s="391">
        <f t="shared" si="89"/>
        <v>0</v>
      </c>
      <c r="M122" s="391">
        <f t="shared" si="89"/>
        <v>0</v>
      </c>
      <c r="N122" s="391">
        <f t="shared" si="89"/>
        <v>0</v>
      </c>
      <c r="O122" s="391">
        <f t="shared" si="89"/>
        <v>23069864</v>
      </c>
      <c r="P122" s="391">
        <f t="shared" si="89"/>
        <v>23069864</v>
      </c>
      <c r="Q122" s="183"/>
      <c r="R122" s="43"/>
    </row>
    <row r="123" spans="1:20" s="30" customFormat="1" ht="48" thickTop="1" thickBot="1" x14ac:dyDescent="0.25">
      <c r="A123" s="808" t="s">
        <v>1330</v>
      </c>
      <c r="B123" s="808" t="s">
        <v>217</v>
      </c>
      <c r="C123" s="808" t="s">
        <v>218</v>
      </c>
      <c r="D123" s="808" t="s">
        <v>41</v>
      </c>
      <c r="E123" s="816">
        <f t="shared" si="72"/>
        <v>0</v>
      </c>
      <c r="F123" s="389"/>
      <c r="G123" s="389"/>
      <c r="H123" s="389"/>
      <c r="I123" s="389"/>
      <c r="J123" s="816">
        <f t="shared" ref="J123" si="90">L123+O123</f>
        <v>23069864</v>
      </c>
      <c r="K123" s="389">
        <f>(8590009+2371500-60000)+907081+9009016+2252258</f>
        <v>23069864</v>
      </c>
      <c r="L123" s="389"/>
      <c r="M123" s="389"/>
      <c r="N123" s="389"/>
      <c r="O123" s="810">
        <f t="shared" ref="O123" si="91">K123</f>
        <v>23069864</v>
      </c>
      <c r="P123" s="816">
        <f t="shared" si="70"/>
        <v>23069864</v>
      </c>
      <c r="Q123" s="183"/>
      <c r="R123" s="43"/>
    </row>
    <row r="124" spans="1:20" s="35" customFormat="1" ht="93" hidden="1" thickTop="1" thickBot="1" x14ac:dyDescent="0.25">
      <c r="A124" s="803" t="s">
        <v>440</v>
      </c>
      <c r="B124" s="803" t="s">
        <v>202</v>
      </c>
      <c r="C124" s="803" t="s">
        <v>171</v>
      </c>
      <c r="D124" s="803" t="s">
        <v>34</v>
      </c>
      <c r="E124" s="804">
        <f t="shared" si="72"/>
        <v>0</v>
      </c>
      <c r="F124" s="46"/>
      <c r="G124" s="46"/>
      <c r="H124" s="46"/>
      <c r="I124" s="46"/>
      <c r="J124" s="804">
        <f t="shared" si="69"/>
        <v>0</v>
      </c>
      <c r="K124" s="46"/>
      <c r="L124" s="46"/>
      <c r="M124" s="46"/>
      <c r="N124" s="46"/>
      <c r="O124" s="806">
        <f t="shared" si="74"/>
        <v>0</v>
      </c>
      <c r="P124" s="804">
        <f t="shared" si="70"/>
        <v>0</v>
      </c>
      <c r="Q124" s="39"/>
      <c r="R124" s="28"/>
    </row>
    <row r="125" spans="1:20" s="35" customFormat="1" ht="93" hidden="1" thickTop="1" thickBot="1" x14ac:dyDescent="0.25">
      <c r="A125" s="803" t="s">
        <v>514</v>
      </c>
      <c r="B125" s="803" t="s">
        <v>368</v>
      </c>
      <c r="C125" s="803" t="s">
        <v>43</v>
      </c>
      <c r="D125" s="803" t="s">
        <v>369</v>
      </c>
      <c r="E125" s="804">
        <f t="shared" si="72"/>
        <v>0</v>
      </c>
      <c r="F125" s="46"/>
      <c r="G125" s="46"/>
      <c r="H125" s="46"/>
      <c r="I125" s="46"/>
      <c r="J125" s="804">
        <f t="shared" si="69"/>
        <v>0</v>
      </c>
      <c r="K125" s="46"/>
      <c r="L125" s="46"/>
      <c r="M125" s="46"/>
      <c r="N125" s="46"/>
      <c r="O125" s="806">
        <f t="shared" si="74"/>
        <v>0</v>
      </c>
      <c r="P125" s="804">
        <f t="shared" si="70"/>
        <v>0</v>
      </c>
      <c r="Q125" s="39"/>
      <c r="R125" s="32"/>
    </row>
    <row r="126" spans="1:20" ht="226.5" thickTop="1" thickBot="1" x14ac:dyDescent="0.25">
      <c r="A126" s="460" t="s">
        <v>157</v>
      </c>
      <c r="B126" s="460"/>
      <c r="C126" s="460"/>
      <c r="D126" s="461" t="s">
        <v>37</v>
      </c>
      <c r="E126" s="463">
        <f>E127</f>
        <v>259081660.09000003</v>
      </c>
      <c r="F126" s="462">
        <f t="shared" ref="F126:G126" si="92">F127</f>
        <v>259081660.09000003</v>
      </c>
      <c r="G126" s="462">
        <f t="shared" si="92"/>
        <v>82238610</v>
      </c>
      <c r="H126" s="462">
        <f>H127</f>
        <v>5468491.0899999999</v>
      </c>
      <c r="I126" s="462">
        <f t="shared" ref="I126" si="93">I127</f>
        <v>0</v>
      </c>
      <c r="J126" s="463">
        <f>J127</f>
        <v>96823107</v>
      </c>
      <c r="K126" s="462">
        <f>K127</f>
        <v>88531578</v>
      </c>
      <c r="L126" s="462">
        <f>L127</f>
        <v>8126529</v>
      </c>
      <c r="M126" s="462">
        <f t="shared" ref="M126" si="94">M127</f>
        <v>2184040</v>
      </c>
      <c r="N126" s="462">
        <f>N127</f>
        <v>758110</v>
      </c>
      <c r="O126" s="463">
        <f>O127</f>
        <v>88696578</v>
      </c>
      <c r="P126" s="462">
        <f>P127</f>
        <v>355904767.09000003</v>
      </c>
      <c r="Q126" s="22"/>
    </row>
    <row r="127" spans="1:20" ht="226.5" thickTop="1" thickBot="1" x14ac:dyDescent="0.25">
      <c r="A127" s="464" t="s">
        <v>158</v>
      </c>
      <c r="B127" s="464"/>
      <c r="C127" s="464"/>
      <c r="D127" s="465" t="s">
        <v>38</v>
      </c>
      <c r="E127" s="466">
        <f>E128+E132+E172+E176</f>
        <v>259081660.09000003</v>
      </c>
      <c r="F127" s="466">
        <f>F128+F132+F172+F176</f>
        <v>259081660.09000003</v>
      </c>
      <c r="G127" s="466">
        <f>G128+G132+G172+G176</f>
        <v>82238610</v>
      </c>
      <c r="H127" s="466">
        <f>H128+H132+H172+H176</f>
        <v>5468491.0899999999</v>
      </c>
      <c r="I127" s="466">
        <f>I128+I132+I172+I176</f>
        <v>0</v>
      </c>
      <c r="J127" s="466">
        <f t="shared" ref="J127:J153" si="95">L127+O127</f>
        <v>96823107</v>
      </c>
      <c r="K127" s="466">
        <f>K128+K132+K172+K176</f>
        <v>88531578</v>
      </c>
      <c r="L127" s="466">
        <f>L128+L132+L172+L176</f>
        <v>8126529</v>
      </c>
      <c r="M127" s="466">
        <f>M128+M132+M172+M176</f>
        <v>2184040</v>
      </c>
      <c r="N127" s="466">
        <f>N128+N132+N172+N176</f>
        <v>758110</v>
      </c>
      <c r="O127" s="466">
        <f>O128+O132+O172+O176</f>
        <v>88696578</v>
      </c>
      <c r="P127" s="466">
        <f>E127+J127</f>
        <v>355904767.09000003</v>
      </c>
      <c r="Q127" s="392" t="b">
        <f>P127=P129+P130+P131+P134+P135+P136+P137+P138+P140+P143+P144+P146+P147+P150+P152+P168+P170+P171+P174+P153+P139+P141+P149+P181</f>
        <v>1</v>
      </c>
      <c r="R127" s="798"/>
      <c r="S127" s="798"/>
      <c r="T127" s="48"/>
    </row>
    <row r="128" spans="1:20" ht="47.25" thickTop="1" thickBot="1" x14ac:dyDescent="0.25">
      <c r="A128" s="385" t="s">
        <v>736</v>
      </c>
      <c r="B128" s="385" t="s">
        <v>693</v>
      </c>
      <c r="C128" s="385"/>
      <c r="D128" s="385" t="s">
        <v>694</v>
      </c>
      <c r="E128" s="816">
        <f t="shared" ref="E128:P128" si="96">SUM(E129:E131)</f>
        <v>52802585</v>
      </c>
      <c r="F128" s="816">
        <f t="shared" si="96"/>
        <v>52802585</v>
      </c>
      <c r="G128" s="816">
        <f t="shared" si="96"/>
        <v>38000000</v>
      </c>
      <c r="H128" s="816">
        <f t="shared" si="96"/>
        <v>2160585</v>
      </c>
      <c r="I128" s="816">
        <f t="shared" si="96"/>
        <v>0</v>
      </c>
      <c r="J128" s="816">
        <f t="shared" si="96"/>
        <v>300000</v>
      </c>
      <c r="K128" s="816">
        <f t="shared" si="96"/>
        <v>300000</v>
      </c>
      <c r="L128" s="816">
        <f t="shared" si="96"/>
        <v>0</v>
      </c>
      <c r="M128" s="816">
        <f t="shared" si="96"/>
        <v>0</v>
      </c>
      <c r="N128" s="816">
        <f t="shared" si="96"/>
        <v>0</v>
      </c>
      <c r="O128" s="816">
        <f t="shared" si="96"/>
        <v>300000</v>
      </c>
      <c r="P128" s="816">
        <f t="shared" si="96"/>
        <v>53102585</v>
      </c>
      <c r="Q128" s="50"/>
      <c r="R128" s="798"/>
      <c r="T128" s="48"/>
    </row>
    <row r="129" spans="1:20" ht="230.25" thickTop="1" thickBot="1" x14ac:dyDescent="0.25">
      <c r="A129" s="808" t="s">
        <v>420</v>
      </c>
      <c r="B129" s="808" t="s">
        <v>241</v>
      </c>
      <c r="C129" s="808" t="s">
        <v>239</v>
      </c>
      <c r="D129" s="808" t="s">
        <v>240</v>
      </c>
      <c r="E129" s="816">
        <f t="shared" ref="E129:E131" si="97">F129</f>
        <v>52715585</v>
      </c>
      <c r="F129" s="389">
        <v>52715585</v>
      </c>
      <c r="G129" s="389">
        <v>38000000</v>
      </c>
      <c r="H129" s="389">
        <f>1250000+59135+812450+39000</f>
        <v>2160585</v>
      </c>
      <c r="I129" s="389"/>
      <c r="J129" s="816">
        <f t="shared" si="95"/>
        <v>300000</v>
      </c>
      <c r="K129" s="389">
        <f>300000</f>
        <v>300000</v>
      </c>
      <c r="L129" s="389"/>
      <c r="M129" s="389"/>
      <c r="N129" s="389"/>
      <c r="O129" s="810">
        <f>K129</f>
        <v>300000</v>
      </c>
      <c r="P129" s="816">
        <f t="shared" ref="P129:P144" si="98">E129+J129</f>
        <v>53015585</v>
      </c>
      <c r="Q129" s="50"/>
      <c r="R129" s="798"/>
      <c r="T129" s="48"/>
    </row>
    <row r="130" spans="1:20" ht="184.5" thickTop="1" thickBot="1" x14ac:dyDescent="0.25">
      <c r="A130" s="808" t="s">
        <v>637</v>
      </c>
      <c r="B130" s="808" t="s">
        <v>367</v>
      </c>
      <c r="C130" s="808" t="s">
        <v>634</v>
      </c>
      <c r="D130" s="808" t="s">
        <v>635</v>
      </c>
      <c r="E130" s="816">
        <f t="shared" si="97"/>
        <v>57000</v>
      </c>
      <c r="F130" s="389">
        <v>57000</v>
      </c>
      <c r="G130" s="389"/>
      <c r="H130" s="389"/>
      <c r="I130" s="389"/>
      <c r="J130" s="816">
        <f t="shared" si="95"/>
        <v>0</v>
      </c>
      <c r="K130" s="389"/>
      <c r="L130" s="389"/>
      <c r="M130" s="389"/>
      <c r="N130" s="389"/>
      <c r="O130" s="810">
        <f>K130</f>
        <v>0</v>
      </c>
      <c r="P130" s="816">
        <f t="shared" si="98"/>
        <v>57000</v>
      </c>
      <c r="Q130" s="50"/>
      <c r="R130" s="798"/>
      <c r="T130" s="48"/>
    </row>
    <row r="131" spans="1:20" ht="93" thickTop="1" thickBot="1" x14ac:dyDescent="0.25">
      <c r="A131" s="808" t="s">
        <v>932</v>
      </c>
      <c r="B131" s="808" t="s">
        <v>43</v>
      </c>
      <c r="C131" s="808" t="s">
        <v>42</v>
      </c>
      <c r="D131" s="808" t="s">
        <v>253</v>
      </c>
      <c r="E131" s="816">
        <f t="shared" si="97"/>
        <v>30000</v>
      </c>
      <c r="F131" s="389">
        <v>30000</v>
      </c>
      <c r="G131" s="389"/>
      <c r="H131" s="389"/>
      <c r="I131" s="389"/>
      <c r="J131" s="816">
        <f t="shared" si="95"/>
        <v>0</v>
      </c>
      <c r="K131" s="389"/>
      <c r="L131" s="389"/>
      <c r="M131" s="389"/>
      <c r="N131" s="389"/>
      <c r="O131" s="810"/>
      <c r="P131" s="816">
        <f t="shared" si="98"/>
        <v>30000</v>
      </c>
      <c r="Q131" s="50"/>
      <c r="R131" s="798"/>
      <c r="T131" s="48"/>
    </row>
    <row r="132" spans="1:20" ht="91.5" thickTop="1" thickBot="1" x14ac:dyDescent="0.25">
      <c r="A132" s="385" t="s">
        <v>737</v>
      </c>
      <c r="B132" s="385" t="s">
        <v>720</v>
      </c>
      <c r="C132" s="385"/>
      <c r="D132" s="385" t="s">
        <v>721</v>
      </c>
      <c r="E132" s="816">
        <f t="shared" ref="E132:P132" si="99">SUM(E133:E171)-E133-E142-E151-E154-E169-E148-E145</f>
        <v>206279075.09000003</v>
      </c>
      <c r="F132" s="816">
        <f t="shared" si="99"/>
        <v>206279075.09000003</v>
      </c>
      <c r="G132" s="816">
        <f t="shared" si="99"/>
        <v>44238610</v>
      </c>
      <c r="H132" s="816">
        <f t="shared" si="99"/>
        <v>3307906.09</v>
      </c>
      <c r="I132" s="816">
        <f t="shared" si="99"/>
        <v>0</v>
      </c>
      <c r="J132" s="816">
        <f t="shared" si="99"/>
        <v>85523107</v>
      </c>
      <c r="K132" s="816">
        <f t="shared" si="99"/>
        <v>77231578</v>
      </c>
      <c r="L132" s="816">
        <f t="shared" si="99"/>
        <v>8126529</v>
      </c>
      <c r="M132" s="816">
        <f t="shared" si="99"/>
        <v>2184040</v>
      </c>
      <c r="N132" s="816">
        <f t="shared" si="99"/>
        <v>758110</v>
      </c>
      <c r="O132" s="816">
        <f t="shared" si="99"/>
        <v>77396578</v>
      </c>
      <c r="P132" s="816">
        <f t="shared" si="99"/>
        <v>291802182.09000003</v>
      </c>
      <c r="Q132" s="50"/>
      <c r="R132" s="798"/>
      <c r="T132" s="48"/>
    </row>
    <row r="133" spans="1:20" s="37" customFormat="1" ht="321.75" thickTop="1" thickBot="1" x14ac:dyDescent="0.25">
      <c r="A133" s="455" t="s">
        <v>738</v>
      </c>
      <c r="B133" s="455" t="s">
        <v>739</v>
      </c>
      <c r="C133" s="455"/>
      <c r="D133" s="455" t="s">
        <v>740</v>
      </c>
      <c r="E133" s="440">
        <f>SUM(E134:E138)</f>
        <v>65960000</v>
      </c>
      <c r="F133" s="440">
        <f t="shared" ref="F133:P133" si="100">SUM(F134:F138)</f>
        <v>65960000</v>
      </c>
      <c r="G133" s="440">
        <f t="shared" si="100"/>
        <v>0</v>
      </c>
      <c r="H133" s="440">
        <f t="shared" si="100"/>
        <v>0</v>
      </c>
      <c r="I133" s="440">
        <f t="shared" si="100"/>
        <v>0</v>
      </c>
      <c r="J133" s="440">
        <f t="shared" si="100"/>
        <v>150000</v>
      </c>
      <c r="K133" s="440">
        <f t="shared" si="100"/>
        <v>150000</v>
      </c>
      <c r="L133" s="440">
        <f t="shared" si="100"/>
        <v>0</v>
      </c>
      <c r="M133" s="440">
        <f t="shared" si="100"/>
        <v>0</v>
      </c>
      <c r="N133" s="440">
        <f t="shared" si="100"/>
        <v>0</v>
      </c>
      <c r="O133" s="440">
        <f t="shared" si="100"/>
        <v>150000</v>
      </c>
      <c r="P133" s="440">
        <f t="shared" si="100"/>
        <v>66110000</v>
      </c>
      <c r="Q133" s="184"/>
      <c r="R133" s="51"/>
      <c r="T133" s="52"/>
    </row>
    <row r="134" spans="1:20" s="35" customFormat="1" ht="138.75" thickTop="1" thickBot="1" x14ac:dyDescent="0.25">
      <c r="A134" s="808" t="s">
        <v>274</v>
      </c>
      <c r="B134" s="808" t="s">
        <v>275</v>
      </c>
      <c r="C134" s="808" t="s">
        <v>210</v>
      </c>
      <c r="D134" s="457" t="s">
        <v>276</v>
      </c>
      <c r="E134" s="816">
        <f>F134</f>
        <v>360000</v>
      </c>
      <c r="F134" s="389">
        <v>360000</v>
      </c>
      <c r="G134" s="389"/>
      <c r="H134" s="389"/>
      <c r="I134" s="389"/>
      <c r="J134" s="816">
        <f t="shared" si="95"/>
        <v>150000</v>
      </c>
      <c r="K134" s="389">
        <v>150000</v>
      </c>
      <c r="L134" s="389"/>
      <c r="M134" s="389"/>
      <c r="N134" s="389"/>
      <c r="O134" s="810">
        <f t="shared" ref="O134:O153" si="101">K134</f>
        <v>150000</v>
      </c>
      <c r="P134" s="816">
        <f t="shared" si="98"/>
        <v>510000</v>
      </c>
      <c r="Q134" s="39"/>
      <c r="R134" s="798"/>
    </row>
    <row r="135" spans="1:20" s="35" customFormat="1" ht="138.75" thickTop="1" thickBot="1" x14ac:dyDescent="0.25">
      <c r="A135" s="808" t="s">
        <v>277</v>
      </c>
      <c r="B135" s="808" t="s">
        <v>278</v>
      </c>
      <c r="C135" s="808" t="s">
        <v>211</v>
      </c>
      <c r="D135" s="808" t="s">
        <v>6</v>
      </c>
      <c r="E135" s="816">
        <f t="shared" ref="E135:E183" si="102">F135</f>
        <v>700000</v>
      </c>
      <c r="F135" s="389">
        <v>700000</v>
      </c>
      <c r="G135" s="389"/>
      <c r="H135" s="389"/>
      <c r="I135" s="389"/>
      <c r="J135" s="816">
        <f t="shared" si="95"/>
        <v>0</v>
      </c>
      <c r="K135" s="389"/>
      <c r="L135" s="389"/>
      <c r="M135" s="389"/>
      <c r="N135" s="389"/>
      <c r="O135" s="810">
        <f t="shared" si="101"/>
        <v>0</v>
      </c>
      <c r="P135" s="816">
        <f t="shared" si="98"/>
        <v>700000</v>
      </c>
      <c r="Q135" s="39"/>
      <c r="R135" s="53"/>
    </row>
    <row r="136" spans="1:20" s="35" customFormat="1" ht="184.5" thickTop="1" thickBot="1" x14ac:dyDescent="0.25">
      <c r="A136" s="808" t="s">
        <v>280</v>
      </c>
      <c r="B136" s="808" t="s">
        <v>281</v>
      </c>
      <c r="C136" s="808" t="s">
        <v>211</v>
      </c>
      <c r="D136" s="808" t="s">
        <v>7</v>
      </c>
      <c r="E136" s="816">
        <f t="shared" si="102"/>
        <v>19200000</v>
      </c>
      <c r="F136" s="389">
        <v>19200000</v>
      </c>
      <c r="G136" s="389"/>
      <c r="H136" s="389"/>
      <c r="I136" s="389"/>
      <c r="J136" s="816">
        <f t="shared" si="95"/>
        <v>0</v>
      </c>
      <c r="K136" s="389"/>
      <c r="L136" s="389"/>
      <c r="M136" s="389"/>
      <c r="N136" s="389"/>
      <c r="O136" s="810">
        <f t="shared" si="101"/>
        <v>0</v>
      </c>
      <c r="P136" s="816">
        <f t="shared" si="98"/>
        <v>19200000</v>
      </c>
      <c r="Q136" s="39"/>
      <c r="R136" s="53"/>
    </row>
    <row r="137" spans="1:20" s="35" customFormat="1" ht="184.5" thickTop="1" thickBot="1" x14ac:dyDescent="0.25">
      <c r="A137" s="808" t="s">
        <v>282</v>
      </c>
      <c r="B137" s="808" t="s">
        <v>279</v>
      </c>
      <c r="C137" s="808" t="s">
        <v>211</v>
      </c>
      <c r="D137" s="808" t="s">
        <v>8</v>
      </c>
      <c r="E137" s="816">
        <f t="shared" si="102"/>
        <v>700000</v>
      </c>
      <c r="F137" s="389">
        <v>700000</v>
      </c>
      <c r="G137" s="389"/>
      <c r="H137" s="389"/>
      <c r="I137" s="389"/>
      <c r="J137" s="816">
        <f t="shared" si="95"/>
        <v>0</v>
      </c>
      <c r="K137" s="389"/>
      <c r="L137" s="389"/>
      <c r="M137" s="389"/>
      <c r="N137" s="389"/>
      <c r="O137" s="810">
        <f t="shared" si="101"/>
        <v>0</v>
      </c>
      <c r="P137" s="816">
        <f t="shared" si="98"/>
        <v>700000</v>
      </c>
      <c r="Q137" s="39"/>
      <c r="R137" s="53"/>
    </row>
    <row r="138" spans="1:20" s="35" customFormat="1" ht="184.5" thickTop="1" thickBot="1" x14ac:dyDescent="0.25">
      <c r="A138" s="808" t="s">
        <v>283</v>
      </c>
      <c r="B138" s="808" t="s">
        <v>284</v>
      </c>
      <c r="C138" s="808" t="s">
        <v>211</v>
      </c>
      <c r="D138" s="808" t="s">
        <v>9</v>
      </c>
      <c r="E138" s="816">
        <f t="shared" si="102"/>
        <v>45000000</v>
      </c>
      <c r="F138" s="389">
        <v>45000000</v>
      </c>
      <c r="G138" s="389"/>
      <c r="H138" s="389"/>
      <c r="I138" s="389"/>
      <c r="J138" s="816">
        <f t="shared" si="95"/>
        <v>0</v>
      </c>
      <c r="K138" s="389"/>
      <c r="L138" s="389"/>
      <c r="M138" s="389"/>
      <c r="N138" s="389"/>
      <c r="O138" s="810">
        <f t="shared" si="101"/>
        <v>0</v>
      </c>
      <c r="P138" s="816">
        <f t="shared" si="98"/>
        <v>45000000</v>
      </c>
      <c r="Q138" s="39"/>
      <c r="R138" s="53"/>
    </row>
    <row r="139" spans="1:20" s="35" customFormat="1" ht="184.5" thickTop="1" thickBot="1" x14ac:dyDescent="0.25">
      <c r="A139" s="808" t="s">
        <v>483</v>
      </c>
      <c r="B139" s="808" t="s">
        <v>484</v>
      </c>
      <c r="C139" s="808" t="s">
        <v>211</v>
      </c>
      <c r="D139" s="808" t="s">
        <v>485</v>
      </c>
      <c r="E139" s="816">
        <f t="shared" si="102"/>
        <v>272462</v>
      </c>
      <c r="F139" s="389">
        <v>272462</v>
      </c>
      <c r="G139" s="389"/>
      <c r="H139" s="389"/>
      <c r="I139" s="389"/>
      <c r="J139" s="816">
        <f t="shared" si="95"/>
        <v>0</v>
      </c>
      <c r="K139" s="389"/>
      <c r="L139" s="389"/>
      <c r="M139" s="389"/>
      <c r="N139" s="389"/>
      <c r="O139" s="810">
        <f t="shared" si="101"/>
        <v>0</v>
      </c>
      <c r="P139" s="816">
        <f t="shared" si="98"/>
        <v>272462</v>
      </c>
      <c r="Q139" s="39"/>
      <c r="R139" s="53"/>
    </row>
    <row r="140" spans="1:20" s="35" customFormat="1" ht="138.75" thickTop="1" thickBot="1" x14ac:dyDescent="0.25">
      <c r="A140" s="808" t="s">
        <v>933</v>
      </c>
      <c r="B140" s="808" t="s">
        <v>934</v>
      </c>
      <c r="C140" s="808" t="s">
        <v>211</v>
      </c>
      <c r="D140" s="808" t="s">
        <v>935</v>
      </c>
      <c r="E140" s="816">
        <f t="shared" si="102"/>
        <v>2313890</v>
      </c>
      <c r="F140" s="389">
        <f>(180000)+2133890</f>
        <v>2313890</v>
      </c>
      <c r="G140" s="389"/>
      <c r="H140" s="389"/>
      <c r="I140" s="389"/>
      <c r="J140" s="816">
        <f t="shared" si="95"/>
        <v>0</v>
      </c>
      <c r="K140" s="389"/>
      <c r="L140" s="389"/>
      <c r="M140" s="389"/>
      <c r="N140" s="389"/>
      <c r="O140" s="810">
        <f t="shared" si="101"/>
        <v>0</v>
      </c>
      <c r="P140" s="816">
        <f t="shared" si="98"/>
        <v>2313890</v>
      </c>
      <c r="Q140" s="39"/>
      <c r="R140" s="53"/>
    </row>
    <row r="141" spans="1:20" ht="138.75" thickTop="1" thickBot="1" x14ac:dyDescent="0.25">
      <c r="A141" s="808" t="s">
        <v>486</v>
      </c>
      <c r="B141" s="808" t="s">
        <v>487</v>
      </c>
      <c r="C141" s="808" t="s">
        <v>210</v>
      </c>
      <c r="D141" s="808" t="s">
        <v>488</v>
      </c>
      <c r="E141" s="816">
        <f t="shared" si="102"/>
        <v>546559</v>
      </c>
      <c r="F141" s="389">
        <v>546559</v>
      </c>
      <c r="G141" s="389"/>
      <c r="H141" s="389"/>
      <c r="I141" s="389"/>
      <c r="J141" s="816">
        <f t="shared" si="95"/>
        <v>0</v>
      </c>
      <c r="K141" s="389"/>
      <c r="L141" s="389"/>
      <c r="M141" s="389"/>
      <c r="N141" s="389"/>
      <c r="O141" s="810">
        <f>K141</f>
        <v>0</v>
      </c>
      <c r="P141" s="816">
        <f t="shared" si="98"/>
        <v>546559</v>
      </c>
      <c r="Q141" s="22"/>
      <c r="R141" s="53"/>
    </row>
    <row r="142" spans="1:20" s="35" customFormat="1" ht="276" thickTop="1" thickBot="1" x14ac:dyDescent="0.25">
      <c r="A142" s="455" t="s">
        <v>741</v>
      </c>
      <c r="B142" s="455" t="s">
        <v>742</v>
      </c>
      <c r="C142" s="455"/>
      <c r="D142" s="455" t="s">
        <v>743</v>
      </c>
      <c r="E142" s="440">
        <f>SUM(E143:E144)</f>
        <v>55621482.090000004</v>
      </c>
      <c r="F142" s="440">
        <f t="shared" ref="F142:P142" si="103">SUM(F143:F144)</f>
        <v>55621482.090000004</v>
      </c>
      <c r="G142" s="440">
        <f t="shared" si="103"/>
        <v>29597320</v>
      </c>
      <c r="H142" s="440">
        <f t="shared" si="103"/>
        <v>1467754.0899999999</v>
      </c>
      <c r="I142" s="440">
        <f t="shared" si="103"/>
        <v>0</v>
      </c>
      <c r="J142" s="440">
        <f t="shared" si="103"/>
        <v>1375200</v>
      </c>
      <c r="K142" s="440">
        <f t="shared" si="103"/>
        <v>645200</v>
      </c>
      <c r="L142" s="440">
        <f t="shared" si="103"/>
        <v>640000</v>
      </c>
      <c r="M142" s="440">
        <f t="shared" si="103"/>
        <v>361000</v>
      </c>
      <c r="N142" s="440">
        <f t="shared" si="103"/>
        <v>55000</v>
      </c>
      <c r="O142" s="440">
        <f t="shared" si="103"/>
        <v>735200</v>
      </c>
      <c r="P142" s="440">
        <f t="shared" si="103"/>
        <v>56996682.090000004</v>
      </c>
      <c r="Q142" s="39"/>
      <c r="R142" s="54"/>
    </row>
    <row r="143" spans="1:20" ht="276" thickTop="1" thickBot="1" x14ac:dyDescent="0.25">
      <c r="A143" s="808" t="s">
        <v>272</v>
      </c>
      <c r="B143" s="808" t="s">
        <v>270</v>
      </c>
      <c r="C143" s="808" t="s">
        <v>205</v>
      </c>
      <c r="D143" s="808" t="s">
        <v>17</v>
      </c>
      <c r="E143" s="816">
        <f t="shared" si="102"/>
        <v>45777796.090000004</v>
      </c>
      <c r="F143" s="389">
        <f>(42897540)+2880256.09</f>
        <v>45777796.090000004</v>
      </c>
      <c r="G143" s="389">
        <v>23147377</v>
      </c>
      <c r="H143" s="389">
        <f>(460000+20896+240000+9600)+13680.09</f>
        <v>744176.09</v>
      </c>
      <c r="I143" s="389"/>
      <c r="J143" s="816">
        <f t="shared" si="95"/>
        <v>874200</v>
      </c>
      <c r="K143" s="389">
        <v>144200</v>
      </c>
      <c r="L143" s="389">
        <v>640000</v>
      </c>
      <c r="M143" s="389">
        <v>361000</v>
      </c>
      <c r="N143" s="389">
        <v>55000</v>
      </c>
      <c r="O143" s="810">
        <f>K143+90000</f>
        <v>234200</v>
      </c>
      <c r="P143" s="816">
        <f t="shared" si="98"/>
        <v>46651996.090000004</v>
      </c>
      <c r="Q143" s="22"/>
      <c r="R143" s="798"/>
    </row>
    <row r="144" spans="1:20" ht="138.75" thickTop="1" thickBot="1" x14ac:dyDescent="0.25">
      <c r="A144" s="808" t="s">
        <v>273</v>
      </c>
      <c r="B144" s="808" t="s">
        <v>271</v>
      </c>
      <c r="C144" s="808" t="s">
        <v>204</v>
      </c>
      <c r="D144" s="808" t="s">
        <v>460</v>
      </c>
      <c r="E144" s="816">
        <f t="shared" si="102"/>
        <v>9843686</v>
      </c>
      <c r="F144" s="389">
        <f>((9450798)+330342)+62546</f>
        <v>9843686</v>
      </c>
      <c r="G144" s="389">
        <f>3615752+2834191</f>
        <v>6449943</v>
      </c>
      <c r="H144" s="389">
        <f>309600+8200+75000+750+258003+8750+63000+275</f>
        <v>723578</v>
      </c>
      <c r="I144" s="389"/>
      <c r="J144" s="816">
        <f t="shared" si="95"/>
        <v>501000</v>
      </c>
      <c r="K144" s="389">
        <f>(406000)+95000</f>
        <v>501000</v>
      </c>
      <c r="L144" s="389"/>
      <c r="M144" s="389"/>
      <c r="N144" s="389"/>
      <c r="O144" s="810">
        <f t="shared" si="101"/>
        <v>501000</v>
      </c>
      <c r="P144" s="816">
        <f t="shared" si="98"/>
        <v>10344686</v>
      </c>
      <c r="Q144" s="22"/>
      <c r="R144" s="798"/>
    </row>
    <row r="145" spans="1:18" ht="138.75" thickTop="1" thickBot="1" x14ac:dyDescent="0.25">
      <c r="A145" s="455" t="s">
        <v>1040</v>
      </c>
      <c r="B145" s="455" t="s">
        <v>774</v>
      </c>
      <c r="C145" s="455"/>
      <c r="D145" s="455" t="s">
        <v>775</v>
      </c>
      <c r="E145" s="440">
        <f>E146</f>
        <v>8972825</v>
      </c>
      <c r="F145" s="440">
        <f t="shared" ref="F145:P145" si="104">F146</f>
        <v>8972825</v>
      </c>
      <c r="G145" s="440">
        <f t="shared" si="104"/>
        <v>6439226</v>
      </c>
      <c r="H145" s="440">
        <f t="shared" si="104"/>
        <v>378205</v>
      </c>
      <c r="I145" s="440">
        <f t="shared" si="104"/>
        <v>0</v>
      </c>
      <c r="J145" s="440">
        <f t="shared" si="104"/>
        <v>25000</v>
      </c>
      <c r="K145" s="440">
        <f t="shared" si="104"/>
        <v>25000</v>
      </c>
      <c r="L145" s="440">
        <f t="shared" si="104"/>
        <v>0</v>
      </c>
      <c r="M145" s="440">
        <f t="shared" si="104"/>
        <v>0</v>
      </c>
      <c r="N145" s="440">
        <f t="shared" si="104"/>
        <v>0</v>
      </c>
      <c r="O145" s="440">
        <f t="shared" si="104"/>
        <v>25000</v>
      </c>
      <c r="P145" s="440">
        <f t="shared" si="104"/>
        <v>8997825</v>
      </c>
      <c r="Q145" s="22"/>
      <c r="R145" s="798"/>
    </row>
    <row r="146" spans="1:18" ht="138.75" thickTop="1" thickBot="1" x14ac:dyDescent="0.25">
      <c r="A146" s="808" t="s">
        <v>1264</v>
      </c>
      <c r="B146" s="808" t="s">
        <v>189</v>
      </c>
      <c r="C146" s="808" t="s">
        <v>190</v>
      </c>
      <c r="D146" s="808" t="s">
        <v>647</v>
      </c>
      <c r="E146" s="386">
        <f t="shared" ref="E146" si="105">F146</f>
        <v>8972825</v>
      </c>
      <c r="F146" s="441">
        <f>(8857655)+115170</f>
        <v>8972825</v>
      </c>
      <c r="G146" s="441">
        <v>6439226</v>
      </c>
      <c r="H146" s="441">
        <f>132665+22900+161200+61440</f>
        <v>378205</v>
      </c>
      <c r="I146" s="441"/>
      <c r="J146" s="816">
        <f t="shared" ref="J146" si="106">L146+O146</f>
        <v>25000</v>
      </c>
      <c r="K146" s="441">
        <f>25000</f>
        <v>25000</v>
      </c>
      <c r="L146" s="442"/>
      <c r="M146" s="442"/>
      <c r="N146" s="442"/>
      <c r="O146" s="810">
        <f t="shared" ref="O146" si="107">K146</f>
        <v>25000</v>
      </c>
      <c r="P146" s="816">
        <f>+J146+E146</f>
        <v>8997825</v>
      </c>
      <c r="Q146" s="22"/>
      <c r="R146" s="798"/>
    </row>
    <row r="147" spans="1:18" ht="409.6" thickTop="1" thickBot="1" x14ac:dyDescent="0.25">
      <c r="A147" s="808" t="s">
        <v>268</v>
      </c>
      <c r="B147" s="808" t="s">
        <v>269</v>
      </c>
      <c r="C147" s="808" t="s">
        <v>204</v>
      </c>
      <c r="D147" s="808" t="s">
        <v>458</v>
      </c>
      <c r="E147" s="816">
        <f t="shared" si="102"/>
        <v>4673200</v>
      </c>
      <c r="F147" s="389">
        <v>4673200</v>
      </c>
      <c r="G147" s="389"/>
      <c r="H147" s="389"/>
      <c r="I147" s="389"/>
      <c r="J147" s="816">
        <f t="shared" si="95"/>
        <v>0</v>
      </c>
      <c r="K147" s="816"/>
      <c r="L147" s="389"/>
      <c r="M147" s="389"/>
      <c r="N147" s="389"/>
      <c r="O147" s="810">
        <f t="shared" si="101"/>
        <v>0</v>
      </c>
      <c r="P147" s="816">
        <f>+J147+E147</f>
        <v>4673200</v>
      </c>
      <c r="Q147" s="22"/>
      <c r="R147" s="53"/>
    </row>
    <row r="148" spans="1:18" ht="138.75" thickTop="1" thickBot="1" x14ac:dyDescent="0.25">
      <c r="A148" s="455" t="s">
        <v>892</v>
      </c>
      <c r="B148" s="455" t="s">
        <v>893</v>
      </c>
      <c r="C148" s="455"/>
      <c r="D148" s="455" t="s">
        <v>894</v>
      </c>
      <c r="E148" s="440">
        <f t="shared" si="102"/>
        <v>142618</v>
      </c>
      <c r="F148" s="440">
        <f>F149</f>
        <v>142618</v>
      </c>
      <c r="G148" s="440">
        <f t="shared" ref="G148:I148" si="108">G149</f>
        <v>0</v>
      </c>
      <c r="H148" s="440">
        <f t="shared" si="108"/>
        <v>0</v>
      </c>
      <c r="I148" s="440">
        <f t="shared" si="108"/>
        <v>0</v>
      </c>
      <c r="J148" s="440">
        <f t="shared" si="95"/>
        <v>0</v>
      </c>
      <c r="K148" s="440">
        <f t="shared" ref="K148:N148" si="109">K149</f>
        <v>0</v>
      </c>
      <c r="L148" s="440">
        <f t="shared" si="109"/>
        <v>0</v>
      </c>
      <c r="M148" s="440">
        <f t="shared" si="109"/>
        <v>0</v>
      </c>
      <c r="N148" s="440">
        <f t="shared" si="109"/>
        <v>0</v>
      </c>
      <c r="O148" s="440">
        <f t="shared" si="101"/>
        <v>0</v>
      </c>
      <c r="P148" s="440">
        <f>+J148+E148</f>
        <v>142618</v>
      </c>
      <c r="Q148" s="22"/>
      <c r="R148" s="53"/>
    </row>
    <row r="149" spans="1:18" ht="276" thickTop="1" thickBot="1" x14ac:dyDescent="0.25">
      <c r="A149" s="808" t="s">
        <v>489</v>
      </c>
      <c r="B149" s="808" t="s">
        <v>490</v>
      </c>
      <c r="C149" s="808" t="s">
        <v>204</v>
      </c>
      <c r="D149" s="808" t="s">
        <v>491</v>
      </c>
      <c r="E149" s="816">
        <f t="shared" si="102"/>
        <v>142618</v>
      </c>
      <c r="F149" s="389">
        <v>142618</v>
      </c>
      <c r="G149" s="389"/>
      <c r="H149" s="389"/>
      <c r="I149" s="389"/>
      <c r="J149" s="816">
        <f t="shared" si="95"/>
        <v>0</v>
      </c>
      <c r="K149" s="816"/>
      <c r="L149" s="389"/>
      <c r="M149" s="389"/>
      <c r="N149" s="389"/>
      <c r="O149" s="810">
        <f t="shared" si="101"/>
        <v>0</v>
      </c>
      <c r="P149" s="816">
        <f>+J149+E149</f>
        <v>142618</v>
      </c>
      <c r="Q149" s="22"/>
      <c r="R149" s="53"/>
    </row>
    <row r="150" spans="1:18" ht="367.5" thickTop="1" thickBot="1" x14ac:dyDescent="0.25">
      <c r="A150" s="808" t="s">
        <v>353</v>
      </c>
      <c r="B150" s="808" t="s">
        <v>352</v>
      </c>
      <c r="C150" s="808" t="s">
        <v>50</v>
      </c>
      <c r="D150" s="808" t="s">
        <v>459</v>
      </c>
      <c r="E150" s="816">
        <f t="shared" si="102"/>
        <v>3222500</v>
      </c>
      <c r="F150" s="389">
        <v>3222500</v>
      </c>
      <c r="G150" s="389"/>
      <c r="H150" s="389"/>
      <c r="I150" s="389"/>
      <c r="J150" s="816">
        <f t="shared" si="95"/>
        <v>0</v>
      </c>
      <c r="K150" s="816"/>
      <c r="L150" s="389"/>
      <c r="M150" s="389"/>
      <c r="N150" s="389"/>
      <c r="O150" s="810">
        <f t="shared" si="101"/>
        <v>0</v>
      </c>
      <c r="P150" s="816">
        <f>E150+J150</f>
        <v>3222500</v>
      </c>
      <c r="Q150" s="22"/>
      <c r="R150" s="53"/>
    </row>
    <row r="151" spans="1:18" s="35" customFormat="1" ht="93" thickTop="1" thickBot="1" x14ac:dyDescent="0.25">
      <c r="A151" s="455" t="s">
        <v>744</v>
      </c>
      <c r="B151" s="455" t="s">
        <v>745</v>
      </c>
      <c r="C151" s="455"/>
      <c r="D151" s="455" t="s">
        <v>746</v>
      </c>
      <c r="E151" s="440">
        <f>E152</f>
        <v>710000</v>
      </c>
      <c r="F151" s="440">
        <f t="shared" ref="F151:P151" si="110">F152</f>
        <v>710000</v>
      </c>
      <c r="G151" s="440">
        <f t="shared" si="110"/>
        <v>0</v>
      </c>
      <c r="H151" s="440">
        <f t="shared" si="110"/>
        <v>0</v>
      </c>
      <c r="I151" s="440">
        <f t="shared" si="110"/>
        <v>0</v>
      </c>
      <c r="J151" s="440">
        <f t="shared" si="110"/>
        <v>0</v>
      </c>
      <c r="K151" s="440">
        <f t="shared" si="110"/>
        <v>0</v>
      </c>
      <c r="L151" s="440">
        <f t="shared" si="110"/>
        <v>0</v>
      </c>
      <c r="M151" s="440">
        <f t="shared" si="110"/>
        <v>0</v>
      </c>
      <c r="N151" s="440">
        <f t="shared" si="110"/>
        <v>0</v>
      </c>
      <c r="O151" s="440">
        <f t="shared" si="110"/>
        <v>0</v>
      </c>
      <c r="P151" s="440">
        <f t="shared" si="110"/>
        <v>710000</v>
      </c>
      <c r="Q151" s="39"/>
      <c r="R151" s="54"/>
    </row>
    <row r="152" spans="1:18" ht="230.25" thickTop="1" thickBot="1" x14ac:dyDescent="0.25">
      <c r="A152" s="808" t="s">
        <v>330</v>
      </c>
      <c r="B152" s="808" t="s">
        <v>331</v>
      </c>
      <c r="C152" s="808" t="s">
        <v>210</v>
      </c>
      <c r="D152" s="808" t="s">
        <v>644</v>
      </c>
      <c r="E152" s="816">
        <f t="shared" si="102"/>
        <v>710000</v>
      </c>
      <c r="F152" s="389">
        <f>600000+110000</f>
        <v>710000</v>
      </c>
      <c r="G152" s="389"/>
      <c r="H152" s="389"/>
      <c r="I152" s="389"/>
      <c r="J152" s="816">
        <f t="shared" si="95"/>
        <v>0</v>
      </c>
      <c r="K152" s="389"/>
      <c r="L152" s="389"/>
      <c r="M152" s="389"/>
      <c r="N152" s="389"/>
      <c r="O152" s="810">
        <f t="shared" si="101"/>
        <v>0</v>
      </c>
      <c r="P152" s="816">
        <f>E152+J152</f>
        <v>710000</v>
      </c>
      <c r="Q152" s="22"/>
      <c r="R152" s="53"/>
    </row>
    <row r="153" spans="1:18" ht="93" thickTop="1" thickBot="1" x14ac:dyDescent="0.25">
      <c r="A153" s="808" t="s">
        <v>433</v>
      </c>
      <c r="B153" s="808" t="s">
        <v>377</v>
      </c>
      <c r="C153" s="808" t="s">
        <v>378</v>
      </c>
      <c r="D153" s="808" t="s">
        <v>376</v>
      </c>
      <c r="E153" s="800">
        <f t="shared" si="102"/>
        <v>117000</v>
      </c>
      <c r="F153" s="389">
        <v>117000</v>
      </c>
      <c r="G153" s="389">
        <v>90000</v>
      </c>
      <c r="H153" s="389"/>
      <c r="I153" s="389"/>
      <c r="J153" s="816">
        <f t="shared" si="95"/>
        <v>0</v>
      </c>
      <c r="K153" s="389"/>
      <c r="L153" s="389"/>
      <c r="M153" s="389"/>
      <c r="N153" s="389"/>
      <c r="O153" s="810">
        <f t="shared" si="101"/>
        <v>0</v>
      </c>
      <c r="P153" s="816">
        <f>E153+J153</f>
        <v>117000</v>
      </c>
      <c r="Q153" s="22"/>
      <c r="R153" s="53"/>
    </row>
    <row r="154" spans="1:18" ht="230.25" hidden="1" thickTop="1" thickBot="1" x14ac:dyDescent="0.25">
      <c r="A154" s="490" t="s">
        <v>1086</v>
      </c>
      <c r="B154" s="490" t="s">
        <v>1087</v>
      </c>
      <c r="C154" s="490"/>
      <c r="D154" s="490" t="s">
        <v>1085</v>
      </c>
      <c r="E154" s="440">
        <f>E155+E158+E162+E165</f>
        <v>0</v>
      </c>
      <c r="F154" s="440">
        <f t="shared" ref="F154:P154" si="111">F155+F158+F162+F165</f>
        <v>0</v>
      </c>
      <c r="G154" s="440">
        <f t="shared" si="111"/>
        <v>0</v>
      </c>
      <c r="H154" s="440">
        <f t="shared" si="111"/>
        <v>0</v>
      </c>
      <c r="I154" s="440">
        <f t="shared" si="111"/>
        <v>0</v>
      </c>
      <c r="J154" s="440">
        <f t="shared" si="111"/>
        <v>0</v>
      </c>
      <c r="K154" s="469">
        <f t="shared" si="111"/>
        <v>0</v>
      </c>
      <c r="L154" s="469">
        <f t="shared" si="111"/>
        <v>0</v>
      </c>
      <c r="M154" s="469">
        <f t="shared" si="111"/>
        <v>0</v>
      </c>
      <c r="N154" s="469">
        <f t="shared" si="111"/>
        <v>0</v>
      </c>
      <c r="O154" s="469">
        <f t="shared" si="111"/>
        <v>0</v>
      </c>
      <c r="P154" s="469">
        <f t="shared" si="111"/>
        <v>0</v>
      </c>
      <c r="Q154" s="22"/>
      <c r="R154" s="53"/>
    </row>
    <row r="155" spans="1:18" ht="409.6" hidden="1" thickTop="1" thickBot="1" x14ac:dyDescent="0.7">
      <c r="A155" s="921" t="s">
        <v>1091</v>
      </c>
      <c r="B155" s="921" t="s">
        <v>1092</v>
      </c>
      <c r="C155" s="921" t="s">
        <v>50</v>
      </c>
      <c r="D155" s="554" t="s">
        <v>1088</v>
      </c>
      <c r="E155" s="897">
        <f t="shared" ref="E155:E158" si="112">F155</f>
        <v>0</v>
      </c>
      <c r="F155" s="897"/>
      <c r="G155" s="897"/>
      <c r="H155" s="897"/>
      <c r="I155" s="897"/>
      <c r="J155" s="897">
        <f t="shared" ref="J155:J158" si="113">L155+O155</f>
        <v>0</v>
      </c>
      <c r="K155" s="937">
        <v>0</v>
      </c>
      <c r="L155" s="922"/>
      <c r="M155" s="922"/>
      <c r="N155" s="922"/>
      <c r="O155" s="937">
        <f t="shared" ref="O155:O158" si="114">K155</f>
        <v>0</v>
      </c>
      <c r="P155" s="922">
        <f t="shared" ref="P155:P158" si="115">E155+J155</f>
        <v>0</v>
      </c>
      <c r="Q155" s="932"/>
      <c r="R155" s="938"/>
    </row>
    <row r="156" spans="1:18" ht="409.6" hidden="1" thickTop="1" thickBot="1" x14ac:dyDescent="0.25">
      <c r="A156" s="923"/>
      <c r="B156" s="923"/>
      <c r="C156" s="923"/>
      <c r="D156" s="555" t="s">
        <v>1089</v>
      </c>
      <c r="E156" s="924"/>
      <c r="F156" s="924"/>
      <c r="G156" s="924"/>
      <c r="H156" s="924"/>
      <c r="I156" s="924"/>
      <c r="J156" s="924"/>
      <c r="K156" s="923"/>
      <c r="L156" s="923"/>
      <c r="M156" s="923"/>
      <c r="N156" s="923"/>
      <c r="O156" s="923"/>
      <c r="P156" s="923"/>
      <c r="Q156" s="932"/>
      <c r="R156" s="939"/>
    </row>
    <row r="157" spans="1:18" ht="409.6" hidden="1" thickTop="1" thickBot="1" x14ac:dyDescent="0.25">
      <c r="A157" s="900"/>
      <c r="B157" s="900"/>
      <c r="C157" s="900"/>
      <c r="D157" s="556" t="s">
        <v>1090</v>
      </c>
      <c r="E157" s="925"/>
      <c r="F157" s="925"/>
      <c r="G157" s="925"/>
      <c r="H157" s="925"/>
      <c r="I157" s="925"/>
      <c r="J157" s="925"/>
      <c r="K157" s="900"/>
      <c r="L157" s="900"/>
      <c r="M157" s="900"/>
      <c r="N157" s="900"/>
      <c r="O157" s="900"/>
      <c r="P157" s="900"/>
      <c r="Q157" s="932"/>
      <c r="R157" s="939"/>
    </row>
    <row r="158" spans="1:18" ht="409.6" hidden="1" thickTop="1" thickBot="1" x14ac:dyDescent="0.7">
      <c r="A158" s="921" t="s">
        <v>1097</v>
      </c>
      <c r="B158" s="921" t="s">
        <v>1098</v>
      </c>
      <c r="C158" s="921" t="s">
        <v>50</v>
      </c>
      <c r="D158" s="554" t="s">
        <v>1093</v>
      </c>
      <c r="E158" s="897">
        <f t="shared" si="112"/>
        <v>0</v>
      </c>
      <c r="F158" s="897"/>
      <c r="G158" s="897"/>
      <c r="H158" s="897"/>
      <c r="I158" s="897"/>
      <c r="J158" s="897">
        <f t="shared" si="113"/>
        <v>0</v>
      </c>
      <c r="K158" s="937">
        <v>0</v>
      </c>
      <c r="L158" s="922"/>
      <c r="M158" s="922"/>
      <c r="N158" s="922"/>
      <c r="O158" s="922">
        <f t="shared" si="114"/>
        <v>0</v>
      </c>
      <c r="P158" s="922">
        <f t="shared" si="115"/>
        <v>0</v>
      </c>
      <c r="Q158" s="22"/>
      <c r="R158" s="938"/>
    </row>
    <row r="159" spans="1:18" ht="409.6" hidden="1" thickTop="1" thickBot="1" x14ac:dyDescent="0.25">
      <c r="A159" s="923"/>
      <c r="B159" s="923"/>
      <c r="C159" s="923"/>
      <c r="D159" s="555" t="s">
        <v>1094</v>
      </c>
      <c r="E159" s="924"/>
      <c r="F159" s="924"/>
      <c r="G159" s="924"/>
      <c r="H159" s="924"/>
      <c r="I159" s="924"/>
      <c r="J159" s="924"/>
      <c r="K159" s="923"/>
      <c r="L159" s="923"/>
      <c r="M159" s="923"/>
      <c r="N159" s="923"/>
      <c r="O159" s="923"/>
      <c r="P159" s="923"/>
      <c r="Q159" s="22"/>
      <c r="R159" s="940"/>
    </row>
    <row r="160" spans="1:18" ht="409.6" hidden="1" thickTop="1" thickBot="1" x14ac:dyDescent="0.25">
      <c r="A160" s="923"/>
      <c r="B160" s="923"/>
      <c r="C160" s="923"/>
      <c r="D160" s="555" t="s">
        <v>1095</v>
      </c>
      <c r="E160" s="924"/>
      <c r="F160" s="924"/>
      <c r="G160" s="924"/>
      <c r="H160" s="924"/>
      <c r="I160" s="924"/>
      <c r="J160" s="924"/>
      <c r="K160" s="923"/>
      <c r="L160" s="923"/>
      <c r="M160" s="923"/>
      <c r="N160" s="923"/>
      <c r="O160" s="923"/>
      <c r="P160" s="923"/>
      <c r="Q160" s="22"/>
      <c r="R160" s="940"/>
    </row>
    <row r="161" spans="1:18" ht="184.5" hidden="1" thickTop="1" thickBot="1" x14ac:dyDescent="0.25">
      <c r="A161" s="900"/>
      <c r="B161" s="900"/>
      <c r="C161" s="900"/>
      <c r="D161" s="556" t="s">
        <v>1096</v>
      </c>
      <c r="E161" s="925"/>
      <c r="F161" s="925"/>
      <c r="G161" s="925"/>
      <c r="H161" s="925"/>
      <c r="I161" s="925"/>
      <c r="J161" s="925"/>
      <c r="K161" s="900"/>
      <c r="L161" s="900"/>
      <c r="M161" s="900"/>
      <c r="N161" s="900"/>
      <c r="O161" s="900"/>
      <c r="P161" s="900"/>
      <c r="Q161" s="22"/>
      <c r="R161" s="940"/>
    </row>
    <row r="162" spans="1:18" ht="409.6" hidden="1" thickTop="1" thickBot="1" x14ac:dyDescent="0.7">
      <c r="A162" s="921" t="s">
        <v>1099</v>
      </c>
      <c r="B162" s="921" t="s">
        <v>1100</v>
      </c>
      <c r="C162" s="921" t="s">
        <v>50</v>
      </c>
      <c r="D162" s="554" t="s">
        <v>1101</v>
      </c>
      <c r="E162" s="897">
        <f t="shared" ref="E162" si="116">F162</f>
        <v>0</v>
      </c>
      <c r="F162" s="897"/>
      <c r="G162" s="897"/>
      <c r="H162" s="897"/>
      <c r="I162" s="897"/>
      <c r="J162" s="897">
        <f t="shared" ref="J162" si="117">L162+O162</f>
        <v>0</v>
      </c>
      <c r="K162" s="937">
        <v>0</v>
      </c>
      <c r="L162" s="922"/>
      <c r="M162" s="922"/>
      <c r="N162" s="922"/>
      <c r="O162" s="937">
        <f t="shared" ref="O162" si="118">K162</f>
        <v>0</v>
      </c>
      <c r="P162" s="922">
        <f t="shared" ref="P162" si="119">E162+J162</f>
        <v>0</v>
      </c>
      <c r="Q162" s="22"/>
      <c r="R162" s="938"/>
    </row>
    <row r="163" spans="1:18" ht="409.6" hidden="1" thickTop="1" thickBot="1" x14ac:dyDescent="0.25">
      <c r="A163" s="923"/>
      <c r="B163" s="923"/>
      <c r="C163" s="923"/>
      <c r="D163" s="555" t="s">
        <v>1102</v>
      </c>
      <c r="E163" s="924"/>
      <c r="F163" s="924"/>
      <c r="G163" s="924"/>
      <c r="H163" s="924"/>
      <c r="I163" s="924"/>
      <c r="J163" s="924"/>
      <c r="K163" s="923"/>
      <c r="L163" s="923"/>
      <c r="M163" s="923"/>
      <c r="N163" s="923"/>
      <c r="O163" s="923"/>
      <c r="P163" s="923"/>
      <c r="Q163" s="22"/>
      <c r="R163" s="939"/>
    </row>
    <row r="164" spans="1:18" ht="138.75" hidden="1" thickTop="1" thickBot="1" x14ac:dyDescent="0.25">
      <c r="A164" s="900"/>
      <c r="B164" s="900"/>
      <c r="C164" s="900"/>
      <c r="D164" s="556" t="s">
        <v>1103</v>
      </c>
      <c r="E164" s="925"/>
      <c r="F164" s="925"/>
      <c r="G164" s="925"/>
      <c r="H164" s="925"/>
      <c r="I164" s="925"/>
      <c r="J164" s="925"/>
      <c r="K164" s="900"/>
      <c r="L164" s="900"/>
      <c r="M164" s="900"/>
      <c r="N164" s="900"/>
      <c r="O164" s="900"/>
      <c r="P164" s="900"/>
      <c r="Q164" s="22"/>
      <c r="R164" s="939"/>
    </row>
    <row r="165" spans="1:18" ht="409.6" hidden="1" thickTop="1" thickBot="1" x14ac:dyDescent="0.7">
      <c r="A165" s="921" t="s">
        <v>1107</v>
      </c>
      <c r="B165" s="921" t="s">
        <v>1108</v>
      </c>
      <c r="C165" s="921" t="s">
        <v>50</v>
      </c>
      <c r="D165" s="554" t="s">
        <v>1104</v>
      </c>
      <c r="E165" s="897">
        <f t="shared" ref="E165" si="120">F165</f>
        <v>0</v>
      </c>
      <c r="F165" s="897"/>
      <c r="G165" s="897"/>
      <c r="H165" s="897"/>
      <c r="I165" s="897"/>
      <c r="J165" s="897">
        <f t="shared" ref="J165" si="121">L165+O165</f>
        <v>0</v>
      </c>
      <c r="K165" s="937">
        <v>0</v>
      </c>
      <c r="L165" s="922"/>
      <c r="M165" s="922"/>
      <c r="N165" s="922"/>
      <c r="O165" s="937">
        <f t="shared" ref="O165" si="122">K165</f>
        <v>0</v>
      </c>
      <c r="P165" s="922">
        <f t="shared" ref="P165" si="123">E165+J165</f>
        <v>0</v>
      </c>
      <c r="Q165" s="22"/>
      <c r="R165" s="938"/>
    </row>
    <row r="166" spans="1:18" ht="409.6" hidden="1" customHeight="1" thickBot="1" x14ac:dyDescent="0.25">
      <c r="A166" s="923"/>
      <c r="B166" s="923"/>
      <c r="C166" s="923"/>
      <c r="D166" s="555" t="s">
        <v>1105</v>
      </c>
      <c r="E166" s="924"/>
      <c r="F166" s="924"/>
      <c r="G166" s="924"/>
      <c r="H166" s="924"/>
      <c r="I166" s="924"/>
      <c r="J166" s="924"/>
      <c r="K166" s="923"/>
      <c r="L166" s="923"/>
      <c r="M166" s="923"/>
      <c r="N166" s="923"/>
      <c r="O166" s="923"/>
      <c r="P166" s="923"/>
      <c r="Q166" s="22"/>
      <c r="R166" s="939"/>
    </row>
    <row r="167" spans="1:18" ht="93" hidden="1" thickTop="1" thickBot="1" x14ac:dyDescent="0.25">
      <c r="A167" s="900"/>
      <c r="B167" s="900"/>
      <c r="C167" s="900"/>
      <c r="D167" s="556" t="s">
        <v>1106</v>
      </c>
      <c r="E167" s="925"/>
      <c r="F167" s="925"/>
      <c r="G167" s="925"/>
      <c r="H167" s="925"/>
      <c r="I167" s="925"/>
      <c r="J167" s="925"/>
      <c r="K167" s="900"/>
      <c r="L167" s="900"/>
      <c r="M167" s="900"/>
      <c r="N167" s="900"/>
      <c r="O167" s="900"/>
      <c r="P167" s="900"/>
      <c r="Q167" s="22"/>
      <c r="R167" s="939"/>
    </row>
    <row r="168" spans="1:18" ht="230.25" thickTop="1" thickBot="1" x14ac:dyDescent="0.25">
      <c r="A168" s="808" t="s">
        <v>1252</v>
      </c>
      <c r="B168" s="808" t="s">
        <v>1249</v>
      </c>
      <c r="C168" s="808" t="s">
        <v>211</v>
      </c>
      <c r="D168" s="470" t="s">
        <v>1250</v>
      </c>
      <c r="E168" s="800">
        <f t="shared" ref="E168" si="124">F168</f>
        <v>7631150</v>
      </c>
      <c r="F168" s="389">
        <f>(5000000)+107700+50000+199000+1089450+400000+1310000-525000</f>
        <v>7631150</v>
      </c>
      <c r="G168" s="389"/>
      <c r="H168" s="389"/>
      <c r="I168" s="389"/>
      <c r="J168" s="816">
        <f t="shared" ref="J168" si="125">L168+O168</f>
        <v>57008848</v>
      </c>
      <c r="K168" s="389">
        <f>(5000000)+(40318548-107700-400000+9300000)+1000000+350000+98000+1450000</f>
        <v>57008848</v>
      </c>
      <c r="L168" s="389"/>
      <c r="M168" s="389"/>
      <c r="N168" s="389"/>
      <c r="O168" s="810">
        <f t="shared" ref="O168" si="126">K168</f>
        <v>57008848</v>
      </c>
      <c r="P168" s="816">
        <f>E168+J168</f>
        <v>64639998</v>
      </c>
      <c r="Q168" s="22"/>
      <c r="R168" s="799"/>
    </row>
    <row r="169" spans="1:18" s="35" customFormat="1" ht="48" thickTop="1" thickBot="1" x14ac:dyDescent="0.25">
      <c r="A169" s="455" t="s">
        <v>747</v>
      </c>
      <c r="B169" s="455" t="s">
        <v>748</v>
      </c>
      <c r="C169" s="455"/>
      <c r="D169" s="455" t="s">
        <v>749</v>
      </c>
      <c r="E169" s="440">
        <f>SUM(E170:E171)</f>
        <v>56095389</v>
      </c>
      <c r="F169" s="440">
        <f t="shared" ref="F169:P169" si="127">SUM(F170:F171)</f>
        <v>56095389</v>
      </c>
      <c r="G169" s="440">
        <f t="shared" si="127"/>
        <v>8112064</v>
      </c>
      <c r="H169" s="440">
        <f t="shared" si="127"/>
        <v>1461947</v>
      </c>
      <c r="I169" s="440">
        <f t="shared" si="127"/>
        <v>0</v>
      </c>
      <c r="J169" s="440">
        <f t="shared" si="127"/>
        <v>26964059</v>
      </c>
      <c r="K169" s="440">
        <f t="shared" si="127"/>
        <v>19402530</v>
      </c>
      <c r="L169" s="440">
        <f t="shared" si="127"/>
        <v>7486529</v>
      </c>
      <c r="M169" s="440">
        <f t="shared" si="127"/>
        <v>1823040</v>
      </c>
      <c r="N169" s="440">
        <f t="shared" si="127"/>
        <v>703110</v>
      </c>
      <c r="O169" s="440">
        <f t="shared" si="127"/>
        <v>19477530</v>
      </c>
      <c r="P169" s="440">
        <f t="shared" si="127"/>
        <v>83059448</v>
      </c>
      <c r="Q169" s="39"/>
      <c r="R169" s="54"/>
    </row>
    <row r="170" spans="1:18" ht="184.5" thickTop="1" thickBot="1" x14ac:dyDescent="0.25">
      <c r="A170" s="808" t="s">
        <v>332</v>
      </c>
      <c r="B170" s="808" t="s">
        <v>334</v>
      </c>
      <c r="C170" s="808" t="s">
        <v>196</v>
      </c>
      <c r="D170" s="470" t="s">
        <v>336</v>
      </c>
      <c r="E170" s="816">
        <f t="shared" si="102"/>
        <v>17924290</v>
      </c>
      <c r="F170" s="389">
        <f>((14017567)+840600+184900+2193237+128340+53992+40000+248684+133000+37300)+46670</f>
        <v>17924290</v>
      </c>
      <c r="G170" s="441">
        <f>(2640302+2693831+1937331)+840600</f>
        <v>8112064</v>
      </c>
      <c r="H170" s="441">
        <f>(31650+235100+40550+93360+440000+207240+260480+25227)+128340</f>
        <v>1461947</v>
      </c>
      <c r="I170" s="389"/>
      <c r="J170" s="816">
        <f t="shared" ref="J170:J183" si="128">L170+O170</f>
        <v>8510059</v>
      </c>
      <c r="K170" s="389">
        <f>(496940)+451590</f>
        <v>948530</v>
      </c>
      <c r="L170" s="389">
        <f>(1000000+211210)+1468040+322969+220000+57650+3663660+190000+350000+3000</f>
        <v>7486529</v>
      </c>
      <c r="M170" s="389">
        <f>(350000+5000)+1468040</f>
        <v>1823040</v>
      </c>
      <c r="N170" s="389">
        <f>(158000+195110)+350000</f>
        <v>703110</v>
      </c>
      <c r="O170" s="810">
        <f>(K170)+75000</f>
        <v>1023530</v>
      </c>
      <c r="P170" s="816">
        <f t="shared" ref="P170:P183" si="129">E170+J170</f>
        <v>26434349</v>
      </c>
      <c r="Q170" s="22"/>
      <c r="R170" s="798"/>
    </row>
    <row r="171" spans="1:18" ht="138.75" thickTop="1" thickBot="1" x14ac:dyDescent="0.25">
      <c r="A171" s="808" t="s">
        <v>333</v>
      </c>
      <c r="B171" s="808" t="s">
        <v>335</v>
      </c>
      <c r="C171" s="808" t="s">
        <v>196</v>
      </c>
      <c r="D171" s="470" t="s">
        <v>337</v>
      </c>
      <c r="E171" s="816">
        <f t="shared" si="102"/>
        <v>38171099</v>
      </c>
      <c r="F171" s="389">
        <f>((27546299)-1800000+5000000+14400+50400+500000+598500+250000+11500)+6000000</f>
        <v>38171099</v>
      </c>
      <c r="G171" s="389"/>
      <c r="H171" s="389"/>
      <c r="I171" s="389"/>
      <c r="J171" s="816">
        <f t="shared" si="128"/>
        <v>18454000</v>
      </c>
      <c r="K171" s="389">
        <f>(18038400)+415600</f>
        <v>18454000</v>
      </c>
      <c r="L171" s="389"/>
      <c r="M171" s="389"/>
      <c r="N171" s="389"/>
      <c r="O171" s="810">
        <f t="shared" ref="O171:O183" si="130">K171</f>
        <v>18454000</v>
      </c>
      <c r="P171" s="816">
        <f t="shared" si="129"/>
        <v>56625099</v>
      </c>
      <c r="Q171" s="22"/>
      <c r="R171" s="798"/>
    </row>
    <row r="172" spans="1:18" ht="91.5" thickTop="1" thickBot="1" x14ac:dyDescent="0.25">
      <c r="A172" s="385" t="s">
        <v>750</v>
      </c>
      <c r="B172" s="385" t="s">
        <v>751</v>
      </c>
      <c r="C172" s="385"/>
      <c r="D172" s="536" t="s">
        <v>752</v>
      </c>
      <c r="E172" s="816">
        <f>SUM(E173)</f>
        <v>0</v>
      </c>
      <c r="F172" s="816">
        <f t="shared" ref="F172:P172" si="131">SUM(F173)</f>
        <v>0</v>
      </c>
      <c r="G172" s="816">
        <f t="shared" si="131"/>
        <v>0</v>
      </c>
      <c r="H172" s="816">
        <f t="shared" si="131"/>
        <v>0</v>
      </c>
      <c r="I172" s="816">
        <f t="shared" si="131"/>
        <v>0</v>
      </c>
      <c r="J172" s="816">
        <f>SUM(J173)</f>
        <v>10000000</v>
      </c>
      <c r="K172" s="816">
        <f t="shared" si="131"/>
        <v>10000000</v>
      </c>
      <c r="L172" s="816">
        <f t="shared" si="131"/>
        <v>0</v>
      </c>
      <c r="M172" s="816">
        <f t="shared" si="131"/>
        <v>0</v>
      </c>
      <c r="N172" s="816">
        <f t="shared" si="131"/>
        <v>0</v>
      </c>
      <c r="O172" s="816">
        <f t="shared" si="131"/>
        <v>10000000</v>
      </c>
      <c r="P172" s="816">
        <f t="shared" si="131"/>
        <v>10000000</v>
      </c>
      <c r="Q172" s="22"/>
      <c r="R172" s="798"/>
    </row>
    <row r="173" spans="1:18" s="35" customFormat="1" ht="93" thickTop="1" thickBot="1" x14ac:dyDescent="0.25">
      <c r="A173" s="455" t="s">
        <v>753</v>
      </c>
      <c r="B173" s="455" t="s">
        <v>754</v>
      </c>
      <c r="C173" s="455"/>
      <c r="D173" s="557" t="s">
        <v>755</v>
      </c>
      <c r="E173" s="440">
        <f>SUM(E174:E175)</f>
        <v>0</v>
      </c>
      <c r="F173" s="440">
        <f>SUM(F174:F175)</f>
        <v>0</v>
      </c>
      <c r="G173" s="440">
        <f>SUM(G174:G175)</f>
        <v>0</v>
      </c>
      <c r="H173" s="440">
        <f>SUM(H174:H175)</f>
        <v>0</v>
      </c>
      <c r="I173" s="440">
        <f>SUM(I174:I175)</f>
        <v>0</v>
      </c>
      <c r="J173" s="440">
        <f t="shared" ref="J173:O173" si="132">SUM(J174:J175)</f>
        <v>10000000</v>
      </c>
      <c r="K173" s="440">
        <f t="shared" si="132"/>
        <v>10000000</v>
      </c>
      <c r="L173" s="440">
        <f t="shared" si="132"/>
        <v>0</v>
      </c>
      <c r="M173" s="440">
        <f t="shared" si="132"/>
        <v>0</v>
      </c>
      <c r="N173" s="440">
        <f t="shared" si="132"/>
        <v>0</v>
      </c>
      <c r="O173" s="440">
        <f t="shared" si="132"/>
        <v>10000000</v>
      </c>
      <c r="P173" s="440">
        <f>SUM(P174:P175)</f>
        <v>10000000</v>
      </c>
      <c r="Q173" s="39"/>
      <c r="R173" s="55"/>
    </row>
    <row r="174" spans="1:18" ht="138.75" thickTop="1" thickBot="1" x14ac:dyDescent="0.25">
      <c r="A174" s="808" t="s">
        <v>372</v>
      </c>
      <c r="B174" s="808" t="s">
        <v>370</v>
      </c>
      <c r="C174" s="808" t="s">
        <v>345</v>
      </c>
      <c r="D174" s="470" t="s">
        <v>371</v>
      </c>
      <c r="E174" s="816">
        <f t="shared" si="102"/>
        <v>0</v>
      </c>
      <c r="F174" s="389"/>
      <c r="G174" s="389"/>
      <c r="H174" s="389"/>
      <c r="I174" s="389"/>
      <c r="J174" s="816">
        <f t="shared" si="128"/>
        <v>10000000</v>
      </c>
      <c r="K174" s="389">
        <v>10000000</v>
      </c>
      <c r="L174" s="389"/>
      <c r="M174" s="389"/>
      <c r="N174" s="389"/>
      <c r="O174" s="810">
        <f t="shared" si="130"/>
        <v>10000000</v>
      </c>
      <c r="P174" s="816">
        <f t="shared" si="129"/>
        <v>10000000</v>
      </c>
      <c r="Q174" s="22"/>
      <c r="R174" s="798"/>
    </row>
    <row r="175" spans="1:18" ht="409.6" hidden="1" thickTop="1" thickBot="1" x14ac:dyDescent="0.25">
      <c r="A175" s="803" t="s">
        <v>1109</v>
      </c>
      <c r="B175" s="803" t="s">
        <v>1110</v>
      </c>
      <c r="C175" s="803" t="s">
        <v>345</v>
      </c>
      <c r="D175" s="188" t="s">
        <v>1111</v>
      </c>
      <c r="E175" s="804">
        <f t="shared" si="102"/>
        <v>0</v>
      </c>
      <c r="F175" s="46"/>
      <c r="G175" s="46"/>
      <c r="H175" s="46"/>
      <c r="I175" s="46"/>
      <c r="J175" s="804">
        <f t="shared" si="128"/>
        <v>0</v>
      </c>
      <c r="K175" s="46">
        <v>0</v>
      </c>
      <c r="L175" s="46"/>
      <c r="M175" s="46"/>
      <c r="N175" s="46"/>
      <c r="O175" s="806">
        <f t="shared" si="130"/>
        <v>0</v>
      </c>
      <c r="P175" s="804">
        <f t="shared" si="129"/>
        <v>0</v>
      </c>
      <c r="Q175" s="22"/>
      <c r="R175" s="798"/>
    </row>
    <row r="176" spans="1:18" ht="47.25" thickTop="1" thickBot="1" x14ac:dyDescent="0.25">
      <c r="A176" s="385" t="s">
        <v>760</v>
      </c>
      <c r="B176" s="385" t="s">
        <v>757</v>
      </c>
      <c r="C176" s="385"/>
      <c r="D176" s="385" t="s">
        <v>758</v>
      </c>
      <c r="E176" s="816">
        <f>E180+E177</f>
        <v>0</v>
      </c>
      <c r="F176" s="816">
        <f t="shared" ref="F176:P176" si="133">F180+F177</f>
        <v>0</v>
      </c>
      <c r="G176" s="816">
        <f t="shared" si="133"/>
        <v>0</v>
      </c>
      <c r="H176" s="816">
        <f t="shared" si="133"/>
        <v>0</v>
      </c>
      <c r="I176" s="816">
        <f t="shared" si="133"/>
        <v>0</v>
      </c>
      <c r="J176" s="816">
        <f t="shared" si="133"/>
        <v>1000000</v>
      </c>
      <c r="K176" s="816">
        <f t="shared" si="133"/>
        <v>1000000</v>
      </c>
      <c r="L176" s="816">
        <f t="shared" si="133"/>
        <v>0</v>
      </c>
      <c r="M176" s="816">
        <f t="shared" si="133"/>
        <v>0</v>
      </c>
      <c r="N176" s="816">
        <f t="shared" si="133"/>
        <v>0</v>
      </c>
      <c r="O176" s="816">
        <f t="shared" si="133"/>
        <v>1000000</v>
      </c>
      <c r="P176" s="816">
        <f t="shared" si="133"/>
        <v>1000000</v>
      </c>
      <c r="Q176" s="22"/>
      <c r="R176" s="798"/>
    </row>
    <row r="177" spans="1:18" ht="91.5" hidden="1" thickTop="1" thickBot="1" x14ac:dyDescent="0.25">
      <c r="A177" s="170" t="s">
        <v>939</v>
      </c>
      <c r="B177" s="170" t="s">
        <v>813</v>
      </c>
      <c r="C177" s="170"/>
      <c r="D177" s="170" t="s">
        <v>814</v>
      </c>
      <c r="E177" s="171">
        <f>E178</f>
        <v>0</v>
      </c>
      <c r="F177" s="171">
        <f t="shared" ref="F177:P182" si="134">F178</f>
        <v>0</v>
      </c>
      <c r="G177" s="171">
        <f t="shared" si="134"/>
        <v>0</v>
      </c>
      <c r="H177" s="171">
        <f t="shared" si="134"/>
        <v>0</v>
      </c>
      <c r="I177" s="171">
        <f t="shared" si="134"/>
        <v>0</v>
      </c>
      <c r="J177" s="171">
        <f t="shared" si="134"/>
        <v>0</v>
      </c>
      <c r="K177" s="171">
        <f t="shared" si="134"/>
        <v>0</v>
      </c>
      <c r="L177" s="171">
        <f t="shared" si="134"/>
        <v>0</v>
      </c>
      <c r="M177" s="171">
        <f t="shared" si="134"/>
        <v>0</v>
      </c>
      <c r="N177" s="171">
        <f t="shared" si="134"/>
        <v>0</v>
      </c>
      <c r="O177" s="171">
        <f t="shared" si="134"/>
        <v>0</v>
      </c>
      <c r="P177" s="171">
        <f t="shared" si="134"/>
        <v>0</v>
      </c>
      <c r="Q177" s="22"/>
      <c r="R177" s="798"/>
    </row>
    <row r="178" spans="1:18" ht="146.25" hidden="1" thickTop="1" thickBot="1" x14ac:dyDescent="0.25">
      <c r="A178" s="174" t="s">
        <v>936</v>
      </c>
      <c r="B178" s="174" t="s">
        <v>831</v>
      </c>
      <c r="C178" s="174"/>
      <c r="D178" s="174" t="s">
        <v>1287</v>
      </c>
      <c r="E178" s="175">
        <f>E179</f>
        <v>0</v>
      </c>
      <c r="F178" s="175">
        <f t="shared" si="134"/>
        <v>0</v>
      </c>
      <c r="G178" s="175">
        <f t="shared" si="134"/>
        <v>0</v>
      </c>
      <c r="H178" s="175">
        <f t="shared" si="134"/>
        <v>0</v>
      </c>
      <c r="I178" s="175">
        <f t="shared" si="134"/>
        <v>0</v>
      </c>
      <c r="J178" s="175">
        <f t="shared" si="134"/>
        <v>0</v>
      </c>
      <c r="K178" s="175">
        <f t="shared" si="134"/>
        <v>0</v>
      </c>
      <c r="L178" s="175">
        <f t="shared" si="134"/>
        <v>0</v>
      </c>
      <c r="M178" s="175">
        <f t="shared" si="134"/>
        <v>0</v>
      </c>
      <c r="N178" s="175">
        <f t="shared" si="134"/>
        <v>0</v>
      </c>
      <c r="O178" s="175">
        <f t="shared" si="134"/>
        <v>0</v>
      </c>
      <c r="P178" s="175">
        <f t="shared" si="134"/>
        <v>0</v>
      </c>
      <c r="Q178" s="22"/>
      <c r="R178" s="798"/>
    </row>
    <row r="179" spans="1:18" ht="99.75" hidden="1" thickTop="1" thickBot="1" x14ac:dyDescent="0.25">
      <c r="A179" s="805" t="s">
        <v>937</v>
      </c>
      <c r="B179" s="805" t="s">
        <v>938</v>
      </c>
      <c r="C179" s="805" t="s">
        <v>309</v>
      </c>
      <c r="D179" s="805" t="s">
        <v>1288</v>
      </c>
      <c r="E179" s="807">
        <f>E180</f>
        <v>0</v>
      </c>
      <c r="F179" s="168"/>
      <c r="G179" s="168"/>
      <c r="H179" s="168"/>
      <c r="I179" s="168"/>
      <c r="J179" s="807">
        <f>L179+O179</f>
        <v>0</v>
      </c>
      <c r="K179" s="168">
        <f>(2296400)-2296400</f>
        <v>0</v>
      </c>
      <c r="L179" s="168"/>
      <c r="M179" s="168"/>
      <c r="N179" s="168"/>
      <c r="O179" s="801">
        <f>K179</f>
        <v>0</v>
      </c>
      <c r="P179" s="807">
        <f>E179+J179</f>
        <v>0</v>
      </c>
      <c r="Q179" s="22"/>
      <c r="R179" s="798"/>
    </row>
    <row r="180" spans="1:18" ht="136.5" thickTop="1" thickBot="1" x14ac:dyDescent="0.25">
      <c r="A180" s="387" t="s">
        <v>762</v>
      </c>
      <c r="B180" s="387" t="s">
        <v>700</v>
      </c>
      <c r="C180" s="387"/>
      <c r="D180" s="387" t="s">
        <v>698</v>
      </c>
      <c r="E180" s="391">
        <f>E182+E181</f>
        <v>0</v>
      </c>
      <c r="F180" s="391">
        <f t="shared" ref="F180:I180" si="135">F182+F181</f>
        <v>0</v>
      </c>
      <c r="G180" s="391">
        <f t="shared" si="135"/>
        <v>0</v>
      </c>
      <c r="H180" s="391">
        <f t="shared" si="135"/>
        <v>0</v>
      </c>
      <c r="I180" s="391">
        <f t="shared" si="135"/>
        <v>0</v>
      </c>
      <c r="J180" s="391">
        <f>J182+J181</f>
        <v>1000000</v>
      </c>
      <c r="K180" s="391">
        <f t="shared" ref="K180:O180" si="136">K182+K181</f>
        <v>1000000</v>
      </c>
      <c r="L180" s="391">
        <f t="shared" si="136"/>
        <v>0</v>
      </c>
      <c r="M180" s="391">
        <f t="shared" si="136"/>
        <v>0</v>
      </c>
      <c r="N180" s="391">
        <f t="shared" si="136"/>
        <v>0</v>
      </c>
      <c r="O180" s="391">
        <f t="shared" si="136"/>
        <v>1000000</v>
      </c>
      <c r="P180" s="391">
        <f>P182+P181</f>
        <v>1000000</v>
      </c>
      <c r="Q180" s="22"/>
      <c r="R180" s="798"/>
    </row>
    <row r="181" spans="1:18" ht="48" thickTop="1" thickBot="1" x14ac:dyDescent="0.25">
      <c r="A181" s="808" t="s">
        <v>1415</v>
      </c>
      <c r="B181" s="808" t="s">
        <v>217</v>
      </c>
      <c r="C181" s="808" t="s">
        <v>218</v>
      </c>
      <c r="D181" s="808" t="s">
        <v>41</v>
      </c>
      <c r="E181" s="816">
        <f t="shared" ref="E181" si="137">F181</f>
        <v>0</v>
      </c>
      <c r="F181" s="389"/>
      <c r="G181" s="389"/>
      <c r="H181" s="389"/>
      <c r="I181" s="389"/>
      <c r="J181" s="816">
        <f t="shared" ref="J181" si="138">L181+O181</f>
        <v>1000000</v>
      </c>
      <c r="K181" s="389">
        <f>300000+700000</f>
        <v>1000000</v>
      </c>
      <c r="L181" s="389"/>
      <c r="M181" s="389"/>
      <c r="N181" s="389"/>
      <c r="O181" s="810">
        <f t="shared" ref="O181" si="139">K181</f>
        <v>1000000</v>
      </c>
      <c r="P181" s="816">
        <f t="shared" ref="P181" si="140">E181+J181</f>
        <v>1000000</v>
      </c>
      <c r="Q181" s="22"/>
      <c r="R181" s="798"/>
    </row>
    <row r="182" spans="1:18" ht="48" hidden="1" thickTop="1" thickBot="1" x14ac:dyDescent="0.25">
      <c r="A182" s="174" t="s">
        <v>761</v>
      </c>
      <c r="B182" s="174" t="s">
        <v>703</v>
      </c>
      <c r="C182" s="174"/>
      <c r="D182" s="187" t="s">
        <v>701</v>
      </c>
      <c r="E182" s="175">
        <f>E183</f>
        <v>0</v>
      </c>
      <c r="F182" s="175">
        <f t="shared" si="134"/>
        <v>0</v>
      </c>
      <c r="G182" s="175">
        <f t="shared" si="134"/>
        <v>0</v>
      </c>
      <c r="H182" s="175">
        <f t="shared" si="134"/>
        <v>0</v>
      </c>
      <c r="I182" s="175">
        <f t="shared" si="134"/>
        <v>0</v>
      </c>
      <c r="J182" s="175">
        <f t="shared" si="134"/>
        <v>0</v>
      </c>
      <c r="K182" s="175">
        <f t="shared" si="134"/>
        <v>0</v>
      </c>
      <c r="L182" s="175">
        <f t="shared" si="134"/>
        <v>0</v>
      </c>
      <c r="M182" s="175">
        <f t="shared" si="134"/>
        <v>0</v>
      </c>
      <c r="N182" s="175">
        <f t="shared" si="134"/>
        <v>0</v>
      </c>
      <c r="O182" s="175">
        <f t="shared" si="134"/>
        <v>0</v>
      </c>
      <c r="P182" s="175">
        <f t="shared" si="134"/>
        <v>0</v>
      </c>
      <c r="Q182" s="22"/>
      <c r="R182" s="798"/>
    </row>
    <row r="183" spans="1:18" ht="409.6" hidden="1" thickTop="1" thickBot="1" x14ac:dyDescent="0.7">
      <c r="A183" s="918" t="s">
        <v>428</v>
      </c>
      <c r="B183" s="918" t="s">
        <v>343</v>
      </c>
      <c r="C183" s="918" t="s">
        <v>171</v>
      </c>
      <c r="D183" s="189" t="s">
        <v>445</v>
      </c>
      <c r="E183" s="920">
        <f t="shared" si="102"/>
        <v>0</v>
      </c>
      <c r="F183" s="916"/>
      <c r="G183" s="916"/>
      <c r="H183" s="916"/>
      <c r="I183" s="916"/>
      <c r="J183" s="920">
        <f t="shared" si="128"/>
        <v>0</v>
      </c>
      <c r="K183" s="916"/>
      <c r="L183" s="916"/>
      <c r="M183" s="916"/>
      <c r="N183" s="916"/>
      <c r="O183" s="943">
        <f t="shared" si="130"/>
        <v>0</v>
      </c>
      <c r="P183" s="945">
        <f t="shared" si="129"/>
        <v>0</v>
      </c>
      <c r="Q183" s="22"/>
      <c r="R183" s="53"/>
    </row>
    <row r="184" spans="1:18" ht="184.5" hidden="1" thickTop="1" thickBot="1" x14ac:dyDescent="0.25">
      <c r="A184" s="919"/>
      <c r="B184" s="927"/>
      <c r="C184" s="919"/>
      <c r="D184" s="190" t="s">
        <v>446</v>
      </c>
      <c r="E184" s="919"/>
      <c r="F184" s="917"/>
      <c r="G184" s="917"/>
      <c r="H184" s="917"/>
      <c r="I184" s="917"/>
      <c r="J184" s="919"/>
      <c r="K184" s="919"/>
      <c r="L184" s="917"/>
      <c r="M184" s="917"/>
      <c r="N184" s="917"/>
      <c r="O184" s="944"/>
      <c r="P184" s="946"/>
      <c r="Q184" s="22"/>
      <c r="R184" s="53"/>
    </row>
    <row r="185" spans="1:18" ht="181.5" thickTop="1" thickBot="1" x14ac:dyDescent="0.25">
      <c r="A185" s="460">
        <v>1000000</v>
      </c>
      <c r="B185" s="460"/>
      <c r="C185" s="460"/>
      <c r="D185" s="461" t="s">
        <v>24</v>
      </c>
      <c r="E185" s="463">
        <f>E186</f>
        <v>155787724</v>
      </c>
      <c r="F185" s="462">
        <f t="shared" ref="F185:G185" si="141">F186</f>
        <v>155787724</v>
      </c>
      <c r="G185" s="462">
        <f t="shared" si="141"/>
        <v>109636660</v>
      </c>
      <c r="H185" s="462">
        <f>H186</f>
        <v>8494910</v>
      </c>
      <c r="I185" s="462">
        <f>I186</f>
        <v>0</v>
      </c>
      <c r="J185" s="463">
        <f>J186</f>
        <v>12949314</v>
      </c>
      <c r="K185" s="462">
        <f>K186</f>
        <v>3637859</v>
      </c>
      <c r="L185" s="462">
        <f>L186</f>
        <v>9125775</v>
      </c>
      <c r="M185" s="462">
        <f t="shared" ref="M185" si="142">M186</f>
        <v>6635445</v>
      </c>
      <c r="N185" s="462">
        <f>N186</f>
        <v>290560</v>
      </c>
      <c r="O185" s="463">
        <f>O186</f>
        <v>3823539</v>
      </c>
      <c r="P185" s="462">
        <f t="shared" ref="P185" si="143">P186</f>
        <v>168737038</v>
      </c>
      <c r="Q185" s="22"/>
    </row>
    <row r="186" spans="1:18" ht="181.5" thickTop="1" thickBot="1" x14ac:dyDescent="0.25">
      <c r="A186" s="464">
        <v>1010000</v>
      </c>
      <c r="B186" s="464"/>
      <c r="C186" s="464"/>
      <c r="D186" s="465" t="s">
        <v>39</v>
      </c>
      <c r="E186" s="466">
        <f>E187+E189+E204+E198</f>
        <v>155787724</v>
      </c>
      <c r="F186" s="466">
        <f>F187+F189+F204+F198</f>
        <v>155787724</v>
      </c>
      <c r="G186" s="466">
        <f>G187+G189+G204+G198</f>
        <v>109636660</v>
      </c>
      <c r="H186" s="466">
        <f>H187+H189+H204+H198</f>
        <v>8494910</v>
      </c>
      <c r="I186" s="466">
        <f>I187+I189+I204+I198</f>
        <v>0</v>
      </c>
      <c r="J186" s="466">
        <f t="shared" ref="J186:J197" si="144">L186+O186</f>
        <v>12949314</v>
      </c>
      <c r="K186" s="466">
        <f>K187+K189+K204+K198</f>
        <v>3637859</v>
      </c>
      <c r="L186" s="466">
        <f>L187+L189+L204+L198</f>
        <v>9125775</v>
      </c>
      <c r="M186" s="466">
        <f>M187+M189+M204+M198</f>
        <v>6635445</v>
      </c>
      <c r="N186" s="466">
        <f>N187+N189+N204+N198</f>
        <v>290560</v>
      </c>
      <c r="O186" s="466">
        <f>O187+O189+O204+O198</f>
        <v>3823539</v>
      </c>
      <c r="P186" s="466">
        <f t="shared" ref="P186:P197" si="145">E186+J186</f>
        <v>168737038</v>
      </c>
      <c r="Q186" s="392" t="b">
        <f>P186=P188+P190+P191+P192+P193+P196+P197+P201+P202+P194</f>
        <v>1</v>
      </c>
      <c r="R186" s="798"/>
    </row>
    <row r="187" spans="1:18" ht="47.25" thickTop="1" thickBot="1" x14ac:dyDescent="0.25">
      <c r="A187" s="385" t="s">
        <v>763</v>
      </c>
      <c r="B187" s="385" t="s">
        <v>717</v>
      </c>
      <c r="C187" s="385"/>
      <c r="D187" s="385" t="s">
        <v>718</v>
      </c>
      <c r="E187" s="816">
        <f>E188</f>
        <v>84585324</v>
      </c>
      <c r="F187" s="816">
        <f t="shared" ref="F187:P187" si="146">F188</f>
        <v>84585324</v>
      </c>
      <c r="G187" s="816">
        <f t="shared" si="146"/>
        <v>64285530</v>
      </c>
      <c r="H187" s="816">
        <f t="shared" si="146"/>
        <v>4817890</v>
      </c>
      <c r="I187" s="816">
        <f t="shared" si="146"/>
        <v>0</v>
      </c>
      <c r="J187" s="816">
        <f t="shared" si="146"/>
        <v>9490717</v>
      </c>
      <c r="K187" s="816">
        <f t="shared" si="146"/>
        <v>1109862</v>
      </c>
      <c r="L187" s="816">
        <f t="shared" si="146"/>
        <v>8300355</v>
      </c>
      <c r="M187" s="816">
        <f t="shared" si="146"/>
        <v>6236945</v>
      </c>
      <c r="N187" s="816">
        <f t="shared" si="146"/>
        <v>219760</v>
      </c>
      <c r="O187" s="816">
        <f t="shared" si="146"/>
        <v>1190362</v>
      </c>
      <c r="P187" s="816">
        <f t="shared" si="146"/>
        <v>94076041</v>
      </c>
      <c r="Q187" s="50"/>
      <c r="R187" s="798"/>
    </row>
    <row r="188" spans="1:18" ht="93" thickTop="1" thickBot="1" x14ac:dyDescent="0.25">
      <c r="A188" s="808" t="s">
        <v>645</v>
      </c>
      <c r="B188" s="808" t="s">
        <v>646</v>
      </c>
      <c r="C188" s="808" t="s">
        <v>186</v>
      </c>
      <c r="D188" s="808" t="s">
        <v>1162</v>
      </c>
      <c r="E188" s="816">
        <f>F188</f>
        <v>84585324</v>
      </c>
      <c r="F188" s="389">
        <f>((84107362)+75000+70050+117335+30000+84500+24640+18420+26600+18490)+12927</f>
        <v>84585324</v>
      </c>
      <c r="G188" s="389">
        <v>64285530</v>
      </c>
      <c r="H188" s="389">
        <f>3908750+56010+676580+140800+35750</f>
        <v>4817890</v>
      </c>
      <c r="I188" s="389"/>
      <c r="J188" s="816">
        <f t="shared" si="144"/>
        <v>9490717</v>
      </c>
      <c r="K188" s="389">
        <f>(108181+51007+290368)+127161+533145</f>
        <v>1109862</v>
      </c>
      <c r="L188" s="389">
        <v>8300355</v>
      </c>
      <c r="M188" s="389">
        <v>6236945</v>
      </c>
      <c r="N188" s="389">
        <v>219760</v>
      </c>
      <c r="O188" s="810">
        <f>(K188+80500)</f>
        <v>1190362</v>
      </c>
      <c r="P188" s="816">
        <f t="shared" si="145"/>
        <v>94076041</v>
      </c>
      <c r="Q188" s="22"/>
      <c r="R188" s="798"/>
    </row>
    <row r="189" spans="1:18" s="26" customFormat="1" ht="47.25" thickTop="1" thickBot="1" x14ac:dyDescent="0.25">
      <c r="A189" s="385" t="s">
        <v>764</v>
      </c>
      <c r="B189" s="385" t="s">
        <v>765</v>
      </c>
      <c r="C189" s="385"/>
      <c r="D189" s="385" t="s">
        <v>766</v>
      </c>
      <c r="E189" s="816">
        <f>SUM(E190:E197)-E195</f>
        <v>70139775</v>
      </c>
      <c r="F189" s="816">
        <f t="shared" ref="F189:P189" si="147">SUM(F190:F197)-F195</f>
        <v>70139775</v>
      </c>
      <c r="G189" s="816">
        <f t="shared" si="147"/>
        <v>45351130</v>
      </c>
      <c r="H189" s="816">
        <f t="shared" si="147"/>
        <v>3677020</v>
      </c>
      <c r="I189" s="816">
        <f t="shared" si="147"/>
        <v>0</v>
      </c>
      <c r="J189" s="816">
        <f t="shared" si="147"/>
        <v>1453580</v>
      </c>
      <c r="K189" s="816">
        <f t="shared" si="147"/>
        <v>522980</v>
      </c>
      <c r="L189" s="816">
        <f t="shared" si="147"/>
        <v>825420</v>
      </c>
      <c r="M189" s="816">
        <f t="shared" si="147"/>
        <v>398500</v>
      </c>
      <c r="N189" s="816">
        <f t="shared" si="147"/>
        <v>70800</v>
      </c>
      <c r="O189" s="816">
        <f t="shared" si="147"/>
        <v>628160</v>
      </c>
      <c r="P189" s="816">
        <f t="shared" si="147"/>
        <v>71593355</v>
      </c>
      <c r="Q189" s="27"/>
      <c r="R189" s="53"/>
    </row>
    <row r="190" spans="1:18" ht="48" thickTop="1" thickBot="1" x14ac:dyDescent="0.25">
      <c r="A190" s="808" t="s">
        <v>172</v>
      </c>
      <c r="B190" s="808" t="s">
        <v>173</v>
      </c>
      <c r="C190" s="808" t="s">
        <v>175</v>
      </c>
      <c r="D190" s="808" t="s">
        <v>176</v>
      </c>
      <c r="E190" s="816">
        <f t="shared" ref="E190:E194" si="148">F190</f>
        <v>1156300</v>
      </c>
      <c r="F190" s="389">
        <v>1156300</v>
      </c>
      <c r="G190" s="389"/>
      <c r="H190" s="389"/>
      <c r="I190" s="389"/>
      <c r="J190" s="816">
        <f t="shared" si="144"/>
        <v>0</v>
      </c>
      <c r="K190" s="389"/>
      <c r="L190" s="389"/>
      <c r="M190" s="389"/>
      <c r="N190" s="389"/>
      <c r="O190" s="810">
        <f t="shared" ref="O190:O197" si="149">K190</f>
        <v>0</v>
      </c>
      <c r="P190" s="816">
        <f t="shared" si="145"/>
        <v>1156300</v>
      </c>
      <c r="Q190" s="22"/>
      <c r="R190" s="53"/>
    </row>
    <row r="191" spans="1:18" ht="93" thickTop="1" thickBot="1" x14ac:dyDescent="0.25">
      <c r="A191" s="808" t="s">
        <v>177</v>
      </c>
      <c r="B191" s="808" t="s">
        <v>178</v>
      </c>
      <c r="C191" s="808" t="s">
        <v>179</v>
      </c>
      <c r="D191" s="808" t="s">
        <v>180</v>
      </c>
      <c r="E191" s="816">
        <f t="shared" si="148"/>
        <v>16416487</v>
      </c>
      <c r="F191" s="389">
        <f>(16118413)+250574+47500</f>
        <v>16416487</v>
      </c>
      <c r="G191" s="389">
        <v>11788315</v>
      </c>
      <c r="H191" s="389">
        <f>893700+15910+218600+34700+26500</f>
        <v>1189410</v>
      </c>
      <c r="I191" s="389"/>
      <c r="J191" s="816">
        <f t="shared" si="144"/>
        <v>134000</v>
      </c>
      <c r="K191" s="389"/>
      <c r="L191" s="389">
        <v>134000</v>
      </c>
      <c r="M191" s="389">
        <v>20500</v>
      </c>
      <c r="N191" s="389">
        <v>21000</v>
      </c>
      <c r="O191" s="810">
        <f t="shared" si="149"/>
        <v>0</v>
      </c>
      <c r="P191" s="816">
        <f t="shared" si="145"/>
        <v>16550487</v>
      </c>
      <c r="Q191" s="22"/>
      <c r="R191" s="798"/>
    </row>
    <row r="192" spans="1:18" ht="93" thickTop="1" thickBot="1" x14ac:dyDescent="0.25">
      <c r="A192" s="808" t="s">
        <v>181</v>
      </c>
      <c r="B192" s="808" t="s">
        <v>182</v>
      </c>
      <c r="C192" s="808" t="s">
        <v>179</v>
      </c>
      <c r="D192" s="808" t="s">
        <v>468</v>
      </c>
      <c r="E192" s="816">
        <f t="shared" si="148"/>
        <v>2515350</v>
      </c>
      <c r="F192" s="389">
        <f>(2464930)+50420</f>
        <v>2515350</v>
      </c>
      <c r="G192" s="389">
        <f>1555565</f>
        <v>1555565</v>
      </c>
      <c r="H192" s="389">
        <f>335800+7790+159800+4800</f>
        <v>508190</v>
      </c>
      <c r="I192" s="389"/>
      <c r="J192" s="816">
        <f t="shared" si="144"/>
        <v>201180</v>
      </c>
      <c r="K192" s="389">
        <v>99580</v>
      </c>
      <c r="L192" s="389">
        <v>101600</v>
      </c>
      <c r="M192" s="389">
        <v>14100</v>
      </c>
      <c r="N192" s="389">
        <v>5700</v>
      </c>
      <c r="O192" s="810">
        <f t="shared" si="149"/>
        <v>99580</v>
      </c>
      <c r="P192" s="816">
        <f t="shared" si="145"/>
        <v>2716530</v>
      </c>
      <c r="Q192" s="22"/>
      <c r="R192" s="798"/>
    </row>
    <row r="193" spans="1:18" ht="184.5" thickTop="1" thickBot="1" x14ac:dyDescent="0.25">
      <c r="A193" s="808" t="s">
        <v>183</v>
      </c>
      <c r="B193" s="808" t="s">
        <v>174</v>
      </c>
      <c r="C193" s="808" t="s">
        <v>184</v>
      </c>
      <c r="D193" s="808" t="s">
        <v>185</v>
      </c>
      <c r="E193" s="816">
        <f t="shared" si="148"/>
        <v>19030730</v>
      </c>
      <c r="F193" s="389">
        <f>(18010605)+14500+7000+271173+567382+380+104000+35690+20000</f>
        <v>19030730</v>
      </c>
      <c r="G193" s="389">
        <v>12568760</v>
      </c>
      <c r="H193" s="389">
        <f>946300+17820+790800+99600+41200</f>
        <v>1895720</v>
      </c>
      <c r="I193" s="389"/>
      <c r="J193" s="816">
        <f t="shared" si="144"/>
        <v>971400</v>
      </c>
      <c r="K193" s="389">
        <f>72000+50000+50000+251400</f>
        <v>423400</v>
      </c>
      <c r="L193" s="389">
        <v>511620</v>
      </c>
      <c r="M193" s="389">
        <v>353500</v>
      </c>
      <c r="N193" s="389">
        <v>44100</v>
      </c>
      <c r="O193" s="810">
        <f>(K193+36380)</f>
        <v>459780</v>
      </c>
      <c r="P193" s="816">
        <f t="shared" si="145"/>
        <v>20002130</v>
      </c>
      <c r="Q193" s="22"/>
      <c r="R193" s="798"/>
    </row>
    <row r="194" spans="1:18" ht="93" thickTop="1" thickBot="1" x14ac:dyDescent="0.25">
      <c r="A194" s="808" t="s">
        <v>1243</v>
      </c>
      <c r="B194" s="808" t="s">
        <v>1244</v>
      </c>
      <c r="C194" s="808" t="s">
        <v>1246</v>
      </c>
      <c r="D194" s="808" t="s">
        <v>1245</v>
      </c>
      <c r="E194" s="816">
        <f t="shared" si="148"/>
        <v>45500</v>
      </c>
      <c r="F194" s="389">
        <v>45500</v>
      </c>
      <c r="G194" s="389"/>
      <c r="H194" s="389"/>
      <c r="I194" s="389"/>
      <c r="J194" s="816">
        <f t="shared" si="144"/>
        <v>0</v>
      </c>
      <c r="K194" s="389"/>
      <c r="L194" s="389"/>
      <c r="M194" s="389"/>
      <c r="N194" s="389"/>
      <c r="O194" s="810">
        <f>(K194)</f>
        <v>0</v>
      </c>
      <c r="P194" s="816">
        <f t="shared" si="145"/>
        <v>45500</v>
      </c>
      <c r="Q194" s="22"/>
      <c r="R194" s="798"/>
    </row>
    <row r="195" spans="1:18" ht="93" thickTop="1" thickBot="1" x14ac:dyDescent="0.25">
      <c r="A195" s="455" t="s">
        <v>767</v>
      </c>
      <c r="B195" s="455" t="s">
        <v>768</v>
      </c>
      <c r="C195" s="455"/>
      <c r="D195" s="455" t="s">
        <v>769</v>
      </c>
      <c r="E195" s="440">
        <f>SUM(E196:E197)</f>
        <v>30975408</v>
      </c>
      <c r="F195" s="440">
        <f t="shared" ref="F195:P195" si="150">SUM(F196:F197)</f>
        <v>30975408</v>
      </c>
      <c r="G195" s="440">
        <f t="shared" si="150"/>
        <v>19438490</v>
      </c>
      <c r="H195" s="440">
        <f t="shared" si="150"/>
        <v>83700</v>
      </c>
      <c r="I195" s="440">
        <f t="shared" si="150"/>
        <v>0</v>
      </c>
      <c r="J195" s="440">
        <f t="shared" si="150"/>
        <v>147000</v>
      </c>
      <c r="K195" s="440">
        <f t="shared" si="150"/>
        <v>0</v>
      </c>
      <c r="L195" s="440">
        <f t="shared" si="150"/>
        <v>78200</v>
      </c>
      <c r="M195" s="440">
        <f t="shared" si="150"/>
        <v>10400</v>
      </c>
      <c r="N195" s="440">
        <f t="shared" si="150"/>
        <v>0</v>
      </c>
      <c r="O195" s="440">
        <f t="shared" si="150"/>
        <v>68800</v>
      </c>
      <c r="P195" s="440">
        <f t="shared" si="150"/>
        <v>31122408</v>
      </c>
      <c r="Q195" s="22"/>
      <c r="R195" s="798"/>
    </row>
    <row r="196" spans="1:18" ht="138.75" thickTop="1" thickBot="1" x14ac:dyDescent="0.25">
      <c r="A196" s="808" t="s">
        <v>338</v>
      </c>
      <c r="B196" s="808" t="s">
        <v>339</v>
      </c>
      <c r="C196" s="808" t="s">
        <v>187</v>
      </c>
      <c r="D196" s="808" t="s">
        <v>469</v>
      </c>
      <c r="E196" s="816">
        <f>F196</f>
        <v>25361387</v>
      </c>
      <c r="F196" s="389">
        <f>(24992887)+368500</f>
        <v>25361387</v>
      </c>
      <c r="G196" s="389">
        <v>19438490</v>
      </c>
      <c r="H196" s="389">
        <f>70300+13000+400</f>
        <v>83700</v>
      </c>
      <c r="I196" s="389"/>
      <c r="J196" s="816">
        <f t="shared" si="144"/>
        <v>147000</v>
      </c>
      <c r="K196" s="389"/>
      <c r="L196" s="389">
        <v>78200</v>
      </c>
      <c r="M196" s="389">
        <v>10400</v>
      </c>
      <c r="N196" s="389"/>
      <c r="O196" s="810">
        <f>(K196)+68800</f>
        <v>68800</v>
      </c>
      <c r="P196" s="816">
        <f t="shared" si="145"/>
        <v>25508387</v>
      </c>
      <c r="Q196" s="22"/>
      <c r="R196" s="798"/>
    </row>
    <row r="197" spans="1:18" ht="93" thickTop="1" thickBot="1" x14ac:dyDescent="0.25">
      <c r="A197" s="808" t="s">
        <v>340</v>
      </c>
      <c r="B197" s="808" t="s">
        <v>341</v>
      </c>
      <c r="C197" s="808" t="s">
        <v>187</v>
      </c>
      <c r="D197" s="808" t="s">
        <v>470</v>
      </c>
      <c r="E197" s="816">
        <f>F197</f>
        <v>5614021</v>
      </c>
      <c r="F197" s="389">
        <f>(5345661)+268360</f>
        <v>5614021</v>
      </c>
      <c r="G197" s="389"/>
      <c r="H197" s="389"/>
      <c r="I197" s="389"/>
      <c r="J197" s="816">
        <f t="shared" si="144"/>
        <v>0</v>
      </c>
      <c r="K197" s="389"/>
      <c r="L197" s="389"/>
      <c r="M197" s="389"/>
      <c r="N197" s="389"/>
      <c r="O197" s="810">
        <f t="shared" si="149"/>
        <v>0</v>
      </c>
      <c r="P197" s="816">
        <f t="shared" si="145"/>
        <v>5614021</v>
      </c>
      <c r="Q197" s="22"/>
      <c r="R197" s="53"/>
    </row>
    <row r="198" spans="1:18" ht="47.25" thickTop="1" thickBot="1" x14ac:dyDescent="0.25">
      <c r="A198" s="385" t="s">
        <v>928</v>
      </c>
      <c r="B198" s="385" t="s">
        <v>757</v>
      </c>
      <c r="C198" s="385"/>
      <c r="D198" s="385" t="s">
        <v>758</v>
      </c>
      <c r="E198" s="816">
        <f>SUM(E199)</f>
        <v>1062625</v>
      </c>
      <c r="F198" s="816">
        <f t="shared" ref="F198:P198" si="151">SUM(F199)</f>
        <v>1062625</v>
      </c>
      <c r="G198" s="816">
        <f t="shared" si="151"/>
        <v>0</v>
      </c>
      <c r="H198" s="816">
        <f t="shared" si="151"/>
        <v>0</v>
      </c>
      <c r="I198" s="816">
        <f t="shared" si="151"/>
        <v>0</v>
      </c>
      <c r="J198" s="816">
        <f t="shared" si="151"/>
        <v>2005017</v>
      </c>
      <c r="K198" s="816">
        <f t="shared" si="151"/>
        <v>2005017</v>
      </c>
      <c r="L198" s="816">
        <f t="shared" si="151"/>
        <v>0</v>
      </c>
      <c r="M198" s="816">
        <f t="shared" si="151"/>
        <v>0</v>
      </c>
      <c r="N198" s="816">
        <f t="shared" si="151"/>
        <v>0</v>
      </c>
      <c r="O198" s="816">
        <f t="shared" si="151"/>
        <v>2005017</v>
      </c>
      <c r="P198" s="816">
        <f t="shared" si="151"/>
        <v>3067642</v>
      </c>
      <c r="Q198" s="22"/>
      <c r="R198" s="53"/>
    </row>
    <row r="199" spans="1:18" ht="136.5" thickTop="1" thickBot="1" x14ac:dyDescent="0.25">
      <c r="A199" s="387" t="s">
        <v>929</v>
      </c>
      <c r="B199" s="387" t="s">
        <v>700</v>
      </c>
      <c r="C199" s="387"/>
      <c r="D199" s="387" t="s">
        <v>698</v>
      </c>
      <c r="E199" s="391">
        <f>E200+E203+E202</f>
        <v>1062625</v>
      </c>
      <c r="F199" s="391">
        <f t="shared" ref="F199:P199" si="152">F200+F203+F202</f>
        <v>1062625</v>
      </c>
      <c r="G199" s="391">
        <f t="shared" si="152"/>
        <v>0</v>
      </c>
      <c r="H199" s="391">
        <f t="shared" si="152"/>
        <v>0</v>
      </c>
      <c r="I199" s="391">
        <f t="shared" si="152"/>
        <v>0</v>
      </c>
      <c r="J199" s="391">
        <f t="shared" si="152"/>
        <v>2005017</v>
      </c>
      <c r="K199" s="391">
        <f t="shared" si="152"/>
        <v>2005017</v>
      </c>
      <c r="L199" s="391">
        <f t="shared" si="152"/>
        <v>0</v>
      </c>
      <c r="M199" s="391">
        <f t="shared" si="152"/>
        <v>0</v>
      </c>
      <c r="N199" s="391">
        <f t="shared" si="152"/>
        <v>0</v>
      </c>
      <c r="O199" s="391">
        <f t="shared" si="152"/>
        <v>2005017</v>
      </c>
      <c r="P199" s="391">
        <f t="shared" si="152"/>
        <v>3067642</v>
      </c>
      <c r="Q199" s="22"/>
      <c r="R199" s="53"/>
    </row>
    <row r="200" spans="1:18" ht="93" thickTop="1" thickBot="1" x14ac:dyDescent="0.25">
      <c r="A200" s="455" t="s">
        <v>1054</v>
      </c>
      <c r="B200" s="455" t="s">
        <v>1055</v>
      </c>
      <c r="C200" s="455"/>
      <c r="D200" s="455" t="s">
        <v>1053</v>
      </c>
      <c r="E200" s="440">
        <f>E201</f>
        <v>1062625</v>
      </c>
      <c r="F200" s="440">
        <f t="shared" ref="F200:P200" si="153">F201</f>
        <v>1062625</v>
      </c>
      <c r="G200" s="440">
        <f t="shared" si="153"/>
        <v>0</v>
      </c>
      <c r="H200" s="440">
        <f t="shared" si="153"/>
        <v>0</v>
      </c>
      <c r="I200" s="440">
        <f t="shared" si="153"/>
        <v>0</v>
      </c>
      <c r="J200" s="440">
        <f t="shared" si="153"/>
        <v>0</v>
      </c>
      <c r="K200" s="440">
        <f t="shared" si="153"/>
        <v>0</v>
      </c>
      <c r="L200" s="440">
        <f t="shared" si="153"/>
        <v>0</v>
      </c>
      <c r="M200" s="440">
        <f t="shared" si="153"/>
        <v>0</v>
      </c>
      <c r="N200" s="440">
        <f t="shared" si="153"/>
        <v>0</v>
      </c>
      <c r="O200" s="440">
        <f t="shared" si="153"/>
        <v>0</v>
      </c>
      <c r="P200" s="440">
        <f t="shared" si="153"/>
        <v>1062625</v>
      </c>
      <c r="Q200" s="22"/>
      <c r="R200" s="53"/>
    </row>
    <row r="201" spans="1:18" ht="93" thickTop="1" thickBot="1" x14ac:dyDescent="0.25">
      <c r="A201" s="808" t="s">
        <v>1057</v>
      </c>
      <c r="B201" s="808" t="s">
        <v>1058</v>
      </c>
      <c r="C201" s="808" t="s">
        <v>218</v>
      </c>
      <c r="D201" s="808" t="s">
        <v>1056</v>
      </c>
      <c r="E201" s="816">
        <f t="shared" ref="E201:E203" si="154">F201</f>
        <v>1062625</v>
      </c>
      <c r="F201" s="389">
        <v>1062625</v>
      </c>
      <c r="G201" s="389"/>
      <c r="H201" s="389"/>
      <c r="I201" s="389"/>
      <c r="J201" s="816">
        <f>L201+O201</f>
        <v>0</v>
      </c>
      <c r="K201" s="389"/>
      <c r="L201" s="389"/>
      <c r="M201" s="389"/>
      <c r="N201" s="389"/>
      <c r="O201" s="810">
        <f>K201</f>
        <v>0</v>
      </c>
      <c r="P201" s="816">
        <f>E201+J201</f>
        <v>1062625</v>
      </c>
      <c r="Q201" s="22"/>
      <c r="R201" s="53"/>
    </row>
    <row r="202" spans="1:18" ht="48" thickTop="1" thickBot="1" x14ac:dyDescent="0.25">
      <c r="A202" s="808" t="s">
        <v>1346</v>
      </c>
      <c r="B202" s="808" t="s">
        <v>217</v>
      </c>
      <c r="C202" s="808" t="s">
        <v>218</v>
      </c>
      <c r="D202" s="808" t="s">
        <v>41</v>
      </c>
      <c r="E202" s="816">
        <f t="shared" si="154"/>
        <v>0</v>
      </c>
      <c r="F202" s="389"/>
      <c r="G202" s="389"/>
      <c r="H202" s="389"/>
      <c r="I202" s="389"/>
      <c r="J202" s="816">
        <f>L202+O202</f>
        <v>2005017</v>
      </c>
      <c r="K202" s="389">
        <f>800000+1205017</f>
        <v>2005017</v>
      </c>
      <c r="L202" s="389"/>
      <c r="M202" s="389"/>
      <c r="N202" s="389"/>
      <c r="O202" s="810">
        <f>K202</f>
        <v>2005017</v>
      </c>
      <c r="P202" s="816">
        <f>E202+J202</f>
        <v>2005017</v>
      </c>
      <c r="Q202" s="22"/>
      <c r="R202" s="53"/>
    </row>
    <row r="203" spans="1:18" ht="93" hidden="1" thickTop="1" thickBot="1" x14ac:dyDescent="0.25">
      <c r="A203" s="805" t="s">
        <v>930</v>
      </c>
      <c r="B203" s="805" t="s">
        <v>202</v>
      </c>
      <c r="C203" s="805" t="s">
        <v>171</v>
      </c>
      <c r="D203" s="805" t="s">
        <v>34</v>
      </c>
      <c r="E203" s="807">
        <f t="shared" si="154"/>
        <v>0</v>
      </c>
      <c r="F203" s="168"/>
      <c r="G203" s="168"/>
      <c r="H203" s="168"/>
      <c r="I203" s="168"/>
      <c r="J203" s="807">
        <f t="shared" ref="J203" si="155">L203+O203</f>
        <v>0</v>
      </c>
      <c r="K203" s="168"/>
      <c r="L203" s="168"/>
      <c r="M203" s="168"/>
      <c r="N203" s="168"/>
      <c r="O203" s="801">
        <f t="shared" ref="O203" si="156">K203</f>
        <v>0</v>
      </c>
      <c r="P203" s="807">
        <f t="shared" ref="P203" si="157">E203+J203</f>
        <v>0</v>
      </c>
      <c r="Q203" s="22"/>
      <c r="R203" s="798"/>
    </row>
    <row r="204" spans="1:18" ht="47.25" hidden="1" thickTop="1" thickBot="1" x14ac:dyDescent="0.25">
      <c r="A204" s="180" t="s">
        <v>770</v>
      </c>
      <c r="B204" s="180" t="s">
        <v>711</v>
      </c>
      <c r="C204" s="180"/>
      <c r="D204" s="180" t="s">
        <v>712</v>
      </c>
      <c r="E204" s="804">
        <f>E205</f>
        <v>0</v>
      </c>
      <c r="F204" s="804">
        <f t="shared" ref="F204:P205" si="158">F205</f>
        <v>0</v>
      </c>
      <c r="G204" s="804">
        <f t="shared" si="158"/>
        <v>0</v>
      </c>
      <c r="H204" s="804">
        <f t="shared" si="158"/>
        <v>0</v>
      </c>
      <c r="I204" s="804">
        <f t="shared" si="158"/>
        <v>0</v>
      </c>
      <c r="J204" s="804">
        <f t="shared" si="158"/>
        <v>0</v>
      </c>
      <c r="K204" s="804">
        <f t="shared" si="158"/>
        <v>0</v>
      </c>
      <c r="L204" s="804">
        <f t="shared" si="158"/>
        <v>0</v>
      </c>
      <c r="M204" s="804">
        <f t="shared" si="158"/>
        <v>0</v>
      </c>
      <c r="N204" s="804">
        <f t="shared" si="158"/>
        <v>0</v>
      </c>
      <c r="O204" s="804">
        <f t="shared" si="158"/>
        <v>0</v>
      </c>
      <c r="P204" s="804">
        <f t="shared" si="158"/>
        <v>0</v>
      </c>
      <c r="Q204" s="22"/>
      <c r="R204" s="53"/>
    </row>
    <row r="205" spans="1:18" ht="271.5" hidden="1" thickTop="1" thickBot="1" x14ac:dyDescent="0.25">
      <c r="A205" s="181" t="s">
        <v>771</v>
      </c>
      <c r="B205" s="181" t="s">
        <v>714</v>
      </c>
      <c r="C205" s="181"/>
      <c r="D205" s="181" t="s">
        <v>715</v>
      </c>
      <c r="E205" s="182">
        <f>E206</f>
        <v>0</v>
      </c>
      <c r="F205" s="182">
        <f t="shared" si="158"/>
        <v>0</v>
      </c>
      <c r="G205" s="182">
        <f t="shared" si="158"/>
        <v>0</v>
      </c>
      <c r="H205" s="182">
        <f t="shared" si="158"/>
        <v>0</v>
      </c>
      <c r="I205" s="182">
        <f t="shared" si="158"/>
        <v>0</v>
      </c>
      <c r="J205" s="182">
        <f t="shared" si="158"/>
        <v>0</v>
      </c>
      <c r="K205" s="182">
        <f t="shared" si="158"/>
        <v>0</v>
      </c>
      <c r="L205" s="182">
        <f t="shared" si="158"/>
        <v>0</v>
      </c>
      <c r="M205" s="182">
        <f t="shared" si="158"/>
        <v>0</v>
      </c>
      <c r="N205" s="182">
        <f t="shared" si="158"/>
        <v>0</v>
      </c>
      <c r="O205" s="182">
        <f t="shared" si="158"/>
        <v>0</v>
      </c>
      <c r="P205" s="182">
        <f t="shared" si="158"/>
        <v>0</v>
      </c>
      <c r="Q205" s="22"/>
      <c r="R205" s="53"/>
    </row>
    <row r="206" spans="1:18" ht="93" hidden="1" thickTop="1" thickBot="1" x14ac:dyDescent="0.25">
      <c r="A206" s="803" t="s">
        <v>592</v>
      </c>
      <c r="B206" s="803" t="s">
        <v>368</v>
      </c>
      <c r="C206" s="803" t="s">
        <v>43</v>
      </c>
      <c r="D206" s="803" t="s">
        <v>369</v>
      </c>
      <c r="E206" s="804">
        <f t="shared" ref="E206" si="159">F206</f>
        <v>0</v>
      </c>
      <c r="F206" s="46">
        <v>0</v>
      </c>
      <c r="G206" s="46"/>
      <c r="H206" s="46"/>
      <c r="I206" s="46"/>
      <c r="J206" s="804">
        <f>L206+O206</f>
        <v>0</v>
      </c>
      <c r="K206" s="46"/>
      <c r="L206" s="46"/>
      <c r="M206" s="46"/>
      <c r="N206" s="46"/>
      <c r="O206" s="806">
        <f>K206</f>
        <v>0</v>
      </c>
      <c r="P206" s="804">
        <f>E206+J206</f>
        <v>0</v>
      </c>
      <c r="Q206" s="22"/>
      <c r="R206" s="53"/>
    </row>
    <row r="207" spans="1:18" ht="136.5" thickTop="1" thickBot="1" x14ac:dyDescent="0.25">
      <c r="A207" s="460" t="s">
        <v>22</v>
      </c>
      <c r="B207" s="460"/>
      <c r="C207" s="460"/>
      <c r="D207" s="461" t="s">
        <v>23</v>
      </c>
      <c r="E207" s="463">
        <f>E208</f>
        <v>116483205</v>
      </c>
      <c r="F207" s="462">
        <f t="shared" ref="F207:G207" si="160">F208</f>
        <v>116483205</v>
      </c>
      <c r="G207" s="462">
        <f t="shared" si="160"/>
        <v>47666561</v>
      </c>
      <c r="H207" s="462">
        <f>H208</f>
        <v>5150735</v>
      </c>
      <c r="I207" s="462">
        <f t="shared" ref="I207" si="161">I208</f>
        <v>0</v>
      </c>
      <c r="J207" s="463">
        <f>J208</f>
        <v>18454182.48</v>
      </c>
      <c r="K207" s="462">
        <f>K208</f>
        <v>16213160.48</v>
      </c>
      <c r="L207" s="462">
        <f>L208</f>
        <v>2118642</v>
      </c>
      <c r="M207" s="462">
        <f t="shared" ref="M207" si="162">M208</f>
        <v>1072780</v>
      </c>
      <c r="N207" s="462">
        <f>N208</f>
        <v>383875</v>
      </c>
      <c r="O207" s="463">
        <f>O208</f>
        <v>16335540.48</v>
      </c>
      <c r="P207" s="462">
        <f t="shared" ref="P207" si="163">P208</f>
        <v>134937387.47999999</v>
      </c>
      <c r="Q207" s="22"/>
    </row>
    <row r="208" spans="1:18" ht="178.5" customHeight="1" thickTop="1" thickBot="1" x14ac:dyDescent="0.25">
      <c r="A208" s="464" t="s">
        <v>21</v>
      </c>
      <c r="B208" s="464"/>
      <c r="C208" s="464"/>
      <c r="D208" s="465" t="s">
        <v>35</v>
      </c>
      <c r="E208" s="466">
        <f>E209+E215+E230+E233+E240</f>
        <v>116483205</v>
      </c>
      <c r="F208" s="466">
        <f t="shared" ref="F208:I208" si="164">F209+F215+F230+F233+F240</f>
        <v>116483205</v>
      </c>
      <c r="G208" s="466">
        <f t="shared" si="164"/>
        <v>47666561</v>
      </c>
      <c r="H208" s="466">
        <f t="shared" si="164"/>
        <v>5150735</v>
      </c>
      <c r="I208" s="466">
        <f t="shared" si="164"/>
        <v>0</v>
      </c>
      <c r="J208" s="466">
        <f>L208+O208</f>
        <v>18454182.48</v>
      </c>
      <c r="K208" s="466">
        <f t="shared" ref="K208:O208" si="165">K209+K215+K230+K233+K240</f>
        <v>16213160.48</v>
      </c>
      <c r="L208" s="466">
        <f t="shared" si="165"/>
        <v>2118642</v>
      </c>
      <c r="M208" s="466">
        <f t="shared" si="165"/>
        <v>1072780</v>
      </c>
      <c r="N208" s="466">
        <f t="shared" si="165"/>
        <v>383875</v>
      </c>
      <c r="O208" s="466">
        <f t="shared" si="165"/>
        <v>16335540.48</v>
      </c>
      <c r="P208" s="466">
        <f>E208+J208</f>
        <v>134937387.47999999</v>
      </c>
      <c r="Q208" s="392" t="b">
        <f>P208=P213+P214+P217+P218+P220+P222+P223+P227+P228+P229+P232+P236+P238+P225</f>
        <v>1</v>
      </c>
      <c r="R208" s="798"/>
    </row>
    <row r="209" spans="1:18" ht="91.5" thickTop="1" thickBot="1" x14ac:dyDescent="0.25">
      <c r="A209" s="385" t="s">
        <v>772</v>
      </c>
      <c r="B209" s="385" t="s">
        <v>720</v>
      </c>
      <c r="C209" s="385"/>
      <c r="D209" s="385" t="s">
        <v>721</v>
      </c>
      <c r="E209" s="541">
        <f>SUM(E210:E214)-E210-E212</f>
        <v>13200222</v>
      </c>
      <c r="F209" s="541">
        <f t="shared" ref="F209:P209" si="166">SUM(F210:F214)-F210-F212</f>
        <v>13200222</v>
      </c>
      <c r="G209" s="541">
        <f t="shared" si="166"/>
        <v>4574410</v>
      </c>
      <c r="H209" s="541">
        <f t="shared" si="166"/>
        <v>1073346</v>
      </c>
      <c r="I209" s="541">
        <f t="shared" si="166"/>
        <v>0</v>
      </c>
      <c r="J209" s="541">
        <f t="shared" si="166"/>
        <v>573359.4</v>
      </c>
      <c r="K209" s="541">
        <f t="shared" si="166"/>
        <v>175959.4</v>
      </c>
      <c r="L209" s="541">
        <f t="shared" si="166"/>
        <v>397400</v>
      </c>
      <c r="M209" s="541">
        <f t="shared" si="166"/>
        <v>210000</v>
      </c>
      <c r="N209" s="541">
        <f t="shared" si="166"/>
        <v>102595</v>
      </c>
      <c r="O209" s="541">
        <f t="shared" si="166"/>
        <v>175959.4</v>
      </c>
      <c r="P209" s="541">
        <f t="shared" si="166"/>
        <v>13773581.4</v>
      </c>
      <c r="Q209" s="50"/>
      <c r="R209" s="798"/>
    </row>
    <row r="210" spans="1:18" s="35" customFormat="1" ht="138.75" hidden="1" thickTop="1" thickBot="1" x14ac:dyDescent="0.25">
      <c r="A210" s="455" t="s">
        <v>773</v>
      </c>
      <c r="B210" s="455" t="s">
        <v>774</v>
      </c>
      <c r="C210" s="455"/>
      <c r="D210" s="455" t="s">
        <v>775</v>
      </c>
      <c r="E210" s="542">
        <f>E211</f>
        <v>0</v>
      </c>
      <c r="F210" s="542">
        <f t="shared" ref="F210:P210" si="167">F211</f>
        <v>0</v>
      </c>
      <c r="G210" s="542">
        <f t="shared" si="167"/>
        <v>0</v>
      </c>
      <c r="H210" s="542">
        <f t="shared" si="167"/>
        <v>0</v>
      </c>
      <c r="I210" s="542">
        <f t="shared" si="167"/>
        <v>0</v>
      </c>
      <c r="J210" s="542">
        <f t="shared" si="167"/>
        <v>0</v>
      </c>
      <c r="K210" s="542">
        <f t="shared" si="167"/>
        <v>0</v>
      </c>
      <c r="L210" s="542">
        <f t="shared" si="167"/>
        <v>0</v>
      </c>
      <c r="M210" s="542">
        <f t="shared" si="167"/>
        <v>0</v>
      </c>
      <c r="N210" s="542">
        <f t="shared" si="167"/>
        <v>0</v>
      </c>
      <c r="O210" s="542">
        <f t="shared" si="167"/>
        <v>0</v>
      </c>
      <c r="P210" s="542">
        <f t="shared" si="167"/>
        <v>0</v>
      </c>
      <c r="Q210" s="191"/>
      <c r="R210" s="55"/>
    </row>
    <row r="211" spans="1:18" ht="138.75" hidden="1" thickTop="1" thickBot="1" x14ac:dyDescent="0.25">
      <c r="A211" s="808" t="s">
        <v>188</v>
      </c>
      <c r="B211" s="808" t="s">
        <v>189</v>
      </c>
      <c r="C211" s="808" t="s">
        <v>190</v>
      </c>
      <c r="D211" s="808" t="s">
        <v>647</v>
      </c>
      <c r="E211" s="386">
        <f t="shared" ref="E211:E228" si="168">F211</f>
        <v>0</v>
      </c>
      <c r="F211" s="441">
        <f>(6040461)-6040461</f>
        <v>0</v>
      </c>
      <c r="G211" s="441">
        <f>(4559615)-4559615</f>
        <v>0</v>
      </c>
      <c r="H211" s="441">
        <f>(96665+5295+31600+3840)-137400</f>
        <v>0</v>
      </c>
      <c r="I211" s="441"/>
      <c r="J211" s="816">
        <f t="shared" ref="J211:J239" si="169">L211+O211</f>
        <v>0</v>
      </c>
      <c r="K211" s="441"/>
      <c r="L211" s="442"/>
      <c r="M211" s="442"/>
      <c r="N211" s="442"/>
      <c r="O211" s="810">
        <f t="shared" ref="O211:O239" si="170">K211</f>
        <v>0</v>
      </c>
      <c r="P211" s="816">
        <f>+J211+E211</f>
        <v>0</v>
      </c>
      <c r="Q211" s="53"/>
      <c r="R211" s="53"/>
    </row>
    <row r="212" spans="1:18" s="35" customFormat="1" ht="93" thickTop="1" thickBot="1" x14ac:dyDescent="0.25">
      <c r="A212" s="455" t="s">
        <v>776</v>
      </c>
      <c r="B212" s="455" t="s">
        <v>777</v>
      </c>
      <c r="C212" s="455"/>
      <c r="D212" s="455" t="s">
        <v>778</v>
      </c>
      <c r="E212" s="502">
        <f>SUM(E213:E214)</f>
        <v>13200222</v>
      </c>
      <c r="F212" s="502">
        <f t="shared" ref="F212:P212" si="171">SUM(F213:F214)</f>
        <v>13200222</v>
      </c>
      <c r="G212" s="502">
        <f t="shared" si="171"/>
        <v>4574410</v>
      </c>
      <c r="H212" s="502">
        <f t="shared" si="171"/>
        <v>1073346</v>
      </c>
      <c r="I212" s="502">
        <f t="shared" si="171"/>
        <v>0</v>
      </c>
      <c r="J212" s="502">
        <f t="shared" si="171"/>
        <v>573359.4</v>
      </c>
      <c r="K212" s="502">
        <f t="shared" si="171"/>
        <v>175959.4</v>
      </c>
      <c r="L212" s="502">
        <f t="shared" si="171"/>
        <v>397400</v>
      </c>
      <c r="M212" s="502">
        <f t="shared" si="171"/>
        <v>210000</v>
      </c>
      <c r="N212" s="502">
        <f t="shared" si="171"/>
        <v>102595</v>
      </c>
      <c r="O212" s="502">
        <f t="shared" si="171"/>
        <v>175959.4</v>
      </c>
      <c r="P212" s="502">
        <f t="shared" si="171"/>
        <v>13773581.4</v>
      </c>
      <c r="Q212" s="54"/>
      <c r="R212" s="54"/>
    </row>
    <row r="213" spans="1:18" ht="93" thickTop="1" thickBot="1" x14ac:dyDescent="0.25">
      <c r="A213" s="808" t="s">
        <v>194</v>
      </c>
      <c r="B213" s="808" t="s">
        <v>195</v>
      </c>
      <c r="C213" s="808" t="s">
        <v>190</v>
      </c>
      <c r="D213" s="808" t="s">
        <v>10</v>
      </c>
      <c r="E213" s="386">
        <f t="shared" si="168"/>
        <v>5445868</v>
      </c>
      <c r="F213" s="441">
        <f>((5368723)+1300)+75845</f>
        <v>5445868</v>
      </c>
      <c r="G213" s="441">
        <v>3105542</v>
      </c>
      <c r="H213" s="441">
        <f>628430+7726+230000+3090</f>
        <v>869246</v>
      </c>
      <c r="I213" s="441"/>
      <c r="J213" s="816">
        <f t="shared" si="169"/>
        <v>517733.4</v>
      </c>
      <c r="K213" s="441">
        <f>((21340)+24993.4)+74000</f>
        <v>120333.4</v>
      </c>
      <c r="L213" s="442">
        <v>397400</v>
      </c>
      <c r="M213" s="442">
        <v>210000</v>
      </c>
      <c r="N213" s="442">
        <v>102595</v>
      </c>
      <c r="O213" s="810">
        <f>K213</f>
        <v>120333.4</v>
      </c>
      <c r="P213" s="816">
        <f t="shared" ref="P213:P239" si="172">E213+J213</f>
        <v>5963601.4000000004</v>
      </c>
      <c r="Q213" s="22"/>
      <c r="R213" s="798"/>
    </row>
    <row r="214" spans="1:18" ht="93" thickTop="1" thickBot="1" x14ac:dyDescent="0.25">
      <c r="A214" s="808" t="s">
        <v>356</v>
      </c>
      <c r="B214" s="808" t="s">
        <v>357</v>
      </c>
      <c r="C214" s="808" t="s">
        <v>190</v>
      </c>
      <c r="D214" s="808" t="s">
        <v>358</v>
      </c>
      <c r="E214" s="386">
        <f t="shared" si="168"/>
        <v>7754354</v>
      </c>
      <c r="F214" s="441">
        <f>(7675433)+78921</f>
        <v>7754354</v>
      </c>
      <c r="G214" s="441">
        <v>1468868</v>
      </c>
      <c r="H214" s="441">
        <f>99760+6560+95860+1920</f>
        <v>204100</v>
      </c>
      <c r="I214" s="441"/>
      <c r="J214" s="816">
        <f t="shared" si="169"/>
        <v>55626</v>
      </c>
      <c r="K214" s="441">
        <v>55626</v>
      </c>
      <c r="L214" s="442"/>
      <c r="M214" s="442"/>
      <c r="N214" s="442"/>
      <c r="O214" s="810">
        <f t="shared" si="170"/>
        <v>55626</v>
      </c>
      <c r="P214" s="816">
        <f t="shared" si="172"/>
        <v>7809980</v>
      </c>
      <c r="Q214" s="22"/>
      <c r="R214" s="798"/>
    </row>
    <row r="215" spans="1:18" ht="47.25" thickTop="1" thickBot="1" x14ac:dyDescent="0.25">
      <c r="A215" s="385" t="s">
        <v>779</v>
      </c>
      <c r="B215" s="385" t="s">
        <v>780</v>
      </c>
      <c r="C215" s="808"/>
      <c r="D215" s="385" t="s">
        <v>781</v>
      </c>
      <c r="E215" s="386">
        <f t="shared" ref="E215:P215" si="173">SUM(E216:E229)-E216-E219-E221-E226-E224</f>
        <v>103243983</v>
      </c>
      <c r="F215" s="386">
        <f t="shared" si="173"/>
        <v>103243983</v>
      </c>
      <c r="G215" s="386">
        <f t="shared" si="173"/>
        <v>43092151</v>
      </c>
      <c r="H215" s="386">
        <f t="shared" si="173"/>
        <v>4077389</v>
      </c>
      <c r="I215" s="386">
        <f t="shared" si="173"/>
        <v>0</v>
      </c>
      <c r="J215" s="386">
        <f t="shared" si="173"/>
        <v>13651823.08</v>
      </c>
      <c r="K215" s="386">
        <f t="shared" si="173"/>
        <v>11808201.08</v>
      </c>
      <c r="L215" s="386">
        <f t="shared" si="173"/>
        <v>1721242</v>
      </c>
      <c r="M215" s="386">
        <f t="shared" si="173"/>
        <v>862780</v>
      </c>
      <c r="N215" s="386">
        <f t="shared" si="173"/>
        <v>281280</v>
      </c>
      <c r="O215" s="386">
        <f t="shared" si="173"/>
        <v>11930581.08</v>
      </c>
      <c r="P215" s="386">
        <f t="shared" si="173"/>
        <v>116895806.07999997</v>
      </c>
      <c r="Q215" s="22"/>
      <c r="R215" s="798"/>
    </row>
    <row r="216" spans="1:18" s="35" customFormat="1" ht="93" thickTop="1" thickBot="1" x14ac:dyDescent="0.25">
      <c r="A216" s="455" t="s">
        <v>782</v>
      </c>
      <c r="B216" s="455" t="s">
        <v>783</v>
      </c>
      <c r="C216" s="455"/>
      <c r="D216" s="455" t="s">
        <v>784</v>
      </c>
      <c r="E216" s="502">
        <f>SUM(E217:E218)</f>
        <v>29233742</v>
      </c>
      <c r="F216" s="502">
        <f t="shared" ref="F216:P216" si="174">SUM(F217:F218)</f>
        <v>29233742</v>
      </c>
      <c r="G216" s="502">
        <f t="shared" si="174"/>
        <v>0</v>
      </c>
      <c r="H216" s="502">
        <f t="shared" si="174"/>
        <v>0</v>
      </c>
      <c r="I216" s="502">
        <f t="shared" si="174"/>
        <v>0</v>
      </c>
      <c r="J216" s="502">
        <f t="shared" si="174"/>
        <v>0</v>
      </c>
      <c r="K216" s="502">
        <f t="shared" si="174"/>
        <v>0</v>
      </c>
      <c r="L216" s="502">
        <f t="shared" si="174"/>
        <v>0</v>
      </c>
      <c r="M216" s="502">
        <f t="shared" si="174"/>
        <v>0</v>
      </c>
      <c r="N216" s="502">
        <f t="shared" si="174"/>
        <v>0</v>
      </c>
      <c r="O216" s="502">
        <f t="shared" si="174"/>
        <v>0</v>
      </c>
      <c r="P216" s="502">
        <f t="shared" si="174"/>
        <v>29233742</v>
      </c>
      <c r="Q216" s="39"/>
      <c r="R216" s="55"/>
    </row>
    <row r="217" spans="1:18" ht="138.75" thickTop="1" thickBot="1" x14ac:dyDescent="0.25">
      <c r="A217" s="808" t="s">
        <v>44</v>
      </c>
      <c r="B217" s="808" t="s">
        <v>191</v>
      </c>
      <c r="C217" s="808" t="s">
        <v>200</v>
      </c>
      <c r="D217" s="808" t="s">
        <v>45</v>
      </c>
      <c r="E217" s="386">
        <f t="shared" si="168"/>
        <v>25132670</v>
      </c>
      <c r="F217" s="441">
        <f>(23981670)+1000+1150000</f>
        <v>25132670</v>
      </c>
      <c r="G217" s="389"/>
      <c r="H217" s="389"/>
      <c r="I217" s="389"/>
      <c r="J217" s="816">
        <f t="shared" si="169"/>
        <v>0</v>
      </c>
      <c r="K217" s="389"/>
      <c r="L217" s="389"/>
      <c r="M217" s="389"/>
      <c r="N217" s="389"/>
      <c r="O217" s="810">
        <f t="shared" si="170"/>
        <v>0</v>
      </c>
      <c r="P217" s="816">
        <f t="shared" si="172"/>
        <v>25132670</v>
      </c>
      <c r="Q217" s="22"/>
      <c r="R217" s="798"/>
    </row>
    <row r="218" spans="1:18" ht="138.75" thickTop="1" thickBot="1" x14ac:dyDescent="0.25">
      <c r="A218" s="808" t="s">
        <v>46</v>
      </c>
      <c r="B218" s="808" t="s">
        <v>192</v>
      </c>
      <c r="C218" s="808" t="s">
        <v>200</v>
      </c>
      <c r="D218" s="808" t="s">
        <v>4</v>
      </c>
      <c r="E218" s="386">
        <f t="shared" si="168"/>
        <v>4101072</v>
      </c>
      <c r="F218" s="441">
        <f>(3798092)+2980+300000</f>
        <v>4101072</v>
      </c>
      <c r="G218" s="389"/>
      <c r="H218" s="389"/>
      <c r="I218" s="389"/>
      <c r="J218" s="816">
        <f t="shared" si="169"/>
        <v>0</v>
      </c>
      <c r="K218" s="389"/>
      <c r="L218" s="389"/>
      <c r="M218" s="389"/>
      <c r="N218" s="389"/>
      <c r="O218" s="810">
        <f t="shared" si="170"/>
        <v>0</v>
      </c>
      <c r="P218" s="816">
        <f t="shared" si="172"/>
        <v>4101072</v>
      </c>
      <c r="Q218" s="22"/>
      <c r="R218" s="798"/>
    </row>
    <row r="219" spans="1:18" s="35" customFormat="1" ht="184.5" thickTop="1" thickBot="1" x14ac:dyDescent="0.25">
      <c r="A219" s="455" t="s">
        <v>785</v>
      </c>
      <c r="B219" s="455" t="s">
        <v>786</v>
      </c>
      <c r="C219" s="455"/>
      <c r="D219" s="455" t="s">
        <v>787</v>
      </c>
      <c r="E219" s="502">
        <f>E220</f>
        <v>53300</v>
      </c>
      <c r="F219" s="502">
        <f t="shared" ref="F219:P219" si="175">F220</f>
        <v>53300</v>
      </c>
      <c r="G219" s="502">
        <f t="shared" si="175"/>
        <v>0</v>
      </c>
      <c r="H219" s="502">
        <f t="shared" si="175"/>
        <v>0</v>
      </c>
      <c r="I219" s="502">
        <f t="shared" si="175"/>
        <v>0</v>
      </c>
      <c r="J219" s="502">
        <f t="shared" si="175"/>
        <v>0</v>
      </c>
      <c r="K219" s="502">
        <f t="shared" si="175"/>
        <v>0</v>
      </c>
      <c r="L219" s="502">
        <f t="shared" si="175"/>
        <v>0</v>
      </c>
      <c r="M219" s="502">
        <f t="shared" si="175"/>
        <v>0</v>
      </c>
      <c r="N219" s="502">
        <f t="shared" si="175"/>
        <v>0</v>
      </c>
      <c r="O219" s="502">
        <f t="shared" si="175"/>
        <v>0</v>
      </c>
      <c r="P219" s="502">
        <f t="shared" si="175"/>
        <v>53300</v>
      </c>
      <c r="Q219" s="39"/>
      <c r="R219" s="56"/>
    </row>
    <row r="220" spans="1:18" ht="184.5" thickTop="1" thickBot="1" x14ac:dyDescent="0.25">
      <c r="A220" s="808" t="s">
        <v>47</v>
      </c>
      <c r="B220" s="808" t="s">
        <v>193</v>
      </c>
      <c r="C220" s="808" t="s">
        <v>200</v>
      </c>
      <c r="D220" s="808" t="s">
        <v>354</v>
      </c>
      <c r="E220" s="386">
        <f>F220</f>
        <v>53300</v>
      </c>
      <c r="F220" s="441">
        <v>53300</v>
      </c>
      <c r="G220" s="441"/>
      <c r="H220" s="441"/>
      <c r="I220" s="389"/>
      <c r="J220" s="816">
        <f t="shared" si="169"/>
        <v>0</v>
      </c>
      <c r="K220" s="389"/>
      <c r="L220" s="441"/>
      <c r="M220" s="441"/>
      <c r="N220" s="441"/>
      <c r="O220" s="810">
        <f t="shared" si="170"/>
        <v>0</v>
      </c>
      <c r="P220" s="816">
        <f t="shared" si="172"/>
        <v>53300</v>
      </c>
      <c r="Q220" s="22"/>
      <c r="R220" s="798"/>
    </row>
    <row r="221" spans="1:18" ht="93" thickTop="1" thickBot="1" x14ac:dyDescent="0.25">
      <c r="A221" s="455" t="s">
        <v>788</v>
      </c>
      <c r="B221" s="455" t="s">
        <v>789</v>
      </c>
      <c r="C221" s="455"/>
      <c r="D221" s="455" t="s">
        <v>790</v>
      </c>
      <c r="E221" s="502">
        <f>SUM(E222:E223)</f>
        <v>67135491</v>
      </c>
      <c r="F221" s="502">
        <f t="shared" ref="F221:P221" si="176">SUM(F222:F223)</f>
        <v>67135491</v>
      </c>
      <c r="G221" s="502">
        <f t="shared" si="176"/>
        <v>41781765</v>
      </c>
      <c r="H221" s="502">
        <f t="shared" si="176"/>
        <v>4077389</v>
      </c>
      <c r="I221" s="502">
        <f t="shared" si="176"/>
        <v>0</v>
      </c>
      <c r="J221" s="502">
        <f t="shared" si="176"/>
        <v>13601823.08</v>
      </c>
      <c r="K221" s="502">
        <f t="shared" si="176"/>
        <v>11808201.08</v>
      </c>
      <c r="L221" s="502">
        <f t="shared" si="176"/>
        <v>1671242</v>
      </c>
      <c r="M221" s="502">
        <f t="shared" si="176"/>
        <v>862780</v>
      </c>
      <c r="N221" s="502">
        <f t="shared" si="176"/>
        <v>281280</v>
      </c>
      <c r="O221" s="502">
        <f t="shared" si="176"/>
        <v>11930581.08</v>
      </c>
      <c r="P221" s="502">
        <f t="shared" si="176"/>
        <v>80737314.079999998</v>
      </c>
      <c r="Q221" s="22"/>
      <c r="R221" s="798"/>
    </row>
    <row r="222" spans="1:18" ht="184.5" thickTop="1" thickBot="1" x14ac:dyDescent="0.25">
      <c r="A222" s="808" t="s">
        <v>28</v>
      </c>
      <c r="B222" s="808" t="s">
        <v>197</v>
      </c>
      <c r="C222" s="808" t="s">
        <v>200</v>
      </c>
      <c r="D222" s="808" t="s">
        <v>48</v>
      </c>
      <c r="E222" s="386">
        <f t="shared" si="168"/>
        <v>60711152</v>
      </c>
      <c r="F222" s="441">
        <f>(59889005)+202668+42714+402374+130485+41184+2300+422</f>
        <v>60711152</v>
      </c>
      <c r="G222" s="441">
        <f>13877510+12442050+10977685+4484520</f>
        <v>41781765</v>
      </c>
      <c r="H222" s="441">
        <f>568195+155692+669442+67080+521160+67546+679930+60730+9320+25800+25896+220200+368000+5930+411080+9064+153630+57590+1104</f>
        <v>4077389</v>
      </c>
      <c r="I222" s="441"/>
      <c r="J222" s="816">
        <f t="shared" si="169"/>
        <v>13601823.08</v>
      </c>
      <c r="K222" s="441">
        <f>(947868)+99900+53954+29525+19619+129500+99900+10427935.08</f>
        <v>11808201.08</v>
      </c>
      <c r="L222" s="441">
        <v>1671242</v>
      </c>
      <c r="M222" s="441">
        <v>862780</v>
      </c>
      <c r="N222" s="441">
        <v>281280</v>
      </c>
      <c r="O222" s="810">
        <f>(K222+122380)</f>
        <v>11930581.08</v>
      </c>
      <c r="P222" s="816">
        <f t="shared" si="172"/>
        <v>74312975.079999998</v>
      </c>
      <c r="Q222" s="22"/>
      <c r="R222" s="798"/>
    </row>
    <row r="223" spans="1:18" ht="184.5" thickTop="1" thickBot="1" x14ac:dyDescent="0.25">
      <c r="A223" s="808" t="s">
        <v>29</v>
      </c>
      <c r="B223" s="808" t="s">
        <v>198</v>
      </c>
      <c r="C223" s="808" t="s">
        <v>200</v>
      </c>
      <c r="D223" s="808" t="s">
        <v>49</v>
      </c>
      <c r="E223" s="386">
        <f t="shared" si="168"/>
        <v>6424339</v>
      </c>
      <c r="F223" s="441">
        <v>6424339</v>
      </c>
      <c r="G223" s="441"/>
      <c r="H223" s="441"/>
      <c r="I223" s="441"/>
      <c r="J223" s="816">
        <f t="shared" si="169"/>
        <v>0</v>
      </c>
      <c r="K223" s="441">
        <v>0</v>
      </c>
      <c r="L223" s="441"/>
      <c r="M223" s="441"/>
      <c r="N223" s="441"/>
      <c r="O223" s="810">
        <f t="shared" si="170"/>
        <v>0</v>
      </c>
      <c r="P223" s="816">
        <f t="shared" si="172"/>
        <v>6424339</v>
      </c>
      <c r="Q223" s="22"/>
      <c r="R223" s="798"/>
    </row>
    <row r="224" spans="1:18" ht="93" thickTop="1" thickBot="1" x14ac:dyDescent="0.25">
      <c r="A224" s="537" t="s">
        <v>1501</v>
      </c>
      <c r="B224" s="455" t="s">
        <v>826</v>
      </c>
      <c r="C224" s="455"/>
      <c r="D224" s="455" t="s">
        <v>827</v>
      </c>
      <c r="E224" s="502">
        <f>E225</f>
        <v>88281</v>
      </c>
      <c r="F224" s="502">
        <f t="shared" ref="F224:P224" si="177">F225</f>
        <v>88281</v>
      </c>
      <c r="G224" s="502">
        <f t="shared" si="177"/>
        <v>0</v>
      </c>
      <c r="H224" s="502">
        <f t="shared" si="177"/>
        <v>0</v>
      </c>
      <c r="I224" s="502">
        <f t="shared" si="177"/>
        <v>0</v>
      </c>
      <c r="J224" s="502">
        <f t="shared" si="177"/>
        <v>0</v>
      </c>
      <c r="K224" s="502">
        <f t="shared" si="177"/>
        <v>0</v>
      </c>
      <c r="L224" s="502">
        <f t="shared" si="177"/>
        <v>0</v>
      </c>
      <c r="M224" s="502">
        <f t="shared" si="177"/>
        <v>0</v>
      </c>
      <c r="N224" s="502">
        <f t="shared" si="177"/>
        <v>0</v>
      </c>
      <c r="O224" s="502">
        <f t="shared" si="177"/>
        <v>0</v>
      </c>
      <c r="P224" s="502">
        <f t="shared" si="177"/>
        <v>88281</v>
      </c>
      <c r="Q224" s="22"/>
      <c r="R224" s="798"/>
    </row>
    <row r="225" spans="1:18" ht="184.5" thickTop="1" thickBot="1" x14ac:dyDescent="0.25">
      <c r="A225" s="808" t="s">
        <v>1502</v>
      </c>
      <c r="B225" s="808" t="s">
        <v>1503</v>
      </c>
      <c r="C225" s="808" t="s">
        <v>200</v>
      </c>
      <c r="D225" s="808" t="s">
        <v>1504</v>
      </c>
      <c r="E225" s="386">
        <f t="shared" ref="E225" si="178">F225</f>
        <v>88281</v>
      </c>
      <c r="F225" s="441">
        <v>88281</v>
      </c>
      <c r="G225" s="441"/>
      <c r="H225" s="441"/>
      <c r="I225" s="441"/>
      <c r="J225" s="816">
        <f t="shared" ref="J225" si="179">L225+O225</f>
        <v>0</v>
      </c>
      <c r="K225" s="441">
        <v>0</v>
      </c>
      <c r="L225" s="441"/>
      <c r="M225" s="441"/>
      <c r="N225" s="441"/>
      <c r="O225" s="810">
        <f t="shared" ref="O225" si="180">K225</f>
        <v>0</v>
      </c>
      <c r="P225" s="816">
        <f t="shared" ref="P225" si="181">E225+J225</f>
        <v>88281</v>
      </c>
      <c r="Q225" s="22"/>
      <c r="R225" s="798"/>
    </row>
    <row r="226" spans="1:18" ht="93" thickTop="1" thickBot="1" x14ac:dyDescent="0.25">
      <c r="A226" s="537" t="s">
        <v>791</v>
      </c>
      <c r="B226" s="455" t="s">
        <v>792</v>
      </c>
      <c r="C226" s="455"/>
      <c r="D226" s="455" t="s">
        <v>793</v>
      </c>
      <c r="E226" s="502">
        <f>SUM(E227:E229)</f>
        <v>6733169</v>
      </c>
      <c r="F226" s="502">
        <f t="shared" ref="F226:P226" si="182">SUM(F227:F229)</f>
        <v>6733169</v>
      </c>
      <c r="G226" s="502">
        <f t="shared" si="182"/>
        <v>1310386</v>
      </c>
      <c r="H226" s="502">
        <f t="shared" si="182"/>
        <v>0</v>
      </c>
      <c r="I226" s="502">
        <f t="shared" si="182"/>
        <v>0</v>
      </c>
      <c r="J226" s="502">
        <f t="shared" si="182"/>
        <v>50000</v>
      </c>
      <c r="K226" s="502">
        <f t="shared" si="182"/>
        <v>0</v>
      </c>
      <c r="L226" s="502">
        <f t="shared" si="182"/>
        <v>50000</v>
      </c>
      <c r="M226" s="502">
        <f t="shared" si="182"/>
        <v>0</v>
      </c>
      <c r="N226" s="502">
        <f t="shared" si="182"/>
        <v>0</v>
      </c>
      <c r="O226" s="502">
        <f t="shared" si="182"/>
        <v>0</v>
      </c>
      <c r="P226" s="502">
        <f t="shared" si="182"/>
        <v>6783169</v>
      </c>
      <c r="Q226" s="22"/>
      <c r="R226" s="798"/>
    </row>
    <row r="227" spans="1:18" ht="276" thickTop="1" thickBot="1" x14ac:dyDescent="0.25">
      <c r="A227" s="503" t="s">
        <v>30</v>
      </c>
      <c r="B227" s="503" t="s">
        <v>199</v>
      </c>
      <c r="C227" s="503" t="s">
        <v>200</v>
      </c>
      <c r="D227" s="808" t="s">
        <v>31</v>
      </c>
      <c r="E227" s="386">
        <f t="shared" si="168"/>
        <v>1068095</v>
      </c>
      <c r="F227" s="441">
        <f>(1028095)+40000</f>
        <v>1068095</v>
      </c>
      <c r="G227" s="389"/>
      <c r="H227" s="389"/>
      <c r="I227" s="389"/>
      <c r="J227" s="816">
        <f t="shared" si="169"/>
        <v>0</v>
      </c>
      <c r="K227" s="389"/>
      <c r="L227" s="389"/>
      <c r="M227" s="389"/>
      <c r="N227" s="389"/>
      <c r="O227" s="810">
        <f t="shared" si="170"/>
        <v>0</v>
      </c>
      <c r="P227" s="816">
        <f t="shared" si="172"/>
        <v>1068095</v>
      </c>
      <c r="Q227" s="22"/>
      <c r="R227" s="798"/>
    </row>
    <row r="228" spans="1:18" ht="184.5" thickTop="1" thickBot="1" x14ac:dyDescent="0.25">
      <c r="A228" s="503" t="s">
        <v>517</v>
      </c>
      <c r="B228" s="503" t="s">
        <v>515</v>
      </c>
      <c r="C228" s="503" t="s">
        <v>200</v>
      </c>
      <c r="D228" s="808" t="s">
        <v>516</v>
      </c>
      <c r="E228" s="386">
        <f t="shared" si="168"/>
        <v>3791300</v>
      </c>
      <c r="F228" s="441">
        <f>(3710900)+80400</f>
        <v>3791300</v>
      </c>
      <c r="G228" s="389"/>
      <c r="H228" s="389"/>
      <c r="I228" s="389"/>
      <c r="J228" s="816">
        <f t="shared" si="169"/>
        <v>0</v>
      </c>
      <c r="K228" s="389"/>
      <c r="L228" s="389"/>
      <c r="M228" s="389"/>
      <c r="N228" s="389"/>
      <c r="O228" s="810">
        <f t="shared" si="170"/>
        <v>0</v>
      </c>
      <c r="P228" s="816">
        <f t="shared" si="172"/>
        <v>3791300</v>
      </c>
      <c r="Q228" s="22"/>
      <c r="R228" s="798"/>
    </row>
    <row r="229" spans="1:18" ht="93" thickTop="1" thickBot="1" x14ac:dyDescent="0.25">
      <c r="A229" s="503" t="s">
        <v>32</v>
      </c>
      <c r="B229" s="503" t="s">
        <v>201</v>
      </c>
      <c r="C229" s="503" t="s">
        <v>200</v>
      </c>
      <c r="D229" s="808" t="s">
        <v>33</v>
      </c>
      <c r="E229" s="386">
        <f>F229</f>
        <v>1873774</v>
      </c>
      <c r="F229" s="441">
        <v>1873774</v>
      </c>
      <c r="G229" s="389">
        <v>1310386</v>
      </c>
      <c r="H229" s="389"/>
      <c r="I229" s="389"/>
      <c r="J229" s="816">
        <f t="shared" si="169"/>
        <v>50000</v>
      </c>
      <c r="K229" s="389"/>
      <c r="L229" s="389">
        <v>50000</v>
      </c>
      <c r="M229" s="389"/>
      <c r="N229" s="389"/>
      <c r="O229" s="810">
        <f t="shared" si="170"/>
        <v>0</v>
      </c>
      <c r="P229" s="816">
        <f t="shared" si="172"/>
        <v>1923774</v>
      </c>
      <c r="Q229" s="22"/>
      <c r="R229" s="798"/>
    </row>
    <row r="230" spans="1:18" ht="91.5" thickTop="1" thickBot="1" x14ac:dyDescent="0.25">
      <c r="A230" s="385" t="s">
        <v>794</v>
      </c>
      <c r="B230" s="385" t="s">
        <v>751</v>
      </c>
      <c r="C230" s="385"/>
      <c r="D230" s="536" t="s">
        <v>752</v>
      </c>
      <c r="E230" s="386">
        <f>E231</f>
        <v>39000</v>
      </c>
      <c r="F230" s="386">
        <f t="shared" ref="F230:P231" si="183">F231</f>
        <v>39000</v>
      </c>
      <c r="G230" s="386">
        <f t="shared" si="183"/>
        <v>0</v>
      </c>
      <c r="H230" s="386">
        <f t="shared" si="183"/>
        <v>0</v>
      </c>
      <c r="I230" s="386">
        <f t="shared" si="183"/>
        <v>0</v>
      </c>
      <c r="J230" s="386">
        <f t="shared" si="183"/>
        <v>0</v>
      </c>
      <c r="K230" s="386">
        <f t="shared" si="183"/>
        <v>0</v>
      </c>
      <c r="L230" s="386">
        <f t="shared" si="183"/>
        <v>0</v>
      </c>
      <c r="M230" s="386">
        <f t="shared" si="183"/>
        <v>0</v>
      </c>
      <c r="N230" s="386">
        <f t="shared" si="183"/>
        <v>0</v>
      </c>
      <c r="O230" s="386">
        <f t="shared" si="183"/>
        <v>0</v>
      </c>
      <c r="P230" s="386">
        <f t="shared" si="183"/>
        <v>39000</v>
      </c>
      <c r="Q230" s="22"/>
      <c r="R230" s="798"/>
    </row>
    <row r="231" spans="1:18" ht="93" thickTop="1" thickBot="1" x14ac:dyDescent="0.25">
      <c r="A231" s="537" t="s">
        <v>795</v>
      </c>
      <c r="B231" s="537" t="s">
        <v>754</v>
      </c>
      <c r="C231" s="537"/>
      <c r="D231" s="455" t="s">
        <v>755</v>
      </c>
      <c r="E231" s="502">
        <f>E232</f>
        <v>39000</v>
      </c>
      <c r="F231" s="502">
        <f t="shared" si="183"/>
        <v>39000</v>
      </c>
      <c r="G231" s="502">
        <f t="shared" si="183"/>
        <v>0</v>
      </c>
      <c r="H231" s="502">
        <f t="shared" si="183"/>
        <v>0</v>
      </c>
      <c r="I231" s="502">
        <f t="shared" si="183"/>
        <v>0</v>
      </c>
      <c r="J231" s="502">
        <f t="shared" si="183"/>
        <v>0</v>
      </c>
      <c r="K231" s="502">
        <f t="shared" si="183"/>
        <v>0</v>
      </c>
      <c r="L231" s="502">
        <f t="shared" si="183"/>
        <v>0</v>
      </c>
      <c r="M231" s="502">
        <f t="shared" si="183"/>
        <v>0</v>
      </c>
      <c r="N231" s="502">
        <f t="shared" si="183"/>
        <v>0</v>
      </c>
      <c r="O231" s="502">
        <f t="shared" si="183"/>
        <v>0</v>
      </c>
      <c r="P231" s="502">
        <f t="shared" si="183"/>
        <v>39000</v>
      </c>
      <c r="Q231" s="22"/>
      <c r="R231" s="798"/>
    </row>
    <row r="232" spans="1:18" ht="276" thickTop="1" thickBot="1" x14ac:dyDescent="0.25">
      <c r="A232" s="503" t="s">
        <v>347</v>
      </c>
      <c r="B232" s="503" t="s">
        <v>346</v>
      </c>
      <c r="C232" s="503" t="s">
        <v>345</v>
      </c>
      <c r="D232" s="808" t="s">
        <v>648</v>
      </c>
      <c r="E232" s="386">
        <f>F232</f>
        <v>39000</v>
      </c>
      <c r="F232" s="441">
        <v>39000</v>
      </c>
      <c r="G232" s="389"/>
      <c r="H232" s="389"/>
      <c r="I232" s="389"/>
      <c r="J232" s="816">
        <f t="shared" si="169"/>
        <v>0</v>
      </c>
      <c r="K232" s="389"/>
      <c r="L232" s="389"/>
      <c r="M232" s="389"/>
      <c r="N232" s="389"/>
      <c r="O232" s="810">
        <f t="shared" si="170"/>
        <v>0</v>
      </c>
      <c r="P232" s="816">
        <f t="shared" si="172"/>
        <v>39000</v>
      </c>
      <c r="Q232" s="22"/>
      <c r="R232" s="53"/>
    </row>
    <row r="233" spans="1:18" ht="47.25" thickTop="1" thickBot="1" x14ac:dyDescent="0.25">
      <c r="A233" s="385" t="s">
        <v>796</v>
      </c>
      <c r="B233" s="385" t="s">
        <v>757</v>
      </c>
      <c r="C233" s="385"/>
      <c r="D233" s="385" t="s">
        <v>758</v>
      </c>
      <c r="E233" s="386">
        <f>E237+E234</f>
        <v>0</v>
      </c>
      <c r="F233" s="386">
        <f t="shared" ref="F233:P233" si="184">F237+F234</f>
        <v>0</v>
      </c>
      <c r="G233" s="386">
        <f t="shared" si="184"/>
        <v>0</v>
      </c>
      <c r="H233" s="386">
        <f t="shared" si="184"/>
        <v>0</v>
      </c>
      <c r="I233" s="386">
        <f t="shared" si="184"/>
        <v>0</v>
      </c>
      <c r="J233" s="386">
        <f t="shared" si="184"/>
        <v>4229000</v>
      </c>
      <c r="K233" s="386">
        <f t="shared" si="184"/>
        <v>4229000</v>
      </c>
      <c r="L233" s="386">
        <f t="shared" si="184"/>
        <v>0</v>
      </c>
      <c r="M233" s="386">
        <f t="shared" si="184"/>
        <v>0</v>
      </c>
      <c r="N233" s="386">
        <f t="shared" si="184"/>
        <v>0</v>
      </c>
      <c r="O233" s="386">
        <f t="shared" si="184"/>
        <v>4229000</v>
      </c>
      <c r="P233" s="386">
        <f t="shared" si="184"/>
        <v>4229000</v>
      </c>
      <c r="Q233" s="22"/>
      <c r="R233" s="53"/>
    </row>
    <row r="234" spans="1:18" ht="91.5" hidden="1" thickTop="1" thickBot="1" x14ac:dyDescent="0.25">
      <c r="A234" s="387" t="s">
        <v>1140</v>
      </c>
      <c r="B234" s="387" t="s">
        <v>813</v>
      </c>
      <c r="C234" s="387"/>
      <c r="D234" s="387" t="s">
        <v>814</v>
      </c>
      <c r="E234" s="391">
        <f>E235</f>
        <v>0</v>
      </c>
      <c r="F234" s="391">
        <f t="shared" ref="F234:P235" si="185">F235</f>
        <v>0</v>
      </c>
      <c r="G234" s="391">
        <f t="shared" si="185"/>
        <v>0</v>
      </c>
      <c r="H234" s="391">
        <f t="shared" si="185"/>
        <v>0</v>
      </c>
      <c r="I234" s="391">
        <f t="shared" si="185"/>
        <v>0</v>
      </c>
      <c r="J234" s="391">
        <f t="shared" si="185"/>
        <v>0</v>
      </c>
      <c r="K234" s="391">
        <f t="shared" si="185"/>
        <v>0</v>
      </c>
      <c r="L234" s="391">
        <f t="shared" si="185"/>
        <v>0</v>
      </c>
      <c r="M234" s="391">
        <f t="shared" si="185"/>
        <v>0</v>
      </c>
      <c r="N234" s="391">
        <f t="shared" si="185"/>
        <v>0</v>
      </c>
      <c r="O234" s="391">
        <f t="shared" si="185"/>
        <v>0</v>
      </c>
      <c r="P234" s="391">
        <f t="shared" si="185"/>
        <v>0</v>
      </c>
      <c r="Q234" s="22"/>
      <c r="R234" s="53"/>
    </row>
    <row r="235" spans="1:18" ht="145.5" hidden="1" thickTop="1" thickBot="1" x14ac:dyDescent="0.25">
      <c r="A235" s="455" t="s">
        <v>1141</v>
      </c>
      <c r="B235" s="455" t="s">
        <v>831</v>
      </c>
      <c r="C235" s="455"/>
      <c r="D235" s="455" t="s">
        <v>1318</v>
      </c>
      <c r="E235" s="440">
        <f>E236</f>
        <v>0</v>
      </c>
      <c r="F235" s="440">
        <f t="shared" si="185"/>
        <v>0</v>
      </c>
      <c r="G235" s="440">
        <f t="shared" si="185"/>
        <v>0</v>
      </c>
      <c r="H235" s="440">
        <f t="shared" si="185"/>
        <v>0</v>
      </c>
      <c r="I235" s="440">
        <f t="shared" si="185"/>
        <v>0</v>
      </c>
      <c r="J235" s="440">
        <f t="shared" si="185"/>
        <v>0</v>
      </c>
      <c r="K235" s="440">
        <f t="shared" si="185"/>
        <v>0</v>
      </c>
      <c r="L235" s="440">
        <f t="shared" si="185"/>
        <v>0</v>
      </c>
      <c r="M235" s="440">
        <f t="shared" si="185"/>
        <v>0</v>
      </c>
      <c r="N235" s="440">
        <f t="shared" si="185"/>
        <v>0</v>
      </c>
      <c r="O235" s="440">
        <f t="shared" si="185"/>
        <v>0</v>
      </c>
      <c r="P235" s="440">
        <f t="shared" si="185"/>
        <v>0</v>
      </c>
      <c r="Q235" s="22"/>
      <c r="R235" s="53"/>
    </row>
    <row r="236" spans="1:18" ht="145.5" hidden="1" thickTop="1" thickBot="1" x14ac:dyDescent="0.25">
      <c r="A236" s="808" t="s">
        <v>1142</v>
      </c>
      <c r="B236" s="808" t="s">
        <v>318</v>
      </c>
      <c r="C236" s="808" t="s">
        <v>309</v>
      </c>
      <c r="D236" s="808" t="s">
        <v>1327</v>
      </c>
      <c r="E236" s="816">
        <f t="shared" ref="E236" si="186">F236</f>
        <v>0</v>
      </c>
      <c r="F236" s="389"/>
      <c r="G236" s="389"/>
      <c r="H236" s="389"/>
      <c r="I236" s="389"/>
      <c r="J236" s="816">
        <f t="shared" ref="J236" si="187">L236+O236</f>
        <v>0</v>
      </c>
      <c r="K236" s="389">
        <f>49500-49500</f>
        <v>0</v>
      </c>
      <c r="L236" s="389"/>
      <c r="M236" s="389"/>
      <c r="N236" s="389"/>
      <c r="O236" s="810">
        <f t="shared" ref="O236" si="188">K236</f>
        <v>0</v>
      </c>
      <c r="P236" s="816">
        <f>E236+J236</f>
        <v>0</v>
      </c>
      <c r="Q236" s="22"/>
      <c r="R236" s="53"/>
    </row>
    <row r="237" spans="1:18" ht="136.5" thickTop="1" thickBot="1" x14ac:dyDescent="0.25">
      <c r="A237" s="387" t="s">
        <v>797</v>
      </c>
      <c r="B237" s="387" t="s">
        <v>700</v>
      </c>
      <c r="C237" s="387"/>
      <c r="D237" s="387" t="s">
        <v>698</v>
      </c>
      <c r="E237" s="388">
        <f>E239+E238</f>
        <v>0</v>
      </c>
      <c r="F237" s="388">
        <f t="shared" ref="F237:H237" si="189">F239+F238</f>
        <v>0</v>
      </c>
      <c r="G237" s="388">
        <f t="shared" si="189"/>
        <v>0</v>
      </c>
      <c r="H237" s="388">
        <f t="shared" si="189"/>
        <v>0</v>
      </c>
      <c r="I237" s="388">
        <f>I239+I238</f>
        <v>0</v>
      </c>
      <c r="J237" s="388">
        <f>J239+J238</f>
        <v>4229000</v>
      </c>
      <c r="K237" s="388">
        <f>K239+K238</f>
        <v>4229000</v>
      </c>
      <c r="L237" s="388">
        <f t="shared" ref="L237:O237" si="190">L239+L238</f>
        <v>0</v>
      </c>
      <c r="M237" s="388">
        <f t="shared" si="190"/>
        <v>0</v>
      </c>
      <c r="N237" s="388">
        <f t="shared" si="190"/>
        <v>0</v>
      </c>
      <c r="O237" s="388">
        <f t="shared" si="190"/>
        <v>4229000</v>
      </c>
      <c r="P237" s="388">
        <f>P239+P238</f>
        <v>4229000</v>
      </c>
      <c r="Q237" s="22"/>
      <c r="R237" s="53"/>
    </row>
    <row r="238" spans="1:18" ht="48" thickTop="1" thickBot="1" x14ac:dyDescent="0.25">
      <c r="A238" s="503" t="s">
        <v>1454</v>
      </c>
      <c r="B238" s="503" t="s">
        <v>217</v>
      </c>
      <c r="C238" s="503"/>
      <c r="D238" s="808" t="s">
        <v>41</v>
      </c>
      <c r="E238" s="386">
        <f>F238</f>
        <v>0</v>
      </c>
      <c r="F238" s="441"/>
      <c r="G238" s="389"/>
      <c r="H238" s="389"/>
      <c r="I238" s="389"/>
      <c r="J238" s="816">
        <f t="shared" ref="J238" si="191">L238+O238</f>
        <v>4229000</v>
      </c>
      <c r="K238" s="389">
        <v>4229000</v>
      </c>
      <c r="L238" s="389"/>
      <c r="M238" s="389"/>
      <c r="N238" s="389"/>
      <c r="O238" s="810">
        <f t="shared" ref="O238" si="192">K238</f>
        <v>4229000</v>
      </c>
      <c r="P238" s="816">
        <f t="shared" ref="P238" si="193">E238+J238</f>
        <v>4229000</v>
      </c>
      <c r="Q238" s="22"/>
      <c r="R238" s="53"/>
    </row>
    <row r="239" spans="1:18" ht="93" hidden="1" thickTop="1" thickBot="1" x14ac:dyDescent="0.25">
      <c r="A239" s="805" t="s">
        <v>615</v>
      </c>
      <c r="B239" s="805" t="s">
        <v>202</v>
      </c>
      <c r="C239" s="805" t="s">
        <v>171</v>
      </c>
      <c r="D239" s="805" t="s">
        <v>34</v>
      </c>
      <c r="E239" s="807">
        <f t="shared" ref="E239" si="194">F239</f>
        <v>0</v>
      </c>
      <c r="F239" s="168"/>
      <c r="G239" s="168"/>
      <c r="H239" s="168"/>
      <c r="I239" s="168"/>
      <c r="J239" s="807">
        <f t="shared" si="169"/>
        <v>0</v>
      </c>
      <c r="K239" s="168"/>
      <c r="L239" s="168"/>
      <c r="M239" s="168"/>
      <c r="N239" s="168"/>
      <c r="O239" s="801">
        <f t="shared" si="170"/>
        <v>0</v>
      </c>
      <c r="P239" s="807">
        <f t="shared" si="172"/>
        <v>0</v>
      </c>
      <c r="Q239" s="22"/>
      <c r="R239" s="798"/>
    </row>
    <row r="240" spans="1:18" ht="47.25" hidden="1" thickTop="1" thickBot="1" x14ac:dyDescent="0.25">
      <c r="A240" s="180" t="s">
        <v>1149</v>
      </c>
      <c r="B240" s="180" t="s">
        <v>711</v>
      </c>
      <c r="C240" s="180"/>
      <c r="D240" s="180" t="s">
        <v>712</v>
      </c>
      <c r="E240" s="804">
        <f>E241</f>
        <v>0</v>
      </c>
      <c r="F240" s="804">
        <f t="shared" ref="F240:P241" si="195">F241</f>
        <v>0</v>
      </c>
      <c r="G240" s="804">
        <f t="shared" si="195"/>
        <v>0</v>
      </c>
      <c r="H240" s="804">
        <f t="shared" si="195"/>
        <v>0</v>
      </c>
      <c r="I240" s="804">
        <f t="shared" si="195"/>
        <v>0</v>
      </c>
      <c r="J240" s="804">
        <f t="shared" si="195"/>
        <v>0</v>
      </c>
      <c r="K240" s="804">
        <f t="shared" si="195"/>
        <v>0</v>
      </c>
      <c r="L240" s="804">
        <f t="shared" si="195"/>
        <v>0</v>
      </c>
      <c r="M240" s="804">
        <f t="shared" si="195"/>
        <v>0</v>
      </c>
      <c r="N240" s="804">
        <f t="shared" si="195"/>
        <v>0</v>
      </c>
      <c r="O240" s="804">
        <f t="shared" si="195"/>
        <v>0</v>
      </c>
      <c r="P240" s="804">
        <f t="shared" si="195"/>
        <v>0</v>
      </c>
      <c r="Q240" s="22"/>
      <c r="R240" s="798"/>
    </row>
    <row r="241" spans="1:18" ht="271.5" hidden="1" thickTop="1" thickBot="1" x14ac:dyDescent="0.25">
      <c r="A241" s="181" t="s">
        <v>1150</v>
      </c>
      <c r="B241" s="181" t="s">
        <v>714</v>
      </c>
      <c r="C241" s="181"/>
      <c r="D241" s="181" t="s">
        <v>715</v>
      </c>
      <c r="E241" s="182">
        <f>E242</f>
        <v>0</v>
      </c>
      <c r="F241" s="182">
        <f t="shared" si="195"/>
        <v>0</v>
      </c>
      <c r="G241" s="182">
        <f t="shared" si="195"/>
        <v>0</v>
      </c>
      <c r="H241" s="182">
        <f t="shared" si="195"/>
        <v>0</v>
      </c>
      <c r="I241" s="182">
        <f t="shared" si="195"/>
        <v>0</v>
      </c>
      <c r="J241" s="182">
        <f t="shared" si="195"/>
        <v>0</v>
      </c>
      <c r="K241" s="182">
        <f t="shared" si="195"/>
        <v>0</v>
      </c>
      <c r="L241" s="182">
        <f t="shared" si="195"/>
        <v>0</v>
      </c>
      <c r="M241" s="182">
        <f t="shared" si="195"/>
        <v>0</v>
      </c>
      <c r="N241" s="182">
        <f t="shared" si="195"/>
        <v>0</v>
      </c>
      <c r="O241" s="182">
        <f t="shared" si="195"/>
        <v>0</v>
      </c>
      <c r="P241" s="182">
        <f t="shared" si="195"/>
        <v>0</v>
      </c>
      <c r="Q241" s="22"/>
      <c r="R241" s="798"/>
    </row>
    <row r="242" spans="1:18" ht="93" hidden="1" thickTop="1" thickBot="1" x14ac:dyDescent="0.25">
      <c r="A242" s="803" t="s">
        <v>1151</v>
      </c>
      <c r="B242" s="803" t="s">
        <v>368</v>
      </c>
      <c r="C242" s="803" t="s">
        <v>43</v>
      </c>
      <c r="D242" s="803" t="s">
        <v>369</v>
      </c>
      <c r="E242" s="804">
        <f t="shared" ref="E242" si="196">F242</f>
        <v>0</v>
      </c>
      <c r="F242" s="46">
        <v>0</v>
      </c>
      <c r="G242" s="46"/>
      <c r="H242" s="46"/>
      <c r="I242" s="46"/>
      <c r="J242" s="804">
        <f>L242+O242</f>
        <v>0</v>
      </c>
      <c r="K242" s="46">
        <v>0</v>
      </c>
      <c r="L242" s="46"/>
      <c r="M242" s="46"/>
      <c r="N242" s="46"/>
      <c r="O242" s="806">
        <f>K242</f>
        <v>0</v>
      </c>
      <c r="P242" s="804">
        <f>E242+J242</f>
        <v>0</v>
      </c>
      <c r="Q242" s="22"/>
      <c r="R242" s="798"/>
    </row>
    <row r="243" spans="1:18" ht="181.5" thickTop="1" thickBot="1" x14ac:dyDescent="0.25">
      <c r="A243" s="460" t="s">
        <v>159</v>
      </c>
      <c r="B243" s="460"/>
      <c r="C243" s="460"/>
      <c r="D243" s="461" t="s">
        <v>567</v>
      </c>
      <c r="E243" s="463">
        <f>E244</f>
        <v>22986630</v>
      </c>
      <c r="F243" s="462">
        <f t="shared" ref="F243:G243" si="197">F244</f>
        <v>22986630</v>
      </c>
      <c r="G243" s="462">
        <f t="shared" si="197"/>
        <v>6530800</v>
      </c>
      <c r="H243" s="462">
        <f>H244</f>
        <v>495475</v>
      </c>
      <c r="I243" s="462">
        <f t="shared" ref="I243" si="198">I244</f>
        <v>0</v>
      </c>
      <c r="J243" s="463">
        <f>J244</f>
        <v>23009806.870000001</v>
      </c>
      <c r="K243" s="462">
        <f>K244</f>
        <v>22530081</v>
      </c>
      <c r="L243" s="462">
        <f>L244</f>
        <v>479725.87</v>
      </c>
      <c r="M243" s="462">
        <f t="shared" ref="M243" si="199">M244</f>
        <v>0</v>
      </c>
      <c r="N243" s="462">
        <f>N244</f>
        <v>0</v>
      </c>
      <c r="O243" s="463">
        <f>O244</f>
        <v>22530081</v>
      </c>
      <c r="P243" s="462">
        <f>P244</f>
        <v>45996436.870000005</v>
      </c>
      <c r="Q243" s="22"/>
      <c r="R243" s="53"/>
    </row>
    <row r="244" spans="1:18" ht="181.5" thickTop="1" thickBot="1" x14ac:dyDescent="0.25">
      <c r="A244" s="464" t="s">
        <v>160</v>
      </c>
      <c r="B244" s="464"/>
      <c r="C244" s="464"/>
      <c r="D244" s="465" t="s">
        <v>568</v>
      </c>
      <c r="E244" s="466">
        <f>E245+E249+E257+E266</f>
        <v>22986630</v>
      </c>
      <c r="F244" s="466">
        <f>F245+F249+F257+F266</f>
        <v>22986630</v>
      </c>
      <c r="G244" s="466">
        <f>G245+G249+G257+G266</f>
        <v>6530800</v>
      </c>
      <c r="H244" s="466">
        <f>H245+H249+H257+H266</f>
        <v>495475</v>
      </c>
      <c r="I244" s="466">
        <f>I245+I249+I257+I266</f>
        <v>0</v>
      </c>
      <c r="J244" s="466">
        <f t="shared" ref="J244:J264" si="200">L244+O244</f>
        <v>23009806.870000001</v>
      </c>
      <c r="K244" s="466">
        <f>K245+K249+K257+K266</f>
        <v>22530081</v>
      </c>
      <c r="L244" s="466">
        <f>L245+L249+L257+L266</f>
        <v>479725.87</v>
      </c>
      <c r="M244" s="466">
        <f>M245+M249+M257+M266</f>
        <v>0</v>
      </c>
      <c r="N244" s="466">
        <f>N245+N249+N257+N266</f>
        <v>0</v>
      </c>
      <c r="O244" s="466">
        <f>O245+O249+O257+O266</f>
        <v>22530081</v>
      </c>
      <c r="P244" s="466">
        <f>E244+J244</f>
        <v>45996436.870000005</v>
      </c>
      <c r="Q244" s="392" t="b">
        <f>P244=P246+P247+P251+P252+P256+P262+P261+P264+P254+P259+P255+P253</f>
        <v>1</v>
      </c>
      <c r="R244" s="57"/>
    </row>
    <row r="245" spans="1:18" ht="47.25" thickTop="1" thickBot="1" x14ac:dyDescent="0.25">
      <c r="A245" s="385" t="s">
        <v>798</v>
      </c>
      <c r="B245" s="385" t="s">
        <v>693</v>
      </c>
      <c r="C245" s="385"/>
      <c r="D245" s="385" t="s">
        <v>694</v>
      </c>
      <c r="E245" s="816">
        <f>SUM(E246:E248)</f>
        <v>9852160</v>
      </c>
      <c r="F245" s="816">
        <f t="shared" ref="F245:N245" si="201">SUM(F246:F248)</f>
        <v>9852160</v>
      </c>
      <c r="G245" s="816">
        <f t="shared" si="201"/>
        <v>6530800</v>
      </c>
      <c r="H245" s="816">
        <f t="shared" si="201"/>
        <v>495475</v>
      </c>
      <c r="I245" s="816">
        <f t="shared" si="201"/>
        <v>0</v>
      </c>
      <c r="J245" s="816">
        <f t="shared" si="201"/>
        <v>0</v>
      </c>
      <c r="K245" s="816">
        <f t="shared" si="201"/>
        <v>0</v>
      </c>
      <c r="L245" s="816">
        <f t="shared" si="201"/>
        <v>0</v>
      </c>
      <c r="M245" s="816">
        <f t="shared" si="201"/>
        <v>0</v>
      </c>
      <c r="N245" s="816">
        <f t="shared" si="201"/>
        <v>0</v>
      </c>
      <c r="O245" s="816">
        <f>SUM(O246:O248)</f>
        <v>0</v>
      </c>
      <c r="P245" s="816">
        <f>SUM(P246:P248)</f>
        <v>9852160</v>
      </c>
      <c r="Q245" s="50"/>
      <c r="R245" s="57"/>
    </row>
    <row r="246" spans="1:18" ht="230.25" thickTop="1" thickBot="1" x14ac:dyDescent="0.25">
      <c r="A246" s="808" t="s">
        <v>426</v>
      </c>
      <c r="B246" s="808" t="s">
        <v>241</v>
      </c>
      <c r="C246" s="808" t="s">
        <v>239</v>
      </c>
      <c r="D246" s="808" t="s">
        <v>240</v>
      </c>
      <c r="E246" s="386">
        <f>F246</f>
        <v>9840160</v>
      </c>
      <c r="F246" s="441">
        <f>(9296960)+43200+500000</f>
        <v>9840160</v>
      </c>
      <c r="G246" s="441">
        <v>6530800</v>
      </c>
      <c r="H246" s="441">
        <f>372455+5642+112884+4494</f>
        <v>495475</v>
      </c>
      <c r="I246" s="441"/>
      <c r="J246" s="816">
        <f t="shared" si="200"/>
        <v>0</v>
      </c>
      <c r="K246" s="441"/>
      <c r="L246" s="442"/>
      <c r="M246" s="442"/>
      <c r="N246" s="442"/>
      <c r="O246" s="810">
        <f t="shared" ref="O246:O262" si="202">K246</f>
        <v>0</v>
      </c>
      <c r="P246" s="816">
        <f t="shared" ref="P246:P254" si="203">+J246+E246</f>
        <v>9840160</v>
      </c>
      <c r="Q246" s="22"/>
      <c r="R246" s="57"/>
    </row>
    <row r="247" spans="1:18" ht="184.5" thickTop="1" thickBot="1" x14ac:dyDescent="0.25">
      <c r="A247" s="808" t="s">
        <v>636</v>
      </c>
      <c r="B247" s="808" t="s">
        <v>367</v>
      </c>
      <c r="C247" s="808" t="s">
        <v>634</v>
      </c>
      <c r="D247" s="808" t="s">
        <v>635</v>
      </c>
      <c r="E247" s="816">
        <f t="shared" ref="E247:E248" si="204">F247</f>
        <v>12000</v>
      </c>
      <c r="F247" s="441">
        <v>12000</v>
      </c>
      <c r="G247" s="441"/>
      <c r="H247" s="441"/>
      <c r="I247" s="441"/>
      <c r="J247" s="816">
        <f t="shared" si="200"/>
        <v>0</v>
      </c>
      <c r="K247" s="441"/>
      <c r="L247" s="442"/>
      <c r="M247" s="451"/>
      <c r="N247" s="451"/>
      <c r="O247" s="810">
        <f t="shared" si="202"/>
        <v>0</v>
      </c>
      <c r="P247" s="816">
        <f>+J247+E247</f>
        <v>12000</v>
      </c>
      <c r="Q247" s="22"/>
      <c r="R247" s="57"/>
    </row>
    <row r="248" spans="1:18" ht="93" hidden="1" thickTop="1" thickBot="1" x14ac:dyDescent="0.25">
      <c r="A248" s="805" t="s">
        <v>1187</v>
      </c>
      <c r="B248" s="805" t="s">
        <v>43</v>
      </c>
      <c r="C248" s="805" t="s">
        <v>42</v>
      </c>
      <c r="D248" s="805" t="s">
        <v>253</v>
      </c>
      <c r="E248" s="807">
        <f t="shared" si="204"/>
        <v>0</v>
      </c>
      <c r="F248" s="163"/>
      <c r="G248" s="163"/>
      <c r="H248" s="163"/>
      <c r="I248" s="163"/>
      <c r="J248" s="807">
        <f t="shared" si="200"/>
        <v>0</v>
      </c>
      <c r="K248" s="163"/>
      <c r="L248" s="164"/>
      <c r="M248" s="165"/>
      <c r="N248" s="165"/>
      <c r="O248" s="801"/>
      <c r="P248" s="807">
        <f>+J248+E248</f>
        <v>0</v>
      </c>
      <c r="Q248" s="22"/>
      <c r="R248" s="57"/>
    </row>
    <row r="249" spans="1:18" ht="91.5" thickTop="1" thickBot="1" x14ac:dyDescent="0.25">
      <c r="A249" s="385" t="s">
        <v>799</v>
      </c>
      <c r="B249" s="385" t="s">
        <v>751</v>
      </c>
      <c r="C249" s="385"/>
      <c r="D249" s="536" t="s">
        <v>752</v>
      </c>
      <c r="E249" s="816">
        <f>SUM(E250:E256)-E250</f>
        <v>4583100</v>
      </c>
      <c r="F249" s="816">
        <f t="shared" ref="F249:P249" si="205">SUM(F250:F256)-F250</f>
        <v>4583100</v>
      </c>
      <c r="G249" s="816">
        <f t="shared" si="205"/>
        <v>0</v>
      </c>
      <c r="H249" s="816">
        <f t="shared" si="205"/>
        <v>0</v>
      </c>
      <c r="I249" s="816">
        <f t="shared" si="205"/>
        <v>0</v>
      </c>
      <c r="J249" s="816">
        <f>SUM(J250:J256)-J250</f>
        <v>17659047</v>
      </c>
      <c r="K249" s="816">
        <f t="shared" si="205"/>
        <v>17659047</v>
      </c>
      <c r="L249" s="816">
        <f t="shared" si="205"/>
        <v>0</v>
      </c>
      <c r="M249" s="816">
        <f t="shared" si="205"/>
        <v>0</v>
      </c>
      <c r="N249" s="816">
        <f t="shared" si="205"/>
        <v>0</v>
      </c>
      <c r="O249" s="816">
        <f t="shared" si="205"/>
        <v>17659047</v>
      </c>
      <c r="P249" s="816">
        <f t="shared" si="205"/>
        <v>22242147</v>
      </c>
      <c r="Q249" s="22"/>
      <c r="R249" s="57"/>
    </row>
    <row r="250" spans="1:18" s="35" customFormat="1" ht="184.5" thickTop="1" thickBot="1" x14ac:dyDescent="0.25">
      <c r="A250" s="455" t="s">
        <v>800</v>
      </c>
      <c r="B250" s="455" t="s">
        <v>801</v>
      </c>
      <c r="C250" s="455"/>
      <c r="D250" s="455" t="s">
        <v>802</v>
      </c>
      <c r="E250" s="440">
        <f>SUM(E251:E253)</f>
        <v>1983100</v>
      </c>
      <c r="F250" s="440">
        <f t="shared" ref="F250:P250" si="206">SUM(F251:F253)</f>
        <v>1983100</v>
      </c>
      <c r="G250" s="440">
        <f t="shared" si="206"/>
        <v>0</v>
      </c>
      <c r="H250" s="440">
        <f t="shared" si="206"/>
        <v>0</v>
      </c>
      <c r="I250" s="440">
        <f t="shared" si="206"/>
        <v>0</v>
      </c>
      <c r="J250" s="440">
        <f t="shared" si="206"/>
        <v>14585047</v>
      </c>
      <c r="K250" s="440">
        <f t="shared" si="206"/>
        <v>14585047</v>
      </c>
      <c r="L250" s="440">
        <f t="shared" si="206"/>
        <v>0</v>
      </c>
      <c r="M250" s="440">
        <f t="shared" si="206"/>
        <v>0</v>
      </c>
      <c r="N250" s="440">
        <f t="shared" si="206"/>
        <v>0</v>
      </c>
      <c r="O250" s="440">
        <f t="shared" si="206"/>
        <v>14585047</v>
      </c>
      <c r="P250" s="440">
        <f t="shared" si="206"/>
        <v>16568147</v>
      </c>
      <c r="Q250" s="39"/>
      <c r="R250" s="57"/>
    </row>
    <row r="251" spans="1:18" ht="138.75" thickTop="1" thickBot="1" x14ac:dyDescent="0.25">
      <c r="A251" s="808" t="s">
        <v>285</v>
      </c>
      <c r="B251" s="808" t="s">
        <v>286</v>
      </c>
      <c r="C251" s="808" t="s">
        <v>345</v>
      </c>
      <c r="D251" s="808" t="s">
        <v>287</v>
      </c>
      <c r="E251" s="386">
        <f>F251</f>
        <v>1983100</v>
      </c>
      <c r="F251" s="441">
        <f>(1833100)+150000</f>
        <v>1983100</v>
      </c>
      <c r="G251" s="441"/>
      <c r="H251" s="441"/>
      <c r="I251" s="441"/>
      <c r="J251" s="816">
        <f t="shared" si="200"/>
        <v>3969055</v>
      </c>
      <c r="K251" s="441">
        <f>(745000)+3224055</f>
        <v>3969055</v>
      </c>
      <c r="L251" s="442"/>
      <c r="M251" s="442"/>
      <c r="N251" s="442"/>
      <c r="O251" s="810">
        <f t="shared" si="202"/>
        <v>3969055</v>
      </c>
      <c r="P251" s="816">
        <f t="shared" si="203"/>
        <v>5952155</v>
      </c>
      <c r="Q251" s="22"/>
      <c r="R251" s="57"/>
    </row>
    <row r="252" spans="1:18" ht="138.75" thickTop="1" thickBot="1" x14ac:dyDescent="0.25">
      <c r="A252" s="808" t="s">
        <v>306</v>
      </c>
      <c r="B252" s="808" t="s">
        <v>307</v>
      </c>
      <c r="C252" s="808" t="s">
        <v>288</v>
      </c>
      <c r="D252" s="808" t="s">
        <v>308</v>
      </c>
      <c r="E252" s="386">
        <f t="shared" ref="E252:E264" si="207">F252</f>
        <v>0</v>
      </c>
      <c r="F252" s="441"/>
      <c r="G252" s="441"/>
      <c r="H252" s="441"/>
      <c r="I252" s="441"/>
      <c r="J252" s="816">
        <f t="shared" si="200"/>
        <v>10237500</v>
      </c>
      <c r="K252" s="441">
        <f>(5237500)+5000000</f>
        <v>10237500</v>
      </c>
      <c r="L252" s="442"/>
      <c r="M252" s="442"/>
      <c r="N252" s="442"/>
      <c r="O252" s="810">
        <f t="shared" si="202"/>
        <v>10237500</v>
      </c>
      <c r="P252" s="816">
        <f t="shared" si="203"/>
        <v>10237500</v>
      </c>
      <c r="Q252" s="22"/>
      <c r="R252" s="57"/>
    </row>
    <row r="253" spans="1:18" ht="184.5" thickTop="1" thickBot="1" x14ac:dyDescent="0.25">
      <c r="A253" s="808" t="s">
        <v>289</v>
      </c>
      <c r="B253" s="808" t="s">
        <v>290</v>
      </c>
      <c r="C253" s="808" t="s">
        <v>288</v>
      </c>
      <c r="D253" s="808" t="s">
        <v>471</v>
      </c>
      <c r="E253" s="386">
        <f t="shared" si="207"/>
        <v>0</v>
      </c>
      <c r="F253" s="441">
        <f>((16700000-15000000)-1000000)-700000</f>
        <v>0</v>
      </c>
      <c r="G253" s="441"/>
      <c r="H253" s="441"/>
      <c r="I253" s="441"/>
      <c r="J253" s="816">
        <f t="shared" si="200"/>
        <v>378492</v>
      </c>
      <c r="K253" s="441">
        <v>378492</v>
      </c>
      <c r="L253" s="442"/>
      <c r="M253" s="442"/>
      <c r="N253" s="442"/>
      <c r="O253" s="810">
        <f t="shared" si="202"/>
        <v>378492</v>
      </c>
      <c r="P253" s="816">
        <f t="shared" si="203"/>
        <v>378492</v>
      </c>
      <c r="Q253" s="22"/>
      <c r="R253" s="57"/>
    </row>
    <row r="254" spans="1:18" ht="230.25" thickTop="1" thickBot="1" x14ac:dyDescent="0.25">
      <c r="A254" s="808" t="s">
        <v>942</v>
      </c>
      <c r="B254" s="808" t="s">
        <v>302</v>
      </c>
      <c r="C254" s="808" t="s">
        <v>288</v>
      </c>
      <c r="D254" s="808" t="s">
        <v>303</v>
      </c>
      <c r="E254" s="386">
        <f t="shared" si="207"/>
        <v>600000</v>
      </c>
      <c r="F254" s="441">
        <v>600000</v>
      </c>
      <c r="G254" s="441"/>
      <c r="H254" s="441"/>
      <c r="I254" s="441"/>
      <c r="J254" s="816">
        <f t="shared" si="200"/>
        <v>0</v>
      </c>
      <c r="K254" s="441"/>
      <c r="L254" s="442"/>
      <c r="M254" s="442"/>
      <c r="N254" s="442"/>
      <c r="O254" s="810">
        <f t="shared" si="202"/>
        <v>0</v>
      </c>
      <c r="P254" s="816">
        <f t="shared" si="203"/>
        <v>600000</v>
      </c>
      <c r="Q254" s="22"/>
      <c r="R254" s="57"/>
    </row>
    <row r="255" spans="1:18" ht="93" thickTop="1" thickBot="1" x14ac:dyDescent="0.25">
      <c r="A255" s="808" t="s">
        <v>293</v>
      </c>
      <c r="B255" s="808" t="s">
        <v>294</v>
      </c>
      <c r="C255" s="808" t="s">
        <v>288</v>
      </c>
      <c r="D255" s="808" t="s">
        <v>295</v>
      </c>
      <c r="E255" s="386">
        <f t="shared" si="207"/>
        <v>0</v>
      </c>
      <c r="F255" s="441">
        <f>(((0)+15000000)-10000000)-5000000</f>
        <v>0</v>
      </c>
      <c r="G255" s="441"/>
      <c r="H255" s="441"/>
      <c r="I255" s="441"/>
      <c r="J255" s="816">
        <f t="shared" si="200"/>
        <v>3074000</v>
      </c>
      <c r="K255" s="389">
        <v>3074000</v>
      </c>
      <c r="L255" s="441"/>
      <c r="M255" s="441"/>
      <c r="N255" s="441"/>
      <c r="O255" s="810">
        <f t="shared" si="202"/>
        <v>3074000</v>
      </c>
      <c r="P255" s="816">
        <f t="shared" ref="P255:P256" si="208">E255+J255</f>
        <v>3074000</v>
      </c>
      <c r="Q255" s="22"/>
      <c r="R255" s="53"/>
    </row>
    <row r="256" spans="1:18" ht="138.75" thickTop="1" thickBot="1" x14ac:dyDescent="0.25">
      <c r="A256" s="808" t="s">
        <v>1340</v>
      </c>
      <c r="B256" s="808" t="s">
        <v>1193</v>
      </c>
      <c r="C256" s="808" t="s">
        <v>1194</v>
      </c>
      <c r="D256" s="808" t="s">
        <v>1191</v>
      </c>
      <c r="E256" s="386">
        <f t="shared" si="207"/>
        <v>2000000</v>
      </c>
      <c r="F256" s="441">
        <v>2000000</v>
      </c>
      <c r="G256" s="441"/>
      <c r="H256" s="441"/>
      <c r="I256" s="441"/>
      <c r="J256" s="816">
        <f t="shared" si="200"/>
        <v>0</v>
      </c>
      <c r="K256" s="389"/>
      <c r="L256" s="441"/>
      <c r="M256" s="441"/>
      <c r="N256" s="441"/>
      <c r="O256" s="810">
        <f t="shared" si="202"/>
        <v>0</v>
      </c>
      <c r="P256" s="816">
        <f t="shared" si="208"/>
        <v>2000000</v>
      </c>
      <c r="Q256" s="22"/>
      <c r="R256" s="53"/>
    </row>
    <row r="257" spans="1:18" ht="47.25" thickTop="1" thickBot="1" x14ac:dyDescent="0.25">
      <c r="A257" s="385" t="s">
        <v>803</v>
      </c>
      <c r="B257" s="385" t="s">
        <v>757</v>
      </c>
      <c r="C257" s="385"/>
      <c r="D257" s="385" t="s">
        <v>804</v>
      </c>
      <c r="E257" s="386">
        <f>E260+E258</f>
        <v>8551370</v>
      </c>
      <c r="F257" s="386">
        <f t="shared" ref="F257:P257" si="209">F260+F258</f>
        <v>8551370</v>
      </c>
      <c r="G257" s="386">
        <f t="shared" si="209"/>
        <v>0</v>
      </c>
      <c r="H257" s="386">
        <f t="shared" si="209"/>
        <v>0</v>
      </c>
      <c r="I257" s="386">
        <f t="shared" si="209"/>
        <v>0</v>
      </c>
      <c r="J257" s="386">
        <f t="shared" si="209"/>
        <v>5350759.87</v>
      </c>
      <c r="K257" s="386">
        <f t="shared" si="209"/>
        <v>4871034</v>
      </c>
      <c r="L257" s="386">
        <f t="shared" si="209"/>
        <v>479725.87</v>
      </c>
      <c r="M257" s="386">
        <f t="shared" si="209"/>
        <v>0</v>
      </c>
      <c r="N257" s="386">
        <f t="shared" si="209"/>
        <v>0</v>
      </c>
      <c r="O257" s="386">
        <f t="shared" si="209"/>
        <v>4871034</v>
      </c>
      <c r="P257" s="386">
        <f t="shared" si="209"/>
        <v>13902129.869999999</v>
      </c>
      <c r="Q257" s="22"/>
      <c r="R257" s="53"/>
    </row>
    <row r="258" spans="1:18" ht="91.5" thickTop="1" thickBot="1" x14ac:dyDescent="0.25">
      <c r="A258" s="387" t="s">
        <v>1189</v>
      </c>
      <c r="B258" s="387" t="s">
        <v>813</v>
      </c>
      <c r="C258" s="387"/>
      <c r="D258" s="387" t="s">
        <v>814</v>
      </c>
      <c r="E258" s="388">
        <f>E259</f>
        <v>0</v>
      </c>
      <c r="F258" s="388">
        <f t="shared" ref="F258:P258" si="210">F259</f>
        <v>0</v>
      </c>
      <c r="G258" s="388">
        <f t="shared" si="210"/>
        <v>0</v>
      </c>
      <c r="H258" s="388">
        <f t="shared" si="210"/>
        <v>0</v>
      </c>
      <c r="I258" s="388">
        <f t="shared" si="210"/>
        <v>0</v>
      </c>
      <c r="J258" s="388">
        <f t="shared" si="210"/>
        <v>4700000</v>
      </c>
      <c r="K258" s="388">
        <f t="shared" si="210"/>
        <v>4700000</v>
      </c>
      <c r="L258" s="388">
        <f t="shared" si="210"/>
        <v>0</v>
      </c>
      <c r="M258" s="388">
        <f t="shared" si="210"/>
        <v>0</v>
      </c>
      <c r="N258" s="388">
        <f t="shared" si="210"/>
        <v>0</v>
      </c>
      <c r="O258" s="388">
        <f t="shared" si="210"/>
        <v>4700000</v>
      </c>
      <c r="P258" s="388">
        <f t="shared" si="210"/>
        <v>4700000</v>
      </c>
      <c r="Q258" s="22"/>
      <c r="R258" s="53"/>
    </row>
    <row r="259" spans="1:18" ht="99.75" thickTop="1" thickBot="1" x14ac:dyDescent="0.25">
      <c r="A259" s="808" t="s">
        <v>1190</v>
      </c>
      <c r="B259" s="808" t="s">
        <v>310</v>
      </c>
      <c r="C259" s="808" t="s">
        <v>309</v>
      </c>
      <c r="D259" s="808" t="s">
        <v>1342</v>
      </c>
      <c r="E259" s="386">
        <f t="shared" ref="E259" si="211">F259</f>
        <v>0</v>
      </c>
      <c r="F259" s="441"/>
      <c r="G259" s="441"/>
      <c r="H259" s="441"/>
      <c r="I259" s="441"/>
      <c r="J259" s="816">
        <f>L259+O259</f>
        <v>4700000</v>
      </c>
      <c r="K259" s="389">
        <v>4700000</v>
      </c>
      <c r="L259" s="441"/>
      <c r="M259" s="441"/>
      <c r="N259" s="441"/>
      <c r="O259" s="810">
        <f>K259</f>
        <v>4700000</v>
      </c>
      <c r="P259" s="816">
        <f t="shared" ref="P259" si="212">E259+J259</f>
        <v>4700000</v>
      </c>
      <c r="Q259" s="22"/>
      <c r="R259" s="53"/>
    </row>
    <row r="260" spans="1:18" ht="136.5" thickTop="1" thickBot="1" x14ac:dyDescent="0.25">
      <c r="A260" s="387" t="s">
        <v>805</v>
      </c>
      <c r="B260" s="387" t="s">
        <v>700</v>
      </c>
      <c r="C260" s="387"/>
      <c r="D260" s="387" t="s">
        <v>698</v>
      </c>
      <c r="E260" s="388">
        <f>E261+E263+E262</f>
        <v>8551370</v>
      </c>
      <c r="F260" s="388">
        <f t="shared" ref="F260:P260" si="213">F261+F263+F262</f>
        <v>8551370</v>
      </c>
      <c r="G260" s="388">
        <f t="shared" si="213"/>
        <v>0</v>
      </c>
      <c r="H260" s="388">
        <f t="shared" si="213"/>
        <v>0</v>
      </c>
      <c r="I260" s="388">
        <f t="shared" si="213"/>
        <v>0</v>
      </c>
      <c r="J260" s="388">
        <f>J261+J263+J262</f>
        <v>650759.87</v>
      </c>
      <c r="K260" s="388">
        <f t="shared" si="213"/>
        <v>171034</v>
      </c>
      <c r="L260" s="388">
        <f t="shared" si="213"/>
        <v>479725.87</v>
      </c>
      <c r="M260" s="388">
        <f t="shared" si="213"/>
        <v>0</v>
      </c>
      <c r="N260" s="388">
        <f t="shared" si="213"/>
        <v>0</v>
      </c>
      <c r="O260" s="388">
        <f t="shared" si="213"/>
        <v>171034</v>
      </c>
      <c r="P260" s="388">
        <f t="shared" si="213"/>
        <v>9202129.8699999992</v>
      </c>
      <c r="Q260" s="22"/>
      <c r="R260" s="53"/>
    </row>
    <row r="261" spans="1:18" ht="48" thickTop="1" thickBot="1" x14ac:dyDescent="0.25">
      <c r="A261" s="808" t="s">
        <v>301</v>
      </c>
      <c r="B261" s="808" t="s">
        <v>217</v>
      </c>
      <c r="C261" s="808" t="s">
        <v>218</v>
      </c>
      <c r="D261" s="808" t="s">
        <v>41</v>
      </c>
      <c r="E261" s="386">
        <f t="shared" si="207"/>
        <v>8551370</v>
      </c>
      <c r="F261" s="441">
        <f>(5844220)+2707150</f>
        <v>8551370</v>
      </c>
      <c r="G261" s="441"/>
      <c r="H261" s="441"/>
      <c r="I261" s="441"/>
      <c r="J261" s="816">
        <f t="shared" si="200"/>
        <v>0</v>
      </c>
      <c r="K261" s="389"/>
      <c r="L261" s="441"/>
      <c r="M261" s="441"/>
      <c r="N261" s="441"/>
      <c r="O261" s="810">
        <f t="shared" si="202"/>
        <v>0</v>
      </c>
      <c r="P261" s="816">
        <f>E261+J261</f>
        <v>8551370</v>
      </c>
      <c r="Q261" s="22"/>
      <c r="R261" s="57"/>
    </row>
    <row r="262" spans="1:18" ht="93" thickTop="1" thickBot="1" x14ac:dyDescent="0.25">
      <c r="A262" s="808" t="s">
        <v>931</v>
      </c>
      <c r="B262" s="808" t="s">
        <v>202</v>
      </c>
      <c r="C262" s="808" t="s">
        <v>171</v>
      </c>
      <c r="D262" s="808" t="s">
        <v>34</v>
      </c>
      <c r="E262" s="386">
        <f t="shared" si="207"/>
        <v>0</v>
      </c>
      <c r="F262" s="441"/>
      <c r="G262" s="441"/>
      <c r="H262" s="441"/>
      <c r="I262" s="441"/>
      <c r="J262" s="816">
        <f t="shared" si="200"/>
        <v>171034</v>
      </c>
      <c r="K262" s="389">
        <v>171034</v>
      </c>
      <c r="L262" s="441"/>
      <c r="M262" s="441"/>
      <c r="N262" s="441"/>
      <c r="O262" s="810">
        <f t="shared" si="202"/>
        <v>171034</v>
      </c>
      <c r="P262" s="816">
        <f>E262+J262</f>
        <v>171034</v>
      </c>
      <c r="Q262" s="22"/>
      <c r="R262" s="57"/>
    </row>
    <row r="263" spans="1:18" ht="48" thickTop="1" thickBot="1" x14ac:dyDescent="0.25">
      <c r="A263" s="455" t="s">
        <v>806</v>
      </c>
      <c r="B263" s="455" t="s">
        <v>703</v>
      </c>
      <c r="C263" s="455"/>
      <c r="D263" s="455" t="s">
        <v>807</v>
      </c>
      <c r="E263" s="502">
        <f>E264</f>
        <v>0</v>
      </c>
      <c r="F263" s="502">
        <f t="shared" ref="F263:P263" si="214">F264</f>
        <v>0</v>
      </c>
      <c r="G263" s="502">
        <f t="shared" si="214"/>
        <v>0</v>
      </c>
      <c r="H263" s="502">
        <f t="shared" si="214"/>
        <v>0</v>
      </c>
      <c r="I263" s="502">
        <f t="shared" si="214"/>
        <v>0</v>
      </c>
      <c r="J263" s="502">
        <f t="shared" si="214"/>
        <v>479725.87</v>
      </c>
      <c r="K263" s="502">
        <f t="shared" si="214"/>
        <v>0</v>
      </c>
      <c r="L263" s="502">
        <f t="shared" si="214"/>
        <v>479725.87</v>
      </c>
      <c r="M263" s="502">
        <f t="shared" si="214"/>
        <v>0</v>
      </c>
      <c r="N263" s="502">
        <f t="shared" si="214"/>
        <v>0</v>
      </c>
      <c r="O263" s="502">
        <f t="shared" si="214"/>
        <v>0</v>
      </c>
      <c r="P263" s="502">
        <f t="shared" si="214"/>
        <v>479725.87</v>
      </c>
      <c r="Q263" s="22"/>
      <c r="R263" s="53"/>
    </row>
    <row r="264" spans="1:18" ht="409.6" thickTop="1" thickBot="1" x14ac:dyDescent="0.7">
      <c r="A264" s="895" t="s">
        <v>429</v>
      </c>
      <c r="B264" s="895" t="s">
        <v>343</v>
      </c>
      <c r="C264" s="895" t="s">
        <v>171</v>
      </c>
      <c r="D264" s="729" t="s">
        <v>445</v>
      </c>
      <c r="E264" s="893">
        <f t="shared" si="207"/>
        <v>0</v>
      </c>
      <c r="F264" s="894"/>
      <c r="G264" s="894"/>
      <c r="H264" s="894"/>
      <c r="I264" s="894"/>
      <c r="J264" s="893">
        <f t="shared" si="200"/>
        <v>479725.87</v>
      </c>
      <c r="K264" s="894"/>
      <c r="L264" s="894">
        <v>479725.87</v>
      </c>
      <c r="M264" s="894"/>
      <c r="N264" s="894"/>
      <c r="O264" s="915">
        <f>((K264+884000)-450000)-434000</f>
        <v>0</v>
      </c>
      <c r="P264" s="929">
        <f>E264+J264</f>
        <v>479725.87</v>
      </c>
      <c r="Q264" s="22"/>
      <c r="R264" s="53"/>
    </row>
    <row r="265" spans="1:18" ht="184.5" thickTop="1" thickBot="1" x14ac:dyDescent="0.25">
      <c r="A265" s="895"/>
      <c r="B265" s="895"/>
      <c r="C265" s="895"/>
      <c r="D265" s="730" t="s">
        <v>446</v>
      </c>
      <c r="E265" s="893"/>
      <c r="F265" s="894"/>
      <c r="G265" s="894"/>
      <c r="H265" s="894"/>
      <c r="I265" s="894"/>
      <c r="J265" s="893"/>
      <c r="K265" s="894"/>
      <c r="L265" s="894"/>
      <c r="M265" s="894"/>
      <c r="N265" s="894"/>
      <c r="O265" s="915"/>
      <c r="P265" s="929"/>
      <c r="Q265" s="22"/>
      <c r="R265" s="53"/>
    </row>
    <row r="266" spans="1:18" ht="47.25" hidden="1" thickTop="1" thickBot="1" x14ac:dyDescent="0.25">
      <c r="A266" s="159" t="s">
        <v>1280</v>
      </c>
      <c r="B266" s="159" t="s">
        <v>705</v>
      </c>
      <c r="C266" s="159"/>
      <c r="D266" s="159" t="s">
        <v>706</v>
      </c>
      <c r="E266" s="807">
        <f t="shared" ref="E266:P266" si="215">E267</f>
        <v>0</v>
      </c>
      <c r="F266" s="807">
        <f t="shared" si="215"/>
        <v>0</v>
      </c>
      <c r="G266" s="807">
        <f t="shared" si="215"/>
        <v>0</v>
      </c>
      <c r="H266" s="807">
        <f t="shared" si="215"/>
        <v>0</v>
      </c>
      <c r="I266" s="807">
        <f t="shared" si="215"/>
        <v>0</v>
      </c>
      <c r="J266" s="807">
        <f t="shared" si="215"/>
        <v>0</v>
      </c>
      <c r="K266" s="807">
        <f t="shared" si="215"/>
        <v>0</v>
      </c>
      <c r="L266" s="807">
        <f t="shared" si="215"/>
        <v>0</v>
      </c>
      <c r="M266" s="807">
        <f t="shared" si="215"/>
        <v>0</v>
      </c>
      <c r="N266" s="807">
        <f t="shared" si="215"/>
        <v>0</v>
      </c>
      <c r="O266" s="807">
        <f t="shared" si="215"/>
        <v>0</v>
      </c>
      <c r="P266" s="807">
        <f t="shared" si="215"/>
        <v>0</v>
      </c>
      <c r="Q266" s="22"/>
      <c r="R266" s="53"/>
    </row>
    <row r="267" spans="1:18" ht="91.5" hidden="1" thickTop="1" thickBot="1" x14ac:dyDescent="0.25">
      <c r="A267" s="170" t="s">
        <v>1281</v>
      </c>
      <c r="B267" s="170" t="s">
        <v>1234</v>
      </c>
      <c r="C267" s="170"/>
      <c r="D267" s="170" t="s">
        <v>1232</v>
      </c>
      <c r="E267" s="171">
        <f t="shared" ref="E267:P267" si="216">SUM(E268:E268)</f>
        <v>0</v>
      </c>
      <c r="F267" s="171">
        <f t="shared" si="216"/>
        <v>0</v>
      </c>
      <c r="G267" s="171">
        <f t="shared" si="216"/>
        <v>0</v>
      </c>
      <c r="H267" s="171">
        <f t="shared" si="216"/>
        <v>0</v>
      </c>
      <c r="I267" s="171">
        <f t="shared" si="216"/>
        <v>0</v>
      </c>
      <c r="J267" s="171">
        <f t="shared" si="216"/>
        <v>0</v>
      </c>
      <c r="K267" s="171">
        <f t="shared" si="216"/>
        <v>0</v>
      </c>
      <c r="L267" s="171">
        <f t="shared" si="216"/>
        <v>0</v>
      </c>
      <c r="M267" s="171">
        <f t="shared" si="216"/>
        <v>0</v>
      </c>
      <c r="N267" s="171">
        <f t="shared" si="216"/>
        <v>0</v>
      </c>
      <c r="O267" s="171">
        <f t="shared" si="216"/>
        <v>0</v>
      </c>
      <c r="P267" s="171">
        <f t="shared" si="216"/>
        <v>0</v>
      </c>
      <c r="Q267" s="22"/>
      <c r="R267" s="53"/>
    </row>
    <row r="268" spans="1:18" ht="93" hidden="1" thickTop="1" thickBot="1" x14ac:dyDescent="0.25">
      <c r="A268" s="805" t="s">
        <v>1282</v>
      </c>
      <c r="B268" s="805" t="s">
        <v>1262</v>
      </c>
      <c r="C268" s="805" t="s">
        <v>1236</v>
      </c>
      <c r="D268" s="805" t="s">
        <v>1263</v>
      </c>
      <c r="E268" s="807">
        <f>F268</f>
        <v>0</v>
      </c>
      <c r="F268" s="168"/>
      <c r="G268" s="168"/>
      <c r="H268" s="168"/>
      <c r="I268" s="168"/>
      <c r="J268" s="807">
        <f>L268+O268</f>
        <v>0</v>
      </c>
      <c r="K268" s="168"/>
      <c r="L268" s="168"/>
      <c r="M268" s="168"/>
      <c r="N268" s="168"/>
      <c r="O268" s="801">
        <f>K268</f>
        <v>0</v>
      </c>
      <c r="P268" s="807">
        <f>E268+J268</f>
        <v>0</v>
      </c>
      <c r="Q268" s="22"/>
      <c r="R268" s="53"/>
    </row>
    <row r="269" spans="1:18" ht="181.5" thickTop="1" thickBot="1" x14ac:dyDescent="0.25">
      <c r="A269" s="460" t="s">
        <v>546</v>
      </c>
      <c r="B269" s="460"/>
      <c r="C269" s="460"/>
      <c r="D269" s="461" t="s">
        <v>565</v>
      </c>
      <c r="E269" s="463">
        <f>E270</f>
        <v>539948757</v>
      </c>
      <c r="F269" s="462">
        <f t="shared" ref="F269:G269" si="217">F270</f>
        <v>539948757</v>
      </c>
      <c r="G269" s="462">
        <f t="shared" si="217"/>
        <v>8405506</v>
      </c>
      <c r="H269" s="462">
        <f>H270</f>
        <v>338942</v>
      </c>
      <c r="I269" s="462">
        <f t="shared" ref="I269" si="218">I270</f>
        <v>0</v>
      </c>
      <c r="J269" s="463">
        <f>J270</f>
        <v>378299575.60000002</v>
      </c>
      <c r="K269" s="462">
        <f>K270</f>
        <v>378299575.60000002</v>
      </c>
      <c r="L269" s="462">
        <f>L270</f>
        <v>0</v>
      </c>
      <c r="M269" s="462">
        <f t="shared" ref="M269" si="219">M270</f>
        <v>0</v>
      </c>
      <c r="N269" s="462">
        <f>N270</f>
        <v>0</v>
      </c>
      <c r="O269" s="463">
        <f>O270</f>
        <v>378299575.60000002</v>
      </c>
      <c r="P269" s="462">
        <f>P270</f>
        <v>918248332.60000002</v>
      </c>
      <c r="Q269" s="22"/>
      <c r="R269" s="53"/>
    </row>
    <row r="270" spans="1:18" ht="181.5" thickTop="1" thickBot="1" x14ac:dyDescent="0.25">
      <c r="A270" s="464" t="s">
        <v>547</v>
      </c>
      <c r="B270" s="464"/>
      <c r="C270" s="464"/>
      <c r="D270" s="465" t="s">
        <v>566</v>
      </c>
      <c r="E270" s="466">
        <f>E271+E275+E282+E295</f>
        <v>539948757</v>
      </c>
      <c r="F270" s="466">
        <f t="shared" ref="F270:I270" si="220">F271+F275+F282+F295</f>
        <v>539948757</v>
      </c>
      <c r="G270" s="466">
        <f t="shared" si="220"/>
        <v>8405506</v>
      </c>
      <c r="H270" s="466">
        <f t="shared" si="220"/>
        <v>338942</v>
      </c>
      <c r="I270" s="466">
        <f t="shared" si="220"/>
        <v>0</v>
      </c>
      <c r="J270" s="466">
        <f t="shared" ref="J270:J292" si="221">L270+O270</f>
        <v>378299575.60000002</v>
      </c>
      <c r="K270" s="466">
        <f t="shared" ref="K270:O270" si="222">K271+K275+K282+K295</f>
        <v>378299575.60000002</v>
      </c>
      <c r="L270" s="466">
        <f t="shared" si="222"/>
        <v>0</v>
      </c>
      <c r="M270" s="466">
        <f t="shared" si="222"/>
        <v>0</v>
      </c>
      <c r="N270" s="466">
        <f t="shared" si="222"/>
        <v>0</v>
      </c>
      <c r="O270" s="466">
        <f t="shared" si="222"/>
        <v>378299575.60000002</v>
      </c>
      <c r="P270" s="466">
        <f>E270+J270</f>
        <v>918248332.60000002</v>
      </c>
      <c r="Q270" s="392" t="b">
        <f>P270=P272+P274+P277+P278+P279+P280+P287+P289+P290+P297+P298+P284+P281</f>
        <v>1</v>
      </c>
      <c r="R270" s="48"/>
    </row>
    <row r="271" spans="1:18" ht="47.25" thickTop="1" thickBot="1" x14ac:dyDescent="0.25">
      <c r="A271" s="385" t="s">
        <v>808</v>
      </c>
      <c r="B271" s="385" t="s">
        <v>693</v>
      </c>
      <c r="C271" s="385"/>
      <c r="D271" s="385" t="s">
        <v>694</v>
      </c>
      <c r="E271" s="816">
        <f>SUM(E272:E274)</f>
        <v>9028158</v>
      </c>
      <c r="F271" s="816">
        <f t="shared" ref="F271:P271" si="223">SUM(F272:F274)</f>
        <v>9028158</v>
      </c>
      <c r="G271" s="816">
        <f t="shared" si="223"/>
        <v>6736115</v>
      </c>
      <c r="H271" s="816">
        <f t="shared" si="223"/>
        <v>264613</v>
      </c>
      <c r="I271" s="816">
        <f t="shared" si="223"/>
        <v>0</v>
      </c>
      <c r="J271" s="816">
        <f t="shared" si="223"/>
        <v>36120</v>
      </c>
      <c r="K271" s="816">
        <f t="shared" si="223"/>
        <v>36120</v>
      </c>
      <c r="L271" s="816">
        <f t="shared" si="223"/>
        <v>0</v>
      </c>
      <c r="M271" s="816">
        <f t="shared" si="223"/>
        <v>0</v>
      </c>
      <c r="N271" s="816">
        <f t="shared" si="223"/>
        <v>0</v>
      </c>
      <c r="O271" s="816">
        <f t="shared" si="223"/>
        <v>36120</v>
      </c>
      <c r="P271" s="816">
        <f t="shared" si="223"/>
        <v>9064278</v>
      </c>
      <c r="Q271" s="50"/>
      <c r="R271" s="48"/>
    </row>
    <row r="272" spans="1:18" ht="230.25" thickTop="1" thickBot="1" x14ac:dyDescent="0.25">
      <c r="A272" s="808" t="s">
        <v>548</v>
      </c>
      <c r="B272" s="808" t="s">
        <v>241</v>
      </c>
      <c r="C272" s="808" t="s">
        <v>239</v>
      </c>
      <c r="D272" s="808" t="s">
        <v>240</v>
      </c>
      <c r="E272" s="386">
        <f>F272</f>
        <v>8991093</v>
      </c>
      <c r="F272" s="441">
        <f>(8955093)+36000</f>
        <v>8991093</v>
      </c>
      <c r="G272" s="441">
        <v>6736115</v>
      </c>
      <c r="H272" s="441">
        <f>168300+6553+84000+5760</f>
        <v>264613</v>
      </c>
      <c r="I272" s="441"/>
      <c r="J272" s="816">
        <f t="shared" si="221"/>
        <v>36120</v>
      </c>
      <c r="K272" s="441">
        <v>36120</v>
      </c>
      <c r="L272" s="442"/>
      <c r="M272" s="442"/>
      <c r="N272" s="442"/>
      <c r="O272" s="810">
        <f t="shared" ref="O272:O290" si="224">K272</f>
        <v>36120</v>
      </c>
      <c r="P272" s="816">
        <f t="shared" ref="P272:P278" si="225">+J272+E272</f>
        <v>9027213</v>
      </c>
      <c r="Q272" s="22"/>
      <c r="R272" s="48"/>
    </row>
    <row r="273" spans="1:18" ht="184.5" hidden="1" thickTop="1" thickBot="1" x14ac:dyDescent="0.25">
      <c r="A273" s="805" t="s">
        <v>638</v>
      </c>
      <c r="B273" s="805" t="s">
        <v>367</v>
      </c>
      <c r="C273" s="805" t="s">
        <v>634</v>
      </c>
      <c r="D273" s="805" t="s">
        <v>635</v>
      </c>
      <c r="E273" s="186">
        <f>F273</f>
        <v>0</v>
      </c>
      <c r="F273" s="163"/>
      <c r="G273" s="163"/>
      <c r="H273" s="163"/>
      <c r="I273" s="163"/>
      <c r="J273" s="807">
        <f t="shared" si="221"/>
        <v>0</v>
      </c>
      <c r="K273" s="163"/>
      <c r="L273" s="164"/>
      <c r="M273" s="164"/>
      <c r="N273" s="164"/>
      <c r="O273" s="801">
        <f t="shared" si="224"/>
        <v>0</v>
      </c>
      <c r="P273" s="807">
        <f t="shared" si="225"/>
        <v>0</v>
      </c>
      <c r="Q273" s="22"/>
      <c r="R273" s="48"/>
    </row>
    <row r="274" spans="1:18" ht="93" thickTop="1" thickBot="1" x14ac:dyDescent="0.25">
      <c r="A274" s="808" t="s">
        <v>549</v>
      </c>
      <c r="B274" s="808" t="s">
        <v>43</v>
      </c>
      <c r="C274" s="808" t="s">
        <v>42</v>
      </c>
      <c r="D274" s="808" t="s">
        <v>253</v>
      </c>
      <c r="E274" s="386">
        <f>F274</f>
        <v>37065</v>
      </c>
      <c r="F274" s="441">
        <f>(24700)+12365</f>
        <v>37065</v>
      </c>
      <c r="G274" s="163"/>
      <c r="H274" s="163"/>
      <c r="I274" s="163"/>
      <c r="J274" s="816">
        <f t="shared" si="221"/>
        <v>0</v>
      </c>
      <c r="K274" s="441"/>
      <c r="L274" s="442"/>
      <c r="M274" s="442"/>
      <c r="N274" s="442"/>
      <c r="O274" s="810">
        <f t="shared" si="224"/>
        <v>0</v>
      </c>
      <c r="P274" s="816">
        <f t="shared" si="225"/>
        <v>37065</v>
      </c>
      <c r="Q274" s="22"/>
      <c r="R274" s="53"/>
    </row>
    <row r="275" spans="1:18" ht="91.5" thickTop="1" thickBot="1" x14ac:dyDescent="0.25">
      <c r="A275" s="385" t="s">
        <v>809</v>
      </c>
      <c r="B275" s="385" t="s">
        <v>751</v>
      </c>
      <c r="C275" s="385"/>
      <c r="D275" s="536" t="s">
        <v>752</v>
      </c>
      <c r="E275" s="386">
        <f>SUM(E276:E281)-E276</f>
        <v>445778515</v>
      </c>
      <c r="F275" s="386">
        <f t="shared" ref="F275:P275" si="226">SUM(F276:F281)-F276</f>
        <v>445778515</v>
      </c>
      <c r="G275" s="386">
        <f t="shared" si="226"/>
        <v>0</v>
      </c>
      <c r="H275" s="386">
        <f t="shared" si="226"/>
        <v>5000</v>
      </c>
      <c r="I275" s="386">
        <f t="shared" si="226"/>
        <v>0</v>
      </c>
      <c r="J275" s="386">
        <f t="shared" si="226"/>
        <v>5593000</v>
      </c>
      <c r="K275" s="386">
        <f t="shared" si="226"/>
        <v>5593000</v>
      </c>
      <c r="L275" s="386">
        <f t="shared" si="226"/>
        <v>0</v>
      </c>
      <c r="M275" s="386">
        <f t="shared" si="226"/>
        <v>0</v>
      </c>
      <c r="N275" s="386">
        <f t="shared" si="226"/>
        <v>0</v>
      </c>
      <c r="O275" s="386">
        <f t="shared" si="226"/>
        <v>5593000</v>
      </c>
      <c r="P275" s="386">
        <f t="shared" si="226"/>
        <v>451371515</v>
      </c>
      <c r="Q275" s="22"/>
      <c r="R275" s="53"/>
    </row>
    <row r="276" spans="1:18" ht="184.5" thickTop="1" thickBot="1" x14ac:dyDescent="0.25">
      <c r="A276" s="455" t="s">
        <v>810</v>
      </c>
      <c r="B276" s="455" t="s">
        <v>801</v>
      </c>
      <c r="C276" s="455"/>
      <c r="D276" s="455" t="s">
        <v>802</v>
      </c>
      <c r="E276" s="502">
        <f>SUM(E277:E278)</f>
        <v>125050000</v>
      </c>
      <c r="F276" s="502">
        <f>SUM(F277:F278)</f>
        <v>125050000</v>
      </c>
      <c r="G276" s="502">
        <f t="shared" ref="G276:P276" si="227">SUM(G277:G278)</f>
        <v>0</v>
      </c>
      <c r="H276" s="502">
        <f t="shared" si="227"/>
        <v>0</v>
      </c>
      <c r="I276" s="502">
        <f t="shared" si="227"/>
        <v>0</v>
      </c>
      <c r="J276" s="502">
        <f t="shared" si="227"/>
        <v>2000000</v>
      </c>
      <c r="K276" s="502">
        <f t="shared" si="227"/>
        <v>2000000</v>
      </c>
      <c r="L276" s="502">
        <f t="shared" si="227"/>
        <v>0</v>
      </c>
      <c r="M276" s="502">
        <f t="shared" si="227"/>
        <v>0</v>
      </c>
      <c r="N276" s="502">
        <f t="shared" si="227"/>
        <v>0</v>
      </c>
      <c r="O276" s="502">
        <f t="shared" si="227"/>
        <v>2000000</v>
      </c>
      <c r="P276" s="502">
        <f t="shared" si="227"/>
        <v>127050000</v>
      </c>
      <c r="Q276" s="22"/>
      <c r="R276" s="53"/>
    </row>
    <row r="277" spans="1:18" ht="184.5" thickTop="1" thickBot="1" x14ac:dyDescent="0.25">
      <c r="A277" s="808" t="s">
        <v>550</v>
      </c>
      <c r="B277" s="808" t="s">
        <v>381</v>
      </c>
      <c r="C277" s="808" t="s">
        <v>288</v>
      </c>
      <c r="D277" s="808" t="s">
        <v>382</v>
      </c>
      <c r="E277" s="386">
        <f t="shared" ref="E277:E290" si="228">F277</f>
        <v>100000000</v>
      </c>
      <c r="F277" s="441">
        <f>(20000000)+80000000</f>
        <v>100000000</v>
      </c>
      <c r="G277" s="441"/>
      <c r="H277" s="441"/>
      <c r="I277" s="441"/>
      <c r="J277" s="816">
        <f t="shared" si="221"/>
        <v>0</v>
      </c>
      <c r="K277" s="441"/>
      <c r="L277" s="442"/>
      <c r="M277" s="442"/>
      <c r="N277" s="442"/>
      <c r="O277" s="810">
        <f t="shared" si="224"/>
        <v>0</v>
      </c>
      <c r="P277" s="816">
        <f t="shared" si="225"/>
        <v>100000000</v>
      </c>
      <c r="Q277" s="22"/>
      <c r="R277" s="53"/>
    </row>
    <row r="278" spans="1:18" ht="138.75" thickTop="1" thickBot="1" x14ac:dyDescent="0.25">
      <c r="A278" s="808" t="s">
        <v>551</v>
      </c>
      <c r="B278" s="808" t="s">
        <v>291</v>
      </c>
      <c r="C278" s="808" t="s">
        <v>288</v>
      </c>
      <c r="D278" s="808" t="s">
        <v>292</v>
      </c>
      <c r="E278" s="386">
        <f t="shared" si="228"/>
        <v>25050000</v>
      </c>
      <c r="F278" s="441">
        <f>(650000)+24400000</f>
        <v>25050000</v>
      </c>
      <c r="G278" s="441"/>
      <c r="H278" s="441"/>
      <c r="I278" s="441"/>
      <c r="J278" s="816">
        <f t="shared" si="221"/>
        <v>2000000</v>
      </c>
      <c r="K278" s="441">
        <v>2000000</v>
      </c>
      <c r="L278" s="442"/>
      <c r="M278" s="442"/>
      <c r="N278" s="442"/>
      <c r="O278" s="810">
        <f t="shared" si="224"/>
        <v>2000000</v>
      </c>
      <c r="P278" s="816">
        <f t="shared" si="225"/>
        <v>27050000</v>
      </c>
      <c r="Q278" s="22"/>
      <c r="R278" s="53"/>
    </row>
    <row r="279" spans="1:18" ht="230.25" thickTop="1" thickBot="1" x14ac:dyDescent="0.25">
      <c r="A279" s="808" t="s">
        <v>552</v>
      </c>
      <c r="B279" s="808" t="s">
        <v>302</v>
      </c>
      <c r="C279" s="808" t="s">
        <v>288</v>
      </c>
      <c r="D279" s="808" t="s">
        <v>303</v>
      </c>
      <c r="E279" s="386">
        <f t="shared" si="228"/>
        <v>1300000</v>
      </c>
      <c r="F279" s="441">
        <v>1300000</v>
      </c>
      <c r="G279" s="441"/>
      <c r="H279" s="441"/>
      <c r="I279" s="441"/>
      <c r="J279" s="816">
        <f t="shared" si="221"/>
        <v>0</v>
      </c>
      <c r="K279" s="389"/>
      <c r="L279" s="441"/>
      <c r="M279" s="441"/>
      <c r="N279" s="441"/>
      <c r="O279" s="810">
        <f t="shared" si="224"/>
        <v>0</v>
      </c>
      <c r="P279" s="816">
        <f t="shared" ref="P279:P284" si="229">E279+J279</f>
        <v>1300000</v>
      </c>
      <c r="Q279" s="22"/>
      <c r="R279" s="53"/>
    </row>
    <row r="280" spans="1:18" ht="93" thickTop="1" thickBot="1" x14ac:dyDescent="0.25">
      <c r="A280" s="808" t="s">
        <v>553</v>
      </c>
      <c r="B280" s="808" t="s">
        <v>294</v>
      </c>
      <c r="C280" s="808" t="s">
        <v>288</v>
      </c>
      <c r="D280" s="808" t="s">
        <v>295</v>
      </c>
      <c r="E280" s="386">
        <f t="shared" si="228"/>
        <v>315378930</v>
      </c>
      <c r="F280" s="441">
        <f>(324847930)-23469000-1000000+15000000</f>
        <v>315378930</v>
      </c>
      <c r="G280" s="441"/>
      <c r="H280" s="441">
        <v>5000</v>
      </c>
      <c r="I280" s="441"/>
      <c r="J280" s="816">
        <f t="shared" si="221"/>
        <v>3593000</v>
      </c>
      <c r="K280" s="389">
        <f>(250000)+1000000+1000000+1343000</f>
        <v>3593000</v>
      </c>
      <c r="L280" s="441"/>
      <c r="M280" s="441"/>
      <c r="N280" s="441"/>
      <c r="O280" s="810">
        <f t="shared" si="224"/>
        <v>3593000</v>
      </c>
      <c r="P280" s="816">
        <f t="shared" si="229"/>
        <v>318971930</v>
      </c>
      <c r="Q280" s="22"/>
      <c r="R280" s="48"/>
    </row>
    <row r="281" spans="1:18" ht="138.75" thickTop="1" thickBot="1" x14ac:dyDescent="0.25">
      <c r="A281" s="808" t="s">
        <v>1192</v>
      </c>
      <c r="B281" s="808" t="s">
        <v>1193</v>
      </c>
      <c r="C281" s="808" t="s">
        <v>1194</v>
      </c>
      <c r="D281" s="808" t="s">
        <v>1191</v>
      </c>
      <c r="E281" s="386">
        <f t="shared" si="228"/>
        <v>4049585</v>
      </c>
      <c r="F281" s="441">
        <v>4049585</v>
      </c>
      <c r="G281" s="441"/>
      <c r="H281" s="441"/>
      <c r="I281" s="441"/>
      <c r="J281" s="816">
        <f t="shared" si="221"/>
        <v>0</v>
      </c>
      <c r="K281" s="389"/>
      <c r="L281" s="441"/>
      <c r="M281" s="441"/>
      <c r="N281" s="441"/>
      <c r="O281" s="810">
        <f t="shared" si="224"/>
        <v>0</v>
      </c>
      <c r="P281" s="816">
        <f t="shared" si="229"/>
        <v>4049585</v>
      </c>
      <c r="Q281" s="22"/>
      <c r="R281" s="48"/>
    </row>
    <row r="282" spans="1:18" ht="47.25" thickTop="1" thickBot="1" x14ac:dyDescent="0.25">
      <c r="A282" s="385" t="s">
        <v>811</v>
      </c>
      <c r="B282" s="385" t="s">
        <v>757</v>
      </c>
      <c r="C282" s="385"/>
      <c r="D282" s="385" t="s">
        <v>758</v>
      </c>
      <c r="E282" s="386">
        <f>E283+E285+E288</f>
        <v>78550400</v>
      </c>
      <c r="F282" s="386">
        <f t="shared" ref="F282:P282" si="230">F283+F285+F288</f>
        <v>78550400</v>
      </c>
      <c r="G282" s="386">
        <f t="shared" si="230"/>
        <v>0</v>
      </c>
      <c r="H282" s="386">
        <f t="shared" si="230"/>
        <v>0</v>
      </c>
      <c r="I282" s="386">
        <f t="shared" si="230"/>
        <v>0</v>
      </c>
      <c r="J282" s="386">
        <f>J283+J285+J288</f>
        <v>371670455.60000002</v>
      </c>
      <c r="K282" s="386">
        <f t="shared" si="230"/>
        <v>371670455.60000002</v>
      </c>
      <c r="L282" s="386">
        <f t="shared" si="230"/>
        <v>0</v>
      </c>
      <c r="M282" s="386">
        <f t="shared" si="230"/>
        <v>0</v>
      </c>
      <c r="N282" s="386">
        <f t="shared" si="230"/>
        <v>0</v>
      </c>
      <c r="O282" s="386">
        <f t="shared" si="230"/>
        <v>371670455.60000002</v>
      </c>
      <c r="P282" s="386">
        <f t="shared" si="230"/>
        <v>450220855.60000002</v>
      </c>
      <c r="Q282" s="22"/>
      <c r="R282" s="53"/>
    </row>
    <row r="283" spans="1:18" ht="91.5" thickTop="1" thickBot="1" x14ac:dyDescent="0.25">
      <c r="A283" s="387" t="s">
        <v>812</v>
      </c>
      <c r="B283" s="387" t="s">
        <v>813</v>
      </c>
      <c r="C283" s="387"/>
      <c r="D283" s="387" t="s">
        <v>814</v>
      </c>
      <c r="E283" s="388">
        <f>E284</f>
        <v>0</v>
      </c>
      <c r="F283" s="388">
        <f t="shared" ref="F283:P283" si="231">F284</f>
        <v>0</v>
      </c>
      <c r="G283" s="388">
        <f t="shared" si="231"/>
        <v>0</v>
      </c>
      <c r="H283" s="388">
        <f t="shared" si="231"/>
        <v>0</v>
      </c>
      <c r="I283" s="388">
        <f t="shared" si="231"/>
        <v>0</v>
      </c>
      <c r="J283" s="388">
        <f t="shared" si="231"/>
        <v>226400</v>
      </c>
      <c r="K283" s="388">
        <f t="shared" si="231"/>
        <v>226400</v>
      </c>
      <c r="L283" s="388">
        <f t="shared" si="231"/>
        <v>0</v>
      </c>
      <c r="M283" s="388">
        <f t="shared" si="231"/>
        <v>0</v>
      </c>
      <c r="N283" s="388">
        <f t="shared" si="231"/>
        <v>0</v>
      </c>
      <c r="O283" s="388">
        <f t="shared" si="231"/>
        <v>226400</v>
      </c>
      <c r="P283" s="388">
        <f t="shared" si="231"/>
        <v>226400</v>
      </c>
      <c r="Q283" s="22"/>
      <c r="R283" s="53"/>
    </row>
    <row r="284" spans="1:18" ht="99.75" thickTop="1" thickBot="1" x14ac:dyDescent="0.25">
      <c r="A284" s="808" t="s">
        <v>554</v>
      </c>
      <c r="B284" s="808" t="s">
        <v>310</v>
      </c>
      <c r="C284" s="808" t="s">
        <v>309</v>
      </c>
      <c r="D284" s="808" t="s">
        <v>1342</v>
      </c>
      <c r="E284" s="386">
        <f t="shared" si="228"/>
        <v>0</v>
      </c>
      <c r="F284" s="441"/>
      <c r="G284" s="441"/>
      <c r="H284" s="441"/>
      <c r="I284" s="441"/>
      <c r="J284" s="816">
        <f>L284+O284</f>
        <v>226400</v>
      </c>
      <c r="K284" s="389">
        <v>226400</v>
      </c>
      <c r="L284" s="441"/>
      <c r="M284" s="441"/>
      <c r="N284" s="441"/>
      <c r="O284" s="810">
        <f>K284</f>
        <v>226400</v>
      </c>
      <c r="P284" s="816">
        <f t="shared" si="229"/>
        <v>226400</v>
      </c>
      <c r="Q284" s="22"/>
      <c r="R284" s="48"/>
    </row>
    <row r="285" spans="1:18" ht="136.5" thickTop="1" thickBot="1" x14ac:dyDescent="0.25">
      <c r="A285" s="387" t="s">
        <v>815</v>
      </c>
      <c r="B285" s="387" t="s">
        <v>816</v>
      </c>
      <c r="C285" s="387"/>
      <c r="D285" s="387" t="s">
        <v>817</v>
      </c>
      <c r="E285" s="388">
        <f t="shared" ref="E285:P286" si="232">E286</f>
        <v>78550400</v>
      </c>
      <c r="F285" s="388">
        <f t="shared" si="232"/>
        <v>78550400</v>
      </c>
      <c r="G285" s="388">
        <f t="shared" si="232"/>
        <v>0</v>
      </c>
      <c r="H285" s="388">
        <f t="shared" si="232"/>
        <v>0</v>
      </c>
      <c r="I285" s="388">
        <f t="shared" si="232"/>
        <v>0</v>
      </c>
      <c r="J285" s="388">
        <f t="shared" si="232"/>
        <v>75969890</v>
      </c>
      <c r="K285" s="388">
        <f t="shared" si="232"/>
        <v>75969890</v>
      </c>
      <c r="L285" s="388">
        <f t="shared" si="232"/>
        <v>0</v>
      </c>
      <c r="M285" s="388">
        <f t="shared" si="232"/>
        <v>0</v>
      </c>
      <c r="N285" s="388">
        <f t="shared" si="232"/>
        <v>0</v>
      </c>
      <c r="O285" s="388">
        <f t="shared" si="232"/>
        <v>75969890</v>
      </c>
      <c r="P285" s="388">
        <f t="shared" si="232"/>
        <v>154520290</v>
      </c>
      <c r="Q285" s="22"/>
      <c r="R285" s="53"/>
    </row>
    <row r="286" spans="1:18" ht="138.75" thickTop="1" thickBot="1" x14ac:dyDescent="0.25">
      <c r="A286" s="808" t="s">
        <v>975</v>
      </c>
      <c r="B286" s="455" t="s">
        <v>976</v>
      </c>
      <c r="C286" s="387"/>
      <c r="D286" s="455" t="s">
        <v>977</v>
      </c>
      <c r="E286" s="502">
        <f t="shared" si="232"/>
        <v>78550400</v>
      </c>
      <c r="F286" s="502">
        <f t="shared" si="232"/>
        <v>78550400</v>
      </c>
      <c r="G286" s="502">
        <f t="shared" si="232"/>
        <v>0</v>
      </c>
      <c r="H286" s="502">
        <f t="shared" si="232"/>
        <v>0</v>
      </c>
      <c r="I286" s="502">
        <f t="shared" si="232"/>
        <v>0</v>
      </c>
      <c r="J286" s="502">
        <f t="shared" si="232"/>
        <v>75969890</v>
      </c>
      <c r="K286" s="502">
        <f t="shared" si="232"/>
        <v>75969890</v>
      </c>
      <c r="L286" s="502">
        <f t="shared" si="232"/>
        <v>0</v>
      </c>
      <c r="M286" s="502">
        <f t="shared" si="232"/>
        <v>0</v>
      </c>
      <c r="N286" s="502">
        <f t="shared" si="232"/>
        <v>0</v>
      </c>
      <c r="O286" s="502">
        <f t="shared" si="232"/>
        <v>75969890</v>
      </c>
      <c r="P286" s="502">
        <f t="shared" si="232"/>
        <v>154520290</v>
      </c>
      <c r="Q286" s="22"/>
      <c r="R286" s="53"/>
    </row>
    <row r="287" spans="1:18" ht="230.25" thickTop="1" thickBot="1" x14ac:dyDescent="0.25">
      <c r="A287" s="808" t="s">
        <v>555</v>
      </c>
      <c r="B287" s="808" t="s">
        <v>298</v>
      </c>
      <c r="C287" s="808" t="s">
        <v>300</v>
      </c>
      <c r="D287" s="808" t="s">
        <v>299</v>
      </c>
      <c r="E287" s="386">
        <f t="shared" si="228"/>
        <v>78550400</v>
      </c>
      <c r="F287" s="441">
        <f>(30300000)+24000000+24250400</f>
        <v>78550400</v>
      </c>
      <c r="G287" s="441"/>
      <c r="H287" s="441"/>
      <c r="I287" s="441"/>
      <c r="J287" s="816">
        <f t="shared" si="221"/>
        <v>75969890</v>
      </c>
      <c r="K287" s="441">
        <f>((38500000)-1000000)+38192622+277268</f>
        <v>75969890</v>
      </c>
      <c r="L287" s="442"/>
      <c r="M287" s="442"/>
      <c r="N287" s="442"/>
      <c r="O287" s="810">
        <f>K287</f>
        <v>75969890</v>
      </c>
      <c r="P287" s="816">
        <f>+J287+E287</f>
        <v>154520290</v>
      </c>
      <c r="Q287" s="22"/>
      <c r="R287" s="48"/>
    </row>
    <row r="288" spans="1:18" ht="136.5" thickTop="1" thickBot="1" x14ac:dyDescent="0.25">
      <c r="A288" s="387" t="s">
        <v>818</v>
      </c>
      <c r="B288" s="387" t="s">
        <v>700</v>
      </c>
      <c r="C288" s="387"/>
      <c r="D288" s="387" t="s">
        <v>698</v>
      </c>
      <c r="E288" s="388">
        <f>SUM(E289:E294)-E291</f>
        <v>0</v>
      </c>
      <c r="F288" s="388">
        <f t="shared" ref="F288:P288" si="233">SUM(F289:F294)-F291</f>
        <v>0</v>
      </c>
      <c r="G288" s="388">
        <f t="shared" si="233"/>
        <v>0</v>
      </c>
      <c r="H288" s="388">
        <f t="shared" si="233"/>
        <v>0</v>
      </c>
      <c r="I288" s="388">
        <f t="shared" si="233"/>
        <v>0</v>
      </c>
      <c r="J288" s="388">
        <f t="shared" si="233"/>
        <v>295474165.60000002</v>
      </c>
      <c r="K288" s="388">
        <f t="shared" si="233"/>
        <v>295474165.60000002</v>
      </c>
      <c r="L288" s="388">
        <f t="shared" si="233"/>
        <v>0</v>
      </c>
      <c r="M288" s="388">
        <f t="shared" si="233"/>
        <v>0</v>
      </c>
      <c r="N288" s="388">
        <f t="shared" si="233"/>
        <v>0</v>
      </c>
      <c r="O288" s="388">
        <f t="shared" si="233"/>
        <v>295474165.60000002</v>
      </c>
      <c r="P288" s="388">
        <f t="shared" si="233"/>
        <v>295474165.60000002</v>
      </c>
      <c r="Q288" s="22"/>
      <c r="R288" s="48"/>
    </row>
    <row r="289" spans="1:18" ht="48" thickTop="1" thickBot="1" x14ac:dyDescent="0.25">
      <c r="A289" s="808" t="s">
        <v>556</v>
      </c>
      <c r="B289" s="808" t="s">
        <v>217</v>
      </c>
      <c r="C289" s="808" t="s">
        <v>218</v>
      </c>
      <c r="D289" s="808" t="s">
        <v>41</v>
      </c>
      <c r="E289" s="386">
        <f t="shared" si="228"/>
        <v>0</v>
      </c>
      <c r="F289" s="441"/>
      <c r="G289" s="441"/>
      <c r="H289" s="441"/>
      <c r="I289" s="441"/>
      <c r="J289" s="816">
        <f t="shared" si="221"/>
        <v>16434368</v>
      </c>
      <c r="K289" s="389">
        <v>16434368</v>
      </c>
      <c r="L289" s="441"/>
      <c r="M289" s="441"/>
      <c r="N289" s="441"/>
      <c r="O289" s="810">
        <f t="shared" si="224"/>
        <v>16434368</v>
      </c>
      <c r="P289" s="816">
        <f>E289+J289</f>
        <v>16434368</v>
      </c>
      <c r="Q289" s="22"/>
      <c r="R289" s="48"/>
    </row>
    <row r="290" spans="1:18" ht="93" thickTop="1" thickBot="1" x14ac:dyDescent="0.25">
      <c r="A290" s="808" t="s">
        <v>557</v>
      </c>
      <c r="B290" s="808" t="s">
        <v>202</v>
      </c>
      <c r="C290" s="808" t="s">
        <v>171</v>
      </c>
      <c r="D290" s="808" t="s">
        <v>34</v>
      </c>
      <c r="E290" s="386">
        <f t="shared" si="228"/>
        <v>0</v>
      </c>
      <c r="F290" s="441"/>
      <c r="G290" s="163"/>
      <c r="H290" s="163"/>
      <c r="I290" s="163"/>
      <c r="J290" s="816">
        <f t="shared" si="221"/>
        <v>279039797.60000002</v>
      </c>
      <c r="K290" s="389">
        <f>(51987000-18000000)+239528622.6+5891152+630000-3198000+2092500+108523</f>
        <v>279039797.60000002</v>
      </c>
      <c r="L290" s="441"/>
      <c r="M290" s="441"/>
      <c r="N290" s="441"/>
      <c r="O290" s="810">
        <f t="shared" si="224"/>
        <v>279039797.60000002</v>
      </c>
      <c r="P290" s="816">
        <f>E290+J290</f>
        <v>279039797.60000002</v>
      </c>
      <c r="Q290" s="22"/>
      <c r="R290" s="48"/>
    </row>
    <row r="291" spans="1:18" ht="48" hidden="1" thickTop="1" thickBot="1" x14ac:dyDescent="0.25">
      <c r="A291" s="174" t="s">
        <v>819</v>
      </c>
      <c r="B291" s="174" t="s">
        <v>703</v>
      </c>
      <c r="C291" s="174"/>
      <c r="D291" s="174" t="s">
        <v>807</v>
      </c>
      <c r="E291" s="192">
        <f t="shared" ref="E291:P291" si="234">E292+E294</f>
        <v>0</v>
      </c>
      <c r="F291" s="192">
        <f t="shared" si="234"/>
        <v>0</v>
      </c>
      <c r="G291" s="192">
        <f t="shared" si="234"/>
        <v>0</v>
      </c>
      <c r="H291" s="192">
        <f t="shared" si="234"/>
        <v>0</v>
      </c>
      <c r="I291" s="192">
        <f t="shared" si="234"/>
        <v>0</v>
      </c>
      <c r="J291" s="192">
        <f t="shared" si="234"/>
        <v>0</v>
      </c>
      <c r="K291" s="192">
        <f t="shared" si="234"/>
        <v>0</v>
      </c>
      <c r="L291" s="192">
        <f t="shared" si="234"/>
        <v>0</v>
      </c>
      <c r="M291" s="192">
        <f t="shared" si="234"/>
        <v>0</v>
      </c>
      <c r="N291" s="192">
        <f t="shared" si="234"/>
        <v>0</v>
      </c>
      <c r="O291" s="192">
        <f t="shared" si="234"/>
        <v>0</v>
      </c>
      <c r="P291" s="192">
        <f t="shared" si="234"/>
        <v>0</v>
      </c>
      <c r="Q291" s="22"/>
      <c r="R291" s="53"/>
    </row>
    <row r="292" spans="1:18" ht="409.6" hidden="1" thickTop="1" thickBot="1" x14ac:dyDescent="0.7">
      <c r="A292" s="918" t="s">
        <v>558</v>
      </c>
      <c r="B292" s="918" t="s">
        <v>343</v>
      </c>
      <c r="C292" s="918" t="s">
        <v>171</v>
      </c>
      <c r="D292" s="189" t="s">
        <v>445</v>
      </c>
      <c r="E292" s="920"/>
      <c r="F292" s="916"/>
      <c r="G292" s="916"/>
      <c r="H292" s="916"/>
      <c r="I292" s="916"/>
      <c r="J292" s="920">
        <f t="shared" si="221"/>
        <v>0</v>
      </c>
      <c r="K292" s="916"/>
      <c r="L292" s="916">
        <v>0</v>
      </c>
      <c r="M292" s="916"/>
      <c r="N292" s="916"/>
      <c r="O292" s="943"/>
      <c r="P292" s="945">
        <f>E292+J292</f>
        <v>0</v>
      </c>
      <c r="Q292" s="22"/>
      <c r="R292" s="53"/>
    </row>
    <row r="293" spans="1:18" ht="184.5" hidden="1" thickTop="1" thickBot="1" x14ac:dyDescent="0.25">
      <c r="A293" s="918"/>
      <c r="B293" s="918"/>
      <c r="C293" s="918"/>
      <c r="D293" s="190" t="s">
        <v>446</v>
      </c>
      <c r="E293" s="920"/>
      <c r="F293" s="916"/>
      <c r="G293" s="916"/>
      <c r="H293" s="916"/>
      <c r="I293" s="916"/>
      <c r="J293" s="920"/>
      <c r="K293" s="916"/>
      <c r="L293" s="916"/>
      <c r="M293" s="916"/>
      <c r="N293" s="916"/>
      <c r="O293" s="943"/>
      <c r="P293" s="945"/>
      <c r="Q293" s="22"/>
      <c r="R293" s="53"/>
    </row>
    <row r="294" spans="1:18" ht="93" hidden="1" thickTop="1" thickBot="1" x14ac:dyDescent="0.25">
      <c r="A294" s="805" t="s">
        <v>1231</v>
      </c>
      <c r="B294" s="805" t="s">
        <v>262</v>
      </c>
      <c r="C294" s="805" t="s">
        <v>171</v>
      </c>
      <c r="D294" s="190" t="s">
        <v>260</v>
      </c>
      <c r="E294" s="186">
        <f t="shared" ref="E294" si="235">F294</f>
        <v>0</v>
      </c>
      <c r="F294" s="163"/>
      <c r="G294" s="163"/>
      <c r="H294" s="163"/>
      <c r="I294" s="163"/>
      <c r="J294" s="807">
        <f t="shared" ref="J294" si="236">L294+O294</f>
        <v>0</v>
      </c>
      <c r="K294" s="168"/>
      <c r="L294" s="163"/>
      <c r="M294" s="163"/>
      <c r="N294" s="163"/>
      <c r="O294" s="801">
        <f t="shared" ref="O294" si="237">K294</f>
        <v>0</v>
      </c>
      <c r="P294" s="807">
        <f>E294+J294</f>
        <v>0</v>
      </c>
      <c r="Q294" s="22"/>
      <c r="R294" s="53"/>
    </row>
    <row r="295" spans="1:18" ht="47.25" thickTop="1" thickBot="1" x14ac:dyDescent="0.25">
      <c r="A295" s="385" t="s">
        <v>820</v>
      </c>
      <c r="B295" s="385" t="s">
        <v>705</v>
      </c>
      <c r="C295" s="385"/>
      <c r="D295" s="560" t="s">
        <v>706</v>
      </c>
      <c r="E295" s="816">
        <f>E296</f>
        <v>6591684</v>
      </c>
      <c r="F295" s="816">
        <f t="shared" ref="F295:P295" si="238">F296</f>
        <v>6591684</v>
      </c>
      <c r="G295" s="816">
        <f t="shared" si="238"/>
        <v>1669391</v>
      </c>
      <c r="H295" s="816">
        <f t="shared" si="238"/>
        <v>69329</v>
      </c>
      <c r="I295" s="816">
        <f t="shared" si="238"/>
        <v>0</v>
      </c>
      <c r="J295" s="816">
        <f t="shared" si="238"/>
        <v>1000000</v>
      </c>
      <c r="K295" s="816">
        <f t="shared" si="238"/>
        <v>1000000</v>
      </c>
      <c r="L295" s="816">
        <f t="shared" si="238"/>
        <v>0</v>
      </c>
      <c r="M295" s="816">
        <f t="shared" si="238"/>
        <v>0</v>
      </c>
      <c r="N295" s="816">
        <f t="shared" si="238"/>
        <v>0</v>
      </c>
      <c r="O295" s="816">
        <f t="shared" si="238"/>
        <v>1000000</v>
      </c>
      <c r="P295" s="816">
        <f t="shared" si="238"/>
        <v>7591684</v>
      </c>
      <c r="Q295" s="22"/>
      <c r="R295" s="53"/>
    </row>
    <row r="296" spans="1:18" ht="136.5" thickTop="1" thickBot="1" x14ac:dyDescent="0.25">
      <c r="A296" s="387" t="s">
        <v>821</v>
      </c>
      <c r="B296" s="387" t="s">
        <v>822</v>
      </c>
      <c r="C296" s="387"/>
      <c r="D296" s="697" t="s">
        <v>1368</v>
      </c>
      <c r="E296" s="391">
        <f>SUM(E297:E299)</f>
        <v>6591684</v>
      </c>
      <c r="F296" s="391">
        <f t="shared" ref="F296:P296" si="239">SUM(F297:F299)</f>
        <v>6591684</v>
      </c>
      <c r="G296" s="391">
        <f t="shared" si="239"/>
        <v>1669391</v>
      </c>
      <c r="H296" s="391">
        <f t="shared" si="239"/>
        <v>69329</v>
      </c>
      <c r="I296" s="391">
        <f t="shared" si="239"/>
        <v>0</v>
      </c>
      <c r="J296" s="391">
        <f t="shared" si="239"/>
        <v>1000000</v>
      </c>
      <c r="K296" s="391">
        <f t="shared" si="239"/>
        <v>1000000</v>
      </c>
      <c r="L296" s="391">
        <f t="shared" si="239"/>
        <v>0</v>
      </c>
      <c r="M296" s="391">
        <f t="shared" si="239"/>
        <v>0</v>
      </c>
      <c r="N296" s="391">
        <f t="shared" si="239"/>
        <v>0</v>
      </c>
      <c r="O296" s="391">
        <f t="shared" si="239"/>
        <v>1000000</v>
      </c>
      <c r="P296" s="391">
        <f t="shared" si="239"/>
        <v>7591684</v>
      </c>
      <c r="Q296" s="22"/>
      <c r="R296" s="53"/>
    </row>
    <row r="297" spans="1:18" ht="184.5" thickTop="1" thickBot="1" x14ac:dyDescent="0.25">
      <c r="A297" s="808" t="s">
        <v>559</v>
      </c>
      <c r="B297" s="808" t="s">
        <v>523</v>
      </c>
      <c r="C297" s="808" t="s">
        <v>256</v>
      </c>
      <c r="D297" s="808" t="s">
        <v>524</v>
      </c>
      <c r="E297" s="386">
        <f>F297</f>
        <v>4361250</v>
      </c>
      <c r="F297" s="441">
        <f>((1000000)+500000)+2861250</f>
        <v>4361250</v>
      </c>
      <c r="G297" s="441"/>
      <c r="H297" s="441"/>
      <c r="I297" s="441"/>
      <c r="J297" s="816">
        <f>L297+O297</f>
        <v>1000000</v>
      </c>
      <c r="K297" s="389">
        <f>((8100000)-8100000)+1000000</f>
        <v>1000000</v>
      </c>
      <c r="L297" s="441"/>
      <c r="M297" s="441"/>
      <c r="N297" s="441"/>
      <c r="O297" s="810">
        <f>K297</f>
        <v>1000000</v>
      </c>
      <c r="P297" s="816">
        <f>E297+J297</f>
        <v>5361250</v>
      </c>
      <c r="Q297" s="22"/>
      <c r="R297" s="53"/>
    </row>
    <row r="298" spans="1:18" ht="93" thickTop="1" thickBot="1" x14ac:dyDescent="0.25">
      <c r="A298" s="808" t="s">
        <v>560</v>
      </c>
      <c r="B298" s="808" t="s">
        <v>255</v>
      </c>
      <c r="C298" s="808" t="s">
        <v>256</v>
      </c>
      <c r="D298" s="808" t="s">
        <v>254</v>
      </c>
      <c r="E298" s="386">
        <f t="shared" ref="E298:E299" si="240">F298</f>
        <v>2230434</v>
      </c>
      <c r="F298" s="441">
        <v>2230434</v>
      </c>
      <c r="G298" s="441">
        <v>1669391</v>
      </c>
      <c r="H298" s="441">
        <f>2825+50400+16104</f>
        <v>69329</v>
      </c>
      <c r="I298" s="441"/>
      <c r="J298" s="816">
        <f>L298+O298</f>
        <v>0</v>
      </c>
      <c r="K298" s="389"/>
      <c r="L298" s="441"/>
      <c r="M298" s="441"/>
      <c r="N298" s="441"/>
      <c r="O298" s="810">
        <f>K298</f>
        <v>0</v>
      </c>
      <c r="P298" s="816">
        <f>E298+J298</f>
        <v>2230434</v>
      </c>
      <c r="Q298" s="22"/>
      <c r="R298" s="798"/>
    </row>
    <row r="299" spans="1:18" ht="93" hidden="1" thickTop="1" thickBot="1" x14ac:dyDescent="0.25">
      <c r="A299" s="803" t="s">
        <v>561</v>
      </c>
      <c r="B299" s="803" t="s">
        <v>562</v>
      </c>
      <c r="C299" s="803" t="s">
        <v>256</v>
      </c>
      <c r="D299" s="803" t="s">
        <v>563</v>
      </c>
      <c r="E299" s="194">
        <f t="shared" si="240"/>
        <v>0</v>
      </c>
      <c r="F299" s="195">
        <f>(1219000)-1219000</f>
        <v>0</v>
      </c>
      <c r="G299" s="195">
        <f>(354000+540000)-894000</f>
        <v>0</v>
      </c>
      <c r="H299" s="195">
        <f>(6000+3000)-9000</f>
        <v>0</v>
      </c>
      <c r="I299" s="195"/>
      <c r="J299" s="804">
        <f>L299+O299</f>
        <v>0</v>
      </c>
      <c r="K299" s="46"/>
      <c r="L299" s="195"/>
      <c r="M299" s="195"/>
      <c r="N299" s="195"/>
      <c r="O299" s="806">
        <f>K299</f>
        <v>0</v>
      </c>
      <c r="P299" s="804">
        <f>E299+J299</f>
        <v>0</v>
      </c>
      <c r="Q299" s="22"/>
      <c r="R299" s="53"/>
    </row>
    <row r="300" spans="1:18" ht="181.5" thickTop="1" thickBot="1" x14ac:dyDescent="0.25">
      <c r="A300" s="460" t="s">
        <v>25</v>
      </c>
      <c r="B300" s="460"/>
      <c r="C300" s="460"/>
      <c r="D300" s="461" t="s">
        <v>1466</v>
      </c>
      <c r="E300" s="463">
        <f>E301</f>
        <v>3862358</v>
      </c>
      <c r="F300" s="462">
        <f t="shared" ref="F300:G300" si="241">F301</f>
        <v>3862358</v>
      </c>
      <c r="G300" s="462">
        <f t="shared" si="241"/>
        <v>2744545</v>
      </c>
      <c r="H300" s="462">
        <f>H301</f>
        <v>147298</v>
      </c>
      <c r="I300" s="462">
        <f t="shared" ref="I300" si="242">I301</f>
        <v>0</v>
      </c>
      <c r="J300" s="463">
        <f>J301</f>
        <v>73814701</v>
      </c>
      <c r="K300" s="462">
        <f>K301</f>
        <v>73814701</v>
      </c>
      <c r="L300" s="462">
        <f>L301</f>
        <v>0</v>
      </c>
      <c r="M300" s="462">
        <f t="shared" ref="M300" si="243">M301</f>
        <v>0</v>
      </c>
      <c r="N300" s="462">
        <f>N301</f>
        <v>0</v>
      </c>
      <c r="O300" s="463">
        <f>O301</f>
        <v>73814701</v>
      </c>
      <c r="P300" s="462">
        <f t="shared" ref="P300" si="244">P301</f>
        <v>77677059</v>
      </c>
      <c r="Q300" s="22"/>
    </row>
    <row r="301" spans="1:18" ht="181.5" thickTop="1" thickBot="1" x14ac:dyDescent="0.25">
      <c r="A301" s="464" t="s">
        <v>26</v>
      </c>
      <c r="B301" s="464"/>
      <c r="C301" s="464"/>
      <c r="D301" s="465" t="s">
        <v>905</v>
      </c>
      <c r="E301" s="466">
        <f>E302+E308+E311+E306</f>
        <v>3862358</v>
      </c>
      <c r="F301" s="466">
        <f>F302+F308+F311+F306</f>
        <v>3862358</v>
      </c>
      <c r="G301" s="466">
        <f>G302+G308+G311+G306</f>
        <v>2744545</v>
      </c>
      <c r="H301" s="466">
        <f>H302+H308+H311+H306</f>
        <v>147298</v>
      </c>
      <c r="I301" s="466">
        <f>I302+I308+I311+I306</f>
        <v>0</v>
      </c>
      <c r="J301" s="466">
        <f>L301+O301</f>
        <v>73814701</v>
      </c>
      <c r="K301" s="466">
        <f>K302+K308+K311+K306</f>
        <v>73814701</v>
      </c>
      <c r="L301" s="466">
        <f>L302+L308+L311+L306</f>
        <v>0</v>
      </c>
      <c r="M301" s="466">
        <f>M302+M308+M311+M306</f>
        <v>0</v>
      </c>
      <c r="N301" s="466">
        <f>N302+N308+N311+N306</f>
        <v>0</v>
      </c>
      <c r="O301" s="466">
        <f>O302+O308+O311+O306</f>
        <v>73814701</v>
      </c>
      <c r="P301" s="466">
        <f>E301+J301</f>
        <v>77677059</v>
      </c>
      <c r="Q301" s="392" t="b">
        <f>P301=P303+P304+P307+P310+P313+P315+P316+P318</f>
        <v>1</v>
      </c>
      <c r="R301" s="798"/>
    </row>
    <row r="302" spans="1:18" ht="47.25" thickTop="1" thickBot="1" x14ac:dyDescent="0.25">
      <c r="A302" s="385" t="s">
        <v>823</v>
      </c>
      <c r="B302" s="385" t="s">
        <v>693</v>
      </c>
      <c r="C302" s="385"/>
      <c r="D302" s="385" t="s">
        <v>694</v>
      </c>
      <c r="E302" s="816">
        <f t="shared" ref="E302:P302" si="245">SUM(E303:E305)</f>
        <v>3862358</v>
      </c>
      <c r="F302" s="816">
        <f t="shared" si="245"/>
        <v>3862358</v>
      </c>
      <c r="G302" s="816">
        <f t="shared" si="245"/>
        <v>2744545</v>
      </c>
      <c r="H302" s="816">
        <f t="shared" si="245"/>
        <v>147298</v>
      </c>
      <c r="I302" s="816">
        <f t="shared" si="245"/>
        <v>0</v>
      </c>
      <c r="J302" s="816">
        <f t="shared" si="245"/>
        <v>0</v>
      </c>
      <c r="K302" s="816">
        <f t="shared" si="245"/>
        <v>0</v>
      </c>
      <c r="L302" s="816">
        <f t="shared" si="245"/>
        <v>0</v>
      </c>
      <c r="M302" s="816">
        <f t="shared" si="245"/>
        <v>0</v>
      </c>
      <c r="N302" s="816">
        <f t="shared" si="245"/>
        <v>0</v>
      </c>
      <c r="O302" s="816">
        <f t="shared" si="245"/>
        <v>0</v>
      </c>
      <c r="P302" s="816">
        <f t="shared" si="245"/>
        <v>3862358</v>
      </c>
      <c r="Q302" s="50"/>
      <c r="R302" s="798"/>
    </row>
    <row r="303" spans="1:18" ht="230.25" thickTop="1" thickBot="1" x14ac:dyDescent="0.25">
      <c r="A303" s="808" t="s">
        <v>422</v>
      </c>
      <c r="B303" s="808" t="s">
        <v>241</v>
      </c>
      <c r="C303" s="808" t="s">
        <v>239</v>
      </c>
      <c r="D303" s="808" t="s">
        <v>240</v>
      </c>
      <c r="E303" s="816">
        <f>F303</f>
        <v>3852358</v>
      </c>
      <c r="F303" s="389">
        <v>3852358</v>
      </c>
      <c r="G303" s="389">
        <v>2744545</v>
      </c>
      <c r="H303" s="389">
        <f>3963+73000+70335</f>
        <v>147298</v>
      </c>
      <c r="I303" s="389"/>
      <c r="J303" s="816">
        <f t="shared" ref="J303:J319" si="246">L303+O303</f>
        <v>0</v>
      </c>
      <c r="K303" s="389"/>
      <c r="L303" s="389"/>
      <c r="M303" s="389"/>
      <c r="N303" s="389"/>
      <c r="O303" s="810">
        <f>K303</f>
        <v>0</v>
      </c>
      <c r="P303" s="816">
        <f t="shared" ref="P303:P319" si="247">E303+J303</f>
        <v>3852358</v>
      </c>
      <c r="Q303" s="50"/>
      <c r="R303" s="53"/>
    </row>
    <row r="304" spans="1:18" ht="184.5" thickTop="1" thickBot="1" x14ac:dyDescent="0.25">
      <c r="A304" s="808" t="s">
        <v>639</v>
      </c>
      <c r="B304" s="808" t="s">
        <v>367</v>
      </c>
      <c r="C304" s="808" t="s">
        <v>634</v>
      </c>
      <c r="D304" s="808" t="s">
        <v>635</v>
      </c>
      <c r="E304" s="386">
        <f>F304</f>
        <v>10000</v>
      </c>
      <c r="F304" s="441">
        <v>10000</v>
      </c>
      <c r="G304" s="441"/>
      <c r="H304" s="441"/>
      <c r="I304" s="441"/>
      <c r="J304" s="816">
        <f t="shared" si="246"/>
        <v>0</v>
      </c>
      <c r="K304" s="441"/>
      <c r="L304" s="442"/>
      <c r="M304" s="442"/>
      <c r="N304" s="442"/>
      <c r="O304" s="810">
        <f t="shared" ref="O304:O305" si="248">K304</f>
        <v>0</v>
      </c>
      <c r="P304" s="816">
        <f t="shared" ref="P304:P305" si="249">+J304+E304</f>
        <v>10000</v>
      </c>
      <c r="Q304" s="50"/>
      <c r="R304" s="53"/>
    </row>
    <row r="305" spans="1:18" ht="93" hidden="1" thickTop="1" thickBot="1" x14ac:dyDescent="0.25">
      <c r="A305" s="805" t="s">
        <v>941</v>
      </c>
      <c r="B305" s="805" t="s">
        <v>43</v>
      </c>
      <c r="C305" s="805" t="s">
        <v>42</v>
      </c>
      <c r="D305" s="805" t="s">
        <v>253</v>
      </c>
      <c r="E305" s="807">
        <f>F305</f>
        <v>0</v>
      </c>
      <c r="F305" s="168">
        <v>0</v>
      </c>
      <c r="G305" s="168"/>
      <c r="H305" s="168"/>
      <c r="I305" s="168"/>
      <c r="J305" s="807">
        <f t="shared" si="246"/>
        <v>0</v>
      </c>
      <c r="K305" s="163"/>
      <c r="L305" s="164"/>
      <c r="M305" s="164"/>
      <c r="N305" s="164"/>
      <c r="O305" s="801">
        <f t="shared" si="248"/>
        <v>0</v>
      </c>
      <c r="P305" s="807">
        <f t="shared" si="249"/>
        <v>0</v>
      </c>
      <c r="Q305" s="50"/>
      <c r="R305" s="53"/>
    </row>
    <row r="306" spans="1:18" ht="91.5" thickTop="1" thickBot="1" x14ac:dyDescent="0.25">
      <c r="A306" s="385" t="s">
        <v>1285</v>
      </c>
      <c r="B306" s="385" t="s">
        <v>720</v>
      </c>
      <c r="C306" s="385"/>
      <c r="D306" s="385" t="s">
        <v>721</v>
      </c>
      <c r="E306" s="816">
        <f t="shared" ref="E306:P306" si="250">SUM(E307:E307)</f>
        <v>0</v>
      </c>
      <c r="F306" s="816">
        <f t="shared" si="250"/>
        <v>0</v>
      </c>
      <c r="G306" s="816">
        <f t="shared" si="250"/>
        <v>0</v>
      </c>
      <c r="H306" s="816">
        <f t="shared" si="250"/>
        <v>0</v>
      </c>
      <c r="I306" s="816">
        <f t="shared" si="250"/>
        <v>0</v>
      </c>
      <c r="J306" s="816">
        <f t="shared" si="250"/>
        <v>6050000</v>
      </c>
      <c r="K306" s="816">
        <f t="shared" si="250"/>
        <v>6050000</v>
      </c>
      <c r="L306" s="816">
        <f t="shared" si="250"/>
        <v>0</v>
      </c>
      <c r="M306" s="816">
        <f t="shared" si="250"/>
        <v>0</v>
      </c>
      <c r="N306" s="816">
        <f t="shared" si="250"/>
        <v>0</v>
      </c>
      <c r="O306" s="816">
        <f t="shared" si="250"/>
        <v>6050000</v>
      </c>
      <c r="P306" s="816">
        <f t="shared" si="250"/>
        <v>6050000</v>
      </c>
      <c r="Q306" s="50"/>
      <c r="R306" s="53"/>
    </row>
    <row r="307" spans="1:18" ht="230.25" thickTop="1" thickBot="1" x14ac:dyDescent="0.25">
      <c r="A307" s="808" t="s">
        <v>1286</v>
      </c>
      <c r="B307" s="808" t="s">
        <v>1249</v>
      </c>
      <c r="C307" s="808" t="s">
        <v>211</v>
      </c>
      <c r="D307" s="470" t="s">
        <v>1250</v>
      </c>
      <c r="E307" s="816">
        <f t="shared" ref="E307" si="251">F307</f>
        <v>0</v>
      </c>
      <c r="F307" s="389">
        <v>0</v>
      </c>
      <c r="G307" s="389"/>
      <c r="H307" s="389"/>
      <c r="I307" s="389"/>
      <c r="J307" s="816">
        <f>L307+O307</f>
        <v>6050000</v>
      </c>
      <c r="K307" s="389">
        <f>(1350000)+4700000</f>
        <v>6050000</v>
      </c>
      <c r="L307" s="389"/>
      <c r="M307" s="389"/>
      <c r="N307" s="389"/>
      <c r="O307" s="810">
        <f>K307</f>
        <v>6050000</v>
      </c>
      <c r="P307" s="816">
        <f>E307+J307</f>
        <v>6050000</v>
      </c>
      <c r="Q307" s="50"/>
      <c r="R307" s="53"/>
    </row>
    <row r="308" spans="1:18" ht="47.25" thickTop="1" thickBot="1" x14ac:dyDescent="0.25">
      <c r="A308" s="385" t="s">
        <v>824</v>
      </c>
      <c r="B308" s="385" t="s">
        <v>780</v>
      </c>
      <c r="C308" s="808"/>
      <c r="D308" s="385" t="s">
        <v>781</v>
      </c>
      <c r="E308" s="386">
        <f>E309</f>
        <v>0</v>
      </c>
      <c r="F308" s="386">
        <f t="shared" ref="F308:P309" si="252">F309</f>
        <v>0</v>
      </c>
      <c r="G308" s="386">
        <f t="shared" si="252"/>
        <v>0</v>
      </c>
      <c r="H308" s="386">
        <f t="shared" si="252"/>
        <v>0</v>
      </c>
      <c r="I308" s="386">
        <f t="shared" si="252"/>
        <v>0</v>
      </c>
      <c r="J308" s="386">
        <f t="shared" si="252"/>
        <v>3000000</v>
      </c>
      <c r="K308" s="386">
        <f t="shared" si="252"/>
        <v>3000000</v>
      </c>
      <c r="L308" s="386">
        <f t="shared" si="252"/>
        <v>0</v>
      </c>
      <c r="M308" s="386">
        <f t="shared" si="252"/>
        <v>0</v>
      </c>
      <c r="N308" s="386">
        <f t="shared" si="252"/>
        <v>0</v>
      </c>
      <c r="O308" s="386">
        <f t="shared" si="252"/>
        <v>3000000</v>
      </c>
      <c r="P308" s="386">
        <f t="shared" si="252"/>
        <v>3000000</v>
      </c>
      <c r="Q308" s="50"/>
      <c r="R308" s="53"/>
    </row>
    <row r="309" spans="1:18" ht="93" thickTop="1" thickBot="1" x14ac:dyDescent="0.25">
      <c r="A309" s="455" t="s">
        <v>825</v>
      </c>
      <c r="B309" s="455" t="s">
        <v>826</v>
      </c>
      <c r="C309" s="455"/>
      <c r="D309" s="455" t="s">
        <v>827</v>
      </c>
      <c r="E309" s="502">
        <f>E310</f>
        <v>0</v>
      </c>
      <c r="F309" s="502">
        <f t="shared" si="252"/>
        <v>0</v>
      </c>
      <c r="G309" s="502">
        <f t="shared" si="252"/>
        <v>0</v>
      </c>
      <c r="H309" s="502">
        <f t="shared" si="252"/>
        <v>0</v>
      </c>
      <c r="I309" s="502">
        <f t="shared" si="252"/>
        <v>0</v>
      </c>
      <c r="J309" s="502">
        <f t="shared" si="252"/>
        <v>3000000</v>
      </c>
      <c r="K309" s="502">
        <f t="shared" si="252"/>
        <v>3000000</v>
      </c>
      <c r="L309" s="502">
        <f t="shared" si="252"/>
        <v>0</v>
      </c>
      <c r="M309" s="502">
        <f t="shared" si="252"/>
        <v>0</v>
      </c>
      <c r="N309" s="502">
        <f t="shared" si="252"/>
        <v>0</v>
      </c>
      <c r="O309" s="502">
        <f t="shared" si="252"/>
        <v>3000000</v>
      </c>
      <c r="P309" s="502">
        <f t="shared" si="252"/>
        <v>3000000</v>
      </c>
      <c r="Q309" s="50"/>
      <c r="R309" s="53"/>
    </row>
    <row r="310" spans="1:18" ht="409.6" thickTop="1" thickBot="1" x14ac:dyDescent="0.25">
      <c r="A310" s="808" t="s">
        <v>438</v>
      </c>
      <c r="B310" s="808" t="s">
        <v>439</v>
      </c>
      <c r="C310" s="808" t="s">
        <v>200</v>
      </c>
      <c r="D310" s="808" t="s">
        <v>1226</v>
      </c>
      <c r="E310" s="816">
        <f t="shared" ref="E310:E317" si="253">F310</f>
        <v>0</v>
      </c>
      <c r="F310" s="389"/>
      <c r="G310" s="389"/>
      <c r="H310" s="389"/>
      <c r="I310" s="389"/>
      <c r="J310" s="816">
        <f t="shared" si="246"/>
        <v>3000000</v>
      </c>
      <c r="K310" s="389">
        <v>3000000</v>
      </c>
      <c r="L310" s="389"/>
      <c r="M310" s="389"/>
      <c r="N310" s="389"/>
      <c r="O310" s="810">
        <f t="shared" ref="O310" si="254">K310</f>
        <v>3000000</v>
      </c>
      <c r="P310" s="816">
        <f t="shared" si="247"/>
        <v>3000000</v>
      </c>
      <c r="Q310" s="50"/>
      <c r="R310" s="798"/>
    </row>
    <row r="311" spans="1:18" ht="47.25" thickTop="1" thickBot="1" x14ac:dyDescent="0.25">
      <c r="A311" s="385" t="s">
        <v>828</v>
      </c>
      <c r="B311" s="385" t="s">
        <v>757</v>
      </c>
      <c r="C311" s="808"/>
      <c r="D311" s="385" t="s">
        <v>804</v>
      </c>
      <c r="E311" s="816">
        <f>E312+E320</f>
        <v>0</v>
      </c>
      <c r="F311" s="816">
        <f t="shared" ref="F311:P311" si="255">F312+F320</f>
        <v>0</v>
      </c>
      <c r="G311" s="816">
        <f t="shared" si="255"/>
        <v>0</v>
      </c>
      <c r="H311" s="816">
        <f t="shared" si="255"/>
        <v>0</v>
      </c>
      <c r="I311" s="816">
        <f t="shared" si="255"/>
        <v>0</v>
      </c>
      <c r="J311" s="816">
        <f t="shared" si="255"/>
        <v>64764701</v>
      </c>
      <c r="K311" s="816">
        <f t="shared" si="255"/>
        <v>64764701</v>
      </c>
      <c r="L311" s="816">
        <f t="shared" si="255"/>
        <v>0</v>
      </c>
      <c r="M311" s="816">
        <f t="shared" si="255"/>
        <v>0</v>
      </c>
      <c r="N311" s="816">
        <f t="shared" si="255"/>
        <v>0</v>
      </c>
      <c r="O311" s="816">
        <f t="shared" si="255"/>
        <v>64764701</v>
      </c>
      <c r="P311" s="816">
        <f t="shared" si="255"/>
        <v>64764701</v>
      </c>
      <c r="Q311" s="50"/>
      <c r="R311" s="53"/>
    </row>
    <row r="312" spans="1:18" ht="91.5" thickTop="1" thickBot="1" x14ac:dyDescent="0.25">
      <c r="A312" s="387" t="s">
        <v>829</v>
      </c>
      <c r="B312" s="387" t="s">
        <v>813</v>
      </c>
      <c r="C312" s="387"/>
      <c r="D312" s="387" t="s">
        <v>814</v>
      </c>
      <c r="E312" s="391">
        <f t="shared" ref="E312:P312" si="256">SUM(E313:E319)-E314</f>
        <v>0</v>
      </c>
      <c r="F312" s="391">
        <f t="shared" si="256"/>
        <v>0</v>
      </c>
      <c r="G312" s="391">
        <f t="shared" si="256"/>
        <v>0</v>
      </c>
      <c r="H312" s="391">
        <f t="shared" si="256"/>
        <v>0</v>
      </c>
      <c r="I312" s="391">
        <f t="shared" si="256"/>
        <v>0</v>
      </c>
      <c r="J312" s="391">
        <f t="shared" si="256"/>
        <v>64764701</v>
      </c>
      <c r="K312" s="391">
        <f t="shared" si="256"/>
        <v>64764701</v>
      </c>
      <c r="L312" s="391">
        <f t="shared" si="256"/>
        <v>0</v>
      </c>
      <c r="M312" s="391">
        <f t="shared" si="256"/>
        <v>0</v>
      </c>
      <c r="N312" s="391">
        <f t="shared" si="256"/>
        <v>0</v>
      </c>
      <c r="O312" s="391">
        <f t="shared" si="256"/>
        <v>64764701</v>
      </c>
      <c r="P312" s="391">
        <f t="shared" si="256"/>
        <v>64764701</v>
      </c>
      <c r="Q312" s="50"/>
      <c r="R312" s="53"/>
    </row>
    <row r="313" spans="1:18" ht="99.75" thickTop="1" thickBot="1" x14ac:dyDescent="0.25">
      <c r="A313" s="808" t="s">
        <v>940</v>
      </c>
      <c r="B313" s="808" t="s">
        <v>310</v>
      </c>
      <c r="C313" s="808" t="s">
        <v>309</v>
      </c>
      <c r="D313" s="808" t="s">
        <v>1342</v>
      </c>
      <c r="E313" s="816">
        <f t="shared" ref="E313" si="257">F313</f>
        <v>0</v>
      </c>
      <c r="F313" s="389"/>
      <c r="G313" s="389"/>
      <c r="H313" s="389"/>
      <c r="I313" s="389"/>
      <c r="J313" s="816">
        <f t="shared" ref="J313" si="258">L313+O313</f>
        <v>1100000</v>
      </c>
      <c r="K313" s="389">
        <f>(100000)+1000000</f>
        <v>1100000</v>
      </c>
      <c r="L313" s="389"/>
      <c r="M313" s="389"/>
      <c r="N313" s="389"/>
      <c r="O313" s="810">
        <f>K313</f>
        <v>1100000</v>
      </c>
      <c r="P313" s="816">
        <f t="shared" ref="P313" si="259">E313+J313</f>
        <v>1100000</v>
      </c>
      <c r="Q313" s="50"/>
      <c r="R313" s="798"/>
    </row>
    <row r="314" spans="1:18" ht="146.25" thickTop="1" thickBot="1" x14ac:dyDescent="0.25">
      <c r="A314" s="455" t="s">
        <v>830</v>
      </c>
      <c r="B314" s="455" t="s">
        <v>831</v>
      </c>
      <c r="C314" s="455"/>
      <c r="D314" s="455" t="s">
        <v>1335</v>
      </c>
      <c r="E314" s="440">
        <f>SUM(E315:E316)</f>
        <v>0</v>
      </c>
      <c r="F314" s="440">
        <f t="shared" ref="F314:P314" si="260">SUM(F315:F316)</f>
        <v>0</v>
      </c>
      <c r="G314" s="440">
        <f t="shared" si="260"/>
        <v>0</v>
      </c>
      <c r="H314" s="440">
        <f t="shared" si="260"/>
        <v>0</v>
      </c>
      <c r="I314" s="440">
        <f t="shared" si="260"/>
        <v>0</v>
      </c>
      <c r="J314" s="440">
        <f t="shared" si="260"/>
        <v>53033650</v>
      </c>
      <c r="K314" s="440">
        <f t="shared" si="260"/>
        <v>53033650</v>
      </c>
      <c r="L314" s="440">
        <f t="shared" si="260"/>
        <v>0</v>
      </c>
      <c r="M314" s="440">
        <f t="shared" si="260"/>
        <v>0</v>
      </c>
      <c r="N314" s="440">
        <f t="shared" si="260"/>
        <v>0</v>
      </c>
      <c r="O314" s="440">
        <f t="shared" si="260"/>
        <v>53033650</v>
      </c>
      <c r="P314" s="440">
        <f t="shared" si="260"/>
        <v>53033650</v>
      </c>
      <c r="Q314" s="50"/>
      <c r="R314" s="53"/>
    </row>
    <row r="315" spans="1:18" ht="99.75" thickTop="1" thickBot="1" x14ac:dyDescent="0.25">
      <c r="A315" s="808" t="s">
        <v>315</v>
      </c>
      <c r="B315" s="808" t="s">
        <v>316</v>
      </c>
      <c r="C315" s="808" t="s">
        <v>309</v>
      </c>
      <c r="D315" s="808" t="s">
        <v>1319</v>
      </c>
      <c r="E315" s="816">
        <f t="shared" si="253"/>
        <v>0</v>
      </c>
      <c r="F315" s="389"/>
      <c r="G315" s="389"/>
      <c r="H315" s="389"/>
      <c r="I315" s="389"/>
      <c r="J315" s="816">
        <f t="shared" si="246"/>
        <v>51633650</v>
      </c>
      <c r="K315" s="389">
        <f>(700000)+50933650</f>
        <v>51633650</v>
      </c>
      <c r="L315" s="389"/>
      <c r="M315" s="389"/>
      <c r="N315" s="389"/>
      <c r="O315" s="810">
        <f>K315</f>
        <v>51633650</v>
      </c>
      <c r="P315" s="816">
        <f t="shared" si="247"/>
        <v>51633650</v>
      </c>
      <c r="Q315" s="160"/>
      <c r="R315" s="798"/>
    </row>
    <row r="316" spans="1:18" ht="99.75" thickTop="1" thickBot="1" x14ac:dyDescent="0.25">
      <c r="A316" s="808" t="s">
        <v>521</v>
      </c>
      <c r="B316" s="808" t="s">
        <v>522</v>
      </c>
      <c r="C316" s="808" t="s">
        <v>309</v>
      </c>
      <c r="D316" s="808" t="s">
        <v>1348</v>
      </c>
      <c r="E316" s="816">
        <f t="shared" si="253"/>
        <v>0</v>
      </c>
      <c r="F316" s="389"/>
      <c r="G316" s="389"/>
      <c r="H316" s="389"/>
      <c r="I316" s="389"/>
      <c r="J316" s="816">
        <f t="shared" si="246"/>
        <v>1400000</v>
      </c>
      <c r="K316" s="389">
        <f>(500000)+900000</f>
        <v>1400000</v>
      </c>
      <c r="L316" s="389"/>
      <c r="M316" s="389"/>
      <c r="N316" s="389"/>
      <c r="O316" s="810">
        <f>K316</f>
        <v>1400000</v>
      </c>
      <c r="P316" s="816">
        <f t="shared" si="247"/>
        <v>1400000</v>
      </c>
      <c r="Q316" s="160"/>
      <c r="R316" s="798"/>
    </row>
    <row r="317" spans="1:18" ht="145.5" hidden="1" thickTop="1" thickBot="1" x14ac:dyDescent="0.25">
      <c r="A317" s="805" t="s">
        <v>317</v>
      </c>
      <c r="B317" s="805" t="s">
        <v>318</v>
      </c>
      <c r="C317" s="805" t="s">
        <v>309</v>
      </c>
      <c r="D317" s="805" t="s">
        <v>1289</v>
      </c>
      <c r="E317" s="807">
        <f t="shared" si="253"/>
        <v>0</v>
      </c>
      <c r="F317" s="168"/>
      <c r="G317" s="168"/>
      <c r="H317" s="168"/>
      <c r="I317" s="168"/>
      <c r="J317" s="807">
        <f t="shared" si="246"/>
        <v>0</v>
      </c>
      <c r="K317" s="168"/>
      <c r="L317" s="168"/>
      <c r="M317" s="168"/>
      <c r="N317" s="168"/>
      <c r="O317" s="801">
        <f>K317</f>
        <v>0</v>
      </c>
      <c r="P317" s="807">
        <f t="shared" si="247"/>
        <v>0</v>
      </c>
      <c r="Q317" s="160"/>
    </row>
    <row r="318" spans="1:18" ht="99.75" thickTop="1" thickBot="1" x14ac:dyDescent="0.3">
      <c r="A318" s="808" t="s">
        <v>319</v>
      </c>
      <c r="B318" s="808" t="s">
        <v>320</v>
      </c>
      <c r="C318" s="808" t="s">
        <v>309</v>
      </c>
      <c r="D318" s="808" t="s">
        <v>1349</v>
      </c>
      <c r="E318" s="816">
        <f>F318</f>
        <v>0</v>
      </c>
      <c r="F318" s="389"/>
      <c r="G318" s="389"/>
      <c r="H318" s="389"/>
      <c r="I318" s="389"/>
      <c r="J318" s="816">
        <f t="shared" si="246"/>
        <v>10631051</v>
      </c>
      <c r="K318" s="389">
        <f>(2050000)+8581051</f>
        <v>10631051</v>
      </c>
      <c r="L318" s="389"/>
      <c r="M318" s="389"/>
      <c r="N318" s="389"/>
      <c r="O318" s="810">
        <f>K318</f>
        <v>10631051</v>
      </c>
      <c r="P318" s="816">
        <f t="shared" si="247"/>
        <v>10631051</v>
      </c>
      <c r="Q318" s="196"/>
      <c r="R318" s="798"/>
    </row>
    <row r="319" spans="1:18" ht="138.75" hidden="1" thickTop="1" thickBot="1" x14ac:dyDescent="0.25">
      <c r="A319" s="803" t="s">
        <v>442</v>
      </c>
      <c r="B319" s="803" t="s">
        <v>355</v>
      </c>
      <c r="C319" s="803" t="s">
        <v>171</v>
      </c>
      <c r="D319" s="803" t="s">
        <v>267</v>
      </c>
      <c r="E319" s="804">
        <f>F319</f>
        <v>0</v>
      </c>
      <c r="F319" s="46"/>
      <c r="G319" s="46"/>
      <c r="H319" s="46"/>
      <c r="I319" s="46"/>
      <c r="J319" s="804">
        <f t="shared" si="246"/>
        <v>0</v>
      </c>
      <c r="K319" s="46">
        <v>0</v>
      </c>
      <c r="L319" s="46"/>
      <c r="M319" s="46"/>
      <c r="N319" s="46"/>
      <c r="O319" s="806">
        <f>K319</f>
        <v>0</v>
      </c>
      <c r="P319" s="804">
        <f t="shared" si="247"/>
        <v>0</v>
      </c>
      <c r="Q319" s="22"/>
      <c r="R319" s="798"/>
    </row>
    <row r="320" spans="1:18" ht="136.5" hidden="1" thickTop="1" thickBot="1" x14ac:dyDescent="0.25">
      <c r="A320" s="170" t="s">
        <v>1007</v>
      </c>
      <c r="B320" s="170" t="s">
        <v>700</v>
      </c>
      <c r="C320" s="170"/>
      <c r="D320" s="170" t="s">
        <v>698</v>
      </c>
      <c r="E320" s="193">
        <f>E321</f>
        <v>0</v>
      </c>
      <c r="F320" s="193">
        <f>F321</f>
        <v>0</v>
      </c>
      <c r="G320" s="193">
        <f>G321</f>
        <v>0</v>
      </c>
      <c r="H320" s="193">
        <f>H321</f>
        <v>0</v>
      </c>
      <c r="I320" s="193">
        <f>I321</f>
        <v>0</v>
      </c>
      <c r="J320" s="193">
        <f t="shared" ref="J320:O320" si="261">J321</f>
        <v>0</v>
      </c>
      <c r="K320" s="193">
        <f t="shared" si="261"/>
        <v>0</v>
      </c>
      <c r="L320" s="193">
        <f t="shared" si="261"/>
        <v>0</v>
      </c>
      <c r="M320" s="193">
        <f t="shared" si="261"/>
        <v>0</v>
      </c>
      <c r="N320" s="193">
        <f t="shared" si="261"/>
        <v>0</v>
      </c>
      <c r="O320" s="193">
        <f t="shared" si="261"/>
        <v>0</v>
      </c>
      <c r="P320" s="193">
        <f>P321</f>
        <v>0</v>
      </c>
      <c r="Q320" s="22"/>
      <c r="R320" s="798"/>
    </row>
    <row r="321" spans="1:18" ht="48" hidden="1" thickTop="1" thickBot="1" x14ac:dyDescent="0.25">
      <c r="A321" s="174" t="s">
        <v>1008</v>
      </c>
      <c r="B321" s="174" t="s">
        <v>703</v>
      </c>
      <c r="C321" s="174"/>
      <c r="D321" s="174" t="s">
        <v>807</v>
      </c>
      <c r="E321" s="192">
        <f>E322+E324</f>
        <v>0</v>
      </c>
      <c r="F321" s="192">
        <f t="shared" ref="F321:P321" si="262">F322+F324</f>
        <v>0</v>
      </c>
      <c r="G321" s="192">
        <f t="shared" si="262"/>
        <v>0</v>
      </c>
      <c r="H321" s="192">
        <f t="shared" si="262"/>
        <v>0</v>
      </c>
      <c r="I321" s="192">
        <f t="shared" si="262"/>
        <v>0</v>
      </c>
      <c r="J321" s="192">
        <f t="shared" si="262"/>
        <v>0</v>
      </c>
      <c r="K321" s="192">
        <f t="shared" si="262"/>
        <v>0</v>
      </c>
      <c r="L321" s="192">
        <f t="shared" si="262"/>
        <v>0</v>
      </c>
      <c r="M321" s="192">
        <f t="shared" si="262"/>
        <v>0</v>
      </c>
      <c r="N321" s="192">
        <f t="shared" si="262"/>
        <v>0</v>
      </c>
      <c r="O321" s="192">
        <f t="shared" si="262"/>
        <v>0</v>
      </c>
      <c r="P321" s="192">
        <f t="shared" si="262"/>
        <v>0</v>
      </c>
      <c r="Q321" s="22"/>
      <c r="R321" s="798"/>
    </row>
    <row r="322" spans="1:18" ht="409.6" hidden="1" thickTop="1" thickBot="1" x14ac:dyDescent="0.7">
      <c r="A322" s="935" t="s">
        <v>1009</v>
      </c>
      <c r="B322" s="935" t="s">
        <v>343</v>
      </c>
      <c r="C322" s="935" t="s">
        <v>171</v>
      </c>
      <c r="D322" s="197" t="s">
        <v>445</v>
      </c>
      <c r="E322" s="936">
        <f t="shared" ref="E322" si="263">F322</f>
        <v>0</v>
      </c>
      <c r="F322" s="930"/>
      <c r="G322" s="930"/>
      <c r="H322" s="930"/>
      <c r="I322" s="930"/>
      <c r="J322" s="936">
        <f t="shared" ref="J322" si="264">L322+O322</f>
        <v>0</v>
      </c>
      <c r="K322" s="930"/>
      <c r="L322" s="930"/>
      <c r="M322" s="930"/>
      <c r="N322" s="930"/>
      <c r="O322" s="931">
        <f>K322</f>
        <v>0</v>
      </c>
      <c r="P322" s="933">
        <f>E322+J322</f>
        <v>0</v>
      </c>
      <c r="Q322" s="22"/>
      <c r="R322" s="798"/>
    </row>
    <row r="323" spans="1:18" ht="184.5" hidden="1" thickTop="1" thickBot="1" x14ac:dyDescent="0.25">
      <c r="A323" s="935"/>
      <c r="B323" s="935"/>
      <c r="C323" s="935"/>
      <c r="D323" s="198" t="s">
        <v>446</v>
      </c>
      <c r="E323" s="936"/>
      <c r="F323" s="930"/>
      <c r="G323" s="930"/>
      <c r="H323" s="930"/>
      <c r="I323" s="930"/>
      <c r="J323" s="936"/>
      <c r="K323" s="930"/>
      <c r="L323" s="930"/>
      <c r="M323" s="930"/>
      <c r="N323" s="930"/>
      <c r="O323" s="931"/>
      <c r="P323" s="933"/>
      <c r="Q323" s="22"/>
      <c r="R323" s="798"/>
    </row>
    <row r="324" spans="1:18" ht="93" hidden="1" thickTop="1" thickBot="1" x14ac:dyDescent="0.25">
      <c r="A324" s="805" t="s">
        <v>1242</v>
      </c>
      <c r="B324" s="805" t="s">
        <v>262</v>
      </c>
      <c r="C324" s="805" t="s">
        <v>171</v>
      </c>
      <c r="D324" s="190" t="s">
        <v>260</v>
      </c>
      <c r="E324" s="807">
        <f>F324</f>
        <v>0</v>
      </c>
      <c r="F324" s="168"/>
      <c r="G324" s="168"/>
      <c r="H324" s="168"/>
      <c r="I324" s="168"/>
      <c r="J324" s="807">
        <f t="shared" ref="J324" si="265">L324+O324</f>
        <v>0</v>
      </c>
      <c r="K324" s="168"/>
      <c r="L324" s="168"/>
      <c r="M324" s="168"/>
      <c r="N324" s="168"/>
      <c r="O324" s="801">
        <f>K324</f>
        <v>0</v>
      </c>
      <c r="P324" s="807">
        <f t="shared" ref="P324" si="266">E324+J324</f>
        <v>0</v>
      </c>
      <c r="Q324" s="22"/>
      <c r="R324" s="798"/>
    </row>
    <row r="325" spans="1:18" ht="181.5" thickTop="1" thickBot="1" x14ac:dyDescent="0.25">
      <c r="A325" s="460" t="s">
        <v>161</v>
      </c>
      <c r="B325" s="460"/>
      <c r="C325" s="460"/>
      <c r="D325" s="461" t="s">
        <v>906</v>
      </c>
      <c r="E325" s="463">
        <f>E326</f>
        <v>9798400</v>
      </c>
      <c r="F325" s="462">
        <f t="shared" ref="F325:G325" si="267">F326</f>
        <v>9798400</v>
      </c>
      <c r="G325" s="462">
        <f t="shared" si="267"/>
        <v>6132550</v>
      </c>
      <c r="H325" s="462">
        <f>H326</f>
        <v>401600</v>
      </c>
      <c r="I325" s="462">
        <f t="shared" ref="I325" si="268">I326</f>
        <v>0</v>
      </c>
      <c r="J325" s="463">
        <f>J326</f>
        <v>1030000</v>
      </c>
      <c r="K325" s="462">
        <f>K326</f>
        <v>1030000</v>
      </c>
      <c r="L325" s="462">
        <f>L326</f>
        <v>0</v>
      </c>
      <c r="M325" s="462">
        <f t="shared" ref="M325" si="269">M326</f>
        <v>0</v>
      </c>
      <c r="N325" s="462">
        <f>N326</f>
        <v>0</v>
      </c>
      <c r="O325" s="463">
        <f>O326</f>
        <v>1030000</v>
      </c>
      <c r="P325" s="462">
        <f t="shared" ref="P325" si="270">P326</f>
        <v>10828400</v>
      </c>
      <c r="Q325" s="22"/>
    </row>
    <row r="326" spans="1:18" ht="181.5" thickTop="1" thickBot="1" x14ac:dyDescent="0.25">
      <c r="A326" s="464" t="s">
        <v>162</v>
      </c>
      <c r="B326" s="464"/>
      <c r="C326" s="464"/>
      <c r="D326" s="465" t="s">
        <v>907</v>
      </c>
      <c r="E326" s="466">
        <f>E327+E331</f>
        <v>9798400</v>
      </c>
      <c r="F326" s="466">
        <f>F327+F331</f>
        <v>9798400</v>
      </c>
      <c r="G326" s="466">
        <f>G327+G331</f>
        <v>6132550</v>
      </c>
      <c r="H326" s="466">
        <f>H327+H331</f>
        <v>401600</v>
      </c>
      <c r="I326" s="466">
        <f>I327+I331</f>
        <v>0</v>
      </c>
      <c r="J326" s="466">
        <f>L326+O326</f>
        <v>1030000</v>
      </c>
      <c r="K326" s="466">
        <f>K327+K331</f>
        <v>1030000</v>
      </c>
      <c r="L326" s="466">
        <f>L327+L331</f>
        <v>0</v>
      </c>
      <c r="M326" s="466">
        <f>M327+M331</f>
        <v>0</v>
      </c>
      <c r="N326" s="466">
        <f>N327+N331</f>
        <v>0</v>
      </c>
      <c r="O326" s="466">
        <f>O327+O331</f>
        <v>1030000</v>
      </c>
      <c r="P326" s="466">
        <f>E326+J326</f>
        <v>10828400</v>
      </c>
      <c r="Q326" s="392" t="b">
        <f>P326=P328+P329+P330+P333</f>
        <v>1</v>
      </c>
      <c r="R326" s="798"/>
    </row>
    <row r="327" spans="1:18" ht="47.25" thickTop="1" thickBot="1" x14ac:dyDescent="0.25">
      <c r="A327" s="385" t="s">
        <v>832</v>
      </c>
      <c r="B327" s="385" t="s">
        <v>693</v>
      </c>
      <c r="C327" s="385"/>
      <c r="D327" s="385" t="s">
        <v>694</v>
      </c>
      <c r="E327" s="816">
        <f>SUM(E328:E330)</f>
        <v>9798400</v>
      </c>
      <c r="F327" s="816">
        <f t="shared" ref="F327:N327" si="271">SUM(F328:F330)</f>
        <v>9798400</v>
      </c>
      <c r="G327" s="816">
        <f t="shared" si="271"/>
        <v>6132550</v>
      </c>
      <c r="H327" s="816">
        <f t="shared" si="271"/>
        <v>401600</v>
      </c>
      <c r="I327" s="816">
        <f t="shared" si="271"/>
        <v>0</v>
      </c>
      <c r="J327" s="816">
        <f t="shared" si="271"/>
        <v>30000</v>
      </c>
      <c r="K327" s="816">
        <f t="shared" si="271"/>
        <v>30000</v>
      </c>
      <c r="L327" s="816">
        <f t="shared" si="271"/>
        <v>0</v>
      </c>
      <c r="M327" s="816">
        <f t="shared" si="271"/>
        <v>0</v>
      </c>
      <c r="N327" s="816">
        <f t="shared" si="271"/>
        <v>0</v>
      </c>
      <c r="O327" s="816">
        <f>SUM(O328:O330)</f>
        <v>30000</v>
      </c>
      <c r="P327" s="816">
        <f>SUM(P328:P330)</f>
        <v>9828400</v>
      </c>
      <c r="Q327" s="50"/>
      <c r="R327" s="798"/>
    </row>
    <row r="328" spans="1:18" ht="230.25" thickTop="1" thickBot="1" x14ac:dyDescent="0.25">
      <c r="A328" s="808" t="s">
        <v>424</v>
      </c>
      <c r="B328" s="808" t="s">
        <v>241</v>
      </c>
      <c r="C328" s="808" t="s">
        <v>239</v>
      </c>
      <c r="D328" s="808" t="s">
        <v>240</v>
      </c>
      <c r="E328" s="816">
        <f>F328</f>
        <v>8534300</v>
      </c>
      <c r="F328" s="389">
        <f>(8244900)+22000+55000+44000+4400+20000+144000</f>
        <v>8534300</v>
      </c>
      <c r="G328" s="389">
        <v>6132550</v>
      </c>
      <c r="H328" s="389">
        <f>(151000+4400+97800)+4400+144000</f>
        <v>401600</v>
      </c>
      <c r="I328" s="389"/>
      <c r="J328" s="816">
        <f>L328+O328</f>
        <v>30000</v>
      </c>
      <c r="K328" s="389">
        <v>30000</v>
      </c>
      <c r="L328" s="389"/>
      <c r="M328" s="389"/>
      <c r="N328" s="389"/>
      <c r="O328" s="810">
        <f>K328</f>
        <v>30000</v>
      </c>
      <c r="P328" s="816">
        <f>E328+J328</f>
        <v>8564300</v>
      </c>
      <c r="Q328" s="50"/>
      <c r="R328" s="798"/>
    </row>
    <row r="329" spans="1:18" ht="184.5" thickTop="1" thickBot="1" x14ac:dyDescent="0.25">
      <c r="A329" s="808" t="s">
        <v>640</v>
      </c>
      <c r="B329" s="808" t="s">
        <v>367</v>
      </c>
      <c r="C329" s="808" t="s">
        <v>634</v>
      </c>
      <c r="D329" s="808" t="s">
        <v>635</v>
      </c>
      <c r="E329" s="386">
        <f>F329</f>
        <v>10000</v>
      </c>
      <c r="F329" s="441">
        <v>10000</v>
      </c>
      <c r="G329" s="441"/>
      <c r="H329" s="441"/>
      <c r="I329" s="441"/>
      <c r="J329" s="816">
        <f t="shared" ref="J329:J330" si="272">L329+O329</f>
        <v>0</v>
      </c>
      <c r="K329" s="441"/>
      <c r="L329" s="442"/>
      <c r="M329" s="442"/>
      <c r="N329" s="442"/>
      <c r="O329" s="810">
        <f t="shared" ref="O329:O330" si="273">K329</f>
        <v>0</v>
      </c>
      <c r="P329" s="816">
        <f t="shared" ref="P329" si="274">+J329+E329</f>
        <v>10000</v>
      </c>
      <c r="Q329" s="50"/>
      <c r="R329" s="798"/>
    </row>
    <row r="330" spans="1:18" ht="93" thickTop="1" thickBot="1" x14ac:dyDescent="0.25">
      <c r="A330" s="808" t="s">
        <v>1339</v>
      </c>
      <c r="B330" s="808" t="s">
        <v>43</v>
      </c>
      <c r="C330" s="808" t="s">
        <v>42</v>
      </c>
      <c r="D330" s="808" t="s">
        <v>253</v>
      </c>
      <c r="E330" s="816">
        <f t="shared" ref="E330" si="275">F330</f>
        <v>1254100</v>
      </c>
      <c r="F330" s="389">
        <v>1254100</v>
      </c>
      <c r="G330" s="389"/>
      <c r="H330" s="389"/>
      <c r="I330" s="389"/>
      <c r="J330" s="816">
        <f t="shared" si="272"/>
        <v>0</v>
      </c>
      <c r="K330" s="389"/>
      <c r="L330" s="389"/>
      <c r="M330" s="389"/>
      <c r="N330" s="389"/>
      <c r="O330" s="810">
        <f t="shared" si="273"/>
        <v>0</v>
      </c>
      <c r="P330" s="816">
        <f>E330+J330</f>
        <v>1254100</v>
      </c>
      <c r="Q330" s="50"/>
      <c r="R330" s="798"/>
    </row>
    <row r="331" spans="1:18" ht="47.25" thickTop="1" thickBot="1" x14ac:dyDescent="0.25">
      <c r="A331" s="385" t="s">
        <v>922</v>
      </c>
      <c r="B331" s="385" t="s">
        <v>757</v>
      </c>
      <c r="C331" s="808"/>
      <c r="D331" s="385" t="s">
        <v>804</v>
      </c>
      <c r="E331" s="816">
        <f>E332</f>
        <v>0</v>
      </c>
      <c r="F331" s="816">
        <f t="shared" ref="F331:P332" si="276">F332</f>
        <v>0</v>
      </c>
      <c r="G331" s="816">
        <f t="shared" si="276"/>
        <v>0</v>
      </c>
      <c r="H331" s="816">
        <f t="shared" si="276"/>
        <v>0</v>
      </c>
      <c r="I331" s="816">
        <f t="shared" si="276"/>
        <v>0</v>
      </c>
      <c r="J331" s="816">
        <f t="shared" si="276"/>
        <v>1000000</v>
      </c>
      <c r="K331" s="816">
        <f t="shared" si="276"/>
        <v>1000000</v>
      </c>
      <c r="L331" s="816">
        <f t="shared" si="276"/>
        <v>0</v>
      </c>
      <c r="M331" s="816">
        <f t="shared" si="276"/>
        <v>0</v>
      </c>
      <c r="N331" s="816">
        <f t="shared" si="276"/>
        <v>0</v>
      </c>
      <c r="O331" s="816">
        <f t="shared" si="276"/>
        <v>1000000</v>
      </c>
      <c r="P331" s="816">
        <f t="shared" si="276"/>
        <v>1000000</v>
      </c>
      <c r="Q331" s="50"/>
      <c r="R331" s="798"/>
    </row>
    <row r="332" spans="1:18" ht="91.5" thickTop="1" thickBot="1" x14ac:dyDescent="0.25">
      <c r="A332" s="387" t="s">
        <v>923</v>
      </c>
      <c r="B332" s="387" t="s">
        <v>813</v>
      </c>
      <c r="C332" s="387"/>
      <c r="D332" s="387" t="s">
        <v>814</v>
      </c>
      <c r="E332" s="391">
        <f>E333</f>
        <v>0</v>
      </c>
      <c r="F332" s="391">
        <f t="shared" si="276"/>
        <v>0</v>
      </c>
      <c r="G332" s="391">
        <f t="shared" si="276"/>
        <v>0</v>
      </c>
      <c r="H332" s="391">
        <f t="shared" si="276"/>
        <v>0</v>
      </c>
      <c r="I332" s="391">
        <f t="shared" si="276"/>
        <v>0</v>
      </c>
      <c r="J332" s="391">
        <f t="shared" si="276"/>
        <v>1000000</v>
      </c>
      <c r="K332" s="391">
        <f t="shared" si="276"/>
        <v>1000000</v>
      </c>
      <c r="L332" s="391">
        <f t="shared" si="276"/>
        <v>0</v>
      </c>
      <c r="M332" s="391">
        <f t="shared" si="276"/>
        <v>0</v>
      </c>
      <c r="N332" s="391">
        <f t="shared" si="276"/>
        <v>0</v>
      </c>
      <c r="O332" s="391">
        <f t="shared" si="276"/>
        <v>1000000</v>
      </c>
      <c r="P332" s="391">
        <f t="shared" si="276"/>
        <v>1000000</v>
      </c>
      <c r="Q332" s="50"/>
      <c r="R332" s="798"/>
    </row>
    <row r="333" spans="1:18" ht="138.75" thickTop="1" thickBot="1" x14ac:dyDescent="0.25">
      <c r="A333" s="808" t="s">
        <v>924</v>
      </c>
      <c r="B333" s="808" t="s">
        <v>925</v>
      </c>
      <c r="C333" s="808" t="s">
        <v>309</v>
      </c>
      <c r="D333" s="808" t="s">
        <v>926</v>
      </c>
      <c r="E333" s="386">
        <f>F333</f>
        <v>0</v>
      </c>
      <c r="F333" s="441"/>
      <c r="G333" s="441"/>
      <c r="H333" s="441"/>
      <c r="I333" s="441"/>
      <c r="J333" s="816">
        <f t="shared" ref="J333" si="277">L333+O333</f>
        <v>1000000</v>
      </c>
      <c r="K333" s="441">
        <v>1000000</v>
      </c>
      <c r="L333" s="442"/>
      <c r="M333" s="442"/>
      <c r="N333" s="442"/>
      <c r="O333" s="810">
        <f t="shared" ref="O333" si="278">K333</f>
        <v>1000000</v>
      </c>
      <c r="P333" s="816">
        <f t="shared" ref="P333" si="279">+J333+E333</f>
        <v>1000000</v>
      </c>
      <c r="Q333" s="50"/>
      <c r="R333" s="798"/>
    </row>
    <row r="334" spans="1:18" ht="136.5" thickTop="1" thickBot="1" x14ac:dyDescent="0.25">
      <c r="A334" s="460" t="s">
        <v>449</v>
      </c>
      <c r="B334" s="460"/>
      <c r="C334" s="460"/>
      <c r="D334" s="461" t="s">
        <v>451</v>
      </c>
      <c r="E334" s="463">
        <f>E335</f>
        <v>152555217.40000001</v>
      </c>
      <c r="F334" s="462">
        <f t="shared" ref="F334:G334" si="280">F335</f>
        <v>152555217.40000001</v>
      </c>
      <c r="G334" s="462">
        <f t="shared" si="280"/>
        <v>4332271</v>
      </c>
      <c r="H334" s="462">
        <f>H335</f>
        <v>173325</v>
      </c>
      <c r="I334" s="462">
        <f t="shared" ref="I334" si="281">I335</f>
        <v>0</v>
      </c>
      <c r="J334" s="463">
        <f>J335</f>
        <v>39060000</v>
      </c>
      <c r="K334" s="462">
        <f>K335</f>
        <v>39060000</v>
      </c>
      <c r="L334" s="462">
        <f>L335</f>
        <v>0</v>
      </c>
      <c r="M334" s="462">
        <f t="shared" ref="M334" si="282">M335</f>
        <v>0</v>
      </c>
      <c r="N334" s="462">
        <f>N335</f>
        <v>0</v>
      </c>
      <c r="O334" s="463">
        <f>O335</f>
        <v>39060000</v>
      </c>
      <c r="P334" s="462">
        <f t="shared" ref="P334" si="283">P335</f>
        <v>191615217.40000001</v>
      </c>
      <c r="Q334" s="22"/>
    </row>
    <row r="335" spans="1:18" ht="181.5" thickTop="1" thickBot="1" x14ac:dyDescent="0.25">
      <c r="A335" s="464" t="s">
        <v>450</v>
      </c>
      <c r="B335" s="464"/>
      <c r="C335" s="464"/>
      <c r="D335" s="465" t="s">
        <v>452</v>
      </c>
      <c r="E335" s="466">
        <f t="shared" ref="E335:O335" si="284">E336+E339+E348+E351</f>
        <v>152555217.40000001</v>
      </c>
      <c r="F335" s="466">
        <f t="shared" si="284"/>
        <v>152555217.40000001</v>
      </c>
      <c r="G335" s="466">
        <f t="shared" si="284"/>
        <v>4332271</v>
      </c>
      <c r="H335" s="466">
        <f t="shared" si="284"/>
        <v>173325</v>
      </c>
      <c r="I335" s="466">
        <f t="shared" si="284"/>
        <v>0</v>
      </c>
      <c r="J335" s="466">
        <f t="shared" si="284"/>
        <v>39060000</v>
      </c>
      <c r="K335" s="466">
        <f t="shared" si="284"/>
        <v>39060000</v>
      </c>
      <c r="L335" s="466">
        <f t="shared" si="284"/>
        <v>0</v>
      </c>
      <c r="M335" s="466">
        <f t="shared" si="284"/>
        <v>0</v>
      </c>
      <c r="N335" s="466">
        <f t="shared" si="284"/>
        <v>0</v>
      </c>
      <c r="O335" s="466">
        <f t="shared" si="284"/>
        <v>39060000</v>
      </c>
      <c r="P335" s="466">
        <f>E335+J335</f>
        <v>191615217.40000001</v>
      </c>
      <c r="Q335" s="392" t="b">
        <f>P335=P337+P344+P350+P347+P352+P342</f>
        <v>1</v>
      </c>
      <c r="R335" s="798"/>
    </row>
    <row r="336" spans="1:18" ht="47.25" thickTop="1" thickBot="1" x14ac:dyDescent="0.25">
      <c r="A336" s="385" t="s">
        <v>833</v>
      </c>
      <c r="B336" s="385" t="s">
        <v>693</v>
      </c>
      <c r="C336" s="385"/>
      <c r="D336" s="385" t="s">
        <v>694</v>
      </c>
      <c r="E336" s="816">
        <f>SUM(E337:E338)</f>
        <v>10496456.4</v>
      </c>
      <c r="F336" s="816">
        <f t="shared" ref="F336:P336" si="285">SUM(F337:F338)</f>
        <v>10496456.4</v>
      </c>
      <c r="G336" s="816">
        <f t="shared" si="285"/>
        <v>4332271</v>
      </c>
      <c r="H336" s="816">
        <f t="shared" si="285"/>
        <v>173325</v>
      </c>
      <c r="I336" s="816">
        <f t="shared" si="285"/>
        <v>0</v>
      </c>
      <c r="J336" s="816">
        <f t="shared" si="285"/>
        <v>0</v>
      </c>
      <c r="K336" s="816">
        <f t="shared" si="285"/>
        <v>0</v>
      </c>
      <c r="L336" s="816">
        <f t="shared" si="285"/>
        <v>0</v>
      </c>
      <c r="M336" s="816">
        <f t="shared" si="285"/>
        <v>0</v>
      </c>
      <c r="N336" s="816">
        <f t="shared" si="285"/>
        <v>0</v>
      </c>
      <c r="O336" s="816">
        <f t="shared" si="285"/>
        <v>0</v>
      </c>
      <c r="P336" s="816">
        <f t="shared" si="285"/>
        <v>10496456.4</v>
      </c>
      <c r="Q336" s="50"/>
      <c r="R336" s="798"/>
    </row>
    <row r="337" spans="1:18" ht="230.25" thickTop="1" thickBot="1" x14ac:dyDescent="0.25">
      <c r="A337" s="808" t="s">
        <v>453</v>
      </c>
      <c r="B337" s="808" t="s">
        <v>241</v>
      </c>
      <c r="C337" s="808" t="s">
        <v>239</v>
      </c>
      <c r="D337" s="808" t="s">
        <v>240</v>
      </c>
      <c r="E337" s="816">
        <f>F337</f>
        <v>10496456.4</v>
      </c>
      <c r="F337" s="389">
        <f>(10496036)+420.4</f>
        <v>10496456.4</v>
      </c>
      <c r="G337" s="389">
        <v>4332271</v>
      </c>
      <c r="H337" s="389">
        <f>86000+5000+80000+2325</f>
        <v>173325</v>
      </c>
      <c r="I337" s="389"/>
      <c r="J337" s="816">
        <f>L337+O337</f>
        <v>0</v>
      </c>
      <c r="K337" s="389"/>
      <c r="L337" s="389"/>
      <c r="M337" s="389"/>
      <c r="N337" s="389"/>
      <c r="O337" s="810">
        <f>K337</f>
        <v>0</v>
      </c>
      <c r="P337" s="816">
        <f>E337+J337</f>
        <v>10496456.4</v>
      </c>
      <c r="Q337" s="50"/>
      <c r="R337" s="798"/>
    </row>
    <row r="338" spans="1:18" ht="184.5" hidden="1" thickTop="1" thickBot="1" x14ac:dyDescent="0.25">
      <c r="A338" s="803" t="s">
        <v>641</v>
      </c>
      <c r="B338" s="803" t="s">
        <v>367</v>
      </c>
      <c r="C338" s="803" t="s">
        <v>634</v>
      </c>
      <c r="D338" s="803" t="s">
        <v>635</v>
      </c>
      <c r="E338" s="186">
        <f>F338</f>
        <v>0</v>
      </c>
      <c r="F338" s="163"/>
      <c r="G338" s="163"/>
      <c r="H338" s="163"/>
      <c r="I338" s="163"/>
      <c r="J338" s="807">
        <f t="shared" ref="J338" si="286">L338+O338</f>
        <v>0</v>
      </c>
      <c r="K338" s="195"/>
      <c r="L338" s="199"/>
      <c r="M338" s="199"/>
      <c r="N338" s="199"/>
      <c r="O338" s="806">
        <f t="shared" ref="O338" si="287">K338</f>
        <v>0</v>
      </c>
      <c r="P338" s="804">
        <f t="shared" ref="P338" si="288">+J338+E338</f>
        <v>0</v>
      </c>
      <c r="Q338" s="50"/>
      <c r="R338" s="798"/>
    </row>
    <row r="339" spans="1:18" ht="47.25" thickTop="1" thickBot="1" x14ac:dyDescent="0.25">
      <c r="A339" s="385" t="s">
        <v>834</v>
      </c>
      <c r="B339" s="385" t="s">
        <v>757</v>
      </c>
      <c r="C339" s="808"/>
      <c r="D339" s="385" t="s">
        <v>804</v>
      </c>
      <c r="E339" s="816">
        <f>E340+E346</f>
        <v>137188761</v>
      </c>
      <c r="F339" s="816">
        <f t="shared" ref="F339:P339" si="289">F340+F346</f>
        <v>137188761</v>
      </c>
      <c r="G339" s="816">
        <f t="shared" si="289"/>
        <v>0</v>
      </c>
      <c r="H339" s="816">
        <f t="shared" si="289"/>
        <v>0</v>
      </c>
      <c r="I339" s="816">
        <f t="shared" si="289"/>
        <v>0</v>
      </c>
      <c r="J339" s="816">
        <f t="shared" si="289"/>
        <v>39060000</v>
      </c>
      <c r="K339" s="816">
        <f t="shared" si="289"/>
        <v>39060000</v>
      </c>
      <c r="L339" s="816">
        <f t="shared" si="289"/>
        <v>0</v>
      </c>
      <c r="M339" s="816">
        <f t="shared" si="289"/>
        <v>0</v>
      </c>
      <c r="N339" s="816">
        <f t="shared" si="289"/>
        <v>0</v>
      </c>
      <c r="O339" s="816">
        <f t="shared" si="289"/>
        <v>39060000</v>
      </c>
      <c r="P339" s="816">
        <f t="shared" si="289"/>
        <v>176248761</v>
      </c>
      <c r="Q339" s="50"/>
      <c r="R339" s="53"/>
    </row>
    <row r="340" spans="1:18" ht="136.5" thickTop="1" thickBot="1" x14ac:dyDescent="0.25">
      <c r="A340" s="387" t="s">
        <v>835</v>
      </c>
      <c r="B340" s="387" t="s">
        <v>816</v>
      </c>
      <c r="C340" s="387"/>
      <c r="D340" s="387" t="s">
        <v>817</v>
      </c>
      <c r="E340" s="391">
        <f>E343+E345+E341</f>
        <v>137188761</v>
      </c>
      <c r="F340" s="391">
        <f t="shared" ref="F340:P340" si="290">F343+F345+F341</f>
        <v>137188761</v>
      </c>
      <c r="G340" s="391">
        <f t="shared" si="290"/>
        <v>0</v>
      </c>
      <c r="H340" s="391">
        <f t="shared" si="290"/>
        <v>0</v>
      </c>
      <c r="I340" s="391">
        <f t="shared" si="290"/>
        <v>0</v>
      </c>
      <c r="J340" s="391">
        <f t="shared" si="290"/>
        <v>0</v>
      </c>
      <c r="K340" s="391">
        <f t="shared" si="290"/>
        <v>0</v>
      </c>
      <c r="L340" s="391">
        <f t="shared" si="290"/>
        <v>0</v>
      </c>
      <c r="M340" s="391">
        <f t="shared" si="290"/>
        <v>0</v>
      </c>
      <c r="N340" s="391">
        <f t="shared" si="290"/>
        <v>0</v>
      </c>
      <c r="O340" s="391">
        <f t="shared" si="290"/>
        <v>0</v>
      </c>
      <c r="P340" s="391">
        <f t="shared" si="290"/>
        <v>137188761</v>
      </c>
      <c r="Q340" s="50"/>
      <c r="R340" s="53"/>
    </row>
    <row r="341" spans="1:18" ht="138.75" thickTop="1" thickBot="1" x14ac:dyDescent="0.25">
      <c r="A341" s="455" t="s">
        <v>1034</v>
      </c>
      <c r="B341" s="455" t="s">
        <v>1035</v>
      </c>
      <c r="C341" s="455"/>
      <c r="D341" s="455" t="s">
        <v>1033</v>
      </c>
      <c r="E341" s="440">
        <f>E342</f>
        <v>505540</v>
      </c>
      <c r="F341" s="440">
        <f t="shared" ref="F341:P343" si="291">F342</f>
        <v>505540</v>
      </c>
      <c r="G341" s="440">
        <f t="shared" si="291"/>
        <v>0</v>
      </c>
      <c r="H341" s="440">
        <f t="shared" si="291"/>
        <v>0</v>
      </c>
      <c r="I341" s="440">
        <f t="shared" si="291"/>
        <v>0</v>
      </c>
      <c r="J341" s="440">
        <f t="shared" si="291"/>
        <v>0</v>
      </c>
      <c r="K341" s="440">
        <f t="shared" si="291"/>
        <v>0</v>
      </c>
      <c r="L341" s="440">
        <f t="shared" si="291"/>
        <v>0</v>
      </c>
      <c r="M341" s="440">
        <f t="shared" si="291"/>
        <v>0</v>
      </c>
      <c r="N341" s="440">
        <f t="shared" si="291"/>
        <v>0</v>
      </c>
      <c r="O341" s="440">
        <f t="shared" si="291"/>
        <v>0</v>
      </c>
      <c r="P341" s="440">
        <f t="shared" si="291"/>
        <v>505540</v>
      </c>
      <c r="Q341" s="50"/>
      <c r="R341" s="53"/>
    </row>
    <row r="342" spans="1:18" ht="93" thickTop="1" thickBot="1" x14ac:dyDescent="0.25">
      <c r="A342" s="808" t="s">
        <v>472</v>
      </c>
      <c r="B342" s="808" t="s">
        <v>417</v>
      </c>
      <c r="C342" s="808" t="s">
        <v>418</v>
      </c>
      <c r="D342" s="808" t="s">
        <v>419</v>
      </c>
      <c r="E342" s="816">
        <f>F342</f>
        <v>505540</v>
      </c>
      <c r="F342" s="389">
        <v>505540</v>
      </c>
      <c r="G342" s="389"/>
      <c r="H342" s="389"/>
      <c r="I342" s="389"/>
      <c r="J342" s="816">
        <f>L342+O342</f>
        <v>0</v>
      </c>
      <c r="K342" s="389"/>
      <c r="L342" s="389"/>
      <c r="M342" s="389"/>
      <c r="N342" s="389"/>
      <c r="O342" s="810">
        <f>K342</f>
        <v>0</v>
      </c>
      <c r="P342" s="816">
        <f>E342+J342</f>
        <v>505540</v>
      </c>
      <c r="Q342" s="50"/>
      <c r="R342" s="53"/>
    </row>
    <row r="343" spans="1:18" ht="138.75" thickTop="1" thickBot="1" x14ac:dyDescent="0.25">
      <c r="A343" s="455" t="s">
        <v>836</v>
      </c>
      <c r="B343" s="455" t="s">
        <v>837</v>
      </c>
      <c r="C343" s="455"/>
      <c r="D343" s="455" t="s">
        <v>838</v>
      </c>
      <c r="E343" s="440">
        <f>E344</f>
        <v>136683221</v>
      </c>
      <c r="F343" s="440">
        <f t="shared" si="291"/>
        <v>136683221</v>
      </c>
      <c r="G343" s="440">
        <f t="shared" si="291"/>
        <v>0</v>
      </c>
      <c r="H343" s="440">
        <f t="shared" si="291"/>
        <v>0</v>
      </c>
      <c r="I343" s="440">
        <f t="shared" si="291"/>
        <v>0</v>
      </c>
      <c r="J343" s="440">
        <f t="shared" si="291"/>
        <v>0</v>
      </c>
      <c r="K343" s="440">
        <f t="shared" si="291"/>
        <v>0</v>
      </c>
      <c r="L343" s="440">
        <f t="shared" si="291"/>
        <v>0</v>
      </c>
      <c r="M343" s="440">
        <f t="shared" si="291"/>
        <v>0</v>
      </c>
      <c r="N343" s="440">
        <f t="shared" si="291"/>
        <v>0</v>
      </c>
      <c r="O343" s="440">
        <f t="shared" si="291"/>
        <v>0</v>
      </c>
      <c r="P343" s="440">
        <f t="shared" si="291"/>
        <v>136683221</v>
      </c>
      <c r="Q343" s="50"/>
      <c r="R343" s="53"/>
    </row>
    <row r="344" spans="1:18" ht="93" thickTop="1" thickBot="1" x14ac:dyDescent="0.25">
      <c r="A344" s="808" t="s">
        <v>473</v>
      </c>
      <c r="B344" s="808" t="s">
        <v>296</v>
      </c>
      <c r="C344" s="808" t="s">
        <v>1490</v>
      </c>
      <c r="D344" s="808" t="s">
        <v>297</v>
      </c>
      <c r="E344" s="816">
        <f>F344</f>
        <v>136683221</v>
      </c>
      <c r="F344" s="389">
        <f>((124730000)+6953221)+5000000</f>
        <v>136683221</v>
      </c>
      <c r="G344" s="389"/>
      <c r="H344" s="389"/>
      <c r="I344" s="389"/>
      <c r="J344" s="816">
        <f>L344+O344</f>
        <v>0</v>
      </c>
      <c r="K344" s="389"/>
      <c r="L344" s="389"/>
      <c r="M344" s="389"/>
      <c r="N344" s="389"/>
      <c r="O344" s="810">
        <f>K344</f>
        <v>0</v>
      </c>
      <c r="P344" s="816">
        <f>E344+J344</f>
        <v>136683221</v>
      </c>
      <c r="Q344" s="50"/>
      <c r="R344" s="53"/>
    </row>
    <row r="345" spans="1:18" ht="93" hidden="1" thickTop="1" thickBot="1" x14ac:dyDescent="0.25">
      <c r="A345" s="805" t="s">
        <v>1138</v>
      </c>
      <c r="B345" s="805" t="s">
        <v>1139</v>
      </c>
      <c r="C345" s="805" t="s">
        <v>300</v>
      </c>
      <c r="D345" s="805" t="s">
        <v>1137</v>
      </c>
      <c r="E345" s="807">
        <f>F345</f>
        <v>0</v>
      </c>
      <c r="F345" s="168"/>
      <c r="G345" s="168"/>
      <c r="H345" s="168"/>
      <c r="I345" s="168"/>
      <c r="J345" s="807">
        <f>L345+O345</f>
        <v>0</v>
      </c>
      <c r="K345" s="168"/>
      <c r="L345" s="168"/>
      <c r="M345" s="168"/>
      <c r="N345" s="168"/>
      <c r="O345" s="801">
        <f>K345</f>
        <v>0</v>
      </c>
      <c r="P345" s="807">
        <f>E345+J345</f>
        <v>0</v>
      </c>
      <c r="Q345" s="50"/>
      <c r="R345" s="53"/>
    </row>
    <row r="346" spans="1:18" ht="136.5" thickTop="1" thickBot="1" x14ac:dyDescent="0.25">
      <c r="A346" s="387" t="s">
        <v>1221</v>
      </c>
      <c r="B346" s="387" t="s">
        <v>700</v>
      </c>
      <c r="C346" s="387"/>
      <c r="D346" s="387" t="s">
        <v>698</v>
      </c>
      <c r="E346" s="391">
        <f>E347</f>
        <v>0</v>
      </c>
      <c r="F346" s="391">
        <f t="shared" ref="F346:P346" si="292">F347</f>
        <v>0</v>
      </c>
      <c r="G346" s="391">
        <f t="shared" si="292"/>
        <v>0</v>
      </c>
      <c r="H346" s="391">
        <f t="shared" si="292"/>
        <v>0</v>
      </c>
      <c r="I346" s="391">
        <f t="shared" si="292"/>
        <v>0</v>
      </c>
      <c r="J346" s="391">
        <f t="shared" si="292"/>
        <v>39060000</v>
      </c>
      <c r="K346" s="391">
        <f t="shared" si="292"/>
        <v>39060000</v>
      </c>
      <c r="L346" s="391">
        <f t="shared" si="292"/>
        <v>0</v>
      </c>
      <c r="M346" s="391">
        <f t="shared" si="292"/>
        <v>0</v>
      </c>
      <c r="N346" s="391">
        <f t="shared" si="292"/>
        <v>0</v>
      </c>
      <c r="O346" s="391">
        <f t="shared" si="292"/>
        <v>39060000</v>
      </c>
      <c r="P346" s="391">
        <f t="shared" si="292"/>
        <v>39060000</v>
      </c>
      <c r="Q346" s="50"/>
      <c r="R346" s="53"/>
    </row>
    <row r="347" spans="1:18" ht="93" thickTop="1" thickBot="1" x14ac:dyDescent="0.25">
      <c r="A347" s="808" t="s">
        <v>1222</v>
      </c>
      <c r="B347" s="808" t="s">
        <v>202</v>
      </c>
      <c r="C347" s="808" t="s">
        <v>171</v>
      </c>
      <c r="D347" s="808" t="s">
        <v>1223</v>
      </c>
      <c r="E347" s="816">
        <f>F347</f>
        <v>0</v>
      </c>
      <c r="F347" s="389">
        <v>0</v>
      </c>
      <c r="G347" s="389"/>
      <c r="H347" s="389"/>
      <c r="I347" s="389"/>
      <c r="J347" s="816">
        <f>L347+O347</f>
        <v>39060000</v>
      </c>
      <c r="K347" s="389">
        <v>39060000</v>
      </c>
      <c r="L347" s="389"/>
      <c r="M347" s="389"/>
      <c r="N347" s="389"/>
      <c r="O347" s="810">
        <f>K347</f>
        <v>39060000</v>
      </c>
      <c r="P347" s="816">
        <f>E347+J347</f>
        <v>39060000</v>
      </c>
      <c r="Q347" s="50"/>
      <c r="R347" s="53"/>
    </row>
    <row r="348" spans="1:18" ht="47.25" thickTop="1" thickBot="1" x14ac:dyDescent="0.25">
      <c r="A348" s="385" t="s">
        <v>1268</v>
      </c>
      <c r="B348" s="385" t="s">
        <v>705</v>
      </c>
      <c r="C348" s="385"/>
      <c r="D348" s="385" t="s">
        <v>706</v>
      </c>
      <c r="E348" s="816">
        <f>E349</f>
        <v>4750000</v>
      </c>
      <c r="F348" s="816">
        <f t="shared" ref="F348:P349" si="293">F349</f>
        <v>4750000</v>
      </c>
      <c r="G348" s="816">
        <f t="shared" si="293"/>
        <v>0</v>
      </c>
      <c r="H348" s="816">
        <f t="shared" si="293"/>
        <v>0</v>
      </c>
      <c r="I348" s="816">
        <f t="shared" si="293"/>
        <v>0</v>
      </c>
      <c r="J348" s="816">
        <f t="shared" si="293"/>
        <v>0</v>
      </c>
      <c r="K348" s="816">
        <f t="shared" si="293"/>
        <v>0</v>
      </c>
      <c r="L348" s="816">
        <f t="shared" si="293"/>
        <v>0</v>
      </c>
      <c r="M348" s="816">
        <f t="shared" si="293"/>
        <v>0</v>
      </c>
      <c r="N348" s="816">
        <f t="shared" si="293"/>
        <v>0</v>
      </c>
      <c r="O348" s="816">
        <f t="shared" si="293"/>
        <v>0</v>
      </c>
      <c r="P348" s="816">
        <f t="shared" si="293"/>
        <v>4750000</v>
      </c>
      <c r="Q348" s="50"/>
      <c r="R348" s="53"/>
    </row>
    <row r="349" spans="1:18" ht="91.5" thickTop="1" thickBot="1" x14ac:dyDescent="0.25">
      <c r="A349" s="387" t="s">
        <v>1269</v>
      </c>
      <c r="B349" s="387" t="s">
        <v>1234</v>
      </c>
      <c r="C349" s="387"/>
      <c r="D349" s="387" t="s">
        <v>1232</v>
      </c>
      <c r="E349" s="391">
        <f>E350</f>
        <v>4750000</v>
      </c>
      <c r="F349" s="391">
        <f>F350</f>
        <v>4750000</v>
      </c>
      <c r="G349" s="391">
        <f t="shared" si="293"/>
        <v>0</v>
      </c>
      <c r="H349" s="391">
        <f t="shared" si="293"/>
        <v>0</v>
      </c>
      <c r="I349" s="391">
        <f t="shared" si="293"/>
        <v>0</v>
      </c>
      <c r="J349" s="391">
        <f t="shared" si="293"/>
        <v>0</v>
      </c>
      <c r="K349" s="391">
        <f t="shared" si="293"/>
        <v>0</v>
      </c>
      <c r="L349" s="391">
        <f t="shared" si="293"/>
        <v>0</v>
      </c>
      <c r="M349" s="391">
        <f t="shared" si="293"/>
        <v>0</v>
      </c>
      <c r="N349" s="391">
        <f t="shared" si="293"/>
        <v>0</v>
      </c>
      <c r="O349" s="391">
        <f t="shared" si="293"/>
        <v>0</v>
      </c>
      <c r="P349" s="391">
        <f>P350</f>
        <v>4750000</v>
      </c>
      <c r="Q349" s="50"/>
      <c r="R349" s="53"/>
    </row>
    <row r="350" spans="1:18" ht="138.75" thickTop="1" thickBot="1" x14ac:dyDescent="0.25">
      <c r="A350" s="808" t="s">
        <v>1270</v>
      </c>
      <c r="B350" s="808" t="s">
        <v>1271</v>
      </c>
      <c r="C350" s="808" t="s">
        <v>1236</v>
      </c>
      <c r="D350" s="808" t="s">
        <v>1272</v>
      </c>
      <c r="E350" s="816">
        <f>F350</f>
        <v>4750000</v>
      </c>
      <c r="F350" s="389">
        <f>(1800000)+2950000</f>
        <v>4750000</v>
      </c>
      <c r="G350" s="389"/>
      <c r="H350" s="389"/>
      <c r="I350" s="389"/>
      <c r="J350" s="816">
        <f>L350+O350</f>
        <v>0</v>
      </c>
      <c r="K350" s="389"/>
      <c r="L350" s="389"/>
      <c r="M350" s="389"/>
      <c r="N350" s="389"/>
      <c r="O350" s="810">
        <f>K350</f>
        <v>0</v>
      </c>
      <c r="P350" s="816">
        <f>E350+J350</f>
        <v>4750000</v>
      </c>
      <c r="Q350" s="50"/>
      <c r="R350" s="53"/>
    </row>
    <row r="351" spans="1:18" ht="47.25" thickTop="1" thickBot="1" x14ac:dyDescent="0.25">
      <c r="A351" s="385" t="s">
        <v>1452</v>
      </c>
      <c r="B351" s="385" t="s">
        <v>711</v>
      </c>
      <c r="C351" s="385"/>
      <c r="D351" s="385" t="s">
        <v>712</v>
      </c>
      <c r="E351" s="816">
        <f t="shared" ref="E351:P351" si="294">E352</f>
        <v>120000</v>
      </c>
      <c r="F351" s="816">
        <f t="shared" si="294"/>
        <v>120000</v>
      </c>
      <c r="G351" s="816">
        <f t="shared" si="294"/>
        <v>0</v>
      </c>
      <c r="H351" s="816">
        <f t="shared" si="294"/>
        <v>0</v>
      </c>
      <c r="I351" s="816">
        <f t="shared" si="294"/>
        <v>0</v>
      </c>
      <c r="J351" s="816">
        <f t="shared" si="294"/>
        <v>0</v>
      </c>
      <c r="K351" s="816">
        <f t="shared" si="294"/>
        <v>0</v>
      </c>
      <c r="L351" s="816">
        <f t="shared" si="294"/>
        <v>0</v>
      </c>
      <c r="M351" s="816">
        <f t="shared" si="294"/>
        <v>0</v>
      </c>
      <c r="N351" s="816">
        <f t="shared" si="294"/>
        <v>0</v>
      </c>
      <c r="O351" s="816">
        <f t="shared" si="294"/>
        <v>0</v>
      </c>
      <c r="P351" s="816">
        <f t="shared" si="294"/>
        <v>120000</v>
      </c>
      <c r="Q351" s="50"/>
      <c r="R351" s="53"/>
    </row>
    <row r="352" spans="1:18" ht="271.5" thickTop="1" thickBot="1" x14ac:dyDescent="0.25">
      <c r="A352" s="387" t="s">
        <v>1453</v>
      </c>
      <c r="B352" s="387" t="s">
        <v>519</v>
      </c>
      <c r="C352" s="387" t="s">
        <v>43</v>
      </c>
      <c r="D352" s="387" t="s">
        <v>520</v>
      </c>
      <c r="E352" s="391">
        <f t="shared" ref="E352" si="295">F352</f>
        <v>120000</v>
      </c>
      <c r="F352" s="391">
        <v>120000</v>
      </c>
      <c r="G352" s="391"/>
      <c r="H352" s="391"/>
      <c r="I352" s="391"/>
      <c r="J352" s="391">
        <f>L352+O352</f>
        <v>0</v>
      </c>
      <c r="K352" s="389"/>
      <c r="L352" s="391"/>
      <c r="M352" s="391"/>
      <c r="N352" s="391"/>
      <c r="O352" s="391">
        <f>(K352+0)</f>
        <v>0</v>
      </c>
      <c r="P352" s="391">
        <f>E352+J352</f>
        <v>120000</v>
      </c>
      <c r="Q352" s="50"/>
      <c r="R352" s="53"/>
    </row>
    <row r="353" spans="1:18" ht="136.5" thickTop="1" thickBot="1" x14ac:dyDescent="0.25">
      <c r="A353" s="460" t="s">
        <v>167</v>
      </c>
      <c r="B353" s="460"/>
      <c r="C353" s="460"/>
      <c r="D353" s="461" t="s">
        <v>359</v>
      </c>
      <c r="E353" s="463">
        <f>E354</f>
        <v>8193238</v>
      </c>
      <c r="F353" s="462">
        <f t="shared" ref="F353:G353" si="296">F354</f>
        <v>8193238</v>
      </c>
      <c r="G353" s="462">
        <f t="shared" si="296"/>
        <v>0</v>
      </c>
      <c r="H353" s="462">
        <f>H354</f>
        <v>0</v>
      </c>
      <c r="I353" s="462">
        <f t="shared" ref="I353" si="297">I354</f>
        <v>0</v>
      </c>
      <c r="J353" s="463">
        <f>J354</f>
        <v>502732</v>
      </c>
      <c r="K353" s="462">
        <f>K354</f>
        <v>502732</v>
      </c>
      <c r="L353" s="462">
        <f>L354</f>
        <v>0</v>
      </c>
      <c r="M353" s="462">
        <f t="shared" ref="M353" si="298">M354</f>
        <v>0</v>
      </c>
      <c r="N353" s="462">
        <f>N354</f>
        <v>0</v>
      </c>
      <c r="O353" s="463">
        <f>O354</f>
        <v>502732</v>
      </c>
      <c r="P353" s="462">
        <f t="shared" ref="P353" si="299">P354</f>
        <v>8695970</v>
      </c>
      <c r="Q353" s="22"/>
    </row>
    <row r="354" spans="1:18" ht="136.5" thickTop="1" thickBot="1" x14ac:dyDescent="0.25">
      <c r="A354" s="464" t="s">
        <v>168</v>
      </c>
      <c r="B354" s="464"/>
      <c r="C354" s="464"/>
      <c r="D354" s="465" t="s">
        <v>360</v>
      </c>
      <c r="E354" s="466">
        <f>E357+E369+E366+E355</f>
        <v>8193238</v>
      </c>
      <c r="F354" s="466">
        <f>F357+F369+F366+F355</f>
        <v>8193238</v>
      </c>
      <c r="G354" s="466">
        <f>G357+G369+G366+G355</f>
        <v>0</v>
      </c>
      <c r="H354" s="466">
        <f>H357+H369+H366+H355</f>
        <v>0</v>
      </c>
      <c r="I354" s="466">
        <f>I357+I369+I366+I355</f>
        <v>0</v>
      </c>
      <c r="J354" s="466">
        <f>L354+O354</f>
        <v>502732</v>
      </c>
      <c r="K354" s="466">
        <f>K357+K369+K366+K355</f>
        <v>502732</v>
      </c>
      <c r="L354" s="466">
        <f>L357+L369+L366+L355</f>
        <v>0</v>
      </c>
      <c r="M354" s="466">
        <f>M357+M369+M366+M355</f>
        <v>0</v>
      </c>
      <c r="N354" s="466">
        <f>N357+N369+N366+N355</f>
        <v>0</v>
      </c>
      <c r="O354" s="466">
        <f>O357+O369+O366+O355</f>
        <v>502732</v>
      </c>
      <c r="P354" s="466">
        <f>E354+J354</f>
        <v>8695970</v>
      </c>
      <c r="Q354" s="392" t="b">
        <f>P354=P359+P361+P362+P363+P356+P365+P368</f>
        <v>1</v>
      </c>
      <c r="R354" s="798"/>
    </row>
    <row r="355" spans="1:18" ht="91.5" thickTop="1" thickBot="1" x14ac:dyDescent="0.25">
      <c r="A355" s="385" t="s">
        <v>1409</v>
      </c>
      <c r="B355" s="385" t="s">
        <v>720</v>
      </c>
      <c r="C355" s="385"/>
      <c r="D355" s="385" t="s">
        <v>721</v>
      </c>
      <c r="E355" s="816">
        <f t="shared" ref="E355:P355" si="300">SUM(E356:E356)</f>
        <v>794919</v>
      </c>
      <c r="F355" s="816">
        <f t="shared" si="300"/>
        <v>794919</v>
      </c>
      <c r="G355" s="816">
        <f t="shared" si="300"/>
        <v>0</v>
      </c>
      <c r="H355" s="816">
        <f t="shared" si="300"/>
        <v>0</v>
      </c>
      <c r="I355" s="816">
        <f t="shared" si="300"/>
        <v>0</v>
      </c>
      <c r="J355" s="816">
        <f t="shared" si="300"/>
        <v>156881</v>
      </c>
      <c r="K355" s="816">
        <f t="shared" si="300"/>
        <v>156881</v>
      </c>
      <c r="L355" s="816">
        <f t="shared" si="300"/>
        <v>0</v>
      </c>
      <c r="M355" s="816">
        <f t="shared" si="300"/>
        <v>0</v>
      </c>
      <c r="N355" s="816">
        <f t="shared" si="300"/>
        <v>0</v>
      </c>
      <c r="O355" s="816">
        <f t="shared" si="300"/>
        <v>156881</v>
      </c>
      <c r="P355" s="816">
        <f t="shared" si="300"/>
        <v>951800</v>
      </c>
      <c r="Q355" s="392"/>
      <c r="R355" s="798"/>
    </row>
    <row r="356" spans="1:18" ht="230.25" thickTop="1" thickBot="1" x14ac:dyDescent="0.25">
      <c r="A356" s="808" t="s">
        <v>1410</v>
      </c>
      <c r="B356" s="808" t="s">
        <v>1249</v>
      </c>
      <c r="C356" s="808" t="s">
        <v>211</v>
      </c>
      <c r="D356" s="470" t="s">
        <v>1250</v>
      </c>
      <c r="E356" s="816">
        <f t="shared" ref="E356" si="301">F356</f>
        <v>794919</v>
      </c>
      <c r="F356" s="389">
        <f>563860+231059</f>
        <v>794919</v>
      </c>
      <c r="G356" s="389"/>
      <c r="H356" s="389"/>
      <c r="I356" s="389"/>
      <c r="J356" s="816">
        <f>L356+O356</f>
        <v>156881</v>
      </c>
      <c r="K356" s="389">
        <v>156881</v>
      </c>
      <c r="L356" s="389"/>
      <c r="M356" s="389"/>
      <c r="N356" s="389"/>
      <c r="O356" s="810">
        <f>K356</f>
        <v>156881</v>
      </c>
      <c r="P356" s="816">
        <f>E356+J356</f>
        <v>951800</v>
      </c>
      <c r="Q356" s="392"/>
      <c r="R356" s="798"/>
    </row>
    <row r="357" spans="1:18" ht="44.25" customHeight="1" thickTop="1" thickBot="1" x14ac:dyDescent="0.25">
      <c r="A357" s="385" t="s">
        <v>839</v>
      </c>
      <c r="B357" s="385" t="s">
        <v>757</v>
      </c>
      <c r="C357" s="808"/>
      <c r="D357" s="385" t="s">
        <v>804</v>
      </c>
      <c r="E357" s="541">
        <f t="shared" ref="E357:P357" si="302">E360+E358</f>
        <v>7212254</v>
      </c>
      <c r="F357" s="541">
        <f t="shared" si="302"/>
        <v>7212254</v>
      </c>
      <c r="G357" s="541">
        <f t="shared" si="302"/>
        <v>0</v>
      </c>
      <c r="H357" s="541">
        <f t="shared" si="302"/>
        <v>0</v>
      </c>
      <c r="I357" s="541">
        <f t="shared" si="302"/>
        <v>0</v>
      </c>
      <c r="J357" s="541">
        <f t="shared" si="302"/>
        <v>195396</v>
      </c>
      <c r="K357" s="541">
        <f t="shared" si="302"/>
        <v>195396</v>
      </c>
      <c r="L357" s="541">
        <f t="shared" si="302"/>
        <v>0</v>
      </c>
      <c r="M357" s="541">
        <f t="shared" si="302"/>
        <v>0</v>
      </c>
      <c r="N357" s="541">
        <f t="shared" si="302"/>
        <v>0</v>
      </c>
      <c r="O357" s="541">
        <f t="shared" si="302"/>
        <v>195396</v>
      </c>
      <c r="P357" s="541">
        <f t="shared" si="302"/>
        <v>7407650</v>
      </c>
      <c r="Q357" s="50"/>
      <c r="R357" s="798"/>
    </row>
    <row r="358" spans="1:18" s="37" customFormat="1" ht="91.5" thickTop="1" thickBot="1" x14ac:dyDescent="0.25">
      <c r="A358" s="387" t="s">
        <v>1031</v>
      </c>
      <c r="B358" s="387" t="s">
        <v>813</v>
      </c>
      <c r="C358" s="387"/>
      <c r="D358" s="387" t="s">
        <v>814</v>
      </c>
      <c r="E358" s="601">
        <f>E359</f>
        <v>50000</v>
      </c>
      <c r="F358" s="601">
        <f>F359</f>
        <v>50000</v>
      </c>
      <c r="G358" s="601">
        <f t="shared" ref="G358:O358" si="303">G359</f>
        <v>0</v>
      </c>
      <c r="H358" s="601">
        <f t="shared" si="303"/>
        <v>0</v>
      </c>
      <c r="I358" s="601">
        <f t="shared" si="303"/>
        <v>0</v>
      </c>
      <c r="J358" s="601">
        <f t="shared" si="303"/>
        <v>0</v>
      </c>
      <c r="K358" s="601">
        <f t="shared" si="303"/>
        <v>0</v>
      </c>
      <c r="L358" s="601">
        <f t="shared" si="303"/>
        <v>0</v>
      </c>
      <c r="M358" s="601">
        <f t="shared" si="303"/>
        <v>0</v>
      </c>
      <c r="N358" s="601">
        <f t="shared" si="303"/>
        <v>0</v>
      </c>
      <c r="O358" s="601">
        <f t="shared" si="303"/>
        <v>0</v>
      </c>
      <c r="P358" s="601">
        <f>P359</f>
        <v>50000</v>
      </c>
      <c r="Q358" s="48"/>
      <c r="R358" s="798"/>
    </row>
    <row r="359" spans="1:18" s="37" customFormat="1" ht="138.75" thickTop="1" thickBot="1" x14ac:dyDescent="0.25">
      <c r="A359" s="808" t="s">
        <v>1032</v>
      </c>
      <c r="B359" s="808" t="s">
        <v>355</v>
      </c>
      <c r="C359" s="808" t="s">
        <v>171</v>
      </c>
      <c r="D359" s="808" t="s">
        <v>267</v>
      </c>
      <c r="E359" s="816">
        <f t="shared" ref="E359" si="304">F359</f>
        <v>50000</v>
      </c>
      <c r="F359" s="389">
        <v>50000</v>
      </c>
      <c r="G359" s="389"/>
      <c r="H359" s="389"/>
      <c r="I359" s="389"/>
      <c r="J359" s="816">
        <f t="shared" ref="J359" si="305">L359+O359</f>
        <v>0</v>
      </c>
      <c r="K359" s="389"/>
      <c r="L359" s="389"/>
      <c r="M359" s="389"/>
      <c r="N359" s="389"/>
      <c r="O359" s="810">
        <f>K359</f>
        <v>0</v>
      </c>
      <c r="P359" s="816">
        <f t="shared" ref="P359" si="306">E359+J359</f>
        <v>50000</v>
      </c>
      <c r="Q359" s="48"/>
      <c r="R359" s="798"/>
    </row>
    <row r="360" spans="1:18" ht="136.5" thickTop="1" thickBot="1" x14ac:dyDescent="0.25">
      <c r="A360" s="387" t="s">
        <v>840</v>
      </c>
      <c r="B360" s="387" t="s">
        <v>700</v>
      </c>
      <c r="C360" s="387"/>
      <c r="D360" s="387" t="s">
        <v>698</v>
      </c>
      <c r="E360" s="601">
        <f>SUM(E361:E365)-E364</f>
        <v>7162254</v>
      </c>
      <c r="F360" s="601">
        <f t="shared" ref="F360:P360" si="307">SUM(F361:F365)-F364</f>
        <v>7162254</v>
      </c>
      <c r="G360" s="601">
        <f t="shared" si="307"/>
        <v>0</v>
      </c>
      <c r="H360" s="601">
        <f t="shared" si="307"/>
        <v>0</v>
      </c>
      <c r="I360" s="601">
        <f t="shared" si="307"/>
        <v>0</v>
      </c>
      <c r="J360" s="601">
        <f>SUM(J361:J365)-J364</f>
        <v>195396</v>
      </c>
      <c r="K360" s="601">
        <f t="shared" si="307"/>
        <v>195396</v>
      </c>
      <c r="L360" s="601">
        <f t="shared" si="307"/>
        <v>0</v>
      </c>
      <c r="M360" s="601">
        <f t="shared" si="307"/>
        <v>0</v>
      </c>
      <c r="N360" s="601">
        <f t="shared" si="307"/>
        <v>0</v>
      </c>
      <c r="O360" s="601">
        <f t="shared" si="307"/>
        <v>195396</v>
      </c>
      <c r="P360" s="601">
        <f t="shared" si="307"/>
        <v>7357650</v>
      </c>
      <c r="Q360" s="50"/>
      <c r="R360" s="798"/>
    </row>
    <row r="361" spans="1:18" ht="93" thickTop="1" thickBot="1" x14ac:dyDescent="0.25">
      <c r="A361" s="808" t="s">
        <v>265</v>
      </c>
      <c r="B361" s="808" t="s">
        <v>266</v>
      </c>
      <c r="C361" s="808" t="s">
        <v>264</v>
      </c>
      <c r="D361" s="808" t="s">
        <v>263</v>
      </c>
      <c r="E361" s="816">
        <f t="shared" ref="E361:E365" si="308">F361</f>
        <v>6205000</v>
      </c>
      <c r="F361" s="389">
        <f>((2555000)+3000000)+650000</f>
        <v>6205000</v>
      </c>
      <c r="G361" s="389"/>
      <c r="H361" s="389"/>
      <c r="I361" s="389"/>
      <c r="J361" s="816">
        <f t="shared" ref="J361:J365" si="309">L361+O361</f>
        <v>0</v>
      </c>
      <c r="K361" s="389"/>
      <c r="L361" s="389"/>
      <c r="M361" s="389"/>
      <c r="N361" s="389"/>
      <c r="O361" s="810">
        <f>K361</f>
        <v>0</v>
      </c>
      <c r="P361" s="816">
        <f t="shared" ref="P361:P365" si="310">E361+J361</f>
        <v>6205000</v>
      </c>
      <c r="Q361" s="22"/>
      <c r="R361" s="798"/>
    </row>
    <row r="362" spans="1:18" ht="138.75" thickTop="1" thickBot="1" x14ac:dyDescent="0.25">
      <c r="A362" s="808" t="s">
        <v>257</v>
      </c>
      <c r="B362" s="808" t="s">
        <v>259</v>
      </c>
      <c r="C362" s="808" t="s">
        <v>218</v>
      </c>
      <c r="D362" s="808" t="s">
        <v>258</v>
      </c>
      <c r="E362" s="816">
        <f t="shared" si="308"/>
        <v>615000</v>
      </c>
      <c r="F362" s="389">
        <v>615000</v>
      </c>
      <c r="G362" s="389"/>
      <c r="H362" s="389"/>
      <c r="I362" s="389"/>
      <c r="J362" s="816">
        <f t="shared" si="309"/>
        <v>0</v>
      </c>
      <c r="K362" s="389"/>
      <c r="L362" s="389"/>
      <c r="M362" s="389"/>
      <c r="N362" s="389"/>
      <c r="O362" s="810">
        <f>K362</f>
        <v>0</v>
      </c>
      <c r="P362" s="816">
        <f t="shared" si="310"/>
        <v>615000</v>
      </c>
      <c r="Q362" s="22"/>
      <c r="R362" s="798"/>
    </row>
    <row r="363" spans="1:18" ht="48" thickTop="1" thickBot="1" x14ac:dyDescent="0.25">
      <c r="A363" s="808" t="s">
        <v>1404</v>
      </c>
      <c r="B363" s="808" t="s">
        <v>217</v>
      </c>
      <c r="C363" s="808" t="s">
        <v>218</v>
      </c>
      <c r="D363" s="808" t="s">
        <v>41</v>
      </c>
      <c r="E363" s="816">
        <f t="shared" si="308"/>
        <v>42254</v>
      </c>
      <c r="F363" s="389">
        <f>12504+29750</f>
        <v>42254</v>
      </c>
      <c r="G363" s="389"/>
      <c r="H363" s="389"/>
      <c r="I363" s="389"/>
      <c r="J363" s="816">
        <f t="shared" si="309"/>
        <v>195396</v>
      </c>
      <c r="K363" s="389">
        <v>195396</v>
      </c>
      <c r="L363" s="389"/>
      <c r="M363" s="389"/>
      <c r="N363" s="389"/>
      <c r="O363" s="810">
        <f>K363</f>
        <v>195396</v>
      </c>
      <c r="P363" s="816">
        <f t="shared" si="310"/>
        <v>237650</v>
      </c>
      <c r="Q363" s="22"/>
      <c r="R363" s="798"/>
    </row>
    <row r="364" spans="1:18" ht="48" thickTop="1" thickBot="1" x14ac:dyDescent="0.25">
      <c r="A364" s="455" t="s">
        <v>841</v>
      </c>
      <c r="B364" s="455" t="s">
        <v>703</v>
      </c>
      <c r="C364" s="455"/>
      <c r="D364" s="455" t="s">
        <v>701</v>
      </c>
      <c r="E364" s="440">
        <f>E365</f>
        <v>300000</v>
      </c>
      <c r="F364" s="440">
        <f t="shared" ref="F364:P364" si="311">F365</f>
        <v>300000</v>
      </c>
      <c r="G364" s="440">
        <f t="shared" si="311"/>
        <v>0</v>
      </c>
      <c r="H364" s="440">
        <f t="shared" si="311"/>
        <v>0</v>
      </c>
      <c r="I364" s="440">
        <f t="shared" si="311"/>
        <v>0</v>
      </c>
      <c r="J364" s="440">
        <f t="shared" si="311"/>
        <v>0</v>
      </c>
      <c r="K364" s="440">
        <f t="shared" si="311"/>
        <v>0</v>
      </c>
      <c r="L364" s="440">
        <f t="shared" si="311"/>
        <v>0</v>
      </c>
      <c r="M364" s="440">
        <f t="shared" si="311"/>
        <v>0</v>
      </c>
      <c r="N364" s="440">
        <f t="shared" si="311"/>
        <v>0</v>
      </c>
      <c r="O364" s="440">
        <f t="shared" si="311"/>
        <v>0</v>
      </c>
      <c r="P364" s="440">
        <f t="shared" si="311"/>
        <v>300000</v>
      </c>
      <c r="Q364" s="22"/>
      <c r="R364" s="798"/>
    </row>
    <row r="365" spans="1:18" ht="93" thickTop="1" thickBot="1" x14ac:dyDescent="0.25">
      <c r="A365" s="808" t="s">
        <v>261</v>
      </c>
      <c r="B365" s="808" t="s">
        <v>262</v>
      </c>
      <c r="C365" s="808" t="s">
        <v>171</v>
      </c>
      <c r="D365" s="808" t="s">
        <v>260</v>
      </c>
      <c r="E365" s="816">
        <f t="shared" si="308"/>
        <v>300000</v>
      </c>
      <c r="F365" s="389">
        <v>300000</v>
      </c>
      <c r="G365" s="389"/>
      <c r="H365" s="389"/>
      <c r="I365" s="389"/>
      <c r="J365" s="816">
        <f t="shared" si="309"/>
        <v>0</v>
      </c>
      <c r="K365" s="389"/>
      <c r="L365" s="389"/>
      <c r="M365" s="389"/>
      <c r="N365" s="389"/>
      <c r="O365" s="810">
        <f>K365</f>
        <v>0</v>
      </c>
      <c r="P365" s="816">
        <f t="shared" si="310"/>
        <v>300000</v>
      </c>
      <c r="Q365" s="22"/>
      <c r="R365" s="798"/>
    </row>
    <row r="366" spans="1:18" ht="47.25" thickTop="1" thickBot="1" x14ac:dyDescent="0.25">
      <c r="A366" s="385" t="s">
        <v>1406</v>
      </c>
      <c r="B366" s="385" t="s">
        <v>705</v>
      </c>
      <c r="C366" s="385"/>
      <c r="D366" s="385" t="s">
        <v>706</v>
      </c>
      <c r="E366" s="816">
        <f t="shared" ref="E366:P367" si="312">E367</f>
        <v>186065</v>
      </c>
      <c r="F366" s="816">
        <f t="shared" si="312"/>
        <v>186065</v>
      </c>
      <c r="G366" s="816">
        <f t="shared" si="312"/>
        <v>0</v>
      </c>
      <c r="H366" s="816">
        <f t="shared" si="312"/>
        <v>0</v>
      </c>
      <c r="I366" s="816">
        <f t="shared" si="312"/>
        <v>0</v>
      </c>
      <c r="J366" s="816">
        <f t="shared" si="312"/>
        <v>150455</v>
      </c>
      <c r="K366" s="816">
        <f t="shared" si="312"/>
        <v>150455</v>
      </c>
      <c r="L366" s="816">
        <f t="shared" si="312"/>
        <v>0</v>
      </c>
      <c r="M366" s="816">
        <f t="shared" si="312"/>
        <v>0</v>
      </c>
      <c r="N366" s="816">
        <f t="shared" si="312"/>
        <v>0</v>
      </c>
      <c r="O366" s="816">
        <f t="shared" si="312"/>
        <v>150455</v>
      </c>
      <c r="P366" s="816">
        <f t="shared" si="312"/>
        <v>336520</v>
      </c>
      <c r="Q366" s="22"/>
      <c r="R366" s="798"/>
    </row>
    <row r="367" spans="1:18" ht="91.5" thickTop="1" thickBot="1" x14ac:dyDescent="0.25">
      <c r="A367" s="387" t="s">
        <v>1407</v>
      </c>
      <c r="B367" s="387" t="s">
        <v>1234</v>
      </c>
      <c r="C367" s="387"/>
      <c r="D367" s="387" t="s">
        <v>1232</v>
      </c>
      <c r="E367" s="391">
        <f t="shared" si="312"/>
        <v>186065</v>
      </c>
      <c r="F367" s="391">
        <f t="shared" si="312"/>
        <v>186065</v>
      </c>
      <c r="G367" s="391">
        <f t="shared" si="312"/>
        <v>0</v>
      </c>
      <c r="H367" s="391">
        <f t="shared" si="312"/>
        <v>0</v>
      </c>
      <c r="I367" s="391">
        <f t="shared" si="312"/>
        <v>0</v>
      </c>
      <c r="J367" s="391">
        <f t="shared" si="312"/>
        <v>150455</v>
      </c>
      <c r="K367" s="391">
        <f t="shared" si="312"/>
        <v>150455</v>
      </c>
      <c r="L367" s="391">
        <f t="shared" si="312"/>
        <v>0</v>
      </c>
      <c r="M367" s="391">
        <f t="shared" si="312"/>
        <v>0</v>
      </c>
      <c r="N367" s="391">
        <f t="shared" si="312"/>
        <v>0</v>
      </c>
      <c r="O367" s="391">
        <f t="shared" si="312"/>
        <v>150455</v>
      </c>
      <c r="P367" s="391">
        <f t="shared" si="312"/>
        <v>336520</v>
      </c>
      <c r="Q367" s="22"/>
      <c r="R367" s="798"/>
    </row>
    <row r="368" spans="1:18" ht="93" thickTop="1" thickBot="1" x14ac:dyDescent="0.25">
      <c r="A368" s="808" t="s">
        <v>1408</v>
      </c>
      <c r="B368" s="808" t="s">
        <v>1238</v>
      </c>
      <c r="C368" s="808" t="s">
        <v>1236</v>
      </c>
      <c r="D368" s="808" t="s">
        <v>1235</v>
      </c>
      <c r="E368" s="816">
        <f>F368</f>
        <v>186065</v>
      </c>
      <c r="F368" s="389">
        <f>166065+20000</f>
        <v>186065</v>
      </c>
      <c r="G368" s="389"/>
      <c r="H368" s="389"/>
      <c r="I368" s="389"/>
      <c r="J368" s="816">
        <f>L368+O368</f>
        <v>150455</v>
      </c>
      <c r="K368" s="389">
        <v>150455</v>
      </c>
      <c r="L368" s="389"/>
      <c r="M368" s="389"/>
      <c r="N368" s="389"/>
      <c r="O368" s="810">
        <f>K368</f>
        <v>150455</v>
      </c>
      <c r="P368" s="816">
        <f>E368+J368</f>
        <v>336520</v>
      </c>
      <c r="Q368" s="22"/>
      <c r="R368" s="798"/>
    </row>
    <row r="369" spans="1:18" ht="47.25" hidden="1" thickTop="1" thickBot="1" x14ac:dyDescent="0.25">
      <c r="A369" s="180" t="s">
        <v>919</v>
      </c>
      <c r="B369" s="180" t="s">
        <v>711</v>
      </c>
      <c r="C369" s="180"/>
      <c r="D369" s="180" t="s">
        <v>712</v>
      </c>
      <c r="E369" s="804">
        <f>E370</f>
        <v>0</v>
      </c>
      <c r="F369" s="804">
        <f t="shared" ref="F369:P370" si="313">F370</f>
        <v>0</v>
      </c>
      <c r="G369" s="804">
        <f t="shared" si="313"/>
        <v>0</v>
      </c>
      <c r="H369" s="804">
        <f t="shared" si="313"/>
        <v>0</v>
      </c>
      <c r="I369" s="804">
        <f t="shared" si="313"/>
        <v>0</v>
      </c>
      <c r="J369" s="804">
        <f t="shared" si="313"/>
        <v>0</v>
      </c>
      <c r="K369" s="804">
        <f t="shared" si="313"/>
        <v>0</v>
      </c>
      <c r="L369" s="804">
        <f t="shared" si="313"/>
        <v>0</v>
      </c>
      <c r="M369" s="804">
        <f t="shared" si="313"/>
        <v>0</v>
      </c>
      <c r="N369" s="804">
        <f t="shared" si="313"/>
        <v>0</v>
      </c>
      <c r="O369" s="804">
        <f t="shared" si="313"/>
        <v>0</v>
      </c>
      <c r="P369" s="804">
        <f t="shared" si="313"/>
        <v>0</v>
      </c>
      <c r="Q369" s="22"/>
      <c r="R369" s="798"/>
    </row>
    <row r="370" spans="1:18" ht="271.5" hidden="1" thickTop="1" thickBot="1" x14ac:dyDescent="0.25">
      <c r="A370" s="181" t="s">
        <v>920</v>
      </c>
      <c r="B370" s="181" t="s">
        <v>714</v>
      </c>
      <c r="C370" s="181"/>
      <c r="D370" s="181" t="s">
        <v>715</v>
      </c>
      <c r="E370" s="182">
        <f>E371</f>
        <v>0</v>
      </c>
      <c r="F370" s="182">
        <f t="shared" si="313"/>
        <v>0</v>
      </c>
      <c r="G370" s="182">
        <f t="shared" si="313"/>
        <v>0</v>
      </c>
      <c r="H370" s="182">
        <f t="shared" si="313"/>
        <v>0</v>
      </c>
      <c r="I370" s="182">
        <f t="shared" si="313"/>
        <v>0</v>
      </c>
      <c r="J370" s="182">
        <f t="shared" si="313"/>
        <v>0</v>
      </c>
      <c r="K370" s="182">
        <f t="shared" si="313"/>
        <v>0</v>
      </c>
      <c r="L370" s="182">
        <f t="shared" si="313"/>
        <v>0</v>
      </c>
      <c r="M370" s="182">
        <f t="shared" si="313"/>
        <v>0</v>
      </c>
      <c r="N370" s="182">
        <f t="shared" si="313"/>
        <v>0</v>
      </c>
      <c r="O370" s="182">
        <f t="shared" si="313"/>
        <v>0</v>
      </c>
      <c r="P370" s="182">
        <f t="shared" si="313"/>
        <v>0</v>
      </c>
      <c r="Q370" s="22"/>
      <c r="R370" s="798"/>
    </row>
    <row r="371" spans="1:18" ht="93" hidden="1" thickTop="1" thickBot="1" x14ac:dyDescent="0.25">
      <c r="A371" s="803" t="s">
        <v>921</v>
      </c>
      <c r="B371" s="803" t="s">
        <v>368</v>
      </c>
      <c r="C371" s="803" t="s">
        <v>43</v>
      </c>
      <c r="D371" s="803" t="s">
        <v>369</v>
      </c>
      <c r="E371" s="804">
        <f t="shared" ref="E371" si="314">F371</f>
        <v>0</v>
      </c>
      <c r="F371" s="46">
        <v>0</v>
      </c>
      <c r="G371" s="46"/>
      <c r="H371" s="46"/>
      <c r="I371" s="46"/>
      <c r="J371" s="804">
        <f>L371+O371</f>
        <v>0</v>
      </c>
      <c r="K371" s="46">
        <v>0</v>
      </c>
      <c r="L371" s="46"/>
      <c r="M371" s="46"/>
      <c r="N371" s="46"/>
      <c r="O371" s="806">
        <f>K371</f>
        <v>0</v>
      </c>
      <c r="P371" s="804">
        <f>E371+J371</f>
        <v>0</v>
      </c>
      <c r="Q371" s="22"/>
      <c r="R371" s="798"/>
    </row>
    <row r="372" spans="1:18" ht="226.5" thickTop="1" thickBot="1" x14ac:dyDescent="0.25">
      <c r="A372" s="460" t="s">
        <v>165</v>
      </c>
      <c r="B372" s="460"/>
      <c r="C372" s="460"/>
      <c r="D372" s="461" t="s">
        <v>898</v>
      </c>
      <c r="E372" s="463">
        <f>E373</f>
        <v>7407294</v>
      </c>
      <c r="F372" s="462">
        <f t="shared" ref="F372:G372" si="315">F373</f>
        <v>7407294</v>
      </c>
      <c r="G372" s="462">
        <f t="shared" si="315"/>
        <v>5498880</v>
      </c>
      <c r="H372" s="462">
        <f>H373</f>
        <v>229363</v>
      </c>
      <c r="I372" s="462">
        <f t="shared" ref="I372" si="316">I373</f>
        <v>0</v>
      </c>
      <c r="J372" s="463">
        <f>J373</f>
        <v>4109303</v>
      </c>
      <c r="K372" s="462">
        <f>K373</f>
        <v>152869</v>
      </c>
      <c r="L372" s="462">
        <f>L373</f>
        <v>1380434</v>
      </c>
      <c r="M372" s="462">
        <f t="shared" ref="M372" si="317">M373</f>
        <v>0</v>
      </c>
      <c r="N372" s="462">
        <f>N373</f>
        <v>0</v>
      </c>
      <c r="O372" s="463">
        <f>O373</f>
        <v>2728869</v>
      </c>
      <c r="P372" s="462">
        <f t="shared" ref="P372" si="318">P373</f>
        <v>11516597</v>
      </c>
      <c r="Q372" s="22"/>
    </row>
    <row r="373" spans="1:18" ht="226.5" thickTop="1" thickBot="1" x14ac:dyDescent="0.25">
      <c r="A373" s="464" t="s">
        <v>166</v>
      </c>
      <c r="B373" s="464"/>
      <c r="C373" s="464"/>
      <c r="D373" s="465" t="s">
        <v>897</v>
      </c>
      <c r="E373" s="466">
        <f>E374+E377+E380</f>
        <v>7407294</v>
      </c>
      <c r="F373" s="466">
        <f t="shared" ref="F373:P373" si="319">F374+F377+F380</f>
        <v>7407294</v>
      </c>
      <c r="G373" s="466">
        <f>G374+G377+G380</f>
        <v>5498880</v>
      </c>
      <c r="H373" s="466">
        <f t="shared" si="319"/>
        <v>229363</v>
      </c>
      <c r="I373" s="466">
        <f t="shared" si="319"/>
        <v>0</v>
      </c>
      <c r="J373" s="466">
        <f>J374+J377+J380</f>
        <v>4109303</v>
      </c>
      <c r="K373" s="466">
        <f t="shared" si="319"/>
        <v>152869</v>
      </c>
      <c r="L373" s="466">
        <f>L374+L377+L380</f>
        <v>1380434</v>
      </c>
      <c r="M373" s="466">
        <f t="shared" si="319"/>
        <v>0</v>
      </c>
      <c r="N373" s="466">
        <f t="shared" si="319"/>
        <v>0</v>
      </c>
      <c r="O373" s="466">
        <f t="shared" si="319"/>
        <v>2728869</v>
      </c>
      <c r="P373" s="466">
        <f t="shared" si="319"/>
        <v>11516597</v>
      </c>
      <c r="Q373" s="392" t="b">
        <f>P373=P375+P379+P381</f>
        <v>1</v>
      </c>
      <c r="R373" s="798"/>
    </row>
    <row r="374" spans="1:18" ht="47.25" thickTop="1" thickBot="1" x14ac:dyDescent="0.25">
      <c r="A374" s="385" t="s">
        <v>842</v>
      </c>
      <c r="B374" s="385" t="s">
        <v>693</v>
      </c>
      <c r="C374" s="385"/>
      <c r="D374" s="385" t="s">
        <v>694</v>
      </c>
      <c r="E374" s="816">
        <f>SUM(E375:E376)</f>
        <v>7371163</v>
      </c>
      <c r="F374" s="816">
        <f t="shared" ref="F374:N374" si="320">SUM(F375:F376)</f>
        <v>7371163</v>
      </c>
      <c r="G374" s="816">
        <f t="shared" si="320"/>
        <v>5498880</v>
      </c>
      <c r="H374" s="816">
        <f t="shared" si="320"/>
        <v>229363</v>
      </c>
      <c r="I374" s="816">
        <f t="shared" si="320"/>
        <v>0</v>
      </c>
      <c r="J374" s="816">
        <f t="shared" si="320"/>
        <v>0</v>
      </c>
      <c r="K374" s="816">
        <f t="shared" si="320"/>
        <v>0</v>
      </c>
      <c r="L374" s="816">
        <f t="shared" si="320"/>
        <v>0</v>
      </c>
      <c r="M374" s="816">
        <f t="shared" si="320"/>
        <v>0</v>
      </c>
      <c r="N374" s="816">
        <f t="shared" si="320"/>
        <v>0</v>
      </c>
      <c r="O374" s="816">
        <f>SUM(O375:O376)</f>
        <v>0</v>
      </c>
      <c r="P374" s="816">
        <f t="shared" ref="P374" si="321">SUM(P375:P376)</f>
        <v>7371163</v>
      </c>
      <c r="Q374" s="50"/>
      <c r="R374" s="798"/>
    </row>
    <row r="375" spans="1:18" ht="230.25" thickTop="1" thickBot="1" x14ac:dyDescent="0.25">
      <c r="A375" s="808" t="s">
        <v>427</v>
      </c>
      <c r="B375" s="808" t="s">
        <v>241</v>
      </c>
      <c r="C375" s="808" t="s">
        <v>239</v>
      </c>
      <c r="D375" s="808" t="s">
        <v>240</v>
      </c>
      <c r="E375" s="816">
        <f>F375</f>
        <v>7371163</v>
      </c>
      <c r="F375" s="389">
        <v>7371163</v>
      </c>
      <c r="G375" s="389">
        <v>5498880</v>
      </c>
      <c r="H375" s="389">
        <f>146200+15123+64380+3660</f>
        <v>229363</v>
      </c>
      <c r="I375" s="389"/>
      <c r="J375" s="816">
        <f t="shared" ref="J375:J379" si="322">L375+O375</f>
        <v>0</v>
      </c>
      <c r="K375" s="389"/>
      <c r="L375" s="389"/>
      <c r="M375" s="389"/>
      <c r="N375" s="389"/>
      <c r="O375" s="810">
        <f>K375</f>
        <v>0</v>
      </c>
      <c r="P375" s="816">
        <f t="shared" ref="P375:P379" si="323">E375+J375</f>
        <v>7371163</v>
      </c>
      <c r="Q375" s="50"/>
      <c r="R375" s="798"/>
    </row>
    <row r="376" spans="1:18" ht="184.5" hidden="1" thickTop="1" thickBot="1" x14ac:dyDescent="0.25">
      <c r="A376" s="803" t="s">
        <v>642</v>
      </c>
      <c r="B376" s="803" t="s">
        <v>367</v>
      </c>
      <c r="C376" s="803" t="s">
        <v>634</v>
      </c>
      <c r="D376" s="803" t="s">
        <v>635</v>
      </c>
      <c r="E376" s="186">
        <f>F376</f>
        <v>0</v>
      </c>
      <c r="F376" s="163">
        <v>0</v>
      </c>
      <c r="G376" s="163"/>
      <c r="H376" s="163"/>
      <c r="I376" s="163"/>
      <c r="J376" s="807">
        <f t="shared" si="322"/>
        <v>0</v>
      </c>
      <c r="K376" s="163"/>
      <c r="L376" s="164"/>
      <c r="M376" s="164"/>
      <c r="N376" s="164"/>
      <c r="O376" s="801">
        <f t="shared" ref="O376" si="324">K376</f>
        <v>0</v>
      </c>
      <c r="P376" s="807">
        <f t="shared" ref="P376" si="325">+J376+E376</f>
        <v>0</v>
      </c>
      <c r="Q376" s="50"/>
      <c r="R376" s="798"/>
    </row>
    <row r="377" spans="1:18" ht="47.25" thickTop="1" thickBot="1" x14ac:dyDescent="0.25">
      <c r="A377" s="385" t="s">
        <v>843</v>
      </c>
      <c r="B377" s="385" t="s">
        <v>705</v>
      </c>
      <c r="C377" s="385"/>
      <c r="D377" s="385" t="s">
        <v>706</v>
      </c>
      <c r="E377" s="386">
        <f>E378</f>
        <v>0</v>
      </c>
      <c r="F377" s="386">
        <f t="shared" ref="F377:P378" si="326">F378</f>
        <v>0</v>
      </c>
      <c r="G377" s="386">
        <f t="shared" si="326"/>
        <v>0</v>
      </c>
      <c r="H377" s="386">
        <f t="shared" si="326"/>
        <v>0</v>
      </c>
      <c r="I377" s="386">
        <f t="shared" si="326"/>
        <v>0</v>
      </c>
      <c r="J377" s="386">
        <f t="shared" si="326"/>
        <v>3956434</v>
      </c>
      <c r="K377" s="386">
        <f t="shared" si="326"/>
        <v>0</v>
      </c>
      <c r="L377" s="386">
        <f t="shared" si="326"/>
        <v>1380434</v>
      </c>
      <c r="M377" s="386">
        <f t="shared" si="326"/>
        <v>0</v>
      </c>
      <c r="N377" s="386">
        <f t="shared" si="326"/>
        <v>0</v>
      </c>
      <c r="O377" s="386">
        <f t="shared" si="326"/>
        <v>2576000</v>
      </c>
      <c r="P377" s="386">
        <f t="shared" si="326"/>
        <v>3956434</v>
      </c>
      <c r="Q377" s="50"/>
      <c r="R377" s="798"/>
    </row>
    <row r="378" spans="1:18" ht="91.5" thickTop="1" thickBot="1" x14ac:dyDescent="0.25">
      <c r="A378" s="387" t="s">
        <v>844</v>
      </c>
      <c r="B378" s="387" t="s">
        <v>845</v>
      </c>
      <c r="C378" s="387"/>
      <c r="D378" s="387" t="s">
        <v>846</v>
      </c>
      <c r="E378" s="388">
        <f>E379</f>
        <v>0</v>
      </c>
      <c r="F378" s="388">
        <f t="shared" si="326"/>
        <v>0</v>
      </c>
      <c r="G378" s="388">
        <f t="shared" si="326"/>
        <v>0</v>
      </c>
      <c r="H378" s="388">
        <f t="shared" si="326"/>
        <v>0</v>
      </c>
      <c r="I378" s="388">
        <f t="shared" si="326"/>
        <v>0</v>
      </c>
      <c r="J378" s="388">
        <f t="shared" si="326"/>
        <v>3956434</v>
      </c>
      <c r="K378" s="388">
        <f t="shared" si="326"/>
        <v>0</v>
      </c>
      <c r="L378" s="388">
        <f t="shared" si="326"/>
        <v>1380434</v>
      </c>
      <c r="M378" s="388">
        <f t="shared" si="326"/>
        <v>0</v>
      </c>
      <c r="N378" s="388">
        <f t="shared" si="326"/>
        <v>0</v>
      </c>
      <c r="O378" s="388">
        <f t="shared" si="326"/>
        <v>2576000</v>
      </c>
      <c r="P378" s="388">
        <f t="shared" si="326"/>
        <v>3956434</v>
      </c>
      <c r="Q378" s="50"/>
      <c r="R378" s="798"/>
    </row>
    <row r="379" spans="1:18" ht="93" thickTop="1" thickBot="1" x14ac:dyDescent="0.25">
      <c r="A379" s="808" t="s">
        <v>1170</v>
      </c>
      <c r="B379" s="808" t="s">
        <v>1171</v>
      </c>
      <c r="C379" s="808" t="s">
        <v>51</v>
      </c>
      <c r="D379" s="808" t="s">
        <v>1172</v>
      </c>
      <c r="E379" s="816">
        <v>0</v>
      </c>
      <c r="F379" s="389"/>
      <c r="G379" s="389"/>
      <c r="H379" s="389"/>
      <c r="I379" s="389"/>
      <c r="J379" s="816">
        <f t="shared" si="322"/>
        <v>3956434</v>
      </c>
      <c r="K379" s="816"/>
      <c r="L379" s="389">
        <f>((476000)+46434+40000+520000+100000+78000)+120000</f>
        <v>1380434</v>
      </c>
      <c r="M379" s="389"/>
      <c r="N379" s="389"/>
      <c r="O379" s="810">
        <f>((K379+874000)+13000+420000+1200000+189000)-120000</f>
        <v>2576000</v>
      </c>
      <c r="P379" s="816">
        <f t="shared" si="323"/>
        <v>3956434</v>
      </c>
      <c r="Q379" s="392" t="b">
        <f>J379=[1]d9!F29</f>
        <v>1</v>
      </c>
    </row>
    <row r="380" spans="1:18" ht="47.25" thickTop="1" thickBot="1" x14ac:dyDescent="0.25">
      <c r="A380" s="385" t="s">
        <v>1306</v>
      </c>
      <c r="B380" s="385" t="s">
        <v>711</v>
      </c>
      <c r="C380" s="385"/>
      <c r="D380" s="385" t="s">
        <v>712</v>
      </c>
      <c r="E380" s="816">
        <f t="shared" ref="E380:P380" si="327">E381</f>
        <v>36131</v>
      </c>
      <c r="F380" s="816">
        <f t="shared" si="327"/>
        <v>36131</v>
      </c>
      <c r="G380" s="816">
        <f t="shared" si="327"/>
        <v>0</v>
      </c>
      <c r="H380" s="816">
        <f t="shared" si="327"/>
        <v>0</v>
      </c>
      <c r="I380" s="816">
        <f t="shared" si="327"/>
        <v>0</v>
      </c>
      <c r="J380" s="816">
        <f t="shared" si="327"/>
        <v>152869</v>
      </c>
      <c r="K380" s="816">
        <f t="shared" si="327"/>
        <v>152869</v>
      </c>
      <c r="L380" s="816">
        <f t="shared" si="327"/>
        <v>0</v>
      </c>
      <c r="M380" s="816">
        <f t="shared" si="327"/>
        <v>0</v>
      </c>
      <c r="N380" s="816">
        <f t="shared" si="327"/>
        <v>0</v>
      </c>
      <c r="O380" s="816">
        <f t="shared" si="327"/>
        <v>152869</v>
      </c>
      <c r="P380" s="816">
        <f t="shared" si="327"/>
        <v>189000</v>
      </c>
      <c r="Q380" s="50"/>
    </row>
    <row r="381" spans="1:18" ht="271.5" thickTop="1" thickBot="1" x14ac:dyDescent="0.25">
      <c r="A381" s="387" t="s">
        <v>1305</v>
      </c>
      <c r="B381" s="387" t="s">
        <v>519</v>
      </c>
      <c r="C381" s="387" t="s">
        <v>43</v>
      </c>
      <c r="D381" s="387" t="s">
        <v>520</v>
      </c>
      <c r="E381" s="391">
        <f t="shared" ref="E381" si="328">F381</f>
        <v>36131</v>
      </c>
      <c r="F381" s="391">
        <f>(19000+13000)+4131</f>
        <v>36131</v>
      </c>
      <c r="G381" s="391"/>
      <c r="H381" s="391"/>
      <c r="I381" s="391"/>
      <c r="J381" s="391">
        <f>L381+O381</f>
        <v>152869</v>
      </c>
      <c r="K381" s="389">
        <f>(77000+80000)-4131</f>
        <v>152869</v>
      </c>
      <c r="L381" s="391"/>
      <c r="M381" s="391"/>
      <c r="N381" s="391"/>
      <c r="O381" s="391">
        <f>(K381+0)</f>
        <v>152869</v>
      </c>
      <c r="P381" s="391">
        <f>E381+J381</f>
        <v>189000</v>
      </c>
      <c r="Q381" s="50"/>
    </row>
    <row r="382" spans="1:18" ht="181.5" thickTop="1" thickBot="1" x14ac:dyDescent="0.25">
      <c r="A382" s="460" t="s">
        <v>163</v>
      </c>
      <c r="B382" s="460"/>
      <c r="C382" s="460"/>
      <c r="D382" s="461" t="s">
        <v>909</v>
      </c>
      <c r="E382" s="463">
        <f>E383</f>
        <v>10577600</v>
      </c>
      <c r="F382" s="462">
        <f t="shared" ref="F382:G382" si="329">F383</f>
        <v>10577600</v>
      </c>
      <c r="G382" s="462">
        <f t="shared" si="329"/>
        <v>7843804</v>
      </c>
      <c r="H382" s="462">
        <f>H383</f>
        <v>304000</v>
      </c>
      <c r="I382" s="462">
        <f t="shared" ref="I382" si="330">I383</f>
        <v>0</v>
      </c>
      <c r="J382" s="463">
        <f>J383</f>
        <v>408000</v>
      </c>
      <c r="K382" s="462">
        <f>K383</f>
        <v>408000</v>
      </c>
      <c r="L382" s="462">
        <f>L383</f>
        <v>0</v>
      </c>
      <c r="M382" s="462">
        <f t="shared" ref="M382" si="331">M383</f>
        <v>0</v>
      </c>
      <c r="N382" s="462">
        <f>N383</f>
        <v>0</v>
      </c>
      <c r="O382" s="463">
        <f>O383</f>
        <v>408000</v>
      </c>
      <c r="P382" s="462">
        <f t="shared" ref="P382" si="332">P383</f>
        <v>10985600</v>
      </c>
      <c r="Q382" s="22"/>
    </row>
    <row r="383" spans="1:18" ht="181.5" thickTop="1" thickBot="1" x14ac:dyDescent="0.25">
      <c r="A383" s="464" t="s">
        <v>164</v>
      </c>
      <c r="B383" s="464"/>
      <c r="C383" s="464"/>
      <c r="D383" s="465" t="s">
        <v>908</v>
      </c>
      <c r="E383" s="466">
        <f>E384+E386</f>
        <v>10577600</v>
      </c>
      <c r="F383" s="466">
        <f t="shared" ref="F383:I383" si="333">F384+F386</f>
        <v>10577600</v>
      </c>
      <c r="G383" s="466">
        <f t="shared" si="333"/>
        <v>7843804</v>
      </c>
      <c r="H383" s="466">
        <f t="shared" si="333"/>
        <v>304000</v>
      </c>
      <c r="I383" s="466">
        <f t="shared" si="333"/>
        <v>0</v>
      </c>
      <c r="J383" s="466">
        <f>L383+O383</f>
        <v>408000</v>
      </c>
      <c r="K383" s="466">
        <f t="shared" ref="K383:O383" si="334">K384+K386</f>
        <v>408000</v>
      </c>
      <c r="L383" s="466">
        <f t="shared" si="334"/>
        <v>0</v>
      </c>
      <c r="M383" s="466">
        <f t="shared" si="334"/>
        <v>0</v>
      </c>
      <c r="N383" s="466">
        <f t="shared" si="334"/>
        <v>0</v>
      </c>
      <c r="O383" s="466">
        <f t="shared" si="334"/>
        <v>408000</v>
      </c>
      <c r="P383" s="466">
        <f>E383+J383</f>
        <v>10985600</v>
      </c>
      <c r="Q383" s="392" t="b">
        <f>P383=P388+P390+P385</f>
        <v>1</v>
      </c>
      <c r="R383" s="48"/>
    </row>
    <row r="384" spans="1:18" ht="47.25" thickTop="1" thickBot="1" x14ac:dyDescent="0.25">
      <c r="A384" s="385" t="s">
        <v>847</v>
      </c>
      <c r="B384" s="385" t="s">
        <v>693</v>
      </c>
      <c r="C384" s="385"/>
      <c r="D384" s="385" t="s">
        <v>694</v>
      </c>
      <c r="E384" s="816">
        <f>SUM(E385)</f>
        <v>10387600</v>
      </c>
      <c r="F384" s="816">
        <f t="shared" ref="F384:P384" si="335">SUM(F385)</f>
        <v>10387600</v>
      </c>
      <c r="G384" s="816">
        <f t="shared" si="335"/>
        <v>7843804</v>
      </c>
      <c r="H384" s="816">
        <f t="shared" si="335"/>
        <v>304000</v>
      </c>
      <c r="I384" s="816">
        <f t="shared" si="335"/>
        <v>0</v>
      </c>
      <c r="J384" s="816">
        <f t="shared" si="335"/>
        <v>85500</v>
      </c>
      <c r="K384" s="816">
        <f t="shared" si="335"/>
        <v>85500</v>
      </c>
      <c r="L384" s="816">
        <f t="shared" si="335"/>
        <v>0</v>
      </c>
      <c r="M384" s="816">
        <f t="shared" si="335"/>
        <v>0</v>
      </c>
      <c r="N384" s="816">
        <f t="shared" si="335"/>
        <v>0</v>
      </c>
      <c r="O384" s="816">
        <f t="shared" si="335"/>
        <v>85500</v>
      </c>
      <c r="P384" s="816">
        <f t="shared" si="335"/>
        <v>10473100</v>
      </c>
      <c r="Q384" s="50"/>
      <c r="R384" s="48"/>
    </row>
    <row r="385" spans="1:19" ht="230.25" thickTop="1" thickBot="1" x14ac:dyDescent="0.25">
      <c r="A385" s="808" t="s">
        <v>423</v>
      </c>
      <c r="B385" s="808" t="s">
        <v>241</v>
      </c>
      <c r="C385" s="808" t="s">
        <v>239</v>
      </c>
      <c r="D385" s="808" t="s">
        <v>240</v>
      </c>
      <c r="E385" s="816">
        <f>F385</f>
        <v>10387600</v>
      </c>
      <c r="F385" s="389">
        <f>(10277600)+40000+20000+50000</f>
        <v>10387600</v>
      </c>
      <c r="G385" s="389">
        <v>7843804</v>
      </c>
      <c r="H385" s="389">
        <f>240000+4000+60000</f>
        <v>304000</v>
      </c>
      <c r="I385" s="389"/>
      <c r="J385" s="816">
        <f>L385+O385</f>
        <v>85500</v>
      </c>
      <c r="K385" s="389">
        <v>85500</v>
      </c>
      <c r="L385" s="389"/>
      <c r="M385" s="389"/>
      <c r="N385" s="389"/>
      <c r="O385" s="810">
        <f>K385</f>
        <v>85500</v>
      </c>
      <c r="P385" s="816">
        <f>E385+J385</f>
        <v>10473100</v>
      </c>
      <c r="Q385" s="22"/>
      <c r="R385" s="48"/>
    </row>
    <row r="386" spans="1:19" ht="47.25" thickTop="1" thickBot="1" x14ac:dyDescent="0.25">
      <c r="A386" s="385" t="s">
        <v>848</v>
      </c>
      <c r="B386" s="385" t="s">
        <v>757</v>
      </c>
      <c r="C386" s="808"/>
      <c r="D386" s="385" t="s">
        <v>804</v>
      </c>
      <c r="E386" s="816">
        <f t="shared" ref="E386:P386" si="336">E387+E389</f>
        <v>190000</v>
      </c>
      <c r="F386" s="816">
        <f t="shared" si="336"/>
        <v>190000</v>
      </c>
      <c r="G386" s="816">
        <f t="shared" si="336"/>
        <v>0</v>
      </c>
      <c r="H386" s="816">
        <f t="shared" si="336"/>
        <v>0</v>
      </c>
      <c r="I386" s="816">
        <f t="shared" si="336"/>
        <v>0</v>
      </c>
      <c r="J386" s="816">
        <f t="shared" si="336"/>
        <v>322500</v>
      </c>
      <c r="K386" s="816">
        <f t="shared" si="336"/>
        <v>322500</v>
      </c>
      <c r="L386" s="816">
        <f t="shared" si="336"/>
        <v>0</v>
      </c>
      <c r="M386" s="816">
        <f t="shared" si="336"/>
        <v>0</v>
      </c>
      <c r="N386" s="816">
        <f t="shared" si="336"/>
        <v>0</v>
      </c>
      <c r="O386" s="816">
        <f t="shared" si="336"/>
        <v>322500</v>
      </c>
      <c r="P386" s="816">
        <f t="shared" si="336"/>
        <v>512500</v>
      </c>
      <c r="Q386" s="22"/>
      <c r="R386" s="50"/>
    </row>
    <row r="387" spans="1:19" ht="91.5" thickTop="1" thickBot="1" x14ac:dyDescent="0.25">
      <c r="A387" s="387" t="s">
        <v>849</v>
      </c>
      <c r="B387" s="387" t="s">
        <v>850</v>
      </c>
      <c r="C387" s="387"/>
      <c r="D387" s="387" t="s">
        <v>851</v>
      </c>
      <c r="E387" s="391">
        <f>SUM(E388)</f>
        <v>190000</v>
      </c>
      <c r="F387" s="391">
        <f t="shared" ref="F387:P387" si="337">SUM(F388)</f>
        <v>190000</v>
      </c>
      <c r="G387" s="391">
        <f t="shared" si="337"/>
        <v>0</v>
      </c>
      <c r="H387" s="391">
        <f t="shared" si="337"/>
        <v>0</v>
      </c>
      <c r="I387" s="391">
        <f t="shared" si="337"/>
        <v>0</v>
      </c>
      <c r="J387" s="391">
        <f t="shared" si="337"/>
        <v>210000</v>
      </c>
      <c r="K387" s="391">
        <f t="shared" si="337"/>
        <v>210000</v>
      </c>
      <c r="L387" s="391">
        <f t="shared" si="337"/>
        <v>0</v>
      </c>
      <c r="M387" s="391">
        <f t="shared" si="337"/>
        <v>0</v>
      </c>
      <c r="N387" s="391">
        <f t="shared" si="337"/>
        <v>0</v>
      </c>
      <c r="O387" s="391">
        <f t="shared" si="337"/>
        <v>210000</v>
      </c>
      <c r="P387" s="391">
        <f t="shared" si="337"/>
        <v>400000</v>
      </c>
      <c r="Q387" s="22"/>
      <c r="R387" s="50"/>
    </row>
    <row r="388" spans="1:19" ht="93" thickTop="1" thickBot="1" x14ac:dyDescent="0.25">
      <c r="A388" s="808" t="s">
        <v>311</v>
      </c>
      <c r="B388" s="808" t="s">
        <v>312</v>
      </c>
      <c r="C388" s="808" t="s">
        <v>313</v>
      </c>
      <c r="D388" s="808" t="s">
        <v>466</v>
      </c>
      <c r="E388" s="816">
        <f>F388</f>
        <v>190000</v>
      </c>
      <c r="F388" s="389">
        <v>190000</v>
      </c>
      <c r="G388" s="389"/>
      <c r="H388" s="389"/>
      <c r="I388" s="389"/>
      <c r="J388" s="816">
        <f>L388+O388</f>
        <v>210000</v>
      </c>
      <c r="K388" s="389">
        <v>210000</v>
      </c>
      <c r="L388" s="389"/>
      <c r="M388" s="389"/>
      <c r="N388" s="389"/>
      <c r="O388" s="810">
        <f>K388</f>
        <v>210000</v>
      </c>
      <c r="P388" s="816">
        <f>E388+J388</f>
        <v>400000</v>
      </c>
      <c r="Q388" s="22"/>
      <c r="R388" s="48"/>
    </row>
    <row r="389" spans="1:19" ht="136.5" thickTop="1" thickBot="1" x14ac:dyDescent="0.25">
      <c r="A389" s="387" t="s">
        <v>852</v>
      </c>
      <c r="B389" s="387" t="s">
        <v>700</v>
      </c>
      <c r="C389" s="808"/>
      <c r="D389" s="387" t="s">
        <v>853</v>
      </c>
      <c r="E389" s="391">
        <f>SUM(E390)</f>
        <v>0</v>
      </c>
      <c r="F389" s="391">
        <f t="shared" ref="F389:P389" si="338">SUM(F390)</f>
        <v>0</v>
      </c>
      <c r="G389" s="391">
        <f t="shared" si="338"/>
        <v>0</v>
      </c>
      <c r="H389" s="391">
        <f t="shared" si="338"/>
        <v>0</v>
      </c>
      <c r="I389" s="391">
        <f t="shared" si="338"/>
        <v>0</v>
      </c>
      <c r="J389" s="391">
        <f t="shared" si="338"/>
        <v>112500</v>
      </c>
      <c r="K389" s="391">
        <f t="shared" si="338"/>
        <v>112500</v>
      </c>
      <c r="L389" s="391">
        <f t="shared" si="338"/>
        <v>0</v>
      </c>
      <c r="M389" s="391">
        <f t="shared" si="338"/>
        <v>0</v>
      </c>
      <c r="N389" s="391">
        <f t="shared" si="338"/>
        <v>0</v>
      </c>
      <c r="O389" s="391">
        <f t="shared" si="338"/>
        <v>112500</v>
      </c>
      <c r="P389" s="391">
        <f t="shared" si="338"/>
        <v>112500</v>
      </c>
      <c r="Q389" s="22"/>
    </row>
    <row r="390" spans="1:19" ht="138.75" thickTop="1" thickBot="1" x14ac:dyDescent="0.25">
      <c r="A390" s="808" t="s">
        <v>373</v>
      </c>
      <c r="B390" s="808" t="s">
        <v>374</v>
      </c>
      <c r="C390" s="808" t="s">
        <v>171</v>
      </c>
      <c r="D390" s="808" t="s">
        <v>375</v>
      </c>
      <c r="E390" s="816">
        <f>F390</f>
        <v>0</v>
      </c>
      <c r="F390" s="389"/>
      <c r="G390" s="389"/>
      <c r="H390" s="389"/>
      <c r="I390" s="389"/>
      <c r="J390" s="816">
        <f>L390+O390</f>
        <v>112500</v>
      </c>
      <c r="K390" s="389">
        <f>(90000)+22500</f>
        <v>112500</v>
      </c>
      <c r="L390" s="389"/>
      <c r="M390" s="389"/>
      <c r="N390" s="389"/>
      <c r="O390" s="810">
        <f>K390</f>
        <v>112500</v>
      </c>
      <c r="P390" s="816">
        <f>E390+J390</f>
        <v>112500</v>
      </c>
      <c r="Q390" s="22"/>
      <c r="R390" s="48"/>
    </row>
    <row r="391" spans="1:19" ht="136.5" thickTop="1" thickBot="1" x14ac:dyDescent="0.25">
      <c r="A391" s="460" t="s">
        <v>169</v>
      </c>
      <c r="B391" s="460"/>
      <c r="C391" s="460"/>
      <c r="D391" s="461" t="s">
        <v>27</v>
      </c>
      <c r="E391" s="463">
        <f>E392</f>
        <v>361820224.58999997</v>
      </c>
      <c r="F391" s="462">
        <f t="shared" ref="F391:G391" si="339">F392</f>
        <v>361820224.58999997</v>
      </c>
      <c r="G391" s="462">
        <f t="shared" si="339"/>
        <v>8214383</v>
      </c>
      <c r="H391" s="462">
        <f>H392</f>
        <v>319894</v>
      </c>
      <c r="I391" s="462">
        <f t="shared" ref="I391" si="340">I392</f>
        <v>0</v>
      </c>
      <c r="J391" s="463">
        <f>J392</f>
        <v>0</v>
      </c>
      <c r="K391" s="462">
        <f>K392</f>
        <v>0</v>
      </c>
      <c r="L391" s="462">
        <f>L392</f>
        <v>0</v>
      </c>
      <c r="M391" s="462">
        <f t="shared" ref="M391" si="341">M392</f>
        <v>0</v>
      </c>
      <c r="N391" s="462">
        <f>N392</f>
        <v>0</v>
      </c>
      <c r="O391" s="463">
        <f>O392</f>
        <v>0</v>
      </c>
      <c r="P391" s="462">
        <f t="shared" ref="P391" si="342">P392</f>
        <v>361820224.58999997</v>
      </c>
      <c r="Q391" s="22"/>
    </row>
    <row r="392" spans="1:19" ht="136.5" thickTop="1" thickBot="1" x14ac:dyDescent="0.25">
      <c r="A392" s="464" t="s">
        <v>170</v>
      </c>
      <c r="B392" s="464"/>
      <c r="C392" s="464"/>
      <c r="D392" s="465" t="s">
        <v>40</v>
      </c>
      <c r="E392" s="466">
        <f>E393+E399+E406+E396</f>
        <v>361820224.58999997</v>
      </c>
      <c r="F392" s="466">
        <f t="shared" ref="F392:P392" si="343">F393+F399+F406+F396</f>
        <v>361820224.58999997</v>
      </c>
      <c r="G392" s="466">
        <f t="shared" si="343"/>
        <v>8214383</v>
      </c>
      <c r="H392" s="466">
        <f t="shared" si="343"/>
        <v>319894</v>
      </c>
      <c r="I392" s="466">
        <f t="shared" si="343"/>
        <v>0</v>
      </c>
      <c r="J392" s="466">
        <f t="shared" si="343"/>
        <v>0</v>
      </c>
      <c r="K392" s="466">
        <f t="shared" si="343"/>
        <v>0</v>
      </c>
      <c r="L392" s="466">
        <f t="shared" si="343"/>
        <v>0</v>
      </c>
      <c r="M392" s="466">
        <f t="shared" si="343"/>
        <v>0</v>
      </c>
      <c r="N392" s="466">
        <f t="shared" si="343"/>
        <v>0</v>
      </c>
      <c r="O392" s="466">
        <f t="shared" si="343"/>
        <v>0</v>
      </c>
      <c r="P392" s="466">
        <f t="shared" si="343"/>
        <v>361820224.58999997</v>
      </c>
      <c r="Q392" s="392" t="b">
        <f>P392=P394+P400+P402+P408</f>
        <v>1</v>
      </c>
      <c r="R392" s="48"/>
    </row>
    <row r="393" spans="1:19" ht="47.25" thickTop="1" thickBot="1" x14ac:dyDescent="0.25">
      <c r="A393" s="385" t="s">
        <v>854</v>
      </c>
      <c r="B393" s="385" t="s">
        <v>693</v>
      </c>
      <c r="C393" s="385"/>
      <c r="D393" s="385" t="s">
        <v>694</v>
      </c>
      <c r="E393" s="816">
        <f>SUM(E394:E395)</f>
        <v>10739200</v>
      </c>
      <c r="F393" s="816">
        <f t="shared" ref="F393:P393" si="344">SUM(F394:F395)</f>
        <v>10739200</v>
      </c>
      <c r="G393" s="816">
        <f t="shared" si="344"/>
        <v>8214383</v>
      </c>
      <c r="H393" s="816">
        <f t="shared" si="344"/>
        <v>319894</v>
      </c>
      <c r="I393" s="816">
        <f t="shared" si="344"/>
        <v>0</v>
      </c>
      <c r="J393" s="816">
        <f t="shared" si="344"/>
        <v>0</v>
      </c>
      <c r="K393" s="816">
        <f t="shared" si="344"/>
        <v>0</v>
      </c>
      <c r="L393" s="816">
        <f t="shared" si="344"/>
        <v>0</v>
      </c>
      <c r="M393" s="816">
        <f t="shared" si="344"/>
        <v>0</v>
      </c>
      <c r="N393" s="816">
        <f t="shared" si="344"/>
        <v>0</v>
      </c>
      <c r="O393" s="816">
        <f t="shared" si="344"/>
        <v>0</v>
      </c>
      <c r="P393" s="816">
        <f t="shared" si="344"/>
        <v>10739200</v>
      </c>
      <c r="Q393" s="50"/>
      <c r="R393" s="53"/>
    </row>
    <row r="394" spans="1:19" ht="230.25" thickTop="1" thickBot="1" x14ac:dyDescent="0.25">
      <c r="A394" s="808" t="s">
        <v>425</v>
      </c>
      <c r="B394" s="808" t="s">
        <v>241</v>
      </c>
      <c r="C394" s="808" t="s">
        <v>239</v>
      </c>
      <c r="D394" s="808" t="s">
        <v>240</v>
      </c>
      <c r="E394" s="816">
        <f>F394</f>
        <v>10739200</v>
      </c>
      <c r="F394" s="389">
        <v>10739200</v>
      </c>
      <c r="G394" s="389">
        <v>8214383</v>
      </c>
      <c r="H394" s="389">
        <f>144480+6318+160000+9096</f>
        <v>319894</v>
      </c>
      <c r="I394" s="389"/>
      <c r="J394" s="816">
        <f>L394+O394</f>
        <v>0</v>
      </c>
      <c r="K394" s="389"/>
      <c r="L394" s="389"/>
      <c r="M394" s="389"/>
      <c r="N394" s="389"/>
      <c r="O394" s="810">
        <f>K394</f>
        <v>0</v>
      </c>
      <c r="P394" s="816">
        <f>E394+J394</f>
        <v>10739200</v>
      </c>
      <c r="Q394" s="50"/>
      <c r="R394" s="53"/>
      <c r="S394" s="50"/>
    </row>
    <row r="395" spans="1:19" ht="184.5" hidden="1" thickTop="1" thickBot="1" x14ac:dyDescent="0.25">
      <c r="A395" s="805" t="s">
        <v>643</v>
      </c>
      <c r="B395" s="805" t="s">
        <v>367</v>
      </c>
      <c r="C395" s="805" t="s">
        <v>634</v>
      </c>
      <c r="D395" s="805" t="s">
        <v>635</v>
      </c>
      <c r="E395" s="186">
        <f>F395</f>
        <v>0</v>
      </c>
      <c r="F395" s="163"/>
      <c r="G395" s="163"/>
      <c r="H395" s="163"/>
      <c r="I395" s="163"/>
      <c r="J395" s="807">
        <f t="shared" ref="J395" si="345">L395+O395</f>
        <v>0</v>
      </c>
      <c r="K395" s="163"/>
      <c r="L395" s="164"/>
      <c r="M395" s="164"/>
      <c r="N395" s="164"/>
      <c r="O395" s="801">
        <f t="shared" ref="O395" si="346">K395</f>
        <v>0</v>
      </c>
      <c r="P395" s="807">
        <f t="shared" ref="P395" si="347">+J395+E395</f>
        <v>0</v>
      </c>
      <c r="Q395" s="50"/>
      <c r="R395" s="53"/>
    </row>
    <row r="396" spans="1:19" ht="136.5" hidden="1" thickTop="1" thickBot="1" x14ac:dyDescent="0.25">
      <c r="A396" s="170" t="s">
        <v>1253</v>
      </c>
      <c r="B396" s="170" t="s">
        <v>700</v>
      </c>
      <c r="C396" s="170"/>
      <c r="D396" s="170" t="s">
        <v>698</v>
      </c>
      <c r="E396" s="200">
        <f>E397</f>
        <v>0</v>
      </c>
      <c r="F396" s="200">
        <f t="shared" ref="F396:P397" si="348">F397</f>
        <v>0</v>
      </c>
      <c r="G396" s="200">
        <f t="shared" si="348"/>
        <v>0</v>
      </c>
      <c r="H396" s="200">
        <f t="shared" si="348"/>
        <v>0</v>
      </c>
      <c r="I396" s="200">
        <f t="shared" si="348"/>
        <v>0</v>
      </c>
      <c r="J396" s="200">
        <f t="shared" si="348"/>
        <v>0</v>
      </c>
      <c r="K396" s="200">
        <f t="shared" si="348"/>
        <v>0</v>
      </c>
      <c r="L396" s="200">
        <f t="shared" si="348"/>
        <v>0</v>
      </c>
      <c r="M396" s="200">
        <f t="shared" si="348"/>
        <v>0</v>
      </c>
      <c r="N396" s="200">
        <f t="shared" si="348"/>
        <v>0</v>
      </c>
      <c r="O396" s="200">
        <f t="shared" si="348"/>
        <v>0</v>
      </c>
      <c r="P396" s="200">
        <f t="shared" si="348"/>
        <v>0</v>
      </c>
      <c r="Q396" s="50"/>
      <c r="R396" s="53"/>
    </row>
    <row r="397" spans="1:19" ht="48" hidden="1" thickTop="1" thickBot="1" x14ac:dyDescent="0.25">
      <c r="A397" s="174" t="s">
        <v>1254</v>
      </c>
      <c r="B397" s="174" t="s">
        <v>703</v>
      </c>
      <c r="C397" s="174"/>
      <c r="D397" s="174" t="s">
        <v>701</v>
      </c>
      <c r="E397" s="175">
        <f>E398</f>
        <v>0</v>
      </c>
      <c r="F397" s="175">
        <f t="shared" si="348"/>
        <v>0</v>
      </c>
      <c r="G397" s="175">
        <f t="shared" si="348"/>
        <v>0</v>
      </c>
      <c r="H397" s="175">
        <f t="shared" si="348"/>
        <v>0</v>
      </c>
      <c r="I397" s="175">
        <f t="shared" si="348"/>
        <v>0</v>
      </c>
      <c r="J397" s="175">
        <f t="shared" si="348"/>
        <v>0</v>
      </c>
      <c r="K397" s="175">
        <f t="shared" si="348"/>
        <v>0</v>
      </c>
      <c r="L397" s="175">
        <f t="shared" si="348"/>
        <v>0</v>
      </c>
      <c r="M397" s="175">
        <f t="shared" si="348"/>
        <v>0</v>
      </c>
      <c r="N397" s="175">
        <f t="shared" si="348"/>
        <v>0</v>
      </c>
      <c r="O397" s="175">
        <f t="shared" si="348"/>
        <v>0</v>
      </c>
      <c r="P397" s="175">
        <f t="shared" si="348"/>
        <v>0</v>
      </c>
      <c r="Q397" s="50"/>
      <c r="R397" s="53"/>
    </row>
    <row r="398" spans="1:19" ht="93" hidden="1" thickTop="1" thickBot="1" x14ac:dyDescent="0.25">
      <c r="A398" s="805" t="s">
        <v>1255</v>
      </c>
      <c r="B398" s="805" t="s">
        <v>262</v>
      </c>
      <c r="C398" s="805" t="s">
        <v>171</v>
      </c>
      <c r="D398" s="805" t="s">
        <v>260</v>
      </c>
      <c r="E398" s="807">
        <f t="shared" ref="E398" si="349">F398</f>
        <v>0</v>
      </c>
      <c r="F398" s="168"/>
      <c r="G398" s="168"/>
      <c r="H398" s="168"/>
      <c r="I398" s="168"/>
      <c r="J398" s="807">
        <f t="shared" ref="J398" si="350">L398+O398</f>
        <v>0</v>
      </c>
      <c r="K398" s="168"/>
      <c r="L398" s="168"/>
      <c r="M398" s="168"/>
      <c r="N398" s="168"/>
      <c r="O398" s="801">
        <f>K398</f>
        <v>0</v>
      </c>
      <c r="P398" s="807">
        <f t="shared" ref="P398" si="351">E398+J398</f>
        <v>0</v>
      </c>
      <c r="Q398" s="50"/>
      <c r="R398" s="53"/>
    </row>
    <row r="399" spans="1:19" ht="47.25" thickTop="1" thickBot="1" x14ac:dyDescent="0.25">
      <c r="A399" s="385" t="s">
        <v>855</v>
      </c>
      <c r="B399" s="385" t="s">
        <v>705</v>
      </c>
      <c r="C399" s="385"/>
      <c r="D399" s="385" t="s">
        <v>706</v>
      </c>
      <c r="E399" s="386">
        <f t="shared" ref="E399:P399" si="352">E400+E401+E403</f>
        <v>22980324.589999996</v>
      </c>
      <c r="F399" s="386">
        <f t="shared" si="352"/>
        <v>22980324.589999996</v>
      </c>
      <c r="G399" s="386">
        <f t="shared" si="352"/>
        <v>0</v>
      </c>
      <c r="H399" s="386">
        <f t="shared" si="352"/>
        <v>0</v>
      </c>
      <c r="I399" s="386">
        <f t="shared" si="352"/>
        <v>0</v>
      </c>
      <c r="J399" s="386">
        <f t="shared" si="352"/>
        <v>0</v>
      </c>
      <c r="K399" s="386">
        <f t="shared" si="352"/>
        <v>0</v>
      </c>
      <c r="L399" s="386">
        <f t="shared" si="352"/>
        <v>0</v>
      </c>
      <c r="M399" s="386">
        <f t="shared" si="352"/>
        <v>0</v>
      </c>
      <c r="N399" s="386">
        <f t="shared" si="352"/>
        <v>0</v>
      </c>
      <c r="O399" s="386">
        <f t="shared" si="352"/>
        <v>0</v>
      </c>
      <c r="P399" s="386">
        <f t="shared" si="352"/>
        <v>22980324.589999996</v>
      </c>
      <c r="Q399" s="50"/>
      <c r="R399" s="53"/>
    </row>
    <row r="400" spans="1:19" ht="91.5" thickTop="1" thickBot="1" x14ac:dyDescent="0.25">
      <c r="A400" s="576">
        <v>3718600</v>
      </c>
      <c r="B400" s="576">
        <v>8600</v>
      </c>
      <c r="C400" s="387" t="s">
        <v>367</v>
      </c>
      <c r="D400" s="576" t="s">
        <v>457</v>
      </c>
      <c r="E400" s="391">
        <f>F400</f>
        <v>1306400</v>
      </c>
      <c r="F400" s="391">
        <f>1306400</f>
        <v>1306400</v>
      </c>
      <c r="G400" s="391"/>
      <c r="H400" s="391"/>
      <c r="I400" s="391"/>
      <c r="J400" s="391">
        <f>L400+O400</f>
        <v>0</v>
      </c>
      <c r="K400" s="391"/>
      <c r="L400" s="391"/>
      <c r="M400" s="391"/>
      <c r="N400" s="391"/>
      <c r="O400" s="588">
        <f>K400</f>
        <v>0</v>
      </c>
      <c r="P400" s="391">
        <f>E400+J400</f>
        <v>1306400</v>
      </c>
      <c r="Q400" s="22"/>
    </row>
    <row r="401" spans="1:18" ht="47.25" thickTop="1" thickBot="1" x14ac:dyDescent="0.25">
      <c r="A401" s="576">
        <v>3718700</v>
      </c>
      <c r="B401" s="576">
        <v>8700</v>
      </c>
      <c r="C401" s="387"/>
      <c r="D401" s="576" t="s">
        <v>856</v>
      </c>
      <c r="E401" s="391">
        <f t="shared" ref="E401:P401" si="353">E402</f>
        <v>21673924.589999996</v>
      </c>
      <c r="F401" s="391">
        <f t="shared" si="353"/>
        <v>21673924.589999996</v>
      </c>
      <c r="G401" s="391">
        <f t="shared" si="353"/>
        <v>0</v>
      </c>
      <c r="H401" s="391">
        <f t="shared" si="353"/>
        <v>0</v>
      </c>
      <c r="I401" s="391">
        <f t="shared" si="353"/>
        <v>0</v>
      </c>
      <c r="J401" s="391">
        <f t="shared" si="353"/>
        <v>0</v>
      </c>
      <c r="K401" s="391">
        <f t="shared" si="353"/>
        <v>0</v>
      </c>
      <c r="L401" s="391">
        <f t="shared" si="353"/>
        <v>0</v>
      </c>
      <c r="M401" s="391">
        <f t="shared" si="353"/>
        <v>0</v>
      </c>
      <c r="N401" s="391">
        <f t="shared" si="353"/>
        <v>0</v>
      </c>
      <c r="O401" s="391">
        <f t="shared" si="353"/>
        <v>0</v>
      </c>
      <c r="P401" s="391">
        <f t="shared" si="353"/>
        <v>21673924.589999996</v>
      </c>
      <c r="Q401" s="22"/>
    </row>
    <row r="402" spans="1:18" ht="93" thickTop="1" thickBot="1" x14ac:dyDescent="0.25">
      <c r="A402" s="457">
        <v>3718710</v>
      </c>
      <c r="B402" s="457">
        <v>8710</v>
      </c>
      <c r="C402" s="808" t="s">
        <v>42</v>
      </c>
      <c r="D402" s="470" t="s">
        <v>649</v>
      </c>
      <c r="E402" s="816">
        <f>F402</f>
        <v>21673924.589999996</v>
      </c>
      <c r="F402" s="389">
        <f>((((10570000+18000000-10000000)-10775230)+61721624.88-1208523)-1013222.5-5000000)-41030724.79+410000</f>
        <v>21673924.589999996</v>
      </c>
      <c r="G402" s="389"/>
      <c r="H402" s="389"/>
      <c r="I402" s="389"/>
      <c r="J402" s="816">
        <f>L402+O402</f>
        <v>0</v>
      </c>
      <c r="K402" s="389"/>
      <c r="L402" s="389"/>
      <c r="M402" s="389"/>
      <c r="N402" s="389"/>
      <c r="O402" s="810">
        <f>K402</f>
        <v>0</v>
      </c>
      <c r="P402" s="816">
        <f>E402+J402</f>
        <v>21673924.589999996</v>
      </c>
      <c r="Q402" s="22"/>
    </row>
    <row r="403" spans="1:18" ht="47.25" hidden="1" thickTop="1" thickBot="1" x14ac:dyDescent="0.25">
      <c r="A403" s="201">
        <v>3718800</v>
      </c>
      <c r="B403" s="201">
        <v>8800</v>
      </c>
      <c r="C403" s="170"/>
      <c r="D403" s="201" t="s">
        <v>864</v>
      </c>
      <c r="E403" s="171">
        <f>E404</f>
        <v>0</v>
      </c>
      <c r="F403" s="171">
        <f>F404</f>
        <v>0</v>
      </c>
      <c r="G403" s="171">
        <f t="shared" ref="G403:P404" si="354">G404</f>
        <v>0</v>
      </c>
      <c r="H403" s="171">
        <f t="shared" si="354"/>
        <v>0</v>
      </c>
      <c r="I403" s="171">
        <f t="shared" si="354"/>
        <v>0</v>
      </c>
      <c r="J403" s="171">
        <f t="shared" si="354"/>
        <v>0</v>
      </c>
      <c r="K403" s="171">
        <f t="shared" si="354"/>
        <v>0</v>
      </c>
      <c r="L403" s="171">
        <f t="shared" si="354"/>
        <v>0</v>
      </c>
      <c r="M403" s="171">
        <f t="shared" si="354"/>
        <v>0</v>
      </c>
      <c r="N403" s="171">
        <f t="shared" si="354"/>
        <v>0</v>
      </c>
      <c r="O403" s="171">
        <f t="shared" si="354"/>
        <v>0</v>
      </c>
      <c r="P403" s="171">
        <f t="shared" si="354"/>
        <v>0</v>
      </c>
      <c r="Q403" s="22"/>
    </row>
    <row r="404" spans="1:18" ht="184.5" hidden="1" thickTop="1" thickBot="1" x14ac:dyDescent="0.25">
      <c r="A404" s="202">
        <v>3718880</v>
      </c>
      <c r="B404" s="202">
        <v>8880</v>
      </c>
      <c r="C404" s="174"/>
      <c r="D404" s="187" t="s">
        <v>1199</v>
      </c>
      <c r="E404" s="175">
        <f>E405</f>
        <v>0</v>
      </c>
      <c r="F404" s="175">
        <f t="shared" ref="F404" si="355">F405</f>
        <v>0</v>
      </c>
      <c r="G404" s="175">
        <f t="shared" si="354"/>
        <v>0</v>
      </c>
      <c r="H404" s="175">
        <f t="shared" si="354"/>
        <v>0</v>
      </c>
      <c r="I404" s="175">
        <f t="shared" si="354"/>
        <v>0</v>
      </c>
      <c r="J404" s="175">
        <f t="shared" si="354"/>
        <v>0</v>
      </c>
      <c r="K404" s="175">
        <f t="shared" si="354"/>
        <v>0</v>
      </c>
      <c r="L404" s="175">
        <f t="shared" si="354"/>
        <v>0</v>
      </c>
      <c r="M404" s="175">
        <f t="shared" si="354"/>
        <v>0</v>
      </c>
      <c r="N404" s="175">
        <f t="shared" si="354"/>
        <v>0</v>
      </c>
      <c r="O404" s="175">
        <f t="shared" si="354"/>
        <v>0</v>
      </c>
      <c r="P404" s="175">
        <f t="shared" si="354"/>
        <v>0</v>
      </c>
      <c r="Q404" s="22"/>
    </row>
    <row r="405" spans="1:18" ht="230.25" hidden="1" thickTop="1" thickBot="1" x14ac:dyDescent="0.25">
      <c r="A405" s="805">
        <v>3718881</v>
      </c>
      <c r="B405" s="805">
        <v>8881</v>
      </c>
      <c r="C405" s="805" t="s">
        <v>171</v>
      </c>
      <c r="D405" s="805" t="s">
        <v>1200</v>
      </c>
      <c r="E405" s="186">
        <f>F405</f>
        <v>0</v>
      </c>
      <c r="F405" s="163">
        <f>(2500000)-2500000</f>
        <v>0</v>
      </c>
      <c r="G405" s="163"/>
      <c r="H405" s="163"/>
      <c r="I405" s="163"/>
      <c r="J405" s="807">
        <f t="shared" ref="J405" si="356">L405+O405</f>
        <v>0</v>
      </c>
      <c r="K405" s="163"/>
      <c r="L405" s="164"/>
      <c r="M405" s="164"/>
      <c r="N405" s="164"/>
      <c r="O405" s="801">
        <f t="shared" ref="O405" si="357">K405</f>
        <v>0</v>
      </c>
      <c r="P405" s="807">
        <f t="shared" ref="P405" si="358">+J405+E405</f>
        <v>0</v>
      </c>
      <c r="Q405" s="22"/>
    </row>
    <row r="406" spans="1:18" ht="47.25" thickTop="1" thickBot="1" x14ac:dyDescent="0.25">
      <c r="A406" s="385" t="s">
        <v>857</v>
      </c>
      <c r="B406" s="385" t="s">
        <v>711</v>
      </c>
      <c r="C406" s="385"/>
      <c r="D406" s="385" t="s">
        <v>712</v>
      </c>
      <c r="E406" s="816">
        <f>E407</f>
        <v>328100700</v>
      </c>
      <c r="F406" s="816">
        <f t="shared" ref="F406:P407" si="359">F407</f>
        <v>328100700</v>
      </c>
      <c r="G406" s="816">
        <f t="shared" si="359"/>
        <v>0</v>
      </c>
      <c r="H406" s="816">
        <f t="shared" si="359"/>
        <v>0</v>
      </c>
      <c r="I406" s="816">
        <f t="shared" si="359"/>
        <v>0</v>
      </c>
      <c r="J406" s="816">
        <f t="shared" si="359"/>
        <v>0</v>
      </c>
      <c r="K406" s="816">
        <f t="shared" si="359"/>
        <v>0</v>
      </c>
      <c r="L406" s="816">
        <f t="shared" si="359"/>
        <v>0</v>
      </c>
      <c r="M406" s="816">
        <f t="shared" si="359"/>
        <v>0</v>
      </c>
      <c r="N406" s="816">
        <f t="shared" si="359"/>
        <v>0</v>
      </c>
      <c r="O406" s="816">
        <f t="shared" si="359"/>
        <v>0</v>
      </c>
      <c r="P406" s="816">
        <f t="shared" si="359"/>
        <v>328100700</v>
      </c>
      <c r="Q406" s="22"/>
    </row>
    <row r="407" spans="1:18" ht="91.5" thickTop="1" thickBot="1" x14ac:dyDescent="0.25">
      <c r="A407" s="576">
        <v>3719100</v>
      </c>
      <c r="B407" s="387" t="s">
        <v>859</v>
      </c>
      <c r="C407" s="387"/>
      <c r="D407" s="387" t="s">
        <v>858</v>
      </c>
      <c r="E407" s="391">
        <f>E408</f>
        <v>328100700</v>
      </c>
      <c r="F407" s="391">
        <f t="shared" si="359"/>
        <v>328100700</v>
      </c>
      <c r="G407" s="391">
        <f t="shared" si="359"/>
        <v>0</v>
      </c>
      <c r="H407" s="391">
        <f t="shared" si="359"/>
        <v>0</v>
      </c>
      <c r="I407" s="391">
        <f t="shared" si="359"/>
        <v>0</v>
      </c>
      <c r="J407" s="391">
        <f t="shared" si="359"/>
        <v>0</v>
      </c>
      <c r="K407" s="391">
        <f t="shared" si="359"/>
        <v>0</v>
      </c>
      <c r="L407" s="391">
        <f t="shared" si="359"/>
        <v>0</v>
      </c>
      <c r="M407" s="391">
        <f t="shared" si="359"/>
        <v>0</v>
      </c>
      <c r="N407" s="391">
        <f t="shared" si="359"/>
        <v>0</v>
      </c>
      <c r="O407" s="391">
        <f t="shared" si="359"/>
        <v>0</v>
      </c>
      <c r="P407" s="391">
        <f t="shared" si="359"/>
        <v>328100700</v>
      </c>
      <c r="Q407" s="22"/>
    </row>
    <row r="408" spans="1:18" ht="51" customHeight="1" thickTop="1" thickBot="1" x14ac:dyDescent="0.25">
      <c r="A408" s="457">
        <v>3719110</v>
      </c>
      <c r="B408" s="457">
        <v>9110</v>
      </c>
      <c r="C408" s="808" t="s">
        <v>43</v>
      </c>
      <c r="D408" s="470" t="s">
        <v>456</v>
      </c>
      <c r="E408" s="816">
        <f>F408</f>
        <v>328100700</v>
      </c>
      <c r="F408" s="389">
        <v>328100700</v>
      </c>
      <c r="G408" s="389"/>
      <c r="H408" s="389"/>
      <c r="I408" s="389"/>
      <c r="J408" s="816">
        <f>L408+O408</f>
        <v>0</v>
      </c>
      <c r="K408" s="389"/>
      <c r="L408" s="389"/>
      <c r="M408" s="389"/>
      <c r="N408" s="389"/>
      <c r="O408" s="810">
        <f>K408</f>
        <v>0</v>
      </c>
      <c r="P408" s="816">
        <f>E408+J408</f>
        <v>328100700</v>
      </c>
      <c r="Q408" s="22"/>
    </row>
    <row r="409" spans="1:18" ht="159.75" customHeight="1" thickTop="1" thickBot="1" x14ac:dyDescent="0.25">
      <c r="A409" s="648" t="s">
        <v>386</v>
      </c>
      <c r="B409" s="648" t="s">
        <v>386</v>
      </c>
      <c r="C409" s="648" t="s">
        <v>386</v>
      </c>
      <c r="D409" s="648" t="s">
        <v>396</v>
      </c>
      <c r="E409" s="649">
        <f t="shared" ref="E409:P409" si="360">E16+E45+E208+E97+E127+E186++E301+E326+E392+E354+E373+E383+E335+E270+E244</f>
        <v>4033083444.1600003</v>
      </c>
      <c r="F409" s="649">
        <f t="shared" si="360"/>
        <v>4033083444.1600003</v>
      </c>
      <c r="G409" s="649">
        <f t="shared" si="360"/>
        <v>1609339914</v>
      </c>
      <c r="H409" s="649">
        <f t="shared" si="360"/>
        <v>229340254.57000002</v>
      </c>
      <c r="I409" s="649">
        <f t="shared" si="360"/>
        <v>0</v>
      </c>
      <c r="J409" s="649">
        <f t="shared" si="360"/>
        <v>1184179344.1500001</v>
      </c>
      <c r="K409" s="649">
        <f t="shared" si="360"/>
        <v>981010780.07000005</v>
      </c>
      <c r="L409" s="649">
        <f t="shared" si="360"/>
        <v>196230875.08000001</v>
      </c>
      <c r="M409" s="649">
        <f t="shared" si="360"/>
        <v>49437085</v>
      </c>
      <c r="N409" s="649">
        <f t="shared" si="360"/>
        <v>16983655</v>
      </c>
      <c r="O409" s="649">
        <f t="shared" si="360"/>
        <v>987948469.07000005</v>
      </c>
      <c r="P409" s="649">
        <f t="shared" si="360"/>
        <v>5217262788.3100004</v>
      </c>
      <c r="Q409" s="94" t="b">
        <f>P409=J409+E409</f>
        <v>1</v>
      </c>
    </row>
    <row r="410" spans="1:18" ht="46.5" thickTop="1" x14ac:dyDescent="0.2">
      <c r="A410" s="884" t="s">
        <v>1359</v>
      </c>
      <c r="B410" s="885"/>
      <c r="C410" s="885"/>
      <c r="D410" s="885"/>
      <c r="E410" s="885"/>
      <c r="F410" s="885"/>
      <c r="G410" s="885"/>
      <c r="H410" s="885"/>
      <c r="I410" s="885"/>
      <c r="J410" s="885"/>
      <c r="K410" s="885"/>
      <c r="L410" s="885"/>
      <c r="M410" s="885"/>
      <c r="N410" s="885"/>
      <c r="O410" s="885"/>
      <c r="P410" s="885"/>
      <c r="Q410" s="98"/>
    </row>
    <row r="411" spans="1:18" ht="60.75" hidden="1" x14ac:dyDescent="0.2">
      <c r="A411" s="203"/>
      <c r="B411" s="204"/>
      <c r="C411" s="204"/>
      <c r="D411" s="204"/>
      <c r="E411" s="450">
        <f>F411</f>
        <v>4033083444.1600003</v>
      </c>
      <c r="F411" s="450">
        <f>((((3042022336.28+630802893+8260086)-9359911-150000-4895000)+408547246.84-3366523)-1013222.5)+88281-36901152.46-451590-500000</f>
        <v>4033083444.1600003</v>
      </c>
      <c r="G411" s="450">
        <f>((97820900+700442852+88293048+2636610+43398010+109636660+47666561+1669391+510343880+3045420)+13450+3532532)+840600</f>
        <v>1609339914</v>
      </c>
      <c r="H411" s="450">
        <f>(7110100+195613308+216098+5150735+74329+8494910+3165886+4570553+4601586)+142020.09+148400+52329.48</f>
        <v>229340254.56999999</v>
      </c>
      <c r="I411" s="450">
        <v>0</v>
      </c>
      <c r="J411" s="450">
        <f>(((411784702.72+[1]d2!E37-[1]d4!N17)+13686000+150000+4895000)+715534375.97+3366523)+36901152.46+451590+500000</f>
        <v>1184179344.1500001</v>
      </c>
      <c r="K411" s="450">
        <f>(((411784702.72+[1]d2!F37-[1]d4!N17-2950700-1350000-188624447)+13686000+150000+4895000)+715534375.97-6350319-2606434-1286664.08+3366523)+36901152.46+451590+500000</f>
        <v>981010780.07000005</v>
      </c>
      <c r="L411" s="450">
        <f>((3326700+171685130+2118642+1000000+640000+211210+9125775)+784434+6275319+506938.21+479725.87-50000)+127001</f>
        <v>196230875.08000001</v>
      </c>
      <c r="M411" s="450">
        <f>(39544820+350000+361000+5000+1072780+6635445)+1468040</f>
        <v>49437085</v>
      </c>
      <c r="N411" s="450">
        <f>(15551110+158000+55000+195110+383875+290560)+350000</f>
        <v>16983655</v>
      </c>
      <c r="O411" s="450">
        <f>(((411784702.72+[1]d2!F37-[1]d4!N17-188624447-2950700-1350000+(90000+122380+3445630+185680)+974000)+13686000+150000+4895000)+(715534375.97-6350319-2606434-1286664.08)+1822000+75000+300000+50000+3366523)+36901152.46-127001+451590+500000</f>
        <v>987948469.07000005</v>
      </c>
      <c r="P411" s="450">
        <f>(((3453807039+[1]d2!E37-[1]d4!Q28+630802893+8260086)+16400+4309689)+1124081622.81)+88281</f>
        <v>5217262788.3099995</v>
      </c>
      <c r="Q411" s="94" t="b">
        <f>E411+J411=P411</f>
        <v>1</v>
      </c>
      <c r="R411" s="59"/>
    </row>
    <row r="412" spans="1:18" ht="75.75" customHeight="1" x14ac:dyDescent="0.65">
      <c r="A412" s="819"/>
      <c r="B412" s="820"/>
      <c r="C412" s="820"/>
      <c r="D412" s="3" t="s">
        <v>1388</v>
      </c>
      <c r="E412" s="400"/>
      <c r="F412" s="400"/>
      <c r="G412" s="756"/>
      <c r="H412" s="3"/>
      <c r="I412" s="2"/>
      <c r="J412" s="3"/>
      <c r="K412" s="3" t="s">
        <v>1467</v>
      </c>
      <c r="L412" s="85"/>
      <c r="M412" s="85"/>
      <c r="N412" s="85"/>
      <c r="O412" s="85"/>
      <c r="P412" s="85"/>
      <c r="Q412" s="98"/>
    </row>
    <row r="413" spans="1:18" ht="45.75" x14ac:dyDescent="0.65">
      <c r="A413" s="819"/>
      <c r="B413" s="820"/>
      <c r="C413" s="820"/>
      <c r="D413" s="928"/>
      <c r="E413" s="928"/>
      <c r="F413" s="928"/>
      <c r="G413" s="928"/>
      <c r="H413" s="928"/>
      <c r="I413" s="928"/>
      <c r="J413" s="928"/>
      <c r="K413" s="928"/>
      <c r="L413" s="928"/>
      <c r="M413" s="928"/>
      <c r="N413" s="928"/>
      <c r="O413" s="928"/>
      <c r="P413" s="928"/>
      <c r="Q413" s="98"/>
    </row>
    <row r="414" spans="1:18" ht="46.5" thickBot="1" x14ac:dyDescent="0.7">
      <c r="A414" s="819"/>
      <c r="B414" s="820"/>
      <c r="C414" s="820"/>
      <c r="D414" s="941" t="s">
        <v>529</v>
      </c>
      <c r="E414" s="942"/>
      <c r="F414" s="942"/>
      <c r="G414" s="757"/>
      <c r="H414" s="757"/>
      <c r="I414" s="85"/>
      <c r="J414" s="85"/>
      <c r="K414" s="3" t="s">
        <v>1465</v>
      </c>
      <c r="L414" s="85"/>
      <c r="M414" s="85"/>
      <c r="N414" s="85"/>
      <c r="O414" s="85"/>
      <c r="P414" s="85"/>
      <c r="Q414" s="98"/>
    </row>
    <row r="415" spans="1:18" ht="47.25" thickTop="1" thickBot="1" x14ac:dyDescent="0.7">
      <c r="A415" s="21"/>
      <c r="B415" s="21"/>
      <c r="C415" s="21"/>
      <c r="D415" s="886"/>
      <c r="E415" s="886"/>
      <c r="F415" s="886"/>
      <c r="G415" s="886"/>
      <c r="H415" s="886"/>
      <c r="I415" s="886"/>
      <c r="J415" s="886"/>
      <c r="K415" s="886"/>
      <c r="L415" s="886"/>
      <c r="M415" s="886"/>
      <c r="N415" s="886"/>
      <c r="O415" s="886"/>
      <c r="P415" s="886"/>
      <c r="Q415" s="99"/>
    </row>
    <row r="416" spans="1:18" ht="95.25" customHeight="1" thickTop="1" x14ac:dyDescent="0.55000000000000004">
      <c r="G416" s="61"/>
      <c r="H416" s="61"/>
      <c r="I416" s="107"/>
      <c r="J416" s="108"/>
      <c r="K416" s="108"/>
      <c r="L416" s="107"/>
      <c r="M416" s="107"/>
      <c r="N416" s="107"/>
      <c r="O416" s="107"/>
      <c r="P416" s="108"/>
      <c r="Q416" s="97"/>
    </row>
    <row r="417" spans="1:18" hidden="1" x14ac:dyDescent="0.2">
      <c r="E417" s="62"/>
      <c r="F417" s="63"/>
      <c r="G417" s="61"/>
      <c r="H417" s="61"/>
      <c r="I417" s="107"/>
      <c r="J417" s="109"/>
      <c r="K417" s="109"/>
      <c r="L417" s="107"/>
      <c r="M417" s="107"/>
      <c r="N417" s="107"/>
      <c r="O417" s="107"/>
      <c r="P417" s="108"/>
    </row>
    <row r="418" spans="1:18" hidden="1" x14ac:dyDescent="0.2">
      <c r="E418" s="62"/>
      <c r="F418" s="63"/>
      <c r="G418" s="61"/>
      <c r="H418" s="61"/>
      <c r="I418" s="107"/>
      <c r="J418" s="109"/>
      <c r="K418" s="109"/>
      <c r="L418" s="107"/>
      <c r="M418" s="107"/>
      <c r="N418" s="107"/>
      <c r="O418" s="107"/>
      <c r="P418" s="108"/>
    </row>
    <row r="419" spans="1:18" ht="60.75" hidden="1" x14ac:dyDescent="0.2">
      <c r="E419" s="94" t="b">
        <f>E411=E409</f>
        <v>1</v>
      </c>
      <c r="F419" s="94" t="b">
        <f>F411=F409</f>
        <v>1</v>
      </c>
      <c r="G419" s="94" t="b">
        <f>G411=G409</f>
        <v>1</v>
      </c>
      <c r="H419" s="94" t="b">
        <f t="shared" ref="H419:O419" si="361">H411=H409</f>
        <v>1</v>
      </c>
      <c r="I419" s="94" t="b">
        <f>I411=I409</f>
        <v>1</v>
      </c>
      <c r="J419" s="94" t="b">
        <f>J409=J411</f>
        <v>1</v>
      </c>
      <c r="K419" s="94" t="b">
        <f>K411=K409</f>
        <v>1</v>
      </c>
      <c r="L419" s="94" t="b">
        <f t="shared" si="361"/>
        <v>1</v>
      </c>
      <c r="M419" s="94" t="b">
        <f t="shared" si="361"/>
        <v>1</v>
      </c>
      <c r="N419" s="94" t="b">
        <f>N411=N409</f>
        <v>1</v>
      </c>
      <c r="O419" s="94" t="b">
        <f t="shared" si="361"/>
        <v>1</v>
      </c>
      <c r="P419" s="94" t="b">
        <f>P411=P409</f>
        <v>1</v>
      </c>
    </row>
    <row r="420" spans="1:18" ht="61.5" x14ac:dyDescent="0.2">
      <c r="E420" s="94" t="b">
        <f>E409=F409</f>
        <v>1</v>
      </c>
      <c r="F420" s="122">
        <f>F402/E409</f>
        <v>5.3740332651396909E-3</v>
      </c>
      <c r="G420" s="101"/>
      <c r="H420" s="102"/>
      <c r="I420" s="103"/>
      <c r="J420" s="94" t="b">
        <f>J411=L411+O411</f>
        <v>1</v>
      </c>
      <c r="K420" s="110"/>
      <c r="L420" s="94"/>
      <c r="M420" s="103"/>
      <c r="N420" s="103"/>
      <c r="O420" s="94"/>
      <c r="P420" s="94" t="b">
        <f>E409+J409=P409</f>
        <v>1</v>
      </c>
    </row>
    <row r="421" spans="1:18" ht="60.75" x14ac:dyDescent="0.2">
      <c r="E421" s="104"/>
      <c r="F421" s="105"/>
      <c r="G421" s="104"/>
      <c r="H421" s="106"/>
      <c r="I421" s="104"/>
      <c r="J421" s="62"/>
      <c r="K421" s="62"/>
    </row>
    <row r="422" spans="1:18" ht="61.5" x14ac:dyDescent="0.2">
      <c r="A422" s="118"/>
      <c r="B422" s="118"/>
      <c r="C422" s="118"/>
      <c r="D422" s="24"/>
      <c r="E422" s="40">
        <f>E409-E411</f>
        <v>0</v>
      </c>
      <c r="F422" s="122">
        <f>400000/E409</f>
        <v>9.9179698495752524E-5</v>
      </c>
      <c r="G422" s="101"/>
      <c r="H422" s="64"/>
      <c r="I422" s="24"/>
      <c r="J422" s="40">
        <f>J409-J411</f>
        <v>0</v>
      </c>
      <c r="K422" s="40">
        <f>K409-K411</f>
        <v>0</v>
      </c>
      <c r="L422" s="40"/>
      <c r="M422" s="40"/>
      <c r="N422" s="40"/>
      <c r="O422" s="40">
        <f>O409-O411</f>
        <v>0</v>
      </c>
      <c r="P422" s="40"/>
    </row>
    <row r="423" spans="1:18" ht="61.5" x14ac:dyDescent="0.2">
      <c r="D423" s="24"/>
      <c r="E423" s="40"/>
      <c r="F423" s="66"/>
      <c r="G423" s="58"/>
      <c r="H423" s="64"/>
      <c r="I423" s="24"/>
      <c r="J423" s="40"/>
      <c r="K423" s="40"/>
      <c r="L423" s="67"/>
      <c r="P423" s="58"/>
      <c r="Q423" s="100"/>
      <c r="R423" s="68"/>
    </row>
    <row r="424" spans="1:18" ht="60.75" x14ac:dyDescent="0.2">
      <c r="A424" s="118"/>
      <c r="B424" s="118"/>
      <c r="C424" s="118"/>
      <c r="D424" s="24"/>
      <c r="E424" s="28"/>
      <c r="F424" s="28"/>
      <c r="G424" s="28"/>
      <c r="H424" s="28"/>
      <c r="I424" s="69"/>
      <c r="J424" s="28"/>
      <c r="K424" s="28"/>
      <c r="L424" s="28"/>
      <c r="M424" s="28"/>
      <c r="N424" s="28"/>
      <c r="O424" s="28"/>
      <c r="P424" s="28"/>
      <c r="Q424" s="100"/>
      <c r="R424" s="68"/>
    </row>
    <row r="425" spans="1:18" ht="60.75" x14ac:dyDescent="0.2">
      <c r="D425" s="24"/>
      <c r="E425" s="40"/>
      <c r="F425" s="70"/>
      <c r="G425" s="71"/>
      <c r="O425" s="58"/>
      <c r="P425" s="58"/>
    </row>
    <row r="426" spans="1:18" ht="60.75" x14ac:dyDescent="0.2">
      <c r="A426" s="118"/>
      <c r="B426" s="118"/>
      <c r="C426" s="118"/>
      <c r="D426" s="24"/>
      <c r="E426" s="40"/>
      <c r="F426" s="65"/>
      <c r="G426" s="67"/>
      <c r="I426" s="72"/>
      <c r="J426" s="62"/>
      <c r="K426" s="62"/>
      <c r="L426" s="118"/>
      <c r="M426" s="118"/>
      <c r="N426" s="118"/>
      <c r="O426" s="118"/>
      <c r="P426" s="58"/>
    </row>
    <row r="427" spans="1:18" ht="62.25" x14ac:dyDescent="0.8">
      <c r="A427" s="118"/>
      <c r="B427" s="118"/>
      <c r="C427" s="118"/>
      <c r="D427" s="118"/>
      <c r="E427" s="73"/>
      <c r="F427" s="65"/>
      <c r="J427" s="62"/>
      <c r="K427" s="62"/>
      <c r="L427" s="118"/>
      <c r="M427" s="118"/>
      <c r="N427" s="118"/>
      <c r="O427" s="118"/>
      <c r="P427" s="74"/>
    </row>
    <row r="428" spans="1:18" ht="45.75" x14ac:dyDescent="0.2">
      <c r="E428" s="75"/>
      <c r="F428" s="70"/>
    </row>
    <row r="429" spans="1:18" ht="45.75" x14ac:dyDescent="0.2">
      <c r="A429" s="118"/>
      <c r="B429" s="118"/>
      <c r="C429" s="118"/>
      <c r="D429" s="118"/>
      <c r="E429" s="73"/>
      <c r="F429" s="65"/>
      <c r="L429" s="118"/>
      <c r="M429" s="118"/>
      <c r="N429" s="118"/>
      <c r="O429" s="118"/>
      <c r="P429" s="118"/>
    </row>
    <row r="430" spans="1:18" ht="45.75" x14ac:dyDescent="0.2">
      <c r="E430" s="76"/>
      <c r="F430" s="70"/>
    </row>
    <row r="431" spans="1:18" ht="45.75" x14ac:dyDescent="0.2">
      <c r="E431" s="76"/>
      <c r="F431" s="70"/>
    </row>
    <row r="432" spans="1:18" ht="45.75" x14ac:dyDescent="0.2">
      <c r="E432" s="76"/>
      <c r="F432" s="70"/>
    </row>
    <row r="433" spans="1:16" ht="45.75" x14ac:dyDescent="0.2">
      <c r="A433" s="118"/>
      <c r="B433" s="118"/>
      <c r="C433" s="118"/>
      <c r="D433" s="118"/>
      <c r="E433" s="76"/>
      <c r="F433" s="70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</row>
    <row r="434" spans="1:16" ht="45.75" x14ac:dyDescent="0.2">
      <c r="A434" s="118"/>
      <c r="B434" s="118"/>
      <c r="C434" s="118"/>
      <c r="D434" s="118"/>
      <c r="E434" s="76"/>
      <c r="F434" s="70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</row>
    <row r="435" spans="1:16" ht="45.75" x14ac:dyDescent="0.2">
      <c r="A435" s="118"/>
      <c r="B435" s="118"/>
      <c r="C435" s="118"/>
      <c r="D435" s="118"/>
      <c r="E435" s="76"/>
      <c r="F435" s="70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</row>
    <row r="436" spans="1:16" ht="45.75" x14ac:dyDescent="0.2">
      <c r="A436" s="118"/>
      <c r="B436" s="118"/>
      <c r="C436" s="118"/>
      <c r="D436" s="118"/>
      <c r="E436" s="76"/>
      <c r="F436" s="70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</row>
  </sheetData>
  <mergeCells count="198">
    <mergeCell ref="A410:P410"/>
    <mergeCell ref="D413:P413"/>
    <mergeCell ref="D414:F414"/>
    <mergeCell ref="D415:P415"/>
    <mergeCell ref="K322:K323"/>
    <mergeCell ref="L322:L323"/>
    <mergeCell ref="M322:M323"/>
    <mergeCell ref="N322:N323"/>
    <mergeCell ref="O322:O323"/>
    <mergeCell ref="P322:P323"/>
    <mergeCell ref="P292:P293"/>
    <mergeCell ref="A322:A323"/>
    <mergeCell ref="B322:B323"/>
    <mergeCell ref="C322:C323"/>
    <mergeCell ref="E322:E323"/>
    <mergeCell ref="F322:F323"/>
    <mergeCell ref="G322:G323"/>
    <mergeCell ref="H322:H323"/>
    <mergeCell ref="I322:I323"/>
    <mergeCell ref="J322:J323"/>
    <mergeCell ref="J292:J293"/>
    <mergeCell ref="K292:K293"/>
    <mergeCell ref="L292:L293"/>
    <mergeCell ref="M292:M293"/>
    <mergeCell ref="N292:N293"/>
    <mergeCell ref="O292:O293"/>
    <mergeCell ref="A292:A293"/>
    <mergeCell ref="B292:B293"/>
    <mergeCell ref="C292:C293"/>
    <mergeCell ref="E292:E293"/>
    <mergeCell ref="F292:F293"/>
    <mergeCell ref="G292:G293"/>
    <mergeCell ref="H292:H293"/>
    <mergeCell ref="I292:I293"/>
    <mergeCell ref="I264:I265"/>
    <mergeCell ref="N183:N184"/>
    <mergeCell ref="O183:O184"/>
    <mergeCell ref="P183:P184"/>
    <mergeCell ref="A264:A265"/>
    <mergeCell ref="B264:B265"/>
    <mergeCell ref="C264:C265"/>
    <mergeCell ref="E264:E265"/>
    <mergeCell ref="F264:F265"/>
    <mergeCell ref="G264:G265"/>
    <mergeCell ref="H264:H265"/>
    <mergeCell ref="H183:H184"/>
    <mergeCell ref="I183:I184"/>
    <mergeCell ref="J183:J184"/>
    <mergeCell ref="K183:K184"/>
    <mergeCell ref="L183:L184"/>
    <mergeCell ref="M183:M184"/>
    <mergeCell ref="O264:O265"/>
    <mergeCell ref="P264:P265"/>
    <mergeCell ref="J264:J265"/>
    <mergeCell ref="K264:K265"/>
    <mergeCell ref="L264:L265"/>
    <mergeCell ref="M264:M265"/>
    <mergeCell ref="N264:N265"/>
    <mergeCell ref="A183:A184"/>
    <mergeCell ref="B183:B184"/>
    <mergeCell ref="C183:C184"/>
    <mergeCell ref="E183:E184"/>
    <mergeCell ref="F183:F184"/>
    <mergeCell ref="G183:G184"/>
    <mergeCell ref="H165:H167"/>
    <mergeCell ref="I165:I167"/>
    <mergeCell ref="J165:J167"/>
    <mergeCell ref="R162:R164"/>
    <mergeCell ref="A165:A167"/>
    <mergeCell ref="B165:B167"/>
    <mergeCell ref="C165:C167"/>
    <mergeCell ref="E165:E167"/>
    <mergeCell ref="F165:F167"/>
    <mergeCell ref="G165:G167"/>
    <mergeCell ref="H162:H164"/>
    <mergeCell ref="I162:I164"/>
    <mergeCell ref="J162:J164"/>
    <mergeCell ref="K162:K164"/>
    <mergeCell ref="L162:L164"/>
    <mergeCell ref="M162:M164"/>
    <mergeCell ref="N165:N167"/>
    <mergeCell ref="O165:O167"/>
    <mergeCell ref="P165:P167"/>
    <mergeCell ref="R165:R167"/>
    <mergeCell ref="K165:K167"/>
    <mergeCell ref="L165:L167"/>
    <mergeCell ref="M165:M167"/>
    <mergeCell ref="A162:A164"/>
    <mergeCell ref="B162:B164"/>
    <mergeCell ref="C162:C164"/>
    <mergeCell ref="E162:E164"/>
    <mergeCell ref="F162:F164"/>
    <mergeCell ref="G162:G164"/>
    <mergeCell ref="H158:H161"/>
    <mergeCell ref="I158:I161"/>
    <mergeCell ref="J158:J161"/>
    <mergeCell ref="Q155:Q157"/>
    <mergeCell ref="N162:N164"/>
    <mergeCell ref="O162:O164"/>
    <mergeCell ref="P162:P164"/>
    <mergeCell ref="R155:R157"/>
    <mergeCell ref="A158:A161"/>
    <mergeCell ref="B158:B161"/>
    <mergeCell ref="C158:C161"/>
    <mergeCell ref="E158:E161"/>
    <mergeCell ref="F158:F161"/>
    <mergeCell ref="G158:G161"/>
    <mergeCell ref="I155:I157"/>
    <mergeCell ref="J155:J157"/>
    <mergeCell ref="K155:K157"/>
    <mergeCell ref="L155:L157"/>
    <mergeCell ref="M155:M157"/>
    <mergeCell ref="N155:N157"/>
    <mergeCell ref="N158:N161"/>
    <mergeCell ref="O158:O161"/>
    <mergeCell ref="P158:P161"/>
    <mergeCell ref="R158:R161"/>
    <mergeCell ref="K158:K161"/>
    <mergeCell ref="L158:L161"/>
    <mergeCell ref="M158:M161"/>
    <mergeCell ref="P74:P75"/>
    <mergeCell ref="A155:A157"/>
    <mergeCell ref="B155:B157"/>
    <mergeCell ref="C155:C157"/>
    <mergeCell ref="E155:E157"/>
    <mergeCell ref="F155:F157"/>
    <mergeCell ref="G155:G157"/>
    <mergeCell ref="H155:H157"/>
    <mergeCell ref="H74:H75"/>
    <mergeCell ref="I74:I75"/>
    <mergeCell ref="J74:J75"/>
    <mergeCell ref="K74:K75"/>
    <mergeCell ref="L74:L75"/>
    <mergeCell ref="M74:M75"/>
    <mergeCell ref="O155:O157"/>
    <mergeCell ref="P155:P157"/>
    <mergeCell ref="N55:N56"/>
    <mergeCell ref="O55:O56"/>
    <mergeCell ref="P55:P56"/>
    <mergeCell ref="A74:A75"/>
    <mergeCell ref="B74:B75"/>
    <mergeCell ref="C74:C75"/>
    <mergeCell ref="D74:D75"/>
    <mergeCell ref="E74:E75"/>
    <mergeCell ref="F74:F75"/>
    <mergeCell ref="G74:G75"/>
    <mergeCell ref="H55:H56"/>
    <mergeCell ref="I55:I56"/>
    <mergeCell ref="J55:J56"/>
    <mergeCell ref="K55:K56"/>
    <mergeCell ref="L55:L56"/>
    <mergeCell ref="M55:M56"/>
    <mergeCell ref="A55:A56"/>
    <mergeCell ref="B55:B56"/>
    <mergeCell ref="C55:C56"/>
    <mergeCell ref="E55:E56"/>
    <mergeCell ref="F55:F56"/>
    <mergeCell ref="G55:G56"/>
    <mergeCell ref="N74:N75"/>
    <mergeCell ref="O74:O75"/>
    <mergeCell ref="K29:K30"/>
    <mergeCell ref="L29:L30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</mergeCells>
  <conditionalFormatting sqref="Q392:Q393 Q395:R399 R394:S394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85:R387 Q383:R384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93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35:Q336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35:R336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26:R327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26:Q333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R328:R333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73:R37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61:R37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Q379:Q381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94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9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8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90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75:R378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73:Q378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37:Q352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R337:R352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54:R360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T441"/>
  <sheetViews>
    <sheetView view="pageBreakPreview" zoomScale="25" zoomScaleNormal="25" zoomScaleSheetLayoutView="25" zoomScalePageLayoutView="10" workbookViewId="0">
      <pane ySplit="14" topLeftCell="A399" activePane="bottomLeft" state="frozen"/>
      <selection activeCell="K371" sqref="K371"/>
      <selection pane="bottomLeft" activeCell="E397" sqref="E397"/>
    </sheetView>
  </sheetViews>
  <sheetFormatPr defaultColWidth="9.140625" defaultRowHeight="12.75" x14ac:dyDescent="0.2"/>
  <cols>
    <col min="1" max="1" width="48" style="20" customWidth="1"/>
    <col min="2" max="2" width="52.5703125" style="20" customWidth="1"/>
    <col min="3" max="3" width="65.7109375" style="20" customWidth="1"/>
    <col min="4" max="4" width="106.28515625" style="20" customWidth="1"/>
    <col min="5" max="5" width="66.42578125" style="60" customWidth="1"/>
    <col min="6" max="6" width="62.5703125" style="20" customWidth="1"/>
    <col min="7" max="7" width="59.7109375" style="20" customWidth="1"/>
    <col min="8" max="8" width="53.140625" style="20" customWidth="1"/>
    <col min="9" max="9" width="41.85546875" style="20" customWidth="1"/>
    <col min="10" max="10" width="50.5703125" style="60" customWidth="1"/>
    <col min="11" max="11" width="52.5703125" style="60" customWidth="1"/>
    <col min="12" max="12" width="56.140625" style="20" customWidth="1"/>
    <col min="13" max="13" width="54.85546875" style="20" customWidth="1"/>
    <col min="14" max="14" width="51" style="20" customWidth="1"/>
    <col min="15" max="15" width="56.140625" style="20" bestFit="1" customWidth="1"/>
    <col min="16" max="16" width="86.28515625" style="60" customWidth="1"/>
    <col min="17" max="17" width="52.140625" style="96" customWidth="1"/>
    <col min="18" max="18" width="33.85546875" style="22" customWidth="1"/>
    <col min="19" max="19" width="40.140625" style="118" bestFit="1" customWidth="1"/>
    <col min="20" max="20" width="43.5703125" style="118" bestFit="1" customWidth="1"/>
    <col min="21" max="16384" width="9.140625" style="118"/>
  </cols>
  <sheetData>
    <row r="1" spans="1:18" ht="45.75" x14ac:dyDescent="0.2">
      <c r="A1" s="81"/>
      <c r="B1" s="81"/>
      <c r="C1" s="81"/>
      <c r="D1" s="838"/>
      <c r="E1" s="839"/>
      <c r="F1" s="837"/>
      <c r="G1" s="839"/>
      <c r="H1" s="839"/>
      <c r="I1" s="839"/>
      <c r="J1" s="839"/>
      <c r="K1" s="839"/>
      <c r="L1" s="839"/>
      <c r="M1" s="839"/>
      <c r="N1" s="902" t="s">
        <v>498</v>
      </c>
      <c r="O1" s="903"/>
      <c r="P1" s="903"/>
      <c r="Q1" s="903"/>
    </row>
    <row r="2" spans="1:18" ht="45.75" x14ac:dyDescent="0.2">
      <c r="A2" s="838"/>
      <c r="B2" s="838"/>
      <c r="C2" s="838"/>
      <c r="D2" s="838"/>
      <c r="E2" s="839"/>
      <c r="F2" s="837"/>
      <c r="G2" s="839"/>
      <c r="H2" s="839"/>
      <c r="I2" s="839"/>
      <c r="J2" s="839"/>
      <c r="K2" s="839"/>
      <c r="L2" s="839"/>
      <c r="M2" s="839"/>
      <c r="N2" s="902" t="s">
        <v>1393</v>
      </c>
      <c r="O2" s="904"/>
      <c r="P2" s="904"/>
      <c r="Q2" s="904"/>
    </row>
    <row r="3" spans="1:18" ht="40.700000000000003" customHeight="1" x14ac:dyDescent="0.2">
      <c r="A3" s="838"/>
      <c r="B3" s="838"/>
      <c r="C3" s="838"/>
      <c r="D3" s="838"/>
      <c r="E3" s="839"/>
      <c r="F3" s="837"/>
      <c r="G3" s="839"/>
      <c r="H3" s="839"/>
      <c r="I3" s="839"/>
      <c r="J3" s="839"/>
      <c r="K3" s="839"/>
      <c r="L3" s="839"/>
      <c r="M3" s="839"/>
      <c r="N3" s="839"/>
      <c r="O3" s="902"/>
      <c r="P3" s="905"/>
      <c r="Q3" s="95"/>
    </row>
    <row r="4" spans="1:18" ht="45.75" hidden="1" x14ac:dyDescent="0.2">
      <c r="A4" s="838"/>
      <c r="B4" s="838"/>
      <c r="C4" s="838"/>
      <c r="D4" s="838"/>
      <c r="E4" s="839"/>
      <c r="F4" s="837"/>
      <c r="G4" s="839"/>
      <c r="H4" s="839"/>
      <c r="I4" s="839"/>
      <c r="J4" s="839"/>
      <c r="K4" s="839"/>
      <c r="L4" s="839"/>
      <c r="M4" s="839"/>
      <c r="N4" s="839"/>
      <c r="O4" s="838"/>
      <c r="P4" s="837"/>
      <c r="Q4" s="95"/>
    </row>
    <row r="5" spans="1:18" ht="45" x14ac:dyDescent="0.2">
      <c r="A5" s="906" t="s">
        <v>1556</v>
      </c>
      <c r="B5" s="906"/>
      <c r="C5" s="906"/>
      <c r="D5" s="906"/>
      <c r="E5" s="906"/>
      <c r="F5" s="906"/>
      <c r="G5" s="906"/>
      <c r="H5" s="906"/>
      <c r="I5" s="906"/>
      <c r="J5" s="906"/>
      <c r="K5" s="906"/>
      <c r="L5" s="906"/>
      <c r="M5" s="906"/>
      <c r="N5" s="906"/>
      <c r="O5" s="906"/>
      <c r="P5" s="906"/>
      <c r="Q5" s="95"/>
    </row>
    <row r="6" spans="1:18" ht="45" x14ac:dyDescent="0.2">
      <c r="A6" s="906" t="s">
        <v>1313</v>
      </c>
      <c r="B6" s="906"/>
      <c r="C6" s="906"/>
      <c r="D6" s="906"/>
      <c r="E6" s="906"/>
      <c r="F6" s="906"/>
      <c r="G6" s="906"/>
      <c r="H6" s="906"/>
      <c r="I6" s="906"/>
      <c r="J6" s="906"/>
      <c r="K6" s="906"/>
      <c r="L6" s="906"/>
      <c r="M6" s="906"/>
      <c r="N6" s="906"/>
      <c r="O6" s="906"/>
      <c r="P6" s="906"/>
      <c r="Q6" s="95"/>
    </row>
    <row r="7" spans="1:18" ht="45" x14ac:dyDescent="0.2">
      <c r="A7" s="839"/>
      <c r="B7" s="839"/>
      <c r="C7" s="839"/>
      <c r="D7" s="839"/>
      <c r="E7" s="839"/>
      <c r="F7" s="839"/>
      <c r="G7" s="839"/>
      <c r="H7" s="839"/>
      <c r="I7" s="839"/>
      <c r="J7" s="839"/>
      <c r="K7" s="839"/>
      <c r="L7" s="839"/>
      <c r="M7" s="839"/>
      <c r="N7" s="839"/>
      <c r="O7" s="839"/>
      <c r="P7" s="839"/>
      <c r="Q7" s="95"/>
    </row>
    <row r="8" spans="1:18" ht="45.75" x14ac:dyDescent="0.65">
      <c r="A8" s="907">
        <v>2256400000</v>
      </c>
      <c r="B8" s="908"/>
      <c r="C8" s="839"/>
      <c r="D8" s="839"/>
      <c r="E8" s="839"/>
      <c r="F8" s="839"/>
      <c r="G8" s="839"/>
      <c r="H8" s="839"/>
      <c r="I8" s="839"/>
      <c r="J8" s="839"/>
      <c r="K8" s="839"/>
      <c r="L8" s="839"/>
      <c r="M8" s="839"/>
      <c r="N8" s="839"/>
      <c r="O8" s="839"/>
      <c r="P8" s="839"/>
      <c r="Q8" s="15"/>
    </row>
    <row r="9" spans="1:18" ht="45.75" x14ac:dyDescent="0.2">
      <c r="A9" s="912" t="s">
        <v>495</v>
      </c>
      <c r="B9" s="913"/>
      <c r="C9" s="839"/>
      <c r="D9" s="839"/>
      <c r="E9" s="839"/>
      <c r="F9" s="839"/>
      <c r="G9" s="839"/>
      <c r="H9" s="839"/>
      <c r="I9" s="839"/>
      <c r="J9" s="839"/>
      <c r="K9" s="839"/>
      <c r="L9" s="839"/>
      <c r="M9" s="839"/>
      <c r="N9" s="839"/>
      <c r="O9" s="839"/>
      <c r="P9" s="839"/>
      <c r="Q9" s="15"/>
    </row>
    <row r="10" spans="1:18" ht="53.45" customHeight="1" thickBot="1" x14ac:dyDescent="0.25">
      <c r="A10" s="839"/>
      <c r="B10" s="839"/>
      <c r="C10" s="839"/>
      <c r="D10" s="839"/>
      <c r="E10" s="839"/>
      <c r="F10" s="837"/>
      <c r="G10" s="839"/>
      <c r="H10" s="839"/>
      <c r="I10" s="839"/>
      <c r="J10" s="839"/>
      <c r="K10" s="839"/>
      <c r="L10" s="839"/>
      <c r="M10" s="839"/>
      <c r="N10" s="839"/>
      <c r="O10" s="839"/>
      <c r="P10" s="395" t="s">
        <v>409</v>
      </c>
      <c r="Q10" s="15"/>
    </row>
    <row r="11" spans="1:18" ht="62.45" customHeight="1" thickTop="1" thickBot="1" x14ac:dyDescent="0.25">
      <c r="A11" s="911" t="s">
        <v>496</v>
      </c>
      <c r="B11" s="911" t="s">
        <v>497</v>
      </c>
      <c r="C11" s="911" t="s">
        <v>395</v>
      </c>
      <c r="D11" s="911" t="s">
        <v>579</v>
      </c>
      <c r="E11" s="909" t="s">
        <v>12</v>
      </c>
      <c r="F11" s="909"/>
      <c r="G11" s="909"/>
      <c r="H11" s="909"/>
      <c r="I11" s="909"/>
      <c r="J11" s="909" t="s">
        <v>52</v>
      </c>
      <c r="K11" s="909"/>
      <c r="L11" s="909"/>
      <c r="M11" s="909"/>
      <c r="N11" s="909"/>
      <c r="O11" s="910"/>
      <c r="P11" s="909" t="s">
        <v>11</v>
      </c>
      <c r="Q11" s="22"/>
    </row>
    <row r="12" spans="1:18" ht="96" customHeight="1" thickTop="1" thickBot="1" x14ac:dyDescent="0.25">
      <c r="A12" s="909"/>
      <c r="B12" s="914"/>
      <c r="C12" s="914"/>
      <c r="D12" s="909"/>
      <c r="E12" s="911" t="s">
        <v>389</v>
      </c>
      <c r="F12" s="911" t="s">
        <v>53</v>
      </c>
      <c r="G12" s="911" t="s">
        <v>13</v>
      </c>
      <c r="H12" s="911"/>
      <c r="I12" s="911" t="s">
        <v>55</v>
      </c>
      <c r="J12" s="911" t="s">
        <v>389</v>
      </c>
      <c r="K12" s="911" t="s">
        <v>390</v>
      </c>
      <c r="L12" s="911" t="s">
        <v>53</v>
      </c>
      <c r="M12" s="911" t="s">
        <v>13</v>
      </c>
      <c r="N12" s="911"/>
      <c r="O12" s="911" t="s">
        <v>55</v>
      </c>
      <c r="P12" s="909"/>
      <c r="Q12" s="22"/>
    </row>
    <row r="13" spans="1:18" ht="328.7" customHeight="1" thickTop="1" thickBot="1" x14ac:dyDescent="0.25">
      <c r="A13" s="914"/>
      <c r="B13" s="914"/>
      <c r="C13" s="914"/>
      <c r="D13" s="914"/>
      <c r="E13" s="911"/>
      <c r="F13" s="911"/>
      <c r="G13" s="840" t="s">
        <v>54</v>
      </c>
      <c r="H13" s="840" t="s">
        <v>15</v>
      </c>
      <c r="I13" s="911"/>
      <c r="J13" s="911"/>
      <c r="K13" s="911"/>
      <c r="L13" s="911"/>
      <c r="M13" s="840" t="s">
        <v>54</v>
      </c>
      <c r="N13" s="840" t="s">
        <v>15</v>
      </c>
      <c r="O13" s="911"/>
      <c r="P13" s="909"/>
      <c r="Q13" s="22"/>
    </row>
    <row r="14" spans="1:18" s="26" customFormat="1" ht="47.25" thickTop="1" thickBot="1" x14ac:dyDescent="0.25">
      <c r="A14" s="385" t="s">
        <v>2</v>
      </c>
      <c r="B14" s="385" t="s">
        <v>3</v>
      </c>
      <c r="C14" s="385" t="s">
        <v>14</v>
      </c>
      <c r="D14" s="385" t="s">
        <v>5</v>
      </c>
      <c r="E14" s="385" t="s">
        <v>397</v>
      </c>
      <c r="F14" s="385" t="s">
        <v>398</v>
      </c>
      <c r="G14" s="385" t="s">
        <v>399</v>
      </c>
      <c r="H14" s="385" t="s">
        <v>400</v>
      </c>
      <c r="I14" s="385" t="s">
        <v>401</v>
      </c>
      <c r="J14" s="385" t="s">
        <v>402</v>
      </c>
      <c r="K14" s="385" t="s">
        <v>403</v>
      </c>
      <c r="L14" s="385" t="s">
        <v>404</v>
      </c>
      <c r="M14" s="385" t="s">
        <v>405</v>
      </c>
      <c r="N14" s="385" t="s">
        <v>406</v>
      </c>
      <c r="O14" s="385" t="s">
        <v>407</v>
      </c>
      <c r="P14" s="385" t="s">
        <v>408</v>
      </c>
      <c r="Q14" s="160"/>
      <c r="R14" s="25"/>
    </row>
    <row r="15" spans="1:18" s="26" customFormat="1" ht="136.5" thickTop="1" thickBot="1" x14ac:dyDescent="0.25">
      <c r="A15" s="460" t="s">
        <v>149</v>
      </c>
      <c r="B15" s="460"/>
      <c r="C15" s="460"/>
      <c r="D15" s="461" t="s">
        <v>151</v>
      </c>
      <c r="E15" s="463">
        <f>E16</f>
        <v>42357821.380000003</v>
      </c>
      <c r="F15" s="462">
        <f t="shared" ref="F15:N15" si="0">F16</f>
        <v>42357821.380000003</v>
      </c>
      <c r="G15" s="462">
        <f t="shared" si="0"/>
        <v>0</v>
      </c>
      <c r="H15" s="462">
        <f t="shared" si="0"/>
        <v>0</v>
      </c>
      <c r="I15" s="462">
        <f t="shared" si="0"/>
        <v>0</v>
      </c>
      <c r="J15" s="463">
        <f t="shared" si="0"/>
        <v>15395786.620000005</v>
      </c>
      <c r="K15" s="462">
        <f t="shared" si="0"/>
        <v>14998728.620000005</v>
      </c>
      <c r="L15" s="462">
        <f t="shared" si="0"/>
        <v>0</v>
      </c>
      <c r="M15" s="462">
        <f t="shared" si="0"/>
        <v>0</v>
      </c>
      <c r="N15" s="462">
        <f t="shared" si="0"/>
        <v>0</v>
      </c>
      <c r="O15" s="463">
        <f>O16</f>
        <v>15395786.620000005</v>
      </c>
      <c r="P15" s="462">
        <f t="shared" ref="P15" si="1">P16</f>
        <v>57753608.000000007</v>
      </c>
      <c r="Q15" s="27"/>
      <c r="R15" s="27"/>
    </row>
    <row r="16" spans="1:18" s="26" customFormat="1" ht="136.5" thickTop="1" thickBot="1" x14ac:dyDescent="0.25">
      <c r="A16" s="464" t="s">
        <v>150</v>
      </c>
      <c r="B16" s="464"/>
      <c r="C16" s="464"/>
      <c r="D16" s="465" t="s">
        <v>152</v>
      </c>
      <c r="E16" s="466">
        <f>E17+E22+E33+E39</f>
        <v>42357821.380000003</v>
      </c>
      <c r="F16" s="466">
        <f>F17+F22+F33+F39</f>
        <v>42357821.380000003</v>
      </c>
      <c r="G16" s="466">
        <f>G17+G22+G33+G39</f>
        <v>0</v>
      </c>
      <c r="H16" s="466">
        <f>H17+H22+H33+H39</f>
        <v>0</v>
      </c>
      <c r="I16" s="466">
        <f>I17+I22+I33+I39</f>
        <v>0</v>
      </c>
      <c r="J16" s="466">
        <f>L16+O16</f>
        <v>15395786.620000005</v>
      </c>
      <c r="K16" s="466">
        <f>K17+K22+K33+K39</f>
        <v>14998728.620000005</v>
      </c>
      <c r="L16" s="466">
        <f>L17+L22+L33+L39</f>
        <v>0</v>
      </c>
      <c r="M16" s="466">
        <f>M17+M22+M33+M39</f>
        <v>0</v>
      </c>
      <c r="N16" s="466">
        <f>N17+N22+N33+N39</f>
        <v>0</v>
      </c>
      <c r="O16" s="466">
        <f>O17+O22+O33+O39</f>
        <v>15395786.620000005</v>
      </c>
      <c r="P16" s="466">
        <f>E16+J16</f>
        <v>57753608.000000007</v>
      </c>
      <c r="Q16" s="459" t="b">
        <f>P16=P18+P20+P21+P24+P28+P30+P32+P35+P36+P38+P41+P42+P43+P44+P27</f>
        <v>1</v>
      </c>
      <c r="R16" s="28"/>
    </row>
    <row r="17" spans="1:18" s="30" customFormat="1" ht="47.25" thickTop="1" thickBot="1" x14ac:dyDescent="0.25">
      <c r="A17" s="385" t="s">
        <v>692</v>
      </c>
      <c r="B17" s="385" t="s">
        <v>693</v>
      </c>
      <c r="C17" s="385"/>
      <c r="D17" s="385" t="s">
        <v>694</v>
      </c>
      <c r="E17" s="833">
        <f>'d3'!E17-d3П!E17</f>
        <v>36098783</v>
      </c>
      <c r="F17" s="833">
        <f>'d3'!F17-d3П!F17</f>
        <v>36098783</v>
      </c>
      <c r="G17" s="833">
        <f>'d3'!G17-d3П!G17</f>
        <v>0</v>
      </c>
      <c r="H17" s="833">
        <f>'d3'!H17-d3П!H17</f>
        <v>0</v>
      </c>
      <c r="I17" s="833">
        <f>'d3'!I17-d3П!I17</f>
        <v>0</v>
      </c>
      <c r="J17" s="833">
        <f>'d3'!J17-d3П!J17</f>
        <v>3805300</v>
      </c>
      <c r="K17" s="833">
        <f>'d3'!K17-d3П!K17</f>
        <v>3805300</v>
      </c>
      <c r="L17" s="833">
        <f>'d3'!L17-d3П!L17</f>
        <v>0</v>
      </c>
      <c r="M17" s="833">
        <f>'d3'!M17-d3П!M17</f>
        <v>0</v>
      </c>
      <c r="N17" s="833">
        <f>'d3'!N17-d3П!N17</f>
        <v>0</v>
      </c>
      <c r="O17" s="833">
        <f>'d3'!O17-d3П!O17</f>
        <v>3805300</v>
      </c>
      <c r="P17" s="833">
        <f>'d3'!P17-d3П!P17</f>
        <v>39904083</v>
      </c>
      <c r="Q17" s="33"/>
      <c r="R17" s="29"/>
    </row>
    <row r="18" spans="1:18" ht="321.75" thickTop="1" thickBot="1" x14ac:dyDescent="0.25">
      <c r="A18" s="835" t="s">
        <v>237</v>
      </c>
      <c r="B18" s="835" t="s">
        <v>238</v>
      </c>
      <c r="C18" s="835" t="s">
        <v>239</v>
      </c>
      <c r="D18" s="835" t="s">
        <v>236</v>
      </c>
      <c r="E18" s="833">
        <f>'d3'!E18-d3П!E18</f>
        <v>1245050</v>
      </c>
      <c r="F18" s="833">
        <f>'d3'!F18-d3П!F18</f>
        <v>1245050</v>
      </c>
      <c r="G18" s="833">
        <f>'d3'!G18-d3П!G18</f>
        <v>0</v>
      </c>
      <c r="H18" s="833">
        <f>'d3'!H18-d3П!H18</f>
        <v>0</v>
      </c>
      <c r="I18" s="833">
        <f>'d3'!I18-d3П!I18</f>
        <v>0</v>
      </c>
      <c r="J18" s="833">
        <f>'d3'!J18-d3П!J18</f>
        <v>3805300</v>
      </c>
      <c r="K18" s="833">
        <f>'d3'!K18-d3П!K18</f>
        <v>3805300</v>
      </c>
      <c r="L18" s="833">
        <f>'d3'!L18-d3П!L18</f>
        <v>0</v>
      </c>
      <c r="M18" s="833">
        <f>'d3'!M18-d3П!M18</f>
        <v>0</v>
      </c>
      <c r="N18" s="833">
        <f>'d3'!N18-d3П!N18</f>
        <v>0</v>
      </c>
      <c r="O18" s="833">
        <f>'d3'!O18-d3П!O18</f>
        <v>3805300</v>
      </c>
      <c r="P18" s="833">
        <f>'d3'!P18-d3П!P18</f>
        <v>5050350</v>
      </c>
      <c r="Q18" s="167"/>
      <c r="R18" s="31"/>
    </row>
    <row r="19" spans="1:18" ht="230.25" hidden="1" customHeight="1" thickTop="1" thickBot="1" x14ac:dyDescent="0.25">
      <c r="A19" s="836" t="s">
        <v>590</v>
      </c>
      <c r="B19" s="836" t="s">
        <v>241</v>
      </c>
      <c r="C19" s="836" t="s">
        <v>239</v>
      </c>
      <c r="D19" s="836" t="s">
        <v>240</v>
      </c>
      <c r="E19" s="833">
        <f>'d3'!E19-d3П!E19</f>
        <v>0</v>
      </c>
      <c r="F19" s="833">
        <f>'d3'!F19-d3П!F19</f>
        <v>0</v>
      </c>
      <c r="G19" s="833">
        <f>'d3'!G19-d3П!G19</f>
        <v>0</v>
      </c>
      <c r="H19" s="833">
        <f>'d3'!H19-d3П!H19</f>
        <v>0</v>
      </c>
      <c r="I19" s="833">
        <f>'d3'!I19-d3П!I19</f>
        <v>0</v>
      </c>
      <c r="J19" s="833">
        <f>'d3'!J19-d3П!J19</f>
        <v>0</v>
      </c>
      <c r="K19" s="833">
        <f>'d3'!K19-d3П!K19</f>
        <v>0</v>
      </c>
      <c r="L19" s="833">
        <f>'d3'!L19-d3П!L19</f>
        <v>0</v>
      </c>
      <c r="M19" s="833">
        <f>'d3'!M19-d3П!M19</f>
        <v>0</v>
      </c>
      <c r="N19" s="833">
        <f>'d3'!N19-d3П!N19</f>
        <v>0</v>
      </c>
      <c r="O19" s="833">
        <f>'d3'!O19-d3П!O19</f>
        <v>0</v>
      </c>
      <c r="P19" s="833">
        <f>'d3'!P19-d3П!P19</f>
        <v>0</v>
      </c>
      <c r="Q19" s="167"/>
      <c r="R19" s="31"/>
    </row>
    <row r="20" spans="1:18" ht="184.5" thickTop="1" thickBot="1" x14ac:dyDescent="0.25">
      <c r="A20" s="835" t="s">
        <v>633</v>
      </c>
      <c r="B20" s="835" t="s">
        <v>367</v>
      </c>
      <c r="C20" s="835" t="s">
        <v>634</v>
      </c>
      <c r="D20" s="835" t="s">
        <v>635</v>
      </c>
      <c r="E20" s="833">
        <f>'d3'!E20-d3П!E20</f>
        <v>0</v>
      </c>
      <c r="F20" s="833">
        <f>'d3'!F20-d3П!F20</f>
        <v>0</v>
      </c>
      <c r="G20" s="833">
        <f>'d3'!G20-d3П!G20</f>
        <v>0</v>
      </c>
      <c r="H20" s="833">
        <f>'d3'!H20-d3П!H20</f>
        <v>0</v>
      </c>
      <c r="I20" s="833">
        <f>'d3'!I20-d3П!I20</f>
        <v>0</v>
      </c>
      <c r="J20" s="833">
        <f>'d3'!J20-d3П!J20</f>
        <v>0</v>
      </c>
      <c r="K20" s="833">
        <f>'d3'!K20-d3П!K20</f>
        <v>0</v>
      </c>
      <c r="L20" s="833">
        <f>'d3'!L20-d3П!L20</f>
        <v>0</v>
      </c>
      <c r="M20" s="833">
        <f>'d3'!M20-d3П!M20</f>
        <v>0</v>
      </c>
      <c r="N20" s="833">
        <f>'d3'!N20-d3П!N20</f>
        <v>0</v>
      </c>
      <c r="O20" s="833">
        <f>'d3'!O20-d3П!O20</f>
        <v>0</v>
      </c>
      <c r="P20" s="833">
        <f>'d3'!P20-d3П!P20</f>
        <v>0</v>
      </c>
      <c r="Q20" s="167"/>
      <c r="R20" s="32"/>
    </row>
    <row r="21" spans="1:18" ht="93" thickTop="1" thickBot="1" x14ac:dyDescent="0.25">
      <c r="A21" s="835" t="s">
        <v>252</v>
      </c>
      <c r="B21" s="835" t="s">
        <v>43</v>
      </c>
      <c r="C21" s="835" t="s">
        <v>42</v>
      </c>
      <c r="D21" s="835" t="s">
        <v>253</v>
      </c>
      <c r="E21" s="833">
        <f>'d3'!E21-d3П!E21</f>
        <v>34853733</v>
      </c>
      <c r="F21" s="833">
        <f>'d3'!F21-d3П!F21</f>
        <v>34853733</v>
      </c>
      <c r="G21" s="833">
        <f>'d3'!G21-d3П!G21</f>
        <v>0</v>
      </c>
      <c r="H21" s="833">
        <f>'d3'!H21-d3П!H21</f>
        <v>0</v>
      </c>
      <c r="I21" s="833">
        <f>'d3'!I21-d3П!I21</f>
        <v>0</v>
      </c>
      <c r="J21" s="833">
        <f>'d3'!J21-d3П!J21</f>
        <v>0</v>
      </c>
      <c r="K21" s="833">
        <f>'d3'!K21-d3П!K21</f>
        <v>0</v>
      </c>
      <c r="L21" s="833">
        <f>'d3'!L21-d3П!L21</f>
        <v>0</v>
      </c>
      <c r="M21" s="833">
        <f>'d3'!M21-d3П!M21</f>
        <v>0</v>
      </c>
      <c r="N21" s="833">
        <f>'d3'!N21-d3П!N21</f>
        <v>0</v>
      </c>
      <c r="O21" s="833">
        <f>'d3'!O21-d3П!O21</f>
        <v>0</v>
      </c>
      <c r="P21" s="833">
        <f>'d3'!P21-d3П!P21</f>
        <v>34853733</v>
      </c>
      <c r="Q21" s="167"/>
      <c r="R21" s="32"/>
    </row>
    <row r="22" spans="1:18" s="30" customFormat="1" ht="47.25" thickTop="1" thickBot="1" x14ac:dyDescent="0.3">
      <c r="A22" s="385" t="s">
        <v>756</v>
      </c>
      <c r="B22" s="385" t="s">
        <v>757</v>
      </c>
      <c r="C22" s="385"/>
      <c r="D22" s="385" t="s">
        <v>758</v>
      </c>
      <c r="E22" s="833">
        <f>'d3'!E22-d3П!E22</f>
        <v>35000</v>
      </c>
      <c r="F22" s="833">
        <f>'d3'!F22-d3П!F22</f>
        <v>35000</v>
      </c>
      <c r="G22" s="833">
        <f>'d3'!G22-d3П!G22</f>
        <v>0</v>
      </c>
      <c r="H22" s="833">
        <f>'d3'!H22-d3П!H22</f>
        <v>0</v>
      </c>
      <c r="I22" s="833">
        <f>'d3'!I22-d3П!I22</f>
        <v>0</v>
      </c>
      <c r="J22" s="833">
        <f>'d3'!J22-d3П!J22</f>
        <v>1952058.0000000037</v>
      </c>
      <c r="K22" s="833">
        <f>'d3'!K22-d3П!K22</f>
        <v>1555000</v>
      </c>
      <c r="L22" s="833">
        <f>'d3'!L22-d3П!L22</f>
        <v>0</v>
      </c>
      <c r="M22" s="833">
        <f>'d3'!M22-d3П!M22</f>
        <v>0</v>
      </c>
      <c r="N22" s="833">
        <f>'d3'!N22-d3П!N22</f>
        <v>0</v>
      </c>
      <c r="O22" s="833">
        <f>'d3'!O22-d3П!O22</f>
        <v>1952058</v>
      </c>
      <c r="P22" s="833">
        <f>'d3'!P22-d3П!P22</f>
        <v>1987058</v>
      </c>
      <c r="Q22" s="169"/>
      <c r="R22" s="33"/>
    </row>
    <row r="23" spans="1:18" s="35" customFormat="1" ht="91.5" thickTop="1" thickBot="1" x14ac:dyDescent="0.25">
      <c r="A23" s="387" t="s">
        <v>695</v>
      </c>
      <c r="B23" s="387" t="s">
        <v>696</v>
      </c>
      <c r="C23" s="387"/>
      <c r="D23" s="387" t="s">
        <v>697</v>
      </c>
      <c r="E23" s="833">
        <f>'d3'!E23-d3П!E23</f>
        <v>35000</v>
      </c>
      <c r="F23" s="833">
        <f>'d3'!F23-d3П!F23</f>
        <v>35000</v>
      </c>
      <c r="G23" s="833">
        <f>'d3'!G23-d3П!G23</f>
        <v>0</v>
      </c>
      <c r="H23" s="833">
        <f>'d3'!H23-d3П!H23</f>
        <v>0</v>
      </c>
      <c r="I23" s="833">
        <f>'d3'!I23-d3П!I23</f>
        <v>0</v>
      </c>
      <c r="J23" s="833">
        <f>'d3'!J23-d3П!J23</f>
        <v>555000</v>
      </c>
      <c r="K23" s="833">
        <f>'d3'!K23-d3П!K23</f>
        <v>555000</v>
      </c>
      <c r="L23" s="833">
        <f>'d3'!L23-d3П!L23</f>
        <v>0</v>
      </c>
      <c r="M23" s="833">
        <f>'d3'!M23-d3П!M23</f>
        <v>0</v>
      </c>
      <c r="N23" s="833">
        <f>'d3'!N23-d3П!N23</f>
        <v>0</v>
      </c>
      <c r="O23" s="833">
        <f>'d3'!O23-d3П!O23</f>
        <v>555000</v>
      </c>
      <c r="P23" s="833">
        <f>'d3'!P23-d3П!P23</f>
        <v>590000</v>
      </c>
      <c r="Q23" s="172"/>
      <c r="R23" s="34"/>
    </row>
    <row r="24" spans="1:18" ht="93" thickTop="1" thickBot="1" x14ac:dyDescent="0.25">
      <c r="A24" s="835" t="s">
        <v>243</v>
      </c>
      <c r="B24" s="835" t="s">
        <v>244</v>
      </c>
      <c r="C24" s="835" t="s">
        <v>245</v>
      </c>
      <c r="D24" s="835" t="s">
        <v>242</v>
      </c>
      <c r="E24" s="833">
        <f>'d3'!E24-d3П!E24</f>
        <v>35000</v>
      </c>
      <c r="F24" s="833">
        <f>'d3'!F24-d3П!F24</f>
        <v>35000</v>
      </c>
      <c r="G24" s="833">
        <f>'d3'!G24-d3П!G24</f>
        <v>0</v>
      </c>
      <c r="H24" s="833">
        <f>'d3'!H24-d3П!H24</f>
        <v>0</v>
      </c>
      <c r="I24" s="833">
        <f>'d3'!I24-d3П!I24</f>
        <v>0</v>
      </c>
      <c r="J24" s="833">
        <f>'d3'!J24-d3П!J24</f>
        <v>555000</v>
      </c>
      <c r="K24" s="833">
        <f>'d3'!K24-d3П!K24</f>
        <v>555000</v>
      </c>
      <c r="L24" s="833">
        <f>'d3'!L24-d3П!L24</f>
        <v>0</v>
      </c>
      <c r="M24" s="833">
        <f>'d3'!M24-d3П!M24</f>
        <v>0</v>
      </c>
      <c r="N24" s="833">
        <f>'d3'!N24-d3П!N24</f>
        <v>0</v>
      </c>
      <c r="O24" s="833">
        <f>'d3'!O24-d3П!O24</f>
        <v>555000</v>
      </c>
      <c r="P24" s="833">
        <f>'d3'!P24-d3П!P24</f>
        <v>590000</v>
      </c>
      <c r="Q24" s="167"/>
      <c r="R24" s="31"/>
    </row>
    <row r="25" spans="1:18" ht="230.25" hidden="1" customHeight="1" thickTop="1" thickBot="1" x14ac:dyDescent="0.25">
      <c r="A25" s="845" t="s">
        <v>995</v>
      </c>
      <c r="B25" s="845" t="s">
        <v>996</v>
      </c>
      <c r="C25" s="845" t="s">
        <v>245</v>
      </c>
      <c r="D25" s="845" t="s">
        <v>997</v>
      </c>
      <c r="E25" s="833">
        <f>'d3'!E25-d3П!E25</f>
        <v>0</v>
      </c>
      <c r="F25" s="833">
        <f>'d3'!F25-d3П!F25</f>
        <v>0</v>
      </c>
      <c r="G25" s="833">
        <f>'d3'!G25-d3П!G25</f>
        <v>0</v>
      </c>
      <c r="H25" s="833">
        <f>'d3'!H25-d3П!H25</f>
        <v>0</v>
      </c>
      <c r="I25" s="833">
        <f>'d3'!I25-d3П!I25</f>
        <v>0</v>
      </c>
      <c r="J25" s="833">
        <f>'d3'!J25-d3П!J25</f>
        <v>0</v>
      </c>
      <c r="K25" s="833">
        <f>'d3'!K25-d3П!K25</f>
        <v>0</v>
      </c>
      <c r="L25" s="833">
        <f>'d3'!L25-d3П!L25</f>
        <v>0</v>
      </c>
      <c r="M25" s="833">
        <f>'d3'!M25-d3П!M25</f>
        <v>0</v>
      </c>
      <c r="N25" s="833">
        <f>'d3'!N25-d3П!N25</f>
        <v>0</v>
      </c>
      <c r="O25" s="833">
        <f>'d3'!O25-d3П!O25</f>
        <v>0</v>
      </c>
      <c r="P25" s="833">
        <f>'d3'!P25-d3П!P25</f>
        <v>0</v>
      </c>
      <c r="Q25" s="167"/>
      <c r="R25" s="31"/>
    </row>
    <row r="26" spans="1:18" s="37" customFormat="1" ht="136.5" thickTop="1" thickBot="1" x14ac:dyDescent="0.25">
      <c r="A26" s="387" t="s">
        <v>699</v>
      </c>
      <c r="B26" s="387" t="s">
        <v>700</v>
      </c>
      <c r="C26" s="387"/>
      <c r="D26" s="387" t="s">
        <v>698</v>
      </c>
      <c r="E26" s="833">
        <f>'d3'!E26-d3П!E26</f>
        <v>0</v>
      </c>
      <c r="F26" s="833">
        <f>'d3'!F26-d3П!F26</f>
        <v>0</v>
      </c>
      <c r="G26" s="833">
        <f>'d3'!G26-d3П!G26</f>
        <v>0</v>
      </c>
      <c r="H26" s="833">
        <f>'d3'!H26-d3П!H26</f>
        <v>0</v>
      </c>
      <c r="I26" s="833">
        <f>'d3'!I26-d3П!I26</f>
        <v>0</v>
      </c>
      <c r="J26" s="833">
        <f>'d3'!J26-d3П!J26</f>
        <v>1397058</v>
      </c>
      <c r="K26" s="833">
        <f>'d3'!K26-d3П!K26</f>
        <v>1000000</v>
      </c>
      <c r="L26" s="833">
        <f>'d3'!L26-d3П!L26</f>
        <v>0</v>
      </c>
      <c r="M26" s="833">
        <f>'d3'!M26-d3П!M26</f>
        <v>0</v>
      </c>
      <c r="N26" s="833">
        <f>'d3'!N26-d3П!N26</f>
        <v>0</v>
      </c>
      <c r="O26" s="833">
        <f>'d3'!O26-d3П!O26</f>
        <v>1397058</v>
      </c>
      <c r="P26" s="833">
        <f>'d3'!P26-d3П!P26</f>
        <v>1397058</v>
      </c>
      <c r="Q26" s="173"/>
      <c r="R26" s="36"/>
    </row>
    <row r="27" spans="1:18" s="37" customFormat="1" ht="47.25" thickTop="1" thickBot="1" x14ac:dyDescent="0.25">
      <c r="A27" s="835" t="s">
        <v>1533</v>
      </c>
      <c r="B27" s="835" t="s">
        <v>217</v>
      </c>
      <c r="C27" s="835" t="s">
        <v>218</v>
      </c>
      <c r="D27" s="835" t="s">
        <v>41</v>
      </c>
      <c r="E27" s="833">
        <f>'d3'!E27-0</f>
        <v>0</v>
      </c>
      <c r="F27" s="833">
        <f>'d3'!F27-0</f>
        <v>0</v>
      </c>
      <c r="G27" s="833">
        <f>'d3'!G27-0</f>
        <v>0</v>
      </c>
      <c r="H27" s="833">
        <f>'d3'!H27-0</f>
        <v>0</v>
      </c>
      <c r="I27" s="833">
        <f>'d3'!I27-0</f>
        <v>0</v>
      </c>
      <c r="J27" s="833">
        <f>'d3'!J27-0</f>
        <v>1000000</v>
      </c>
      <c r="K27" s="833">
        <f>'d3'!K27-0</f>
        <v>1000000</v>
      </c>
      <c r="L27" s="833">
        <f>'d3'!L27-0</f>
        <v>0</v>
      </c>
      <c r="M27" s="833">
        <f>'d3'!M27-0</f>
        <v>0</v>
      </c>
      <c r="N27" s="833">
        <f>'d3'!N27-0</f>
        <v>0</v>
      </c>
      <c r="O27" s="833">
        <f>'d3'!O27-0</f>
        <v>1000000</v>
      </c>
      <c r="P27" s="833">
        <f>'d3'!P27-0</f>
        <v>1000000</v>
      </c>
      <c r="Q27" s="173"/>
      <c r="R27" s="36"/>
    </row>
    <row r="28" spans="1:18" ht="138.75" thickTop="1" thickBot="1" x14ac:dyDescent="0.25">
      <c r="A28" s="835" t="s">
        <v>304</v>
      </c>
      <c r="B28" s="835" t="s">
        <v>305</v>
      </c>
      <c r="C28" s="835" t="s">
        <v>171</v>
      </c>
      <c r="D28" s="835" t="s">
        <v>447</v>
      </c>
      <c r="E28" s="833">
        <f>'d3'!E28-d3П!E27</f>
        <v>0</v>
      </c>
      <c r="F28" s="833">
        <f>'d3'!F28-d3П!F27</f>
        <v>0</v>
      </c>
      <c r="G28" s="833">
        <f>'d3'!G28-d3П!G27</f>
        <v>0</v>
      </c>
      <c r="H28" s="833">
        <f>'d3'!H28-d3П!H27</f>
        <v>0</v>
      </c>
      <c r="I28" s="833">
        <f>'d3'!I28-d3П!I27</f>
        <v>0</v>
      </c>
      <c r="J28" s="833">
        <f>'d3'!J28-d3П!J27</f>
        <v>0</v>
      </c>
      <c r="K28" s="833">
        <f>'d3'!K28-d3П!K27</f>
        <v>0</v>
      </c>
      <c r="L28" s="833">
        <f>'d3'!L28-d3П!L27</f>
        <v>0</v>
      </c>
      <c r="M28" s="833">
        <f>'d3'!M28-d3П!M27</f>
        <v>0</v>
      </c>
      <c r="N28" s="833">
        <f>'d3'!N28-d3П!N27</f>
        <v>0</v>
      </c>
      <c r="O28" s="833">
        <f>'d3'!O28-d3П!O27</f>
        <v>0</v>
      </c>
      <c r="P28" s="833">
        <f>'d3'!P28-d3П!P27</f>
        <v>0</v>
      </c>
      <c r="Q28" s="167"/>
      <c r="R28" s="32"/>
    </row>
    <row r="29" spans="1:18" s="37" customFormat="1" ht="47.25" thickTop="1" thickBot="1" x14ac:dyDescent="0.25">
      <c r="A29" s="455" t="s">
        <v>702</v>
      </c>
      <c r="B29" s="455" t="s">
        <v>703</v>
      </c>
      <c r="C29" s="455"/>
      <c r="D29" s="456" t="s">
        <v>701</v>
      </c>
      <c r="E29" s="833">
        <f>'d3'!E29-d3П!E28</f>
        <v>0</v>
      </c>
      <c r="F29" s="833">
        <f>'d3'!F29-d3П!F28</f>
        <v>0</v>
      </c>
      <c r="G29" s="833">
        <f>'d3'!G29-d3П!G28</f>
        <v>0</v>
      </c>
      <c r="H29" s="833">
        <f>'d3'!H29-d3П!H28</f>
        <v>0</v>
      </c>
      <c r="I29" s="833">
        <f>'d3'!I29-d3П!I28</f>
        <v>0</v>
      </c>
      <c r="J29" s="833">
        <f>'d3'!J29-d3П!J28</f>
        <v>397058</v>
      </c>
      <c r="K29" s="833">
        <f>'d3'!K29-d3П!K28</f>
        <v>0</v>
      </c>
      <c r="L29" s="833">
        <f>'d3'!L29-d3П!L28</f>
        <v>0</v>
      </c>
      <c r="M29" s="833">
        <f>'d3'!M29-d3П!M28</f>
        <v>0</v>
      </c>
      <c r="N29" s="833">
        <f>'d3'!N29-d3П!N28</f>
        <v>0</v>
      </c>
      <c r="O29" s="833">
        <f>'d3'!O29-d3П!O28</f>
        <v>397058</v>
      </c>
      <c r="P29" s="833">
        <f>'d3'!P29-d3П!P28</f>
        <v>397058</v>
      </c>
      <c r="Q29" s="173"/>
      <c r="R29" s="38"/>
    </row>
    <row r="30" spans="1:18" s="35" customFormat="1" ht="361.5" customHeight="1" thickTop="1" thickBot="1" x14ac:dyDescent="0.7">
      <c r="A30" s="895" t="s">
        <v>344</v>
      </c>
      <c r="B30" s="895" t="s">
        <v>343</v>
      </c>
      <c r="C30" s="895" t="s">
        <v>171</v>
      </c>
      <c r="D30" s="86" t="s">
        <v>445</v>
      </c>
      <c r="E30" s="897">
        <f>'d3'!E30-d3П!E29</f>
        <v>0</v>
      </c>
      <c r="F30" s="897">
        <f>'d3'!F30-d3П!F29</f>
        <v>0</v>
      </c>
      <c r="G30" s="897">
        <f>'d3'!G30-d3П!G29</f>
        <v>0</v>
      </c>
      <c r="H30" s="897">
        <f>'d3'!H30-d3П!H29</f>
        <v>0</v>
      </c>
      <c r="I30" s="897">
        <f>'d3'!I30-d3П!I29</f>
        <v>0</v>
      </c>
      <c r="J30" s="897">
        <f>'d3'!J30-d3П!J29</f>
        <v>397058</v>
      </c>
      <c r="K30" s="897">
        <f>'d3'!K30-d3П!K29</f>
        <v>0</v>
      </c>
      <c r="L30" s="897">
        <f>'d3'!L30-d3П!L29</f>
        <v>0</v>
      </c>
      <c r="M30" s="897">
        <f>'d3'!M30-d3П!M29</f>
        <v>0</v>
      </c>
      <c r="N30" s="897">
        <f>'d3'!N30-d3П!N29</f>
        <v>0</v>
      </c>
      <c r="O30" s="897">
        <f>'d3'!O30-d3П!O29</f>
        <v>397058</v>
      </c>
      <c r="P30" s="897">
        <f>'d3'!P30-d3П!P29</f>
        <v>397058</v>
      </c>
      <c r="Q30" s="176"/>
      <c r="R30" s="39"/>
    </row>
    <row r="31" spans="1:18" s="35" customFormat="1" ht="184.5" thickTop="1" thickBot="1" x14ac:dyDescent="0.25">
      <c r="A31" s="896"/>
      <c r="B31" s="926"/>
      <c r="C31" s="896"/>
      <c r="D31" s="87" t="s">
        <v>446</v>
      </c>
      <c r="E31" s="898"/>
      <c r="F31" s="898"/>
      <c r="G31" s="898"/>
      <c r="H31" s="898"/>
      <c r="I31" s="898"/>
      <c r="J31" s="898"/>
      <c r="K31" s="898"/>
      <c r="L31" s="898"/>
      <c r="M31" s="898"/>
      <c r="N31" s="898"/>
      <c r="O31" s="898"/>
      <c r="P31" s="898"/>
      <c r="Q31" s="39"/>
      <c r="R31" s="39"/>
    </row>
    <row r="32" spans="1:18" s="35" customFormat="1" ht="93" thickTop="1" thickBot="1" x14ac:dyDescent="0.25">
      <c r="A32" s="835" t="s">
        <v>927</v>
      </c>
      <c r="B32" s="835" t="s">
        <v>262</v>
      </c>
      <c r="C32" s="835" t="s">
        <v>171</v>
      </c>
      <c r="D32" s="835" t="s">
        <v>260</v>
      </c>
      <c r="E32" s="833">
        <f>'d3'!E32-d3П!E31</f>
        <v>0</v>
      </c>
      <c r="F32" s="833">
        <f>'d3'!F32-d3П!F31</f>
        <v>0</v>
      </c>
      <c r="G32" s="833">
        <f>'d3'!G32-d3П!G31</f>
        <v>0</v>
      </c>
      <c r="H32" s="833">
        <f>'d3'!H32-d3П!H31</f>
        <v>0</v>
      </c>
      <c r="I32" s="833">
        <f>'d3'!I32-d3П!I31</f>
        <v>0</v>
      </c>
      <c r="J32" s="833">
        <f>'d3'!J32-d3П!J31</f>
        <v>0</v>
      </c>
      <c r="K32" s="833">
        <f>'d3'!K32-d3П!K31</f>
        <v>0</v>
      </c>
      <c r="L32" s="833">
        <f>'d3'!L32-d3П!L31</f>
        <v>0</v>
      </c>
      <c r="M32" s="833">
        <f>'d3'!M32-d3П!M31</f>
        <v>0</v>
      </c>
      <c r="N32" s="833">
        <f>'d3'!N32-d3П!N31</f>
        <v>0</v>
      </c>
      <c r="O32" s="833">
        <f>'d3'!O32-d3П!O31</f>
        <v>0</v>
      </c>
      <c r="P32" s="833">
        <f>'d3'!P32-d3П!P31</f>
        <v>0</v>
      </c>
      <c r="Q32" s="39"/>
      <c r="R32" s="39"/>
    </row>
    <row r="33" spans="1:18" s="35" customFormat="1" ht="46.5" customHeight="1" thickTop="1" thickBot="1" x14ac:dyDescent="0.25">
      <c r="A33" s="385" t="s">
        <v>704</v>
      </c>
      <c r="B33" s="385" t="s">
        <v>705</v>
      </c>
      <c r="C33" s="385"/>
      <c r="D33" s="385" t="s">
        <v>706</v>
      </c>
      <c r="E33" s="833">
        <f>'d3'!E33-d3П!E32</f>
        <v>2190000</v>
      </c>
      <c r="F33" s="833">
        <f>'d3'!F33-d3П!F32</f>
        <v>2190000</v>
      </c>
      <c r="G33" s="833">
        <f>'d3'!G33-d3П!G32</f>
        <v>0</v>
      </c>
      <c r="H33" s="833">
        <f>'d3'!H33-d3П!H32</f>
        <v>0</v>
      </c>
      <c r="I33" s="833">
        <f>'d3'!I33-d3П!I32</f>
        <v>0</v>
      </c>
      <c r="J33" s="833">
        <f>'d3'!J33-d3П!J32</f>
        <v>4019000</v>
      </c>
      <c r="K33" s="833">
        <f>'d3'!K33-d3П!K32</f>
        <v>4019000</v>
      </c>
      <c r="L33" s="833">
        <f>'d3'!L33-d3П!L32</f>
        <v>0</v>
      </c>
      <c r="M33" s="833">
        <f>'d3'!M33-d3П!M32</f>
        <v>0</v>
      </c>
      <c r="N33" s="833">
        <f>'d3'!N33-d3П!N32</f>
        <v>0</v>
      </c>
      <c r="O33" s="833">
        <f>'d3'!O33-d3П!O32</f>
        <v>4019000</v>
      </c>
      <c r="P33" s="833">
        <f>'d3'!P33-d3П!P32</f>
        <v>6209000</v>
      </c>
      <c r="Q33" s="39"/>
      <c r="R33" s="39"/>
    </row>
    <row r="34" spans="1:18" s="35" customFormat="1" ht="103.5" customHeight="1" thickTop="1" thickBot="1" x14ac:dyDescent="0.25">
      <c r="A34" s="387" t="s">
        <v>1233</v>
      </c>
      <c r="B34" s="387" t="s">
        <v>1234</v>
      </c>
      <c r="C34" s="387"/>
      <c r="D34" s="387" t="s">
        <v>1232</v>
      </c>
      <c r="E34" s="833">
        <f>'d3'!E34-d3П!E33</f>
        <v>0</v>
      </c>
      <c r="F34" s="833">
        <f>'d3'!F34-d3П!F33</f>
        <v>0</v>
      </c>
      <c r="G34" s="833">
        <f>'d3'!G34-d3П!G33</f>
        <v>0</v>
      </c>
      <c r="H34" s="833">
        <f>'d3'!H34-d3П!H33</f>
        <v>0</v>
      </c>
      <c r="I34" s="833">
        <f>'d3'!I34-d3П!I33</f>
        <v>0</v>
      </c>
      <c r="J34" s="833">
        <f>'d3'!J34-d3П!J33</f>
        <v>2140000</v>
      </c>
      <c r="K34" s="833">
        <f>'d3'!K34-d3П!K33</f>
        <v>2140000</v>
      </c>
      <c r="L34" s="833">
        <f>'d3'!L34-d3П!L33</f>
        <v>0</v>
      </c>
      <c r="M34" s="833">
        <f>'d3'!M34-d3П!M33</f>
        <v>0</v>
      </c>
      <c r="N34" s="833">
        <f>'d3'!N34-d3П!N33</f>
        <v>0</v>
      </c>
      <c r="O34" s="833">
        <f>'d3'!O34-d3П!O33</f>
        <v>2140000</v>
      </c>
      <c r="P34" s="833">
        <f>'d3'!P34-d3П!P33</f>
        <v>2140000</v>
      </c>
      <c r="Q34" s="39"/>
      <c r="R34" s="39"/>
    </row>
    <row r="35" spans="1:18" s="35" customFormat="1" ht="103.5" customHeight="1" thickTop="1" thickBot="1" x14ac:dyDescent="0.25">
      <c r="A35" s="835" t="s">
        <v>1261</v>
      </c>
      <c r="B35" s="835" t="s">
        <v>1262</v>
      </c>
      <c r="C35" s="835" t="s">
        <v>1236</v>
      </c>
      <c r="D35" s="835" t="s">
        <v>1263</v>
      </c>
      <c r="E35" s="833">
        <f>'d3'!E35-d3П!E34</f>
        <v>0</v>
      </c>
      <c r="F35" s="833">
        <f>'d3'!F35-d3П!F34</f>
        <v>0</v>
      </c>
      <c r="G35" s="833">
        <f>'d3'!G35-d3П!G34</f>
        <v>0</v>
      </c>
      <c r="H35" s="833">
        <f>'d3'!H35-d3П!H34</f>
        <v>0</v>
      </c>
      <c r="I35" s="833">
        <f>'d3'!I35-d3П!I34</f>
        <v>0</v>
      </c>
      <c r="J35" s="833">
        <f>'d3'!J35-d3П!J34</f>
        <v>0</v>
      </c>
      <c r="K35" s="833">
        <f>'d3'!K35-d3П!K34</f>
        <v>0</v>
      </c>
      <c r="L35" s="833">
        <f>'d3'!L35-d3П!L34</f>
        <v>0</v>
      </c>
      <c r="M35" s="833">
        <f>'d3'!M35-d3П!M34</f>
        <v>0</v>
      </c>
      <c r="N35" s="833">
        <f>'d3'!N35-d3П!N34</f>
        <v>0</v>
      </c>
      <c r="O35" s="833">
        <f>'d3'!O35-d3П!O34</f>
        <v>0</v>
      </c>
      <c r="P35" s="833">
        <f>'d3'!P35-d3П!P34</f>
        <v>0</v>
      </c>
      <c r="Q35" s="39"/>
      <c r="R35" s="39"/>
    </row>
    <row r="36" spans="1:18" s="35" customFormat="1" ht="93" thickTop="1" thickBot="1" x14ac:dyDescent="0.25">
      <c r="A36" s="835" t="s">
        <v>1237</v>
      </c>
      <c r="B36" s="835" t="s">
        <v>1238</v>
      </c>
      <c r="C36" s="835" t="s">
        <v>1236</v>
      </c>
      <c r="D36" s="835" t="s">
        <v>1235</v>
      </c>
      <c r="E36" s="833">
        <f>'d3'!E36-d3П!E35</f>
        <v>0</v>
      </c>
      <c r="F36" s="833">
        <f>'d3'!F36-d3П!F35</f>
        <v>0</v>
      </c>
      <c r="G36" s="833">
        <f>'d3'!G36-d3П!G35</f>
        <v>0</v>
      </c>
      <c r="H36" s="833">
        <f>'d3'!H36-d3П!H35</f>
        <v>0</v>
      </c>
      <c r="I36" s="833">
        <f>'d3'!I36-d3П!I35</f>
        <v>0</v>
      </c>
      <c r="J36" s="833">
        <f>'d3'!J36-d3П!J35</f>
        <v>2140000</v>
      </c>
      <c r="K36" s="833">
        <f>'d3'!K36-d3П!K35</f>
        <v>2140000</v>
      </c>
      <c r="L36" s="833">
        <f>'d3'!L36-d3П!L35</f>
        <v>0</v>
      </c>
      <c r="M36" s="833">
        <f>'d3'!M36-d3П!M35</f>
        <v>0</v>
      </c>
      <c r="N36" s="833">
        <f>'d3'!N36-d3П!N35</f>
        <v>0</v>
      </c>
      <c r="O36" s="833">
        <f>'d3'!O36-d3П!O35</f>
        <v>2140000</v>
      </c>
      <c r="P36" s="833">
        <f>'d3'!P36-d3П!P35</f>
        <v>2140000</v>
      </c>
      <c r="Q36" s="39"/>
      <c r="R36" s="39"/>
    </row>
    <row r="37" spans="1:18" s="35" customFormat="1" ht="47.25" thickTop="1" thickBot="1" x14ac:dyDescent="0.25">
      <c r="A37" s="387" t="s">
        <v>707</v>
      </c>
      <c r="B37" s="387" t="s">
        <v>708</v>
      </c>
      <c r="C37" s="387"/>
      <c r="D37" s="387" t="s">
        <v>709</v>
      </c>
      <c r="E37" s="833">
        <f>'d3'!E37-d3П!E36</f>
        <v>2190000</v>
      </c>
      <c r="F37" s="833">
        <f>'d3'!F37-d3П!F36</f>
        <v>2190000</v>
      </c>
      <c r="G37" s="833">
        <f>'d3'!G37-d3П!G36</f>
        <v>0</v>
      </c>
      <c r="H37" s="833">
        <f>'d3'!H37-d3П!H36</f>
        <v>0</v>
      </c>
      <c r="I37" s="833">
        <f>'d3'!I37-d3П!I36</f>
        <v>0</v>
      </c>
      <c r="J37" s="833">
        <f>'d3'!J37-d3П!J36</f>
        <v>1879000</v>
      </c>
      <c r="K37" s="833">
        <f>'d3'!K37-d3П!K36</f>
        <v>1879000</v>
      </c>
      <c r="L37" s="833">
        <f>'d3'!L37-d3П!L36</f>
        <v>0</v>
      </c>
      <c r="M37" s="833">
        <f>'d3'!M37-d3П!M36</f>
        <v>0</v>
      </c>
      <c r="N37" s="833">
        <f>'d3'!N37-d3П!N36</f>
        <v>0</v>
      </c>
      <c r="O37" s="833">
        <f>'d3'!O37-d3П!O36</f>
        <v>1879000</v>
      </c>
      <c r="P37" s="833">
        <f>'d3'!P37-d3П!P36</f>
        <v>4069000</v>
      </c>
      <c r="Q37" s="39"/>
    </row>
    <row r="38" spans="1:18" ht="93" thickTop="1" thickBot="1" x14ac:dyDescent="0.25">
      <c r="A38" s="835" t="s">
        <v>246</v>
      </c>
      <c r="B38" s="835" t="s">
        <v>247</v>
      </c>
      <c r="C38" s="835" t="s">
        <v>248</v>
      </c>
      <c r="D38" s="835" t="s">
        <v>249</v>
      </c>
      <c r="E38" s="833">
        <f>'d3'!E38-d3П!E37</f>
        <v>2190000</v>
      </c>
      <c r="F38" s="833">
        <f>'d3'!F38-d3П!F37</f>
        <v>2190000</v>
      </c>
      <c r="G38" s="833">
        <f>'d3'!G38-d3П!G37</f>
        <v>0</v>
      </c>
      <c r="H38" s="833">
        <f>'d3'!H38-d3П!H37</f>
        <v>0</v>
      </c>
      <c r="I38" s="833">
        <f>'d3'!I38-d3П!I37</f>
        <v>0</v>
      </c>
      <c r="J38" s="833">
        <f>'d3'!J38-d3П!J37</f>
        <v>1879000</v>
      </c>
      <c r="K38" s="833">
        <f>'d3'!K38-d3П!K37</f>
        <v>1879000</v>
      </c>
      <c r="L38" s="833">
        <f>'d3'!L38-d3П!L37</f>
        <v>0</v>
      </c>
      <c r="M38" s="833">
        <f>'d3'!M38-d3П!M37</f>
        <v>0</v>
      </c>
      <c r="N38" s="833">
        <f>'d3'!N38-d3П!N37</f>
        <v>0</v>
      </c>
      <c r="O38" s="833">
        <f>'d3'!O38-d3П!O37</f>
        <v>1879000</v>
      </c>
      <c r="P38" s="833">
        <f>'d3'!P38-d3П!P37</f>
        <v>4069000</v>
      </c>
      <c r="Q38" s="22"/>
    </row>
    <row r="39" spans="1:18" ht="47.25" thickTop="1" thickBot="1" x14ac:dyDescent="0.25">
      <c r="A39" s="385" t="s">
        <v>710</v>
      </c>
      <c r="B39" s="385" t="s">
        <v>711</v>
      </c>
      <c r="C39" s="385"/>
      <c r="D39" s="385" t="s">
        <v>712</v>
      </c>
      <c r="E39" s="833">
        <f>'d3'!E39-d3П!E38</f>
        <v>4034038.3800000027</v>
      </c>
      <c r="F39" s="833">
        <f>'d3'!F39-d3П!F38</f>
        <v>4034038.3800000027</v>
      </c>
      <c r="G39" s="833">
        <f>'d3'!G39-d3П!G38</f>
        <v>0</v>
      </c>
      <c r="H39" s="833">
        <f>'d3'!H39-d3П!H38</f>
        <v>0</v>
      </c>
      <c r="I39" s="833">
        <f>'d3'!I39-d3П!I38</f>
        <v>0</v>
      </c>
      <c r="J39" s="833">
        <f>'d3'!J39-d3П!J38</f>
        <v>5619428.6200000048</v>
      </c>
      <c r="K39" s="833">
        <f>'d3'!K39-d3П!K38</f>
        <v>5619428.6200000048</v>
      </c>
      <c r="L39" s="833">
        <f>'d3'!L39-d3П!L38</f>
        <v>0</v>
      </c>
      <c r="M39" s="833">
        <f>'d3'!M39-d3П!M38</f>
        <v>0</v>
      </c>
      <c r="N39" s="833">
        <f>'d3'!N39-d3П!N38</f>
        <v>0</v>
      </c>
      <c r="O39" s="833">
        <f>'d3'!O39-d3П!O38</f>
        <v>5619428.6200000048</v>
      </c>
      <c r="P39" s="833">
        <f>'d3'!P39-d3П!P38</f>
        <v>9653467</v>
      </c>
      <c r="Q39" s="22"/>
    </row>
    <row r="40" spans="1:18" s="35" customFormat="1" ht="271.5" thickTop="1" thickBot="1" x14ac:dyDescent="0.25">
      <c r="A40" s="387" t="s">
        <v>713</v>
      </c>
      <c r="B40" s="387" t="s">
        <v>714</v>
      </c>
      <c r="C40" s="387"/>
      <c r="D40" s="387" t="s">
        <v>715</v>
      </c>
      <c r="E40" s="833">
        <f>'d3'!E40-d3П!E39</f>
        <v>0</v>
      </c>
      <c r="F40" s="833">
        <f>'d3'!F40-d3П!F39</f>
        <v>0</v>
      </c>
      <c r="G40" s="833">
        <f>'d3'!G40-d3П!G39</f>
        <v>0</v>
      </c>
      <c r="H40" s="833">
        <f>'d3'!H40-d3П!H39</f>
        <v>0</v>
      </c>
      <c r="I40" s="833">
        <f>'d3'!I40-d3П!I39</f>
        <v>0</v>
      </c>
      <c r="J40" s="833">
        <f>'d3'!J40-d3П!J39</f>
        <v>0</v>
      </c>
      <c r="K40" s="833">
        <f>'d3'!K40-d3П!K39</f>
        <v>0</v>
      </c>
      <c r="L40" s="833">
        <f>'d3'!L40-d3П!L39</f>
        <v>0</v>
      </c>
      <c r="M40" s="833">
        <f>'d3'!M40-d3П!M39</f>
        <v>0</v>
      </c>
      <c r="N40" s="833">
        <f>'d3'!N40-d3П!N39</f>
        <v>0</v>
      </c>
      <c r="O40" s="833">
        <f>'d3'!O40-d3П!O39</f>
        <v>0</v>
      </c>
      <c r="P40" s="833">
        <f>'d3'!P40-d3П!P39</f>
        <v>0</v>
      </c>
      <c r="Q40" s="39"/>
      <c r="R40" s="39"/>
    </row>
    <row r="41" spans="1:18" ht="276" thickTop="1" thickBot="1" x14ac:dyDescent="0.25">
      <c r="A41" s="835" t="s">
        <v>250</v>
      </c>
      <c r="B41" s="835" t="s">
        <v>251</v>
      </c>
      <c r="C41" s="835" t="s">
        <v>43</v>
      </c>
      <c r="D41" s="835" t="s">
        <v>448</v>
      </c>
      <c r="E41" s="833">
        <f>'d3'!E41-d3П!E40</f>
        <v>0</v>
      </c>
      <c r="F41" s="833">
        <f>'d3'!F41-d3П!F40</f>
        <v>0</v>
      </c>
      <c r="G41" s="833">
        <f>'d3'!G41-d3П!G40</f>
        <v>0</v>
      </c>
      <c r="H41" s="833">
        <f>'d3'!H41-d3П!H40</f>
        <v>0</v>
      </c>
      <c r="I41" s="833">
        <f>'d3'!I41-d3П!I40</f>
        <v>0</v>
      </c>
      <c r="J41" s="833">
        <f>'d3'!J41-d3П!J40</f>
        <v>0</v>
      </c>
      <c r="K41" s="833">
        <f>'d3'!K41-d3П!K40</f>
        <v>0</v>
      </c>
      <c r="L41" s="833">
        <f>'d3'!L41-d3П!L40</f>
        <v>0</v>
      </c>
      <c r="M41" s="833">
        <f>'d3'!M41-d3П!M40</f>
        <v>0</v>
      </c>
      <c r="N41" s="833">
        <f>'d3'!N41-d3П!N40</f>
        <v>0</v>
      </c>
      <c r="O41" s="833">
        <f>'d3'!O41-d3П!O40</f>
        <v>0</v>
      </c>
      <c r="P41" s="833">
        <f>'d3'!P41-d3П!P40</f>
        <v>0</v>
      </c>
      <c r="Q41" s="22"/>
    </row>
    <row r="42" spans="1:18" ht="93" thickTop="1" thickBot="1" x14ac:dyDescent="0.25">
      <c r="A42" s="835" t="s">
        <v>581</v>
      </c>
      <c r="B42" s="835" t="s">
        <v>368</v>
      </c>
      <c r="C42" s="835" t="s">
        <v>43</v>
      </c>
      <c r="D42" s="835" t="s">
        <v>369</v>
      </c>
      <c r="E42" s="833">
        <f>'d3'!E42-d3П!E41</f>
        <v>0</v>
      </c>
      <c r="F42" s="833">
        <f>'d3'!F42-d3П!F41</f>
        <v>0</v>
      </c>
      <c r="G42" s="833">
        <f>'d3'!G42-d3П!G41</f>
        <v>0</v>
      </c>
      <c r="H42" s="833">
        <f>'d3'!H42-d3П!H41</f>
        <v>0</v>
      </c>
      <c r="I42" s="833">
        <f>'d3'!I42-d3П!I41</f>
        <v>0</v>
      </c>
      <c r="J42" s="833">
        <f>'d3'!J42-d3П!J41</f>
        <v>0</v>
      </c>
      <c r="K42" s="833">
        <f>'d3'!K42-d3П!K41</f>
        <v>0</v>
      </c>
      <c r="L42" s="833">
        <f>'d3'!L42-d3П!L41</f>
        <v>0</v>
      </c>
      <c r="M42" s="833">
        <f>'d3'!M42-d3П!M41</f>
        <v>0</v>
      </c>
      <c r="N42" s="833">
        <f>'d3'!N42-d3П!N41</f>
        <v>0</v>
      </c>
      <c r="O42" s="833">
        <f>'d3'!O42-d3П!O41</f>
        <v>0</v>
      </c>
      <c r="P42" s="833">
        <f>'d3'!P42-d3П!P41</f>
        <v>0</v>
      </c>
      <c r="Q42" s="22"/>
    </row>
    <row r="43" spans="1:18" ht="271.5" thickTop="1" thickBot="1" x14ac:dyDescent="0.25">
      <c r="A43" s="387" t="s">
        <v>518</v>
      </c>
      <c r="B43" s="387" t="s">
        <v>519</v>
      </c>
      <c r="C43" s="387" t="s">
        <v>43</v>
      </c>
      <c r="D43" s="387" t="s">
        <v>520</v>
      </c>
      <c r="E43" s="833">
        <f>'d3'!E43-d3П!E42</f>
        <v>6034038.3800000027</v>
      </c>
      <c r="F43" s="833">
        <f>'d3'!F43-d3П!F42</f>
        <v>6034038.3800000027</v>
      </c>
      <c r="G43" s="833">
        <f>'d3'!G43-d3П!G42</f>
        <v>0</v>
      </c>
      <c r="H43" s="833">
        <f>'d3'!H43-d3П!H42</f>
        <v>0</v>
      </c>
      <c r="I43" s="833">
        <f>'d3'!I43-d3П!I42</f>
        <v>0</v>
      </c>
      <c r="J43" s="833">
        <f>'d3'!J43-d3П!J42</f>
        <v>5619428.6200000048</v>
      </c>
      <c r="K43" s="833">
        <f>'d3'!K43-d3П!K42</f>
        <v>5619428.6200000048</v>
      </c>
      <c r="L43" s="833">
        <f>'d3'!L43-d3П!L42</f>
        <v>0</v>
      </c>
      <c r="M43" s="833">
        <f>'d3'!M43-d3П!M42</f>
        <v>0</v>
      </c>
      <c r="N43" s="833">
        <f>'d3'!N43-d3П!N42</f>
        <v>0</v>
      </c>
      <c r="O43" s="833">
        <f>'d3'!O43-d3П!O42</f>
        <v>5619428.6200000048</v>
      </c>
      <c r="P43" s="833">
        <f>'d3'!P43-d3П!P42</f>
        <v>11653467</v>
      </c>
      <c r="Q43" s="22"/>
      <c r="R43" s="28"/>
    </row>
    <row r="44" spans="1:18" ht="409.6" thickTop="1" thickBot="1" x14ac:dyDescent="0.25">
      <c r="A44" s="835" t="s">
        <v>1512</v>
      </c>
      <c r="B44" s="835" t="s">
        <v>1513</v>
      </c>
      <c r="C44" s="835" t="s">
        <v>43</v>
      </c>
      <c r="D44" s="784" t="s">
        <v>1511</v>
      </c>
      <c r="E44" s="833">
        <f>'d3'!E44-d3П!E43</f>
        <v>-2000000</v>
      </c>
      <c r="F44" s="833">
        <f>'d3'!F44-d3П!F43</f>
        <v>-2000000</v>
      </c>
      <c r="G44" s="833">
        <f>'d3'!G44-d3П!G43</f>
        <v>0</v>
      </c>
      <c r="H44" s="833">
        <f>'d3'!H44-d3П!H43</f>
        <v>0</v>
      </c>
      <c r="I44" s="833">
        <f>'d3'!I44-d3П!I43</f>
        <v>0</v>
      </c>
      <c r="J44" s="833">
        <f>'d3'!J44-d3П!J43</f>
        <v>0</v>
      </c>
      <c r="K44" s="833">
        <f>'d3'!K44-d3П!K43</f>
        <v>0</v>
      </c>
      <c r="L44" s="833">
        <f>'d3'!L44-d3П!L43</f>
        <v>0</v>
      </c>
      <c r="M44" s="833">
        <f>'d3'!M44-d3П!M43</f>
        <v>0</v>
      </c>
      <c r="N44" s="833">
        <f>'d3'!N44-d3П!N43</f>
        <v>0</v>
      </c>
      <c r="O44" s="833">
        <f>'d3'!O44-d3П!O43</f>
        <v>0</v>
      </c>
      <c r="P44" s="833">
        <f>'d3'!P44-d3П!P43</f>
        <v>-2000000</v>
      </c>
      <c r="Q44" s="22"/>
      <c r="R44" s="28"/>
    </row>
    <row r="45" spans="1:18" ht="177.75" customHeight="1" thickTop="1" thickBot="1" x14ac:dyDescent="0.25">
      <c r="A45" s="460" t="s">
        <v>153</v>
      </c>
      <c r="B45" s="460"/>
      <c r="C45" s="460"/>
      <c r="D45" s="461" t="s">
        <v>0</v>
      </c>
      <c r="E45" s="463">
        <f>E46</f>
        <v>48361915.859999895</v>
      </c>
      <c r="F45" s="462">
        <f t="shared" ref="F45" si="2">F46</f>
        <v>48361915.859999895</v>
      </c>
      <c r="G45" s="462">
        <f>G46</f>
        <v>0</v>
      </c>
      <c r="H45" s="462">
        <f>H46</f>
        <v>354091.8599999845</v>
      </c>
      <c r="I45" s="462">
        <f t="shared" ref="I45" si="3">I46</f>
        <v>0</v>
      </c>
      <c r="J45" s="463">
        <f>J46</f>
        <v>74413968.949999988</v>
      </c>
      <c r="K45" s="462">
        <f>K46</f>
        <v>74413968.949999988</v>
      </c>
      <c r="L45" s="462">
        <f>L46</f>
        <v>80000</v>
      </c>
      <c r="M45" s="462">
        <f t="shared" ref="M45" si="4">M46</f>
        <v>0</v>
      </c>
      <c r="N45" s="462">
        <f>N46</f>
        <v>0</v>
      </c>
      <c r="O45" s="463">
        <f>O46</f>
        <v>74333968.949999988</v>
      </c>
      <c r="P45" s="462">
        <f t="shared" ref="P45" si="5">P46</f>
        <v>122775884.80999988</v>
      </c>
      <c r="Q45" s="22"/>
    </row>
    <row r="46" spans="1:18" ht="159" customHeight="1" thickTop="1" thickBot="1" x14ac:dyDescent="0.25">
      <c r="A46" s="464" t="s">
        <v>154</v>
      </c>
      <c r="B46" s="464"/>
      <c r="C46" s="464"/>
      <c r="D46" s="465" t="s">
        <v>1</v>
      </c>
      <c r="E46" s="466">
        <f>E47+E85+E97+E88+E94</f>
        <v>48361915.859999895</v>
      </c>
      <c r="F46" s="466">
        <f>F47+F85+F97+F88+F94</f>
        <v>48361915.859999895</v>
      </c>
      <c r="G46" s="466">
        <f>G47+G85+G97+G88+G94</f>
        <v>0</v>
      </c>
      <c r="H46" s="466">
        <f>H47+H85+H97+H88+H94</f>
        <v>354091.8599999845</v>
      </c>
      <c r="I46" s="466">
        <f>I47+I85+I97+I88+I94</f>
        <v>0</v>
      </c>
      <c r="J46" s="466">
        <f>L46+O46</f>
        <v>74413968.949999988</v>
      </c>
      <c r="K46" s="466">
        <f>K47+K85+K97+K88+K94</f>
        <v>74413968.949999988</v>
      </c>
      <c r="L46" s="466">
        <f>L47+L85+L97+L88+L94</f>
        <v>80000</v>
      </c>
      <c r="M46" s="466">
        <f>M47+M85+M97+M88+M94</f>
        <v>0</v>
      </c>
      <c r="N46" s="466">
        <f>N47+N85+N97+N88+N94</f>
        <v>0</v>
      </c>
      <c r="O46" s="466">
        <f>O47+O85+O97+O88+O94</f>
        <v>74333968.949999988</v>
      </c>
      <c r="P46" s="466">
        <f>E46+J46</f>
        <v>122775884.80999988</v>
      </c>
      <c r="Q46" s="459" t="b">
        <f>P46=P48+P50+P51+P52+P59+P61+P64+P65+P67+P69+P80+P87+P91+P96+P54+P55+P62+P77+P68+P93+P84+P83+P86</f>
        <v>1</v>
      </c>
      <c r="R46" s="28"/>
    </row>
    <row r="47" spans="1:18" ht="47.25" thickTop="1" thickBot="1" x14ac:dyDescent="0.25">
      <c r="A47" s="385" t="s">
        <v>716</v>
      </c>
      <c r="B47" s="385" t="s">
        <v>717</v>
      </c>
      <c r="C47" s="385"/>
      <c r="D47" s="385" t="s">
        <v>718</v>
      </c>
      <c r="E47" s="833">
        <f>'d3'!E47-d3П!E46</f>
        <v>46801065.859999895</v>
      </c>
      <c r="F47" s="833">
        <f>'d3'!F47-d3П!F46</f>
        <v>46801065.859999895</v>
      </c>
      <c r="G47" s="833">
        <f>'d3'!G47-d3П!G46</f>
        <v>0</v>
      </c>
      <c r="H47" s="833">
        <f>'d3'!H47-d3П!H46</f>
        <v>108241.8599999845</v>
      </c>
      <c r="I47" s="833">
        <f>'d3'!I47-d3П!I46</f>
        <v>0</v>
      </c>
      <c r="J47" s="833">
        <f>'d3'!J47-d3П!J46</f>
        <v>76610737.950000018</v>
      </c>
      <c r="K47" s="833">
        <f>'d3'!K47-d3П!K46</f>
        <v>76610737.949999988</v>
      </c>
      <c r="L47" s="833">
        <f>'d3'!L47-d3П!L46</f>
        <v>80000</v>
      </c>
      <c r="M47" s="833">
        <f>'d3'!M47-d3П!M46</f>
        <v>0</v>
      </c>
      <c r="N47" s="833">
        <f>'d3'!N47-d3П!N46</f>
        <v>0</v>
      </c>
      <c r="O47" s="833">
        <f>'d3'!O47-d3П!O46</f>
        <v>76530737.949999988</v>
      </c>
      <c r="P47" s="833">
        <f>'d3'!P47-d3П!P46</f>
        <v>123411803.80999994</v>
      </c>
      <c r="Q47" s="32"/>
      <c r="R47" s="28"/>
    </row>
    <row r="48" spans="1:18" ht="99" customHeight="1" thickTop="1" thickBot="1" x14ac:dyDescent="0.6">
      <c r="A48" s="835" t="s">
        <v>203</v>
      </c>
      <c r="B48" s="835" t="s">
        <v>204</v>
      </c>
      <c r="C48" s="835" t="s">
        <v>206</v>
      </c>
      <c r="D48" s="835" t="s">
        <v>207</v>
      </c>
      <c r="E48" s="833">
        <f>'d3'!E48-d3П!E47</f>
        <v>9579581.0499999523</v>
      </c>
      <c r="F48" s="833">
        <f>'d3'!F48-d3П!F47</f>
        <v>9579581.0499999523</v>
      </c>
      <c r="G48" s="833">
        <f>'d3'!G48-d3П!G47</f>
        <v>0</v>
      </c>
      <c r="H48" s="833">
        <f>'d3'!H48-d3П!H47</f>
        <v>10037.04999999702</v>
      </c>
      <c r="I48" s="833">
        <f>'d3'!I48-d3П!I47</f>
        <v>0</v>
      </c>
      <c r="J48" s="833">
        <f>'d3'!J48-d3П!J47</f>
        <v>5332317</v>
      </c>
      <c r="K48" s="833">
        <f>'d3'!K48-d3П!K47</f>
        <v>5332317</v>
      </c>
      <c r="L48" s="833">
        <f>'d3'!L48-d3П!L47</f>
        <v>80000</v>
      </c>
      <c r="M48" s="833">
        <f>'d3'!M48-d3П!M47</f>
        <v>0</v>
      </c>
      <c r="N48" s="833">
        <f>'d3'!N48-d3П!N47</f>
        <v>0</v>
      </c>
      <c r="O48" s="833">
        <f>'d3'!O48-d3П!O47</f>
        <v>5252317</v>
      </c>
      <c r="P48" s="833">
        <f>'d3'!P48-d3П!P47</f>
        <v>14911898.049999952</v>
      </c>
      <c r="Q48" s="177"/>
      <c r="R48" s="28"/>
    </row>
    <row r="49" spans="1:20" s="37" customFormat="1" ht="138.75" thickTop="1" thickBot="1" x14ac:dyDescent="0.6">
      <c r="A49" s="455" t="s">
        <v>208</v>
      </c>
      <c r="B49" s="455" t="s">
        <v>205</v>
      </c>
      <c r="C49" s="455"/>
      <c r="D49" s="455" t="s">
        <v>652</v>
      </c>
      <c r="E49" s="833">
        <f>'d3'!E49-d3П!E48</f>
        <v>27363027</v>
      </c>
      <c r="F49" s="833">
        <f>'d3'!F49-d3П!F48</f>
        <v>27363027</v>
      </c>
      <c r="G49" s="833">
        <f>'d3'!G49-d3П!G48</f>
        <v>0</v>
      </c>
      <c r="H49" s="833">
        <f>'d3'!H49-d3П!H48</f>
        <v>0</v>
      </c>
      <c r="I49" s="833">
        <f>'d3'!I49-d3П!I48</f>
        <v>0</v>
      </c>
      <c r="J49" s="833">
        <f>'d3'!J49-d3П!J48</f>
        <v>41891572.88000001</v>
      </c>
      <c r="K49" s="833">
        <f>'d3'!K49-d3П!K48</f>
        <v>41891572.88000001</v>
      </c>
      <c r="L49" s="833">
        <f>'d3'!L49-d3П!L48</f>
        <v>0</v>
      </c>
      <c r="M49" s="833">
        <f>'d3'!M49-d3П!M48</f>
        <v>0</v>
      </c>
      <c r="N49" s="833">
        <f>'d3'!N49-d3П!N48</f>
        <v>0</v>
      </c>
      <c r="O49" s="833">
        <f>'d3'!O49-d3П!O48</f>
        <v>41891572.88000001</v>
      </c>
      <c r="P49" s="833">
        <f>'d3'!P49-d3П!P48</f>
        <v>69254599.879999995</v>
      </c>
      <c r="Q49" s="177"/>
      <c r="R49" s="40"/>
    </row>
    <row r="50" spans="1:20" ht="184.5" thickTop="1" thickBot="1" x14ac:dyDescent="0.6">
      <c r="A50" s="835" t="s">
        <v>650</v>
      </c>
      <c r="B50" s="835" t="s">
        <v>651</v>
      </c>
      <c r="C50" s="835" t="s">
        <v>209</v>
      </c>
      <c r="D50" s="835" t="s">
        <v>1363</v>
      </c>
      <c r="E50" s="833">
        <f>'d3'!E50-d3П!E49</f>
        <v>26851127</v>
      </c>
      <c r="F50" s="833">
        <f>'d3'!F50-d3П!F49</f>
        <v>26851127</v>
      </c>
      <c r="G50" s="833">
        <f>'d3'!G50-d3П!G49</f>
        <v>0</v>
      </c>
      <c r="H50" s="833">
        <f>'d3'!H50-d3П!H49</f>
        <v>0</v>
      </c>
      <c r="I50" s="833">
        <f>'d3'!I50-d3П!I49</f>
        <v>0</v>
      </c>
      <c r="J50" s="833">
        <f>'d3'!J50-d3П!J49</f>
        <v>41701487.190000013</v>
      </c>
      <c r="K50" s="833">
        <f>'d3'!K50-d3П!K49</f>
        <v>41701487.190000013</v>
      </c>
      <c r="L50" s="833">
        <f>'d3'!L50-d3П!L49</f>
        <v>0</v>
      </c>
      <c r="M50" s="833">
        <f>'d3'!M50-d3П!M49</f>
        <v>0</v>
      </c>
      <c r="N50" s="833">
        <f>'d3'!N50-d3П!N49</f>
        <v>0</v>
      </c>
      <c r="O50" s="833">
        <f>'d3'!O50-d3П!O49</f>
        <v>41701487.190000013</v>
      </c>
      <c r="P50" s="833">
        <f>'d3'!P50-d3П!P49</f>
        <v>68552614.190000057</v>
      </c>
      <c r="Q50" s="177"/>
      <c r="R50" s="28"/>
      <c r="T50" s="41"/>
    </row>
    <row r="51" spans="1:20" ht="367.5" thickTop="1" thickBot="1" x14ac:dyDescent="0.25">
      <c r="A51" s="835" t="s">
        <v>659</v>
      </c>
      <c r="B51" s="835" t="s">
        <v>660</v>
      </c>
      <c r="C51" s="835" t="s">
        <v>212</v>
      </c>
      <c r="D51" s="835" t="s">
        <v>1364</v>
      </c>
      <c r="E51" s="833">
        <f>'d3'!E51-d3П!E50</f>
        <v>511900</v>
      </c>
      <c r="F51" s="833">
        <f>'d3'!F51-d3П!F50</f>
        <v>511900</v>
      </c>
      <c r="G51" s="833">
        <f>'d3'!G51-d3П!G50</f>
        <v>0</v>
      </c>
      <c r="H51" s="833">
        <f>'d3'!H51-d3П!H50</f>
        <v>0</v>
      </c>
      <c r="I51" s="833">
        <f>'d3'!I51-d3П!I50</f>
        <v>0</v>
      </c>
      <c r="J51" s="833">
        <f>'d3'!J51-d3П!J50</f>
        <v>200000</v>
      </c>
      <c r="K51" s="833">
        <f>'d3'!K51-d3П!K50</f>
        <v>200000</v>
      </c>
      <c r="L51" s="833">
        <f>'d3'!L51-d3П!L50</f>
        <v>0</v>
      </c>
      <c r="M51" s="833">
        <f>'d3'!M51-d3П!M50</f>
        <v>0</v>
      </c>
      <c r="N51" s="833">
        <f>'d3'!N51-d3П!N50</f>
        <v>0</v>
      </c>
      <c r="O51" s="833">
        <f>'d3'!O51-d3П!O50</f>
        <v>200000</v>
      </c>
      <c r="P51" s="833">
        <f>'d3'!P51-d3П!P50</f>
        <v>711900</v>
      </c>
      <c r="Q51" s="22"/>
      <c r="R51" s="29"/>
    </row>
    <row r="52" spans="1:20" ht="230.25" thickTop="1" thickBot="1" x14ac:dyDescent="0.25">
      <c r="A52" s="835" t="s">
        <v>1015</v>
      </c>
      <c r="B52" s="835" t="s">
        <v>1016</v>
      </c>
      <c r="C52" s="835" t="s">
        <v>212</v>
      </c>
      <c r="D52" s="835" t="s">
        <v>1365</v>
      </c>
      <c r="E52" s="833">
        <f>'d3'!E52-d3П!E51</f>
        <v>0</v>
      </c>
      <c r="F52" s="833">
        <f>'d3'!F52-d3П!F51</f>
        <v>0</v>
      </c>
      <c r="G52" s="833">
        <f>'d3'!G52-d3П!G51</f>
        <v>0</v>
      </c>
      <c r="H52" s="833">
        <f>'d3'!H52-d3П!H51</f>
        <v>0</v>
      </c>
      <c r="I52" s="833">
        <f>'d3'!I52-d3П!I51</f>
        <v>0</v>
      </c>
      <c r="J52" s="833">
        <f>'d3'!J52-d3П!J51</f>
        <v>-9914.3099999999977</v>
      </c>
      <c r="K52" s="833">
        <f>'d3'!K52-d3П!K51</f>
        <v>-9914.3099999999977</v>
      </c>
      <c r="L52" s="833">
        <f>'d3'!L52-d3П!L51</f>
        <v>0</v>
      </c>
      <c r="M52" s="833">
        <f>'d3'!M52-d3П!M51</f>
        <v>0</v>
      </c>
      <c r="N52" s="833">
        <f>'d3'!N52-d3П!N51</f>
        <v>0</v>
      </c>
      <c r="O52" s="833">
        <f>'d3'!O52-d3П!O51</f>
        <v>-9914.3099999999977</v>
      </c>
      <c r="P52" s="833">
        <f>'d3'!P52-d3П!P51</f>
        <v>-9914.3099999986589</v>
      </c>
      <c r="Q52" s="22"/>
      <c r="R52" s="29"/>
    </row>
    <row r="53" spans="1:20" s="37" customFormat="1" ht="138.75" thickTop="1" thickBot="1" x14ac:dyDescent="0.25">
      <c r="A53" s="455" t="s">
        <v>503</v>
      </c>
      <c r="B53" s="455" t="s">
        <v>210</v>
      </c>
      <c r="C53" s="455"/>
      <c r="D53" s="455" t="s">
        <v>667</v>
      </c>
      <c r="E53" s="833">
        <f>'d3'!E53-d3П!E52</f>
        <v>0</v>
      </c>
      <c r="F53" s="833">
        <f>'d3'!F53-d3П!F52</f>
        <v>0</v>
      </c>
      <c r="G53" s="833">
        <f>'d3'!G53-d3П!G52</f>
        <v>0</v>
      </c>
      <c r="H53" s="833">
        <f>'d3'!H53-d3П!H52</f>
        <v>0</v>
      </c>
      <c r="I53" s="833">
        <f>'d3'!I53-d3П!I52</f>
        <v>0</v>
      </c>
      <c r="J53" s="833">
        <f>'d3'!J53-d3П!J52</f>
        <v>0</v>
      </c>
      <c r="K53" s="833">
        <f>'d3'!K53-d3П!K52</f>
        <v>0</v>
      </c>
      <c r="L53" s="833">
        <f>'d3'!L53-d3П!L52</f>
        <v>0</v>
      </c>
      <c r="M53" s="833">
        <f>'d3'!M53-d3П!M52</f>
        <v>0</v>
      </c>
      <c r="N53" s="833">
        <f>'d3'!N53-d3П!N52</f>
        <v>0</v>
      </c>
      <c r="O53" s="833">
        <f>'d3'!O53-d3П!O52</f>
        <v>0</v>
      </c>
      <c r="P53" s="833">
        <f>'d3'!P53-d3П!P52</f>
        <v>0</v>
      </c>
      <c r="Q53" s="22"/>
      <c r="R53" s="38"/>
    </row>
    <row r="54" spans="1:20" ht="184.5" thickTop="1" thickBot="1" x14ac:dyDescent="0.25">
      <c r="A54" s="835" t="s">
        <v>668</v>
      </c>
      <c r="B54" s="835" t="s">
        <v>669</v>
      </c>
      <c r="C54" s="835" t="s">
        <v>209</v>
      </c>
      <c r="D54" s="835" t="s">
        <v>1366</v>
      </c>
      <c r="E54" s="833">
        <f>'d3'!E54-d3П!E53</f>
        <v>0</v>
      </c>
      <c r="F54" s="833">
        <f>'d3'!F54-d3П!F53</f>
        <v>0</v>
      </c>
      <c r="G54" s="833">
        <f>'d3'!G54-d3П!G53</f>
        <v>0</v>
      </c>
      <c r="H54" s="833">
        <f>'d3'!H54-d3П!H53</f>
        <v>0</v>
      </c>
      <c r="I54" s="833">
        <f>'d3'!I54-d3П!I53</f>
        <v>0</v>
      </c>
      <c r="J54" s="833">
        <f>'d3'!J54-d3П!J53</f>
        <v>0</v>
      </c>
      <c r="K54" s="833">
        <f>'d3'!K54-d3П!K53</f>
        <v>0</v>
      </c>
      <c r="L54" s="833">
        <f>'d3'!L54-d3П!L53</f>
        <v>0</v>
      </c>
      <c r="M54" s="833">
        <f>'d3'!M54-d3П!M53</f>
        <v>0</v>
      </c>
      <c r="N54" s="833">
        <f>'d3'!N54-d3П!N53</f>
        <v>0</v>
      </c>
      <c r="O54" s="833">
        <f>'d3'!O54-d3П!O53</f>
        <v>0</v>
      </c>
      <c r="P54" s="833">
        <f>'d3'!P54-d3П!P53</f>
        <v>0</v>
      </c>
      <c r="Q54" s="22"/>
      <c r="R54" s="32"/>
    </row>
    <row r="55" spans="1:20" ht="230.25" thickTop="1" thickBot="1" x14ac:dyDescent="0.25">
      <c r="A55" s="835" t="s">
        <v>1174</v>
      </c>
      <c r="B55" s="850" t="s">
        <v>1175</v>
      </c>
      <c r="C55" s="835" t="s">
        <v>212</v>
      </c>
      <c r="D55" s="835" t="s">
        <v>1367</v>
      </c>
      <c r="E55" s="833">
        <f>'d3'!E55-d3П!E54</f>
        <v>0</v>
      </c>
      <c r="F55" s="833">
        <f>'d3'!F55-d3П!F54</f>
        <v>0</v>
      </c>
      <c r="G55" s="833">
        <f>'d3'!G55-d3П!G54</f>
        <v>0</v>
      </c>
      <c r="H55" s="833">
        <f>'d3'!H55-d3П!H54</f>
        <v>0</v>
      </c>
      <c r="I55" s="833">
        <f>'d3'!I55-d3П!I54</f>
        <v>0</v>
      </c>
      <c r="J55" s="833">
        <f>'d3'!J55-d3П!J54</f>
        <v>0</v>
      </c>
      <c r="K55" s="833">
        <f>'d3'!K55-d3П!K54</f>
        <v>0</v>
      </c>
      <c r="L55" s="833">
        <f>'d3'!L55-d3П!L54</f>
        <v>0</v>
      </c>
      <c r="M55" s="833">
        <f>'d3'!M55-d3П!M54</f>
        <v>0</v>
      </c>
      <c r="N55" s="833">
        <f>'d3'!N55-d3П!N54</f>
        <v>0</v>
      </c>
      <c r="O55" s="833">
        <f>'d3'!O55-d3П!O54</f>
        <v>0</v>
      </c>
      <c r="P55" s="833">
        <f>'d3'!P55-d3П!P54</f>
        <v>0</v>
      </c>
      <c r="Q55" s="22"/>
      <c r="R55" s="32"/>
    </row>
    <row r="56" spans="1:20" ht="409.6" hidden="1" customHeight="1" thickTop="1" thickBot="1" x14ac:dyDescent="0.7">
      <c r="A56" s="899" t="s">
        <v>943</v>
      </c>
      <c r="B56" s="899" t="s">
        <v>50</v>
      </c>
      <c r="C56" s="899"/>
      <c r="D56" s="486" t="s">
        <v>946</v>
      </c>
      <c r="E56" s="833">
        <f>'d3'!E56-d3П!E55</f>
        <v>0</v>
      </c>
      <c r="F56" s="833">
        <f>'d3'!F56-d3П!F55</f>
        <v>0</v>
      </c>
      <c r="G56" s="833">
        <f>'d3'!G56-d3П!G55</f>
        <v>0</v>
      </c>
      <c r="H56" s="833">
        <f>'d3'!H56-d3П!H55</f>
        <v>0</v>
      </c>
      <c r="I56" s="833">
        <f>'d3'!I56-d3П!I55</f>
        <v>0</v>
      </c>
      <c r="J56" s="833">
        <f>'d3'!J56-d3П!J55</f>
        <v>0</v>
      </c>
      <c r="K56" s="833">
        <f>'d3'!K56-d3П!K55</f>
        <v>0</v>
      </c>
      <c r="L56" s="833">
        <f>'d3'!L56-d3П!L55</f>
        <v>0</v>
      </c>
      <c r="M56" s="833">
        <f>'d3'!M56-d3П!M55</f>
        <v>0</v>
      </c>
      <c r="N56" s="833">
        <f>'d3'!N56-d3П!N55</f>
        <v>0</v>
      </c>
      <c r="O56" s="833">
        <f>'d3'!O56-d3П!O55</f>
        <v>0</v>
      </c>
      <c r="P56" s="833">
        <f>'d3'!P56-d3П!P55</f>
        <v>0</v>
      </c>
      <c r="Q56" s="22"/>
      <c r="R56" s="32"/>
    </row>
    <row r="57" spans="1:20" ht="184.5" hidden="1" customHeight="1" thickTop="1" thickBot="1" x14ac:dyDescent="0.25">
      <c r="A57" s="900"/>
      <c r="B57" s="900"/>
      <c r="C57" s="900"/>
      <c r="D57" s="487" t="s">
        <v>947</v>
      </c>
      <c r="E57" s="833">
        <f>'d3'!E57-d3П!E56</f>
        <v>0</v>
      </c>
      <c r="F57" s="833">
        <f>'d3'!F57-d3П!F56</f>
        <v>0</v>
      </c>
      <c r="G57" s="833">
        <f>'d3'!G57-d3П!G56</f>
        <v>0</v>
      </c>
      <c r="H57" s="833">
        <f>'d3'!H57-d3П!H56</f>
        <v>0</v>
      </c>
      <c r="I57" s="833">
        <f>'d3'!I57-d3П!I56</f>
        <v>0</v>
      </c>
      <c r="J57" s="833">
        <f>'d3'!J57-d3П!J56</f>
        <v>0</v>
      </c>
      <c r="K57" s="833">
        <f>'d3'!K57-d3П!K56</f>
        <v>0</v>
      </c>
      <c r="L57" s="833">
        <f>'d3'!L57-d3П!L56</f>
        <v>0</v>
      </c>
      <c r="M57" s="833">
        <f>'d3'!M57-d3П!M56</f>
        <v>0</v>
      </c>
      <c r="N57" s="833">
        <f>'d3'!N57-d3П!N56</f>
        <v>0</v>
      </c>
      <c r="O57" s="833">
        <f>'d3'!O57-d3П!O56</f>
        <v>0</v>
      </c>
      <c r="P57" s="833">
        <f>'d3'!P57-d3П!P56</f>
        <v>0</v>
      </c>
      <c r="Q57" s="22"/>
      <c r="R57" s="32"/>
    </row>
    <row r="58" spans="1:20" ht="138.75" hidden="1" customHeight="1" thickTop="1" thickBot="1" x14ac:dyDescent="0.25">
      <c r="A58" s="452" t="s">
        <v>944</v>
      </c>
      <c r="B58" s="452" t="s">
        <v>945</v>
      </c>
      <c r="C58" s="452" t="s">
        <v>209</v>
      </c>
      <c r="D58" s="452" t="s">
        <v>948</v>
      </c>
      <c r="E58" s="833">
        <f>'d3'!E58-d3П!E57</f>
        <v>0</v>
      </c>
      <c r="F58" s="833">
        <f>'d3'!F58-d3П!F57</f>
        <v>0</v>
      </c>
      <c r="G58" s="833">
        <f>'d3'!G58-d3П!G57</f>
        <v>0</v>
      </c>
      <c r="H58" s="833">
        <f>'d3'!H58-d3П!H57</f>
        <v>0</v>
      </c>
      <c r="I58" s="833">
        <f>'d3'!I58-d3П!I57</f>
        <v>0</v>
      </c>
      <c r="J58" s="833">
        <f>'d3'!J58-d3П!J57</f>
        <v>0</v>
      </c>
      <c r="K58" s="833">
        <f>'d3'!K58-d3П!K57</f>
        <v>0</v>
      </c>
      <c r="L58" s="833">
        <f>'d3'!L58-d3П!L57</f>
        <v>0</v>
      </c>
      <c r="M58" s="833">
        <f>'d3'!M58-d3П!M57</f>
        <v>0</v>
      </c>
      <c r="N58" s="833">
        <f>'d3'!N58-d3П!N57</f>
        <v>0</v>
      </c>
      <c r="O58" s="833">
        <f>'d3'!O58-d3П!O57</f>
        <v>0</v>
      </c>
      <c r="P58" s="833">
        <f>'d3'!P58-d3П!P57</f>
        <v>0</v>
      </c>
      <c r="Q58" s="22"/>
      <c r="R58" s="28"/>
    </row>
    <row r="59" spans="1:20" ht="184.5" thickTop="1" thickBot="1" x14ac:dyDescent="0.25">
      <c r="A59" s="835" t="s">
        <v>670</v>
      </c>
      <c r="B59" s="835" t="s">
        <v>211</v>
      </c>
      <c r="C59" s="835" t="s">
        <v>186</v>
      </c>
      <c r="D59" s="835" t="s">
        <v>504</v>
      </c>
      <c r="E59" s="833">
        <f>'d3'!E59-d3П!E58</f>
        <v>1786750</v>
      </c>
      <c r="F59" s="833">
        <f>'d3'!F59-d3П!F58</f>
        <v>1786750</v>
      </c>
      <c r="G59" s="833">
        <f>'d3'!G59-d3П!G58</f>
        <v>0</v>
      </c>
      <c r="H59" s="833">
        <f>'d3'!H59-d3П!H58</f>
        <v>0</v>
      </c>
      <c r="I59" s="833">
        <f>'d3'!I59-d3П!I58</f>
        <v>0</v>
      </c>
      <c r="J59" s="833">
        <f>'d3'!J59-d3П!J58</f>
        <v>0</v>
      </c>
      <c r="K59" s="833">
        <f>'d3'!K59-d3П!K58</f>
        <v>0</v>
      </c>
      <c r="L59" s="833">
        <f>'d3'!L59-d3П!L58</f>
        <v>0</v>
      </c>
      <c r="M59" s="833">
        <f>'d3'!M59-d3П!M58</f>
        <v>0</v>
      </c>
      <c r="N59" s="833">
        <f>'d3'!N59-d3П!N58</f>
        <v>0</v>
      </c>
      <c r="O59" s="833">
        <f>'d3'!O59-d3П!O58</f>
        <v>0</v>
      </c>
      <c r="P59" s="833">
        <f>'d3'!P59-d3П!P58</f>
        <v>1786750</v>
      </c>
      <c r="Q59" s="22"/>
      <c r="R59" s="28"/>
    </row>
    <row r="60" spans="1:20" s="37" customFormat="1" ht="184.5" thickTop="1" thickBot="1" x14ac:dyDescent="0.25">
      <c r="A60" s="455" t="s">
        <v>213</v>
      </c>
      <c r="B60" s="455" t="s">
        <v>196</v>
      </c>
      <c r="C60" s="455"/>
      <c r="D60" s="455" t="s">
        <v>505</v>
      </c>
      <c r="E60" s="833">
        <f>'d3'!E60-d3П!E59</f>
        <v>5619395.8100000024</v>
      </c>
      <c r="F60" s="833">
        <f>'d3'!F60-d3П!F59</f>
        <v>5619395.8100000024</v>
      </c>
      <c r="G60" s="833">
        <f>'d3'!G60-d3П!G59</f>
        <v>0</v>
      </c>
      <c r="H60" s="833">
        <f>'d3'!H60-d3П!H59</f>
        <v>98204.809999998659</v>
      </c>
      <c r="I60" s="833">
        <f>'d3'!I60-d3П!I59</f>
        <v>0</v>
      </c>
      <c r="J60" s="833">
        <f>'d3'!J60-d3П!J59</f>
        <v>14818215.000000004</v>
      </c>
      <c r="K60" s="833">
        <f>'d3'!K60-d3П!K59</f>
        <v>14818215</v>
      </c>
      <c r="L60" s="833">
        <f>'d3'!L60-d3П!L59</f>
        <v>0</v>
      </c>
      <c r="M60" s="833">
        <f>'d3'!M60-d3П!M59</f>
        <v>0</v>
      </c>
      <c r="N60" s="833">
        <f>'d3'!N60-d3П!N59</f>
        <v>0</v>
      </c>
      <c r="O60" s="833">
        <f>'d3'!O60-d3П!O59</f>
        <v>14818215</v>
      </c>
      <c r="P60" s="833">
        <f>'d3'!P60-d3П!P59</f>
        <v>20437610.810000032</v>
      </c>
      <c r="Q60" s="22"/>
      <c r="R60" s="38"/>
    </row>
    <row r="61" spans="1:20" ht="230.25" thickTop="1" thickBot="1" x14ac:dyDescent="0.25">
      <c r="A61" s="835" t="s">
        <v>671</v>
      </c>
      <c r="B61" s="835" t="s">
        <v>672</v>
      </c>
      <c r="C61" s="835" t="s">
        <v>214</v>
      </c>
      <c r="D61" s="835" t="s">
        <v>673</v>
      </c>
      <c r="E61" s="833">
        <f>'d3'!E61-d3П!E60</f>
        <v>5619395.8100000024</v>
      </c>
      <c r="F61" s="833">
        <f>'d3'!F61-d3П!F60</f>
        <v>5619395.8100000024</v>
      </c>
      <c r="G61" s="833">
        <f>'d3'!G61-d3П!G60</f>
        <v>0</v>
      </c>
      <c r="H61" s="833">
        <f>'d3'!H61-d3П!H60</f>
        <v>98204.809999998659</v>
      </c>
      <c r="I61" s="833">
        <f>'d3'!I61-d3П!I60</f>
        <v>0</v>
      </c>
      <c r="J61" s="833">
        <f>'d3'!J61-d3П!J60</f>
        <v>14818215.000000004</v>
      </c>
      <c r="K61" s="833">
        <f>'d3'!K61-d3П!K60</f>
        <v>14818215</v>
      </c>
      <c r="L61" s="833">
        <f>'d3'!L61-d3П!L60</f>
        <v>0</v>
      </c>
      <c r="M61" s="833">
        <f>'d3'!M61-d3П!M60</f>
        <v>0</v>
      </c>
      <c r="N61" s="833">
        <f>'d3'!N61-d3П!N60</f>
        <v>0</v>
      </c>
      <c r="O61" s="833">
        <f>'d3'!O61-d3П!O60</f>
        <v>14818215</v>
      </c>
      <c r="P61" s="833">
        <f>'d3'!P61-d3П!P60</f>
        <v>20437610.810000032</v>
      </c>
      <c r="Q61" s="22"/>
      <c r="R61" s="28"/>
    </row>
    <row r="62" spans="1:20" ht="230.25" thickTop="1" thickBot="1" x14ac:dyDescent="0.25">
      <c r="A62" s="835" t="s">
        <v>675</v>
      </c>
      <c r="B62" s="835" t="s">
        <v>674</v>
      </c>
      <c r="C62" s="835" t="s">
        <v>214</v>
      </c>
      <c r="D62" s="835" t="s">
        <v>676</v>
      </c>
      <c r="E62" s="833">
        <f>'d3'!E62-d3П!E61</f>
        <v>0</v>
      </c>
      <c r="F62" s="833">
        <f>'d3'!F62-d3П!F61</f>
        <v>0</v>
      </c>
      <c r="G62" s="833">
        <f>'d3'!G62-d3П!G61</f>
        <v>0</v>
      </c>
      <c r="H62" s="833">
        <f>'d3'!H62-d3П!H61</f>
        <v>0</v>
      </c>
      <c r="I62" s="833">
        <f>'d3'!I62-d3П!I61</f>
        <v>0</v>
      </c>
      <c r="J62" s="833">
        <f>'d3'!J62-d3П!J61</f>
        <v>0</v>
      </c>
      <c r="K62" s="833">
        <f>'d3'!K62-d3П!K61</f>
        <v>0</v>
      </c>
      <c r="L62" s="833">
        <f>'d3'!L62-d3П!L61</f>
        <v>0</v>
      </c>
      <c r="M62" s="833">
        <f>'d3'!M62-d3П!M61</f>
        <v>0</v>
      </c>
      <c r="N62" s="833">
        <f>'d3'!N62-d3П!N61</f>
        <v>0</v>
      </c>
      <c r="O62" s="833">
        <f>'d3'!O62-d3П!O61</f>
        <v>0</v>
      </c>
      <c r="P62" s="833">
        <f>'d3'!P62-d3П!P61</f>
        <v>0</v>
      </c>
      <c r="Q62" s="22"/>
      <c r="R62" s="32"/>
    </row>
    <row r="63" spans="1:20" s="37" customFormat="1" ht="93" thickTop="1" thickBot="1" x14ac:dyDescent="0.25">
      <c r="A63" s="455" t="s">
        <v>678</v>
      </c>
      <c r="B63" s="455" t="s">
        <v>677</v>
      </c>
      <c r="C63" s="455"/>
      <c r="D63" s="455" t="s">
        <v>679</v>
      </c>
      <c r="E63" s="833">
        <f>'d3'!E63-d3П!E62</f>
        <v>2333405</v>
      </c>
      <c r="F63" s="833">
        <f>'d3'!F63-d3П!F62</f>
        <v>2333405</v>
      </c>
      <c r="G63" s="833">
        <f>'d3'!G63-d3П!G62</f>
        <v>0</v>
      </c>
      <c r="H63" s="833">
        <f>'d3'!H63-d3П!H62</f>
        <v>0</v>
      </c>
      <c r="I63" s="833">
        <f>'d3'!I63-d3П!I62</f>
        <v>0</v>
      </c>
      <c r="J63" s="833">
        <f>'d3'!J63-d3П!J62</f>
        <v>0</v>
      </c>
      <c r="K63" s="833">
        <f>'d3'!K63-d3П!K62</f>
        <v>0</v>
      </c>
      <c r="L63" s="833">
        <f>'d3'!L63-d3П!L62</f>
        <v>0</v>
      </c>
      <c r="M63" s="833">
        <f>'d3'!M63-d3П!M62</f>
        <v>0</v>
      </c>
      <c r="N63" s="833">
        <f>'d3'!N63-d3П!N62</f>
        <v>0</v>
      </c>
      <c r="O63" s="833">
        <f>'d3'!O63-d3П!O62</f>
        <v>0</v>
      </c>
      <c r="P63" s="833">
        <f>'d3'!P63-d3П!P62</f>
        <v>2333405</v>
      </c>
      <c r="Q63" s="22"/>
      <c r="R63" s="38"/>
    </row>
    <row r="64" spans="1:20" ht="93" thickTop="1" thickBot="1" x14ac:dyDescent="0.25">
      <c r="A64" s="835" t="s">
        <v>680</v>
      </c>
      <c r="B64" s="835" t="s">
        <v>681</v>
      </c>
      <c r="C64" s="835" t="s">
        <v>215</v>
      </c>
      <c r="D64" s="835" t="s">
        <v>506</v>
      </c>
      <c r="E64" s="833">
        <f>'d3'!E64-d3П!E63</f>
        <v>2333405</v>
      </c>
      <c r="F64" s="833">
        <f>'d3'!F64-d3П!F63</f>
        <v>2333405</v>
      </c>
      <c r="G64" s="833">
        <f>'d3'!G64-d3П!G63</f>
        <v>0</v>
      </c>
      <c r="H64" s="833">
        <f>'d3'!H64-d3П!H63</f>
        <v>0</v>
      </c>
      <c r="I64" s="833">
        <f>'d3'!I64-d3П!I63</f>
        <v>0</v>
      </c>
      <c r="J64" s="833">
        <f>'d3'!J64-d3П!J63</f>
        <v>0</v>
      </c>
      <c r="K64" s="833">
        <f>'d3'!K64-d3П!K63</f>
        <v>0</v>
      </c>
      <c r="L64" s="833">
        <f>'d3'!L64-d3П!L63</f>
        <v>0</v>
      </c>
      <c r="M64" s="833">
        <f>'d3'!M64-d3П!M63</f>
        <v>0</v>
      </c>
      <c r="N64" s="833">
        <f>'d3'!N64-d3П!N63</f>
        <v>0</v>
      </c>
      <c r="O64" s="833">
        <f>'d3'!O64-d3П!O63</f>
        <v>0</v>
      </c>
      <c r="P64" s="833">
        <f>'d3'!P64-d3П!P63</f>
        <v>2333405</v>
      </c>
      <c r="Q64" s="22"/>
      <c r="R64" s="32"/>
    </row>
    <row r="65" spans="1:18" ht="93" thickTop="1" thickBot="1" x14ac:dyDescent="0.25">
      <c r="A65" s="835" t="s">
        <v>682</v>
      </c>
      <c r="B65" s="835" t="s">
        <v>683</v>
      </c>
      <c r="C65" s="835" t="s">
        <v>215</v>
      </c>
      <c r="D65" s="835" t="s">
        <v>342</v>
      </c>
      <c r="E65" s="833">
        <f>'d3'!E65-d3П!E64</f>
        <v>0</v>
      </c>
      <c r="F65" s="833">
        <f>'d3'!F65-d3П!F64</f>
        <v>0</v>
      </c>
      <c r="G65" s="833">
        <f>'d3'!G65-d3П!G64</f>
        <v>0</v>
      </c>
      <c r="H65" s="833">
        <f>'d3'!H65-d3П!H64</f>
        <v>0</v>
      </c>
      <c r="I65" s="833">
        <f>'d3'!I65-d3П!I64</f>
        <v>0</v>
      </c>
      <c r="J65" s="833">
        <f>'d3'!J65-d3П!J64</f>
        <v>0</v>
      </c>
      <c r="K65" s="833">
        <f>'d3'!K65-d3П!K64</f>
        <v>0</v>
      </c>
      <c r="L65" s="833">
        <f>'d3'!L65-d3П!L64</f>
        <v>0</v>
      </c>
      <c r="M65" s="833">
        <f>'d3'!M65-d3П!M64</f>
        <v>0</v>
      </c>
      <c r="N65" s="833">
        <f>'d3'!N65-d3П!N64</f>
        <v>0</v>
      </c>
      <c r="O65" s="833">
        <f>'d3'!O65-d3П!O64</f>
        <v>0</v>
      </c>
      <c r="P65" s="833">
        <f>'d3'!P65-d3П!P64</f>
        <v>0</v>
      </c>
      <c r="Q65" s="22"/>
      <c r="R65" s="32"/>
    </row>
    <row r="66" spans="1:18" s="37" customFormat="1" ht="93" thickTop="1" thickBot="1" x14ac:dyDescent="0.25">
      <c r="A66" s="455" t="s">
        <v>684</v>
      </c>
      <c r="B66" s="455" t="s">
        <v>685</v>
      </c>
      <c r="C66" s="455"/>
      <c r="D66" s="455" t="s">
        <v>434</v>
      </c>
      <c r="E66" s="833">
        <f>'d3'!E66-d3П!E65</f>
        <v>76907</v>
      </c>
      <c r="F66" s="833">
        <f>'d3'!F66-d3П!F65</f>
        <v>76907</v>
      </c>
      <c r="G66" s="833">
        <f>'d3'!G66-d3П!G65</f>
        <v>0</v>
      </c>
      <c r="H66" s="833">
        <f>'d3'!H66-d3П!H65</f>
        <v>0</v>
      </c>
      <c r="I66" s="833">
        <f>'d3'!I66-d3П!I65</f>
        <v>0</v>
      </c>
      <c r="J66" s="833">
        <f>'d3'!J66-d3П!J65</f>
        <v>0</v>
      </c>
      <c r="K66" s="833">
        <f>'d3'!K66-d3П!K65</f>
        <v>0</v>
      </c>
      <c r="L66" s="833">
        <f>'d3'!L66-d3П!L65</f>
        <v>0</v>
      </c>
      <c r="M66" s="833">
        <f>'d3'!M66-d3П!M65</f>
        <v>0</v>
      </c>
      <c r="N66" s="833">
        <f>'d3'!N66-d3П!N65</f>
        <v>0</v>
      </c>
      <c r="O66" s="833">
        <f>'d3'!O66-d3П!O65</f>
        <v>0</v>
      </c>
      <c r="P66" s="833">
        <f>'d3'!P66-d3П!P65</f>
        <v>76907</v>
      </c>
      <c r="Q66" s="22"/>
      <c r="R66" s="38"/>
    </row>
    <row r="67" spans="1:18" ht="184.5" thickTop="1" thickBot="1" x14ac:dyDescent="0.25">
      <c r="A67" s="835" t="s">
        <v>686</v>
      </c>
      <c r="B67" s="835" t="s">
        <v>687</v>
      </c>
      <c r="C67" s="835" t="s">
        <v>215</v>
      </c>
      <c r="D67" s="835" t="s">
        <v>688</v>
      </c>
      <c r="E67" s="833">
        <f>'d3'!E67-d3П!E66</f>
        <v>76907</v>
      </c>
      <c r="F67" s="833">
        <f>'d3'!F67-d3П!F66</f>
        <v>76907</v>
      </c>
      <c r="G67" s="833">
        <f>'d3'!G67-d3П!G66</f>
        <v>0</v>
      </c>
      <c r="H67" s="833">
        <f>'d3'!H67-d3П!H66</f>
        <v>0</v>
      </c>
      <c r="I67" s="833">
        <f>'d3'!I67-d3П!I66</f>
        <v>0</v>
      </c>
      <c r="J67" s="833">
        <f>'d3'!J67-d3П!J66</f>
        <v>0</v>
      </c>
      <c r="K67" s="833">
        <f>'d3'!K67-d3П!K66</f>
        <v>0</v>
      </c>
      <c r="L67" s="833">
        <f>'d3'!L67-d3П!L66</f>
        <v>0</v>
      </c>
      <c r="M67" s="833">
        <f>'d3'!M67-d3П!M66</f>
        <v>0</v>
      </c>
      <c r="N67" s="833">
        <f>'d3'!N67-d3П!N66</f>
        <v>0</v>
      </c>
      <c r="O67" s="833">
        <f>'d3'!O67-d3П!O66</f>
        <v>0</v>
      </c>
      <c r="P67" s="833">
        <f>'d3'!P67-d3П!P66</f>
        <v>76907</v>
      </c>
      <c r="Q67" s="22"/>
      <c r="R67" s="28"/>
    </row>
    <row r="68" spans="1:18" ht="138.75" thickTop="1" thickBot="1" x14ac:dyDescent="0.25">
      <c r="A68" s="835" t="s">
        <v>689</v>
      </c>
      <c r="B68" s="835" t="s">
        <v>690</v>
      </c>
      <c r="C68" s="835" t="s">
        <v>215</v>
      </c>
      <c r="D68" s="835" t="s">
        <v>691</v>
      </c>
      <c r="E68" s="833">
        <f>'d3'!E68-d3П!E67</f>
        <v>0</v>
      </c>
      <c r="F68" s="833">
        <f>'d3'!F68-d3П!F67</f>
        <v>0</v>
      </c>
      <c r="G68" s="833">
        <f>'d3'!G68-d3П!G67</f>
        <v>0</v>
      </c>
      <c r="H68" s="833">
        <f>'d3'!H68-d3П!H67</f>
        <v>0</v>
      </c>
      <c r="I68" s="833">
        <f>'d3'!I68-d3П!I67</f>
        <v>0</v>
      </c>
      <c r="J68" s="833">
        <f>'d3'!J68-d3П!J67</f>
        <v>0</v>
      </c>
      <c r="K68" s="833">
        <f>'d3'!K68-d3П!K67</f>
        <v>0</v>
      </c>
      <c r="L68" s="833">
        <f>'d3'!L68-d3П!L67</f>
        <v>0</v>
      </c>
      <c r="M68" s="833">
        <f>'d3'!M68-d3П!M67</f>
        <v>0</v>
      </c>
      <c r="N68" s="833">
        <f>'d3'!N68-d3П!N67</f>
        <v>0</v>
      </c>
      <c r="O68" s="833">
        <f>'d3'!O68-d3П!O67</f>
        <v>0</v>
      </c>
      <c r="P68" s="833">
        <f>'d3'!P68-d3П!P67</f>
        <v>0</v>
      </c>
      <c r="Q68" s="22"/>
      <c r="R68" s="32"/>
    </row>
    <row r="69" spans="1:18" ht="138.75" thickTop="1" thickBot="1" x14ac:dyDescent="0.25">
      <c r="A69" s="835" t="s">
        <v>656</v>
      </c>
      <c r="B69" s="835" t="s">
        <v>657</v>
      </c>
      <c r="C69" s="835" t="s">
        <v>215</v>
      </c>
      <c r="D69" s="835" t="s">
        <v>658</v>
      </c>
      <c r="E69" s="833">
        <f>'d3'!E69-d3П!E68</f>
        <v>42000</v>
      </c>
      <c r="F69" s="833">
        <f>'d3'!F69-d3П!F68</f>
        <v>42000</v>
      </c>
      <c r="G69" s="833">
        <f>'d3'!G69-d3П!G68</f>
        <v>0</v>
      </c>
      <c r="H69" s="833">
        <f>'d3'!H69-d3П!H68</f>
        <v>0</v>
      </c>
      <c r="I69" s="833">
        <f>'d3'!I69-d3П!I68</f>
        <v>0</v>
      </c>
      <c r="J69" s="833">
        <f>'d3'!J69-d3П!J68</f>
        <v>200000</v>
      </c>
      <c r="K69" s="833">
        <f>'d3'!K69-d3П!K68</f>
        <v>200000</v>
      </c>
      <c r="L69" s="833">
        <f>'d3'!L69-d3П!L68</f>
        <v>0</v>
      </c>
      <c r="M69" s="833">
        <f>'d3'!M69-d3П!M68</f>
        <v>0</v>
      </c>
      <c r="N69" s="833">
        <f>'d3'!N69-d3П!N68</f>
        <v>0</v>
      </c>
      <c r="O69" s="833">
        <f>'d3'!O69-d3П!O68</f>
        <v>200000</v>
      </c>
      <c r="P69" s="833">
        <f>'d3'!P69-d3П!P68</f>
        <v>242000</v>
      </c>
      <c r="Q69" s="22"/>
      <c r="R69" s="28"/>
    </row>
    <row r="70" spans="1:18" s="35" customFormat="1" ht="230.25" hidden="1" customHeight="1" thickTop="1" thickBot="1" x14ac:dyDescent="0.25">
      <c r="A70" s="490" t="s">
        <v>661</v>
      </c>
      <c r="B70" s="490" t="s">
        <v>662</v>
      </c>
      <c r="C70" s="490"/>
      <c r="D70" s="490" t="s">
        <v>663</v>
      </c>
      <c r="E70" s="833">
        <f>'d3'!E70-d3П!E69</f>
        <v>0</v>
      </c>
      <c r="F70" s="833">
        <f>'d3'!F70-d3П!F69</f>
        <v>0</v>
      </c>
      <c r="G70" s="833">
        <f>'d3'!G70-d3П!G69</f>
        <v>0</v>
      </c>
      <c r="H70" s="833">
        <f>'d3'!H70-d3П!H69</f>
        <v>0</v>
      </c>
      <c r="I70" s="833">
        <f>'d3'!I70-d3П!I69</f>
        <v>0</v>
      </c>
      <c r="J70" s="833">
        <f>'d3'!J70-d3П!J69</f>
        <v>0</v>
      </c>
      <c r="K70" s="833">
        <f>'d3'!K70-d3П!K69</f>
        <v>0</v>
      </c>
      <c r="L70" s="833">
        <f>'d3'!L70-d3П!L69</f>
        <v>0</v>
      </c>
      <c r="M70" s="833">
        <f>'d3'!M70-d3П!M69</f>
        <v>0</v>
      </c>
      <c r="N70" s="833">
        <f>'d3'!N70-d3П!N69</f>
        <v>0</v>
      </c>
      <c r="O70" s="833">
        <f>'d3'!O70-d3П!O69</f>
        <v>0</v>
      </c>
      <c r="P70" s="833">
        <f>'d3'!P70-d3П!P69</f>
        <v>0</v>
      </c>
      <c r="Q70" s="39"/>
      <c r="R70" s="40"/>
    </row>
    <row r="71" spans="1:18" s="35" customFormat="1" ht="367.5" hidden="1" customHeight="1" thickTop="1" thickBot="1" x14ac:dyDescent="0.25">
      <c r="A71" s="452" t="s">
        <v>664</v>
      </c>
      <c r="B71" s="452" t="s">
        <v>665</v>
      </c>
      <c r="C71" s="452" t="s">
        <v>215</v>
      </c>
      <c r="D71" s="452" t="s">
        <v>666</v>
      </c>
      <c r="E71" s="833">
        <f>'d3'!E71-d3П!E70</f>
        <v>0</v>
      </c>
      <c r="F71" s="833">
        <f>'d3'!F71-d3П!F70</f>
        <v>0</v>
      </c>
      <c r="G71" s="833">
        <f>'d3'!G71-d3П!G70</f>
        <v>0</v>
      </c>
      <c r="H71" s="833">
        <f>'d3'!H71-d3П!H70</f>
        <v>0</v>
      </c>
      <c r="I71" s="833">
        <f>'d3'!I71-d3П!I70</f>
        <v>0</v>
      </c>
      <c r="J71" s="833">
        <f>'d3'!J71-d3П!J70</f>
        <v>0</v>
      </c>
      <c r="K71" s="833">
        <f>'d3'!K71-d3П!K70</f>
        <v>0</v>
      </c>
      <c r="L71" s="833">
        <f>'d3'!L71-d3П!L70</f>
        <v>0</v>
      </c>
      <c r="M71" s="833">
        <f>'d3'!M71-d3П!M70</f>
        <v>0</v>
      </c>
      <c r="N71" s="833">
        <f>'d3'!N71-d3П!N70</f>
        <v>0</v>
      </c>
      <c r="O71" s="833">
        <f>'d3'!O71-d3П!O70</f>
        <v>0</v>
      </c>
      <c r="P71" s="833">
        <f>'d3'!P71-d3П!P70</f>
        <v>0</v>
      </c>
      <c r="Q71" s="39"/>
      <c r="R71" s="28"/>
    </row>
    <row r="72" spans="1:18" s="35" customFormat="1" ht="367.5" hidden="1" customHeight="1" thickTop="1" thickBot="1" x14ac:dyDescent="0.25">
      <c r="A72" s="452" t="s">
        <v>998</v>
      </c>
      <c r="B72" s="452" t="s">
        <v>999</v>
      </c>
      <c r="C72" s="452" t="s">
        <v>215</v>
      </c>
      <c r="D72" s="452" t="s">
        <v>1000</v>
      </c>
      <c r="E72" s="833">
        <f>'d3'!E72-d3П!E71</f>
        <v>0</v>
      </c>
      <c r="F72" s="833">
        <f>'d3'!F72-d3П!F71</f>
        <v>0</v>
      </c>
      <c r="G72" s="833">
        <f>'d3'!G72-d3П!G71</f>
        <v>0</v>
      </c>
      <c r="H72" s="833">
        <f>'d3'!H72-d3П!H71</f>
        <v>0</v>
      </c>
      <c r="I72" s="833">
        <f>'d3'!I72-d3П!I71</f>
        <v>0</v>
      </c>
      <c r="J72" s="833">
        <f>'d3'!J72-d3П!J71</f>
        <v>0</v>
      </c>
      <c r="K72" s="833">
        <f>'d3'!K72-d3П!K71</f>
        <v>0</v>
      </c>
      <c r="L72" s="833">
        <f>'d3'!L72-d3П!L71</f>
        <v>0</v>
      </c>
      <c r="M72" s="833">
        <f>'d3'!M72-d3П!M71</f>
        <v>0</v>
      </c>
      <c r="N72" s="833">
        <f>'d3'!N72-d3П!N71</f>
        <v>0</v>
      </c>
      <c r="O72" s="833">
        <f>'d3'!O72-d3П!O71</f>
        <v>0</v>
      </c>
      <c r="P72" s="833">
        <f>'d3'!P72-d3П!P71</f>
        <v>0</v>
      </c>
      <c r="Q72" s="39"/>
      <c r="R72" s="28"/>
    </row>
    <row r="73" spans="1:18" s="35" customFormat="1" ht="409.6" hidden="1" customHeight="1" thickTop="1" thickBot="1" x14ac:dyDescent="0.25">
      <c r="A73" s="490" t="s">
        <v>1017</v>
      </c>
      <c r="B73" s="490" t="s">
        <v>1019</v>
      </c>
      <c r="C73" s="490"/>
      <c r="D73" s="490" t="s">
        <v>1021</v>
      </c>
      <c r="E73" s="833">
        <f>'d3'!E73-d3П!E72</f>
        <v>0</v>
      </c>
      <c r="F73" s="833">
        <f>'d3'!F73-d3П!F72</f>
        <v>0</v>
      </c>
      <c r="G73" s="833">
        <f>'d3'!G73-d3П!G72</f>
        <v>0</v>
      </c>
      <c r="H73" s="833">
        <f>'d3'!H73-d3П!H72</f>
        <v>0</v>
      </c>
      <c r="I73" s="833">
        <f>'d3'!I73-d3П!I72</f>
        <v>0</v>
      </c>
      <c r="J73" s="833">
        <f>'d3'!J73-d3П!J72</f>
        <v>0</v>
      </c>
      <c r="K73" s="833">
        <f>'d3'!K73-d3П!K72</f>
        <v>0</v>
      </c>
      <c r="L73" s="833">
        <f>'d3'!L73-d3П!L72</f>
        <v>0</v>
      </c>
      <c r="M73" s="833">
        <f>'d3'!M73-d3П!M72</f>
        <v>0</v>
      </c>
      <c r="N73" s="833">
        <f>'d3'!N73-d3П!N72</f>
        <v>0</v>
      </c>
      <c r="O73" s="833">
        <f>'d3'!O73-d3П!O72</f>
        <v>0</v>
      </c>
      <c r="P73" s="833">
        <f>'d3'!P73-d3П!P72</f>
        <v>0</v>
      </c>
      <c r="Q73" s="39"/>
      <c r="R73" s="28"/>
    </row>
    <row r="74" spans="1:18" s="35" customFormat="1" ht="409.6" hidden="1" customHeight="1" thickTop="1" thickBot="1" x14ac:dyDescent="0.25">
      <c r="A74" s="452" t="s">
        <v>1018</v>
      </c>
      <c r="B74" s="452" t="s">
        <v>1020</v>
      </c>
      <c r="C74" s="452" t="s">
        <v>215</v>
      </c>
      <c r="D74" s="452" t="s">
        <v>1022</v>
      </c>
      <c r="E74" s="833">
        <f>'d3'!E74-d3П!E73</f>
        <v>0</v>
      </c>
      <c r="F74" s="833">
        <f>'d3'!F74-d3П!F73</f>
        <v>0</v>
      </c>
      <c r="G74" s="833">
        <f>'d3'!G74-d3П!G73</f>
        <v>0</v>
      </c>
      <c r="H74" s="833">
        <f>'d3'!H74-d3П!H73</f>
        <v>0</v>
      </c>
      <c r="I74" s="833">
        <f>'d3'!I74-d3П!I73</f>
        <v>0</v>
      </c>
      <c r="J74" s="833">
        <f>'d3'!J74-d3П!J73</f>
        <v>0</v>
      </c>
      <c r="K74" s="833">
        <f>'d3'!K74-d3П!K73</f>
        <v>0</v>
      </c>
      <c r="L74" s="833">
        <f>'d3'!L74-d3П!L73</f>
        <v>0</v>
      </c>
      <c r="M74" s="833">
        <f>'d3'!M74-d3П!M73</f>
        <v>0</v>
      </c>
      <c r="N74" s="833">
        <f>'d3'!N74-d3П!N73</f>
        <v>0</v>
      </c>
      <c r="O74" s="833">
        <f>'d3'!O74-d3П!O73</f>
        <v>0</v>
      </c>
      <c r="P74" s="833">
        <f>'d3'!P74-d3П!P73</f>
        <v>0</v>
      </c>
      <c r="Q74" s="39"/>
      <c r="R74" s="28"/>
    </row>
    <row r="75" spans="1:18" s="35" customFormat="1" ht="46.5" hidden="1" customHeight="1" thickTop="1" thickBot="1" x14ac:dyDescent="0.25">
      <c r="A75" s="921" t="s">
        <v>1037</v>
      </c>
      <c r="B75" s="921" t="s">
        <v>1038</v>
      </c>
      <c r="C75" s="921" t="s">
        <v>215</v>
      </c>
      <c r="D75" s="921" t="s">
        <v>1039</v>
      </c>
      <c r="E75" s="833">
        <f>'d3'!E75-d3П!E74</f>
        <v>0</v>
      </c>
      <c r="F75" s="833">
        <f>'d3'!F75-d3П!F74</f>
        <v>0</v>
      </c>
      <c r="G75" s="833">
        <f>'d3'!G75-d3П!G74</f>
        <v>0</v>
      </c>
      <c r="H75" s="833">
        <f>'d3'!H75-d3П!H74</f>
        <v>0</v>
      </c>
      <c r="I75" s="833">
        <f>'d3'!I75-d3П!I74</f>
        <v>0</v>
      </c>
      <c r="J75" s="833">
        <f>'d3'!J75-d3П!J74</f>
        <v>0</v>
      </c>
      <c r="K75" s="833">
        <f>'d3'!K75-d3П!K74</f>
        <v>0</v>
      </c>
      <c r="L75" s="833">
        <f>'d3'!L75-d3П!L74</f>
        <v>0</v>
      </c>
      <c r="M75" s="833">
        <f>'d3'!M75-d3П!M74</f>
        <v>0</v>
      </c>
      <c r="N75" s="833">
        <f>'d3'!N75-d3П!N74</f>
        <v>0</v>
      </c>
      <c r="O75" s="833">
        <f>'d3'!O75-d3П!O74</f>
        <v>0</v>
      </c>
      <c r="P75" s="833">
        <f>'d3'!P75-d3П!P74</f>
        <v>0</v>
      </c>
      <c r="Q75" s="39"/>
      <c r="R75" s="28"/>
    </row>
    <row r="76" spans="1:18" s="35" customFormat="1" ht="46.5" hidden="1" customHeight="1" thickTop="1" thickBot="1" x14ac:dyDescent="0.25">
      <c r="A76" s="900"/>
      <c r="B76" s="900"/>
      <c r="C76" s="900"/>
      <c r="D76" s="900"/>
      <c r="E76" s="833">
        <f>'d3'!E76-d3П!E75</f>
        <v>0</v>
      </c>
      <c r="F76" s="833">
        <f>'d3'!F76-d3П!F75</f>
        <v>0</v>
      </c>
      <c r="G76" s="833">
        <f>'d3'!G76-d3П!G75</f>
        <v>0</v>
      </c>
      <c r="H76" s="833">
        <f>'d3'!H76-d3П!H75</f>
        <v>0</v>
      </c>
      <c r="I76" s="833">
        <f>'d3'!I76-d3П!I75</f>
        <v>0</v>
      </c>
      <c r="J76" s="833">
        <f>'d3'!J76-d3П!J75</f>
        <v>0</v>
      </c>
      <c r="K76" s="833">
        <f>'d3'!K76-d3П!K75</f>
        <v>0</v>
      </c>
      <c r="L76" s="833">
        <f>'d3'!L76-d3П!L75</f>
        <v>0</v>
      </c>
      <c r="M76" s="833">
        <f>'d3'!M76-d3П!M75</f>
        <v>0</v>
      </c>
      <c r="N76" s="833">
        <f>'d3'!N76-d3П!N75</f>
        <v>0</v>
      </c>
      <c r="O76" s="833">
        <f>'d3'!O76-d3П!O75</f>
        <v>0</v>
      </c>
      <c r="P76" s="833">
        <f>'d3'!P76-d3П!P75</f>
        <v>0</v>
      </c>
      <c r="Q76" s="39"/>
      <c r="R76" s="28"/>
    </row>
    <row r="77" spans="1:18" s="35" customFormat="1" ht="321.75" thickTop="1" thickBot="1" x14ac:dyDescent="0.25">
      <c r="A77" s="835" t="s">
        <v>653</v>
      </c>
      <c r="B77" s="835" t="s">
        <v>654</v>
      </c>
      <c r="C77" s="835" t="s">
        <v>215</v>
      </c>
      <c r="D77" s="835" t="s">
        <v>655</v>
      </c>
      <c r="E77" s="833">
        <f>'d3'!E77-d3П!E76</f>
        <v>0</v>
      </c>
      <c r="F77" s="833">
        <f>'d3'!F77-d3П!F76</f>
        <v>0</v>
      </c>
      <c r="G77" s="833">
        <f>'d3'!G77-d3П!G76</f>
        <v>0</v>
      </c>
      <c r="H77" s="833">
        <f>'d3'!H77-d3П!H76</f>
        <v>0</v>
      </c>
      <c r="I77" s="833">
        <f>'d3'!I77-d3П!I76</f>
        <v>0</v>
      </c>
      <c r="J77" s="833">
        <f>'d3'!J77-d3П!J76</f>
        <v>0</v>
      </c>
      <c r="K77" s="833">
        <f>'d3'!K77-d3П!K76</f>
        <v>0</v>
      </c>
      <c r="L77" s="833">
        <f>'d3'!L77-d3П!L76</f>
        <v>0</v>
      </c>
      <c r="M77" s="833">
        <f>'d3'!M77-d3П!M76</f>
        <v>0</v>
      </c>
      <c r="N77" s="833">
        <f>'d3'!N77-d3П!N76</f>
        <v>0</v>
      </c>
      <c r="O77" s="833">
        <f>'d3'!O77-d3П!O76</f>
        <v>0</v>
      </c>
      <c r="P77" s="833">
        <f>'d3'!P77-d3П!P76</f>
        <v>0</v>
      </c>
      <c r="Q77" s="39"/>
      <c r="R77" s="28"/>
    </row>
    <row r="78" spans="1:18" s="35" customFormat="1" ht="321.75" hidden="1" customHeight="1" thickTop="1" thickBot="1" x14ac:dyDescent="0.25">
      <c r="A78" s="452" t="s">
        <v>957</v>
      </c>
      <c r="B78" s="452" t="s">
        <v>958</v>
      </c>
      <c r="C78" s="452" t="s">
        <v>215</v>
      </c>
      <c r="D78" s="452" t="s">
        <v>959</v>
      </c>
      <c r="E78" s="833">
        <f>'d3'!E78-d3П!E77</f>
        <v>0</v>
      </c>
      <c r="F78" s="833">
        <f>'d3'!F78-d3П!F77</f>
        <v>0</v>
      </c>
      <c r="G78" s="833">
        <f>'d3'!G78-d3П!G77</f>
        <v>0</v>
      </c>
      <c r="H78" s="833">
        <f>'d3'!H78-d3П!H77</f>
        <v>0</v>
      </c>
      <c r="I78" s="833">
        <f>'d3'!I78-d3П!I77</f>
        <v>0</v>
      </c>
      <c r="J78" s="833">
        <f>'d3'!J78-d3П!J77</f>
        <v>0</v>
      </c>
      <c r="K78" s="833">
        <f>'d3'!K78-d3П!K77</f>
        <v>0</v>
      </c>
      <c r="L78" s="833">
        <f>'d3'!L78-d3П!L77</f>
        <v>0</v>
      </c>
      <c r="M78" s="833">
        <f>'d3'!M78-d3П!M77</f>
        <v>0</v>
      </c>
      <c r="N78" s="833">
        <f>'d3'!N78-d3П!N77</f>
        <v>0</v>
      </c>
      <c r="O78" s="833">
        <f>'d3'!O78-d3П!O77</f>
        <v>0</v>
      </c>
      <c r="P78" s="833">
        <f>'d3'!P78-d3П!P77</f>
        <v>0</v>
      </c>
      <c r="Q78" s="39"/>
      <c r="R78" s="28"/>
    </row>
    <row r="79" spans="1:18" s="35" customFormat="1" ht="276" thickTop="1" thickBot="1" x14ac:dyDescent="0.25">
      <c r="A79" s="455" t="s">
        <v>1023</v>
      </c>
      <c r="B79" s="455" t="s">
        <v>1025</v>
      </c>
      <c r="C79" s="455"/>
      <c r="D79" s="455" t="s">
        <v>1320</v>
      </c>
      <c r="E79" s="833">
        <f>'d3'!E79-d3П!E78</f>
        <v>0</v>
      </c>
      <c r="F79" s="833">
        <f>'d3'!F79-d3П!F78</f>
        <v>0</v>
      </c>
      <c r="G79" s="833">
        <f>'d3'!G79-d3П!G78</f>
        <v>0</v>
      </c>
      <c r="H79" s="833">
        <f>'d3'!H79-d3П!H78</f>
        <v>0</v>
      </c>
      <c r="I79" s="833">
        <f>'d3'!I79-d3П!I78</f>
        <v>0</v>
      </c>
      <c r="J79" s="833">
        <f>'d3'!J79-d3П!J78</f>
        <v>168633.07000000007</v>
      </c>
      <c r="K79" s="833">
        <f>'d3'!K79-d3П!K78</f>
        <v>168633.07000000007</v>
      </c>
      <c r="L79" s="833">
        <f>'d3'!L79-d3П!L78</f>
        <v>0</v>
      </c>
      <c r="M79" s="833">
        <f>'d3'!M79-d3П!M78</f>
        <v>0</v>
      </c>
      <c r="N79" s="833">
        <f>'d3'!N79-d3П!N78</f>
        <v>0</v>
      </c>
      <c r="O79" s="833">
        <f>'d3'!O79-d3П!O78</f>
        <v>168633.07000000007</v>
      </c>
      <c r="P79" s="833">
        <f>'d3'!P79-d3П!P78</f>
        <v>168633.07000000007</v>
      </c>
      <c r="Q79" s="39"/>
      <c r="R79" s="28"/>
    </row>
    <row r="80" spans="1:18" s="35" customFormat="1" ht="367.5" thickTop="1" thickBot="1" x14ac:dyDescent="0.25">
      <c r="A80" s="835" t="s">
        <v>1024</v>
      </c>
      <c r="B80" s="835" t="s">
        <v>1026</v>
      </c>
      <c r="C80" s="835" t="s">
        <v>215</v>
      </c>
      <c r="D80" s="835" t="s">
        <v>1321</v>
      </c>
      <c r="E80" s="833">
        <f>'d3'!E80-d3П!E79</f>
        <v>0</v>
      </c>
      <c r="F80" s="833">
        <f>'d3'!F80-d3П!F79</f>
        <v>0</v>
      </c>
      <c r="G80" s="833">
        <f>'d3'!G80-d3П!G79</f>
        <v>0</v>
      </c>
      <c r="H80" s="833">
        <f>'d3'!H80-d3П!H79</f>
        <v>0</v>
      </c>
      <c r="I80" s="833">
        <f>'d3'!I80-d3П!I79</f>
        <v>0</v>
      </c>
      <c r="J80" s="833">
        <f>'d3'!J80-d3П!J79</f>
        <v>168633.07000000007</v>
      </c>
      <c r="K80" s="833">
        <f>'d3'!K80-d3П!K79</f>
        <v>168633.07000000007</v>
      </c>
      <c r="L80" s="833">
        <f>'d3'!L80-d3П!L79</f>
        <v>0</v>
      </c>
      <c r="M80" s="833">
        <f>'d3'!M80-d3П!M79</f>
        <v>0</v>
      </c>
      <c r="N80" s="833">
        <f>'d3'!N80-d3П!N79</f>
        <v>0</v>
      </c>
      <c r="O80" s="833">
        <f>'d3'!O80-d3П!O79</f>
        <v>168633.07000000007</v>
      </c>
      <c r="P80" s="833">
        <f>'d3'!P80-d3П!P79</f>
        <v>168633.07000000007</v>
      </c>
      <c r="Q80" s="39"/>
      <c r="R80" s="28"/>
    </row>
    <row r="81" spans="1:18" s="35" customFormat="1" ht="321.75" hidden="1" customHeight="1" thickTop="1" thickBot="1" x14ac:dyDescent="0.25">
      <c r="A81" s="452" t="s">
        <v>1076</v>
      </c>
      <c r="B81" s="452" t="s">
        <v>1077</v>
      </c>
      <c r="C81" s="452" t="s">
        <v>215</v>
      </c>
      <c r="D81" s="452" t="s">
        <v>1075</v>
      </c>
      <c r="E81" s="833">
        <f>'d3'!E81-d3П!E80</f>
        <v>0</v>
      </c>
      <c r="F81" s="833">
        <f>'d3'!F81-d3П!F80</f>
        <v>0</v>
      </c>
      <c r="G81" s="833">
        <f>'d3'!G81-d3П!G80</f>
        <v>0</v>
      </c>
      <c r="H81" s="833">
        <f>'d3'!H81-d3П!H80</f>
        <v>0</v>
      </c>
      <c r="I81" s="833">
        <f>'d3'!I81-d3П!I80</f>
        <v>0</v>
      </c>
      <c r="J81" s="833">
        <f>'d3'!J81-d3П!J80</f>
        <v>0</v>
      </c>
      <c r="K81" s="833">
        <f>'d3'!K81-d3П!K80</f>
        <v>0</v>
      </c>
      <c r="L81" s="833">
        <f>'d3'!L81-d3П!L80</f>
        <v>0</v>
      </c>
      <c r="M81" s="833">
        <f>'d3'!M81-d3П!M80</f>
        <v>0</v>
      </c>
      <c r="N81" s="833">
        <f>'d3'!N81-d3П!N80</f>
        <v>0</v>
      </c>
      <c r="O81" s="833">
        <f>'d3'!O81-d3П!O80</f>
        <v>0</v>
      </c>
      <c r="P81" s="833">
        <f>'d3'!P81-d3П!P80</f>
        <v>0</v>
      </c>
      <c r="Q81" s="39"/>
      <c r="R81" s="28"/>
    </row>
    <row r="82" spans="1:18" s="35" customFormat="1" ht="184.5" thickTop="1" thickBot="1" x14ac:dyDescent="0.25">
      <c r="A82" s="455" t="s">
        <v>1516</v>
      </c>
      <c r="B82" s="455" t="s">
        <v>1517</v>
      </c>
      <c r="C82" s="455"/>
      <c r="D82" s="455" t="s">
        <v>1515</v>
      </c>
      <c r="E82" s="833">
        <f>'d3'!E82-0</f>
        <v>0</v>
      </c>
      <c r="F82" s="833">
        <f>'d3'!F82-0</f>
        <v>0</v>
      </c>
      <c r="G82" s="833">
        <f>'d3'!G82-0</f>
        <v>0</v>
      </c>
      <c r="H82" s="833">
        <f>'d3'!H82-0</f>
        <v>0</v>
      </c>
      <c r="I82" s="833">
        <f>'d3'!I82-0</f>
        <v>0</v>
      </c>
      <c r="J82" s="833">
        <f>'d3'!J82-0</f>
        <v>14200000</v>
      </c>
      <c r="K82" s="833">
        <f>'d3'!K82-0</f>
        <v>14200000</v>
      </c>
      <c r="L82" s="833">
        <f>'d3'!L82-0</f>
        <v>0</v>
      </c>
      <c r="M82" s="833">
        <f>'d3'!M82-0</f>
        <v>0</v>
      </c>
      <c r="N82" s="833">
        <f>'d3'!N82-0</f>
        <v>0</v>
      </c>
      <c r="O82" s="833">
        <f>'d3'!O82-0</f>
        <v>14200000</v>
      </c>
      <c r="P82" s="833">
        <f>'d3'!P82-0</f>
        <v>14200000</v>
      </c>
      <c r="Q82" s="39"/>
      <c r="R82" s="28"/>
    </row>
    <row r="83" spans="1:18" s="35" customFormat="1" ht="321.75" thickTop="1" thickBot="1" x14ac:dyDescent="0.25">
      <c r="A83" s="835" t="s">
        <v>1518</v>
      </c>
      <c r="B83" s="835" t="s">
        <v>1519</v>
      </c>
      <c r="C83" s="835" t="s">
        <v>215</v>
      </c>
      <c r="D83" s="835" t="s">
        <v>1520</v>
      </c>
      <c r="E83" s="833">
        <f>'d3'!E83-0</f>
        <v>0</v>
      </c>
      <c r="F83" s="833">
        <f>'d3'!F83-0</f>
        <v>0</v>
      </c>
      <c r="G83" s="833">
        <f>'d3'!G83-0</f>
        <v>0</v>
      </c>
      <c r="H83" s="833">
        <f>'d3'!H83-0</f>
        <v>0</v>
      </c>
      <c r="I83" s="833">
        <f>'d3'!I83-0</f>
        <v>0</v>
      </c>
      <c r="J83" s="833">
        <f>'d3'!J83-0</f>
        <v>7000000</v>
      </c>
      <c r="K83" s="833">
        <f>'d3'!K83-0</f>
        <v>7000000</v>
      </c>
      <c r="L83" s="833">
        <f>'d3'!L83-0</f>
        <v>0</v>
      </c>
      <c r="M83" s="833">
        <f>'d3'!M83-0</f>
        <v>0</v>
      </c>
      <c r="N83" s="833">
        <f>'d3'!N83-0</f>
        <v>0</v>
      </c>
      <c r="O83" s="833">
        <f>'d3'!O83-0</f>
        <v>7000000</v>
      </c>
      <c r="P83" s="833">
        <f>'d3'!P83-0</f>
        <v>7000000</v>
      </c>
      <c r="Q83" s="39"/>
      <c r="R83" s="28"/>
    </row>
    <row r="84" spans="1:18" s="35" customFormat="1" ht="276" thickTop="1" thickBot="1" x14ac:dyDescent="0.25">
      <c r="A84" s="835" t="s">
        <v>1521</v>
      </c>
      <c r="B84" s="835" t="s">
        <v>1522</v>
      </c>
      <c r="C84" s="835" t="s">
        <v>215</v>
      </c>
      <c r="D84" s="835" t="s">
        <v>1523</v>
      </c>
      <c r="E84" s="833">
        <f>'d3'!E84-0</f>
        <v>0</v>
      </c>
      <c r="F84" s="833">
        <f>'d3'!F84-0</f>
        <v>0</v>
      </c>
      <c r="G84" s="833">
        <f>'d3'!G84-0</f>
        <v>0</v>
      </c>
      <c r="H84" s="833">
        <f>'d3'!H84-0</f>
        <v>0</v>
      </c>
      <c r="I84" s="833">
        <f>'d3'!I84-0</f>
        <v>0</v>
      </c>
      <c r="J84" s="833">
        <f>'d3'!J84-0</f>
        <v>7200000</v>
      </c>
      <c r="K84" s="833">
        <f>'d3'!K84-0</f>
        <v>7200000</v>
      </c>
      <c r="L84" s="833">
        <f>'d3'!L84-0</f>
        <v>0</v>
      </c>
      <c r="M84" s="833">
        <f>'d3'!M84-0</f>
        <v>0</v>
      </c>
      <c r="N84" s="833">
        <f>'d3'!N84-0</f>
        <v>0</v>
      </c>
      <c r="O84" s="833">
        <f>'d3'!O84-0</f>
        <v>7200000</v>
      </c>
      <c r="P84" s="833">
        <f>'d3'!P84-0</f>
        <v>7200000</v>
      </c>
      <c r="Q84" s="39"/>
      <c r="R84" s="28"/>
    </row>
    <row r="85" spans="1:18" s="35" customFormat="1" ht="91.5" thickTop="1" thickBot="1" x14ac:dyDescent="0.25">
      <c r="A85" s="385" t="s">
        <v>719</v>
      </c>
      <c r="B85" s="385" t="s">
        <v>720</v>
      </c>
      <c r="C85" s="385"/>
      <c r="D85" s="385" t="s">
        <v>721</v>
      </c>
      <c r="E85" s="833">
        <f>'d3'!E85-d3П!E81</f>
        <v>1560850</v>
      </c>
      <c r="F85" s="833">
        <f>'d3'!F85-d3П!F81</f>
        <v>1560850</v>
      </c>
      <c r="G85" s="833">
        <f>'d3'!G85-d3П!G81</f>
        <v>0</v>
      </c>
      <c r="H85" s="833">
        <f>'d3'!H85-d3П!H81</f>
        <v>245850</v>
      </c>
      <c r="I85" s="833">
        <f>'d3'!I85-d3П!I81</f>
        <v>0</v>
      </c>
      <c r="J85" s="833">
        <f>'d3'!J85-d3П!J81</f>
        <v>0</v>
      </c>
      <c r="K85" s="833">
        <f>'d3'!K85-d3П!K81</f>
        <v>0</v>
      </c>
      <c r="L85" s="833">
        <f>'d3'!L85-d3П!L81</f>
        <v>0</v>
      </c>
      <c r="M85" s="833">
        <f>'d3'!M85-d3П!M81</f>
        <v>0</v>
      </c>
      <c r="N85" s="833">
        <f>'d3'!N85-d3П!N81</f>
        <v>0</v>
      </c>
      <c r="O85" s="833">
        <f>'d3'!O85-d3П!O81</f>
        <v>0</v>
      </c>
      <c r="P85" s="833">
        <f>'d3'!P85-d3П!P81</f>
        <v>1560850</v>
      </c>
      <c r="Q85" s="39"/>
      <c r="R85" s="28"/>
    </row>
    <row r="86" spans="1:18" s="35" customFormat="1" ht="367.5" thickTop="1" thickBot="1" x14ac:dyDescent="0.25">
      <c r="A86" s="835" t="s">
        <v>436</v>
      </c>
      <c r="B86" s="835" t="s">
        <v>437</v>
      </c>
      <c r="C86" s="835" t="s">
        <v>190</v>
      </c>
      <c r="D86" s="835" t="s">
        <v>435</v>
      </c>
      <c r="E86" s="833">
        <f>'d3'!E86-d3П!E82</f>
        <v>715000</v>
      </c>
      <c r="F86" s="833">
        <f>'d3'!F86-d3П!F82</f>
        <v>715000</v>
      </c>
      <c r="G86" s="833">
        <f>'d3'!G86-d3П!G82</f>
        <v>0</v>
      </c>
      <c r="H86" s="833">
        <f>'d3'!H86-d3П!H82</f>
        <v>0</v>
      </c>
      <c r="I86" s="833">
        <f>'d3'!I86-d3П!I82</f>
        <v>0</v>
      </c>
      <c r="J86" s="833">
        <f>'d3'!J86-d3П!J82</f>
        <v>0</v>
      </c>
      <c r="K86" s="833">
        <f>'d3'!K86-d3П!K82</f>
        <v>0</v>
      </c>
      <c r="L86" s="833">
        <f>'d3'!L86-d3П!L82</f>
        <v>0</v>
      </c>
      <c r="M86" s="833">
        <f>'d3'!M86-d3П!M82</f>
        <v>0</v>
      </c>
      <c r="N86" s="833">
        <f>'d3'!N86-d3П!N82</f>
        <v>0</v>
      </c>
      <c r="O86" s="833">
        <f>'d3'!O86-d3П!O82</f>
        <v>0</v>
      </c>
      <c r="P86" s="833">
        <f>'d3'!P86-d3П!P82</f>
        <v>715000</v>
      </c>
      <c r="Q86" s="39"/>
      <c r="R86" s="42"/>
    </row>
    <row r="87" spans="1:18" s="35" customFormat="1" ht="230.25" thickTop="1" thickBot="1" x14ac:dyDescent="0.25">
      <c r="A87" s="835" t="s">
        <v>1283</v>
      </c>
      <c r="B87" s="835" t="s">
        <v>1249</v>
      </c>
      <c r="C87" s="835" t="s">
        <v>211</v>
      </c>
      <c r="D87" s="470" t="s">
        <v>1250</v>
      </c>
      <c r="E87" s="833">
        <f>'d3'!E87-d3П!E83</f>
        <v>845850</v>
      </c>
      <c r="F87" s="833">
        <f>'d3'!F87-d3П!F83</f>
        <v>845850</v>
      </c>
      <c r="G87" s="833">
        <f>'d3'!G87-d3П!G83</f>
        <v>0</v>
      </c>
      <c r="H87" s="833">
        <f>'d3'!H87-d3П!H83</f>
        <v>245850</v>
      </c>
      <c r="I87" s="833">
        <f>'d3'!I87-d3П!I83</f>
        <v>0</v>
      </c>
      <c r="J87" s="833">
        <f>'d3'!J87-d3П!J83</f>
        <v>0</v>
      </c>
      <c r="K87" s="833">
        <f>'d3'!K87-d3П!K83</f>
        <v>0</v>
      </c>
      <c r="L87" s="833">
        <f>'d3'!L87-d3П!L83</f>
        <v>0</v>
      </c>
      <c r="M87" s="833">
        <f>'d3'!M87-d3П!M83</f>
        <v>0</v>
      </c>
      <c r="N87" s="833">
        <f>'d3'!N87-d3П!N83</f>
        <v>0</v>
      </c>
      <c r="O87" s="833">
        <f>'d3'!O87-d3П!O83</f>
        <v>0</v>
      </c>
      <c r="P87" s="833">
        <f>'d3'!P87-d3П!P83</f>
        <v>845850</v>
      </c>
      <c r="Q87" s="39"/>
      <c r="R87" s="42"/>
    </row>
    <row r="88" spans="1:18" s="35" customFormat="1" ht="47.25" thickTop="1" thickBot="1" x14ac:dyDescent="0.25">
      <c r="A88" s="385" t="s">
        <v>1130</v>
      </c>
      <c r="B88" s="385" t="s">
        <v>757</v>
      </c>
      <c r="C88" s="385"/>
      <c r="D88" s="385" t="s">
        <v>1129</v>
      </c>
      <c r="E88" s="833">
        <f>'d3'!E88-d3П!E84</f>
        <v>0</v>
      </c>
      <c r="F88" s="833">
        <f>'d3'!F88-d3П!F84</f>
        <v>0</v>
      </c>
      <c r="G88" s="833">
        <f>'d3'!G88-d3П!G84</f>
        <v>0</v>
      </c>
      <c r="H88" s="833">
        <f>'d3'!H88-d3П!H84</f>
        <v>0</v>
      </c>
      <c r="I88" s="833">
        <f>'d3'!I88-d3П!I84</f>
        <v>0</v>
      </c>
      <c r="J88" s="833">
        <f>'d3'!J88-d3П!J84</f>
        <v>-2196769</v>
      </c>
      <c r="K88" s="833">
        <f>'d3'!K88-d3П!K84</f>
        <v>-2196769</v>
      </c>
      <c r="L88" s="833">
        <f>'d3'!L88-d3П!L84</f>
        <v>0</v>
      </c>
      <c r="M88" s="833">
        <f>'d3'!M88-d3П!M84</f>
        <v>0</v>
      </c>
      <c r="N88" s="833">
        <f>'d3'!N88-d3П!N84</f>
        <v>0</v>
      </c>
      <c r="O88" s="833">
        <f>'d3'!O88-d3П!O84</f>
        <v>-2196769</v>
      </c>
      <c r="P88" s="833">
        <f>'d3'!P88-d3П!P84</f>
        <v>-2196769</v>
      </c>
      <c r="Q88" s="39"/>
      <c r="R88" s="28"/>
    </row>
    <row r="89" spans="1:18" s="35" customFormat="1" ht="91.5" thickTop="1" thickBot="1" x14ac:dyDescent="0.25">
      <c r="A89" s="387" t="s">
        <v>1128</v>
      </c>
      <c r="B89" s="387" t="s">
        <v>813</v>
      </c>
      <c r="C89" s="387"/>
      <c r="D89" s="387" t="s">
        <v>814</v>
      </c>
      <c r="E89" s="833">
        <f>'d3'!E89-d3П!E85</f>
        <v>0</v>
      </c>
      <c r="F89" s="833">
        <f>'d3'!F89-d3П!F85</f>
        <v>0</v>
      </c>
      <c r="G89" s="833">
        <f>'d3'!G89-d3П!G85</f>
        <v>0</v>
      </c>
      <c r="H89" s="833">
        <f>'d3'!H89-d3П!H85</f>
        <v>0</v>
      </c>
      <c r="I89" s="833">
        <f>'d3'!I89-d3П!I85</f>
        <v>0</v>
      </c>
      <c r="J89" s="833">
        <f>'d3'!J89-d3П!J85</f>
        <v>-2596769</v>
      </c>
      <c r="K89" s="833">
        <f>'d3'!K89-d3П!K85</f>
        <v>-2596769</v>
      </c>
      <c r="L89" s="833">
        <f>'d3'!L89-d3П!L85</f>
        <v>0</v>
      </c>
      <c r="M89" s="833">
        <f>'d3'!M89-d3П!M85</f>
        <v>0</v>
      </c>
      <c r="N89" s="833">
        <f>'d3'!N89-d3П!N85</f>
        <v>0</v>
      </c>
      <c r="O89" s="833">
        <f>'d3'!O89-d3П!O85</f>
        <v>-2596769</v>
      </c>
      <c r="P89" s="833">
        <f>'d3'!P89-d3П!P85</f>
        <v>-2596769</v>
      </c>
      <c r="Q89" s="39"/>
      <c r="R89" s="28"/>
    </row>
    <row r="90" spans="1:18" s="35" customFormat="1" ht="145.5" thickTop="1" thickBot="1" x14ac:dyDescent="0.25">
      <c r="A90" s="455" t="s">
        <v>1131</v>
      </c>
      <c r="B90" s="455" t="s">
        <v>831</v>
      </c>
      <c r="C90" s="455"/>
      <c r="D90" s="455" t="s">
        <v>1318</v>
      </c>
      <c r="E90" s="833">
        <f>'d3'!E90-d3П!E86</f>
        <v>0</v>
      </c>
      <c r="F90" s="833">
        <f>'d3'!F90-d3П!F86</f>
        <v>0</v>
      </c>
      <c r="G90" s="833">
        <f>'d3'!G90-d3П!G86</f>
        <v>0</v>
      </c>
      <c r="H90" s="833">
        <f>'d3'!H90-d3П!H86</f>
        <v>0</v>
      </c>
      <c r="I90" s="833">
        <f>'d3'!I90-d3П!I86</f>
        <v>0</v>
      </c>
      <c r="J90" s="833">
        <f>'d3'!J90-d3П!J86</f>
        <v>-2596769</v>
      </c>
      <c r="K90" s="833">
        <f>'d3'!K90-d3П!K86</f>
        <v>-2596769</v>
      </c>
      <c r="L90" s="833">
        <f>'d3'!L90-d3П!L86</f>
        <v>0</v>
      </c>
      <c r="M90" s="833">
        <f>'d3'!M90-d3П!M86</f>
        <v>0</v>
      </c>
      <c r="N90" s="833">
        <f>'d3'!N90-d3П!N86</f>
        <v>0</v>
      </c>
      <c r="O90" s="833">
        <f>'d3'!O90-d3П!O86</f>
        <v>-2596769</v>
      </c>
      <c r="P90" s="833">
        <f>'d3'!P90-d3П!P86</f>
        <v>-2596769</v>
      </c>
      <c r="Q90" s="39"/>
      <c r="R90" s="28"/>
    </row>
    <row r="91" spans="1:18" s="35" customFormat="1" ht="99.75" thickTop="1" thickBot="1" x14ac:dyDescent="0.25">
      <c r="A91" s="835" t="s">
        <v>1143</v>
      </c>
      <c r="B91" s="835" t="s">
        <v>316</v>
      </c>
      <c r="C91" s="835" t="s">
        <v>309</v>
      </c>
      <c r="D91" s="835" t="s">
        <v>1319</v>
      </c>
      <c r="E91" s="833">
        <f>'d3'!E91-d3П!E87</f>
        <v>0</v>
      </c>
      <c r="F91" s="833">
        <f>'d3'!F91-d3П!F87</f>
        <v>0</v>
      </c>
      <c r="G91" s="833">
        <f>'d3'!G91-d3П!G87</f>
        <v>0</v>
      </c>
      <c r="H91" s="833">
        <f>'d3'!H91-d3П!H87</f>
        <v>0</v>
      </c>
      <c r="I91" s="833">
        <f>'d3'!I91-d3П!I87</f>
        <v>0</v>
      </c>
      <c r="J91" s="833">
        <f>'d3'!J91-d3П!J87</f>
        <v>-2596769</v>
      </c>
      <c r="K91" s="833">
        <f>'d3'!K91-d3П!K87</f>
        <v>-2596769</v>
      </c>
      <c r="L91" s="833">
        <f>'d3'!L91-d3П!L87</f>
        <v>0</v>
      </c>
      <c r="M91" s="833">
        <f>'d3'!M91-d3П!M87</f>
        <v>0</v>
      </c>
      <c r="N91" s="833">
        <f>'d3'!N91-d3П!N87</f>
        <v>0</v>
      </c>
      <c r="O91" s="833">
        <f>'d3'!O91-d3П!O87</f>
        <v>-2596769</v>
      </c>
      <c r="P91" s="833">
        <f>'d3'!P91-d3П!P87</f>
        <v>-2596769</v>
      </c>
      <c r="Q91" s="32"/>
      <c r="R91" s="28"/>
    </row>
    <row r="92" spans="1:18" s="35" customFormat="1" ht="136.5" thickTop="1" thickBot="1" x14ac:dyDescent="0.25">
      <c r="A92" s="387" t="s">
        <v>1132</v>
      </c>
      <c r="B92" s="387" t="s">
        <v>700</v>
      </c>
      <c r="C92" s="387"/>
      <c r="D92" s="387" t="s">
        <v>698</v>
      </c>
      <c r="E92" s="833">
        <f>'d3'!E92-d3П!E88</f>
        <v>0</v>
      </c>
      <c r="F92" s="833">
        <f>'d3'!F92-d3П!F88</f>
        <v>0</v>
      </c>
      <c r="G92" s="833">
        <f>'d3'!G92-d3П!G88</f>
        <v>0</v>
      </c>
      <c r="H92" s="833">
        <f>'d3'!H92-d3П!H88</f>
        <v>0</v>
      </c>
      <c r="I92" s="833">
        <f>'d3'!I92-d3П!I88</f>
        <v>0</v>
      </c>
      <c r="J92" s="833">
        <f>'d3'!J92-d3П!J88</f>
        <v>400000</v>
      </c>
      <c r="K92" s="833">
        <f>'d3'!K92-d3П!K88</f>
        <v>400000</v>
      </c>
      <c r="L92" s="833">
        <f>'d3'!L92-d3П!L88</f>
        <v>0</v>
      </c>
      <c r="M92" s="833">
        <f>'d3'!M92-d3П!M88</f>
        <v>0</v>
      </c>
      <c r="N92" s="833">
        <f>'d3'!N92-d3П!N88</f>
        <v>0</v>
      </c>
      <c r="O92" s="833">
        <f>'d3'!O92-d3П!O88</f>
        <v>400000</v>
      </c>
      <c r="P92" s="833">
        <f>'d3'!P92-d3П!P88</f>
        <v>400000</v>
      </c>
      <c r="Q92" s="32"/>
      <c r="R92" s="28"/>
    </row>
    <row r="93" spans="1:18" s="35" customFormat="1" ht="47.25" thickTop="1" thickBot="1" x14ac:dyDescent="0.25">
      <c r="A93" s="835" t="s">
        <v>1133</v>
      </c>
      <c r="B93" s="835" t="s">
        <v>217</v>
      </c>
      <c r="C93" s="835" t="s">
        <v>218</v>
      </c>
      <c r="D93" s="835" t="s">
        <v>41</v>
      </c>
      <c r="E93" s="833">
        <f>'d3'!E93-d3П!E89</f>
        <v>0</v>
      </c>
      <c r="F93" s="833">
        <f>'d3'!F93-d3П!F89</f>
        <v>0</v>
      </c>
      <c r="G93" s="833">
        <f>'d3'!G93-d3П!G89</f>
        <v>0</v>
      </c>
      <c r="H93" s="833">
        <f>'d3'!H93-d3П!H89</f>
        <v>0</v>
      </c>
      <c r="I93" s="833">
        <f>'d3'!I93-d3П!I89</f>
        <v>0</v>
      </c>
      <c r="J93" s="833">
        <f>'d3'!J93-d3П!J89</f>
        <v>400000</v>
      </c>
      <c r="K93" s="833">
        <f>'d3'!K93-d3П!K89</f>
        <v>400000</v>
      </c>
      <c r="L93" s="833">
        <f>'d3'!L93-d3П!L89</f>
        <v>0</v>
      </c>
      <c r="M93" s="833">
        <f>'d3'!M93-d3П!M89</f>
        <v>0</v>
      </c>
      <c r="N93" s="833">
        <f>'d3'!N93-d3П!N89</f>
        <v>0</v>
      </c>
      <c r="O93" s="833">
        <f>'d3'!O93-d3П!O89</f>
        <v>400000</v>
      </c>
      <c r="P93" s="833">
        <f>'d3'!P93-d3П!P89</f>
        <v>400000</v>
      </c>
      <c r="Q93" s="32"/>
      <c r="R93" s="28"/>
    </row>
    <row r="94" spans="1:18" s="35" customFormat="1" ht="47.25" thickTop="1" thickBot="1" x14ac:dyDescent="0.25">
      <c r="A94" s="385" t="s">
        <v>1273</v>
      </c>
      <c r="B94" s="385" t="s">
        <v>705</v>
      </c>
      <c r="C94" s="385"/>
      <c r="D94" s="385" t="s">
        <v>706</v>
      </c>
      <c r="E94" s="833">
        <f>'d3'!E94-d3П!E90</f>
        <v>0</v>
      </c>
      <c r="F94" s="833">
        <f>'d3'!F94-d3П!F90</f>
        <v>0</v>
      </c>
      <c r="G94" s="833">
        <f>'d3'!G94-d3П!G90</f>
        <v>0</v>
      </c>
      <c r="H94" s="833">
        <f>'d3'!H94-d3П!H90</f>
        <v>0</v>
      </c>
      <c r="I94" s="833">
        <f>'d3'!I94-d3П!I90</f>
        <v>0</v>
      </c>
      <c r="J94" s="833">
        <f>'d3'!J94-d3П!J90</f>
        <v>0</v>
      </c>
      <c r="K94" s="833">
        <f>'d3'!K94-d3П!K90</f>
        <v>0</v>
      </c>
      <c r="L94" s="833">
        <f>'d3'!L94-d3П!L90</f>
        <v>0</v>
      </c>
      <c r="M94" s="833">
        <f>'d3'!M94-d3П!M90</f>
        <v>0</v>
      </c>
      <c r="N94" s="833">
        <f>'d3'!N94-d3П!N90</f>
        <v>0</v>
      </c>
      <c r="O94" s="833">
        <f>'d3'!O94-d3П!O90</f>
        <v>0</v>
      </c>
      <c r="P94" s="833">
        <f>'d3'!P94-d3П!P90</f>
        <v>0</v>
      </c>
      <c r="Q94" s="32"/>
      <c r="R94" s="28"/>
    </row>
    <row r="95" spans="1:18" s="35" customFormat="1" ht="91.5" thickTop="1" thickBot="1" x14ac:dyDescent="0.25">
      <c r="A95" s="387" t="s">
        <v>1274</v>
      </c>
      <c r="B95" s="387" t="s">
        <v>1234</v>
      </c>
      <c r="C95" s="387"/>
      <c r="D95" s="387" t="s">
        <v>1232</v>
      </c>
      <c r="E95" s="833">
        <f>'d3'!E95-d3П!E91</f>
        <v>0</v>
      </c>
      <c r="F95" s="833">
        <f>'d3'!F95-d3П!F91</f>
        <v>0</v>
      </c>
      <c r="G95" s="833">
        <f>'d3'!G95-d3П!G91</f>
        <v>0</v>
      </c>
      <c r="H95" s="833">
        <f>'d3'!H95-d3П!H91</f>
        <v>0</v>
      </c>
      <c r="I95" s="833">
        <f>'d3'!I95-d3П!I91</f>
        <v>0</v>
      </c>
      <c r="J95" s="833">
        <f>'d3'!J95-d3П!J91</f>
        <v>0</v>
      </c>
      <c r="K95" s="833">
        <f>'d3'!K95-d3П!K91</f>
        <v>0</v>
      </c>
      <c r="L95" s="833">
        <f>'d3'!L95-d3П!L91</f>
        <v>0</v>
      </c>
      <c r="M95" s="833">
        <f>'d3'!M95-d3П!M91</f>
        <v>0</v>
      </c>
      <c r="N95" s="833">
        <f>'d3'!N95-d3П!N91</f>
        <v>0</v>
      </c>
      <c r="O95" s="833">
        <f>'d3'!O95-d3П!O91</f>
        <v>0</v>
      </c>
      <c r="P95" s="833">
        <f>'d3'!P95-d3П!P91</f>
        <v>0</v>
      </c>
      <c r="Q95" s="32"/>
      <c r="R95" s="28"/>
    </row>
    <row r="96" spans="1:18" s="35" customFormat="1" ht="93" thickTop="1" thickBot="1" x14ac:dyDescent="0.25">
      <c r="A96" s="835" t="s">
        <v>1275</v>
      </c>
      <c r="B96" s="835" t="s">
        <v>1238</v>
      </c>
      <c r="C96" s="835" t="s">
        <v>1236</v>
      </c>
      <c r="D96" s="835" t="s">
        <v>1235</v>
      </c>
      <c r="E96" s="833">
        <f>'d3'!E96-d3П!E92</f>
        <v>0</v>
      </c>
      <c r="F96" s="833">
        <f>'d3'!F96-d3П!F92</f>
        <v>0</v>
      </c>
      <c r="G96" s="833">
        <f>'d3'!G96-d3П!G92</f>
        <v>0</v>
      </c>
      <c r="H96" s="833">
        <f>'d3'!H96-d3П!H92</f>
        <v>0</v>
      </c>
      <c r="I96" s="833">
        <f>'d3'!I96-d3П!I92</f>
        <v>0</v>
      </c>
      <c r="J96" s="833">
        <f>'d3'!J96-d3П!J92</f>
        <v>0</v>
      </c>
      <c r="K96" s="833">
        <f>'d3'!K96-d3П!K92</f>
        <v>0</v>
      </c>
      <c r="L96" s="833">
        <f>'d3'!L96-d3П!L92</f>
        <v>0</v>
      </c>
      <c r="M96" s="833">
        <f>'d3'!M96-d3П!M92</f>
        <v>0</v>
      </c>
      <c r="N96" s="833">
        <f>'d3'!N96-d3П!N92</f>
        <v>0</v>
      </c>
      <c r="O96" s="833">
        <f>'d3'!O96-d3П!O92</f>
        <v>0</v>
      </c>
      <c r="P96" s="833">
        <f>'d3'!P96-d3П!P92</f>
        <v>0</v>
      </c>
      <c r="Q96" s="32"/>
      <c r="R96" s="28"/>
    </row>
    <row r="97" spans="1:18" s="35" customFormat="1" ht="47.25" hidden="1" customHeight="1" thickTop="1" thickBot="1" x14ac:dyDescent="0.25">
      <c r="A97" s="180" t="s">
        <v>1050</v>
      </c>
      <c r="B97" s="180" t="s">
        <v>711</v>
      </c>
      <c r="C97" s="180"/>
      <c r="D97" s="180" t="s">
        <v>712</v>
      </c>
      <c r="E97" s="846">
        <f>E98</f>
        <v>0</v>
      </c>
      <c r="F97" s="846">
        <f t="shared" ref="F97:P98" si="6">F98</f>
        <v>0</v>
      </c>
      <c r="G97" s="846">
        <f t="shared" si="6"/>
        <v>0</v>
      </c>
      <c r="H97" s="846">
        <f t="shared" si="6"/>
        <v>0</v>
      </c>
      <c r="I97" s="846">
        <f t="shared" si="6"/>
        <v>0</v>
      </c>
      <c r="J97" s="846">
        <f t="shared" si="6"/>
        <v>0</v>
      </c>
      <c r="K97" s="846">
        <f t="shared" si="6"/>
        <v>0</v>
      </c>
      <c r="L97" s="846">
        <f t="shared" si="6"/>
        <v>0</v>
      </c>
      <c r="M97" s="846">
        <f t="shared" si="6"/>
        <v>0</v>
      </c>
      <c r="N97" s="846">
        <f t="shared" si="6"/>
        <v>0</v>
      </c>
      <c r="O97" s="846">
        <f t="shared" si="6"/>
        <v>0</v>
      </c>
      <c r="P97" s="846">
        <f t="shared" si="6"/>
        <v>0</v>
      </c>
      <c r="Q97" s="39"/>
      <c r="R97" s="28"/>
    </row>
    <row r="98" spans="1:18" s="35" customFormat="1" ht="271.5" hidden="1" thickTop="1" thickBot="1" x14ac:dyDescent="0.25">
      <c r="A98" s="181" t="s">
        <v>1051</v>
      </c>
      <c r="B98" s="181" t="s">
        <v>714</v>
      </c>
      <c r="C98" s="181"/>
      <c r="D98" s="181" t="s">
        <v>715</v>
      </c>
      <c r="E98" s="182">
        <f>E99</f>
        <v>0</v>
      </c>
      <c r="F98" s="182">
        <f t="shared" si="6"/>
        <v>0</v>
      </c>
      <c r="G98" s="182">
        <f t="shared" si="6"/>
        <v>0</v>
      </c>
      <c r="H98" s="182">
        <f t="shared" si="6"/>
        <v>0</v>
      </c>
      <c r="I98" s="182">
        <f t="shared" si="6"/>
        <v>0</v>
      </c>
      <c r="J98" s="182">
        <f t="shared" si="6"/>
        <v>0</v>
      </c>
      <c r="K98" s="182">
        <f t="shared" si="6"/>
        <v>0</v>
      </c>
      <c r="L98" s="182">
        <f t="shared" si="6"/>
        <v>0</v>
      </c>
      <c r="M98" s="182">
        <f t="shared" si="6"/>
        <v>0</v>
      </c>
      <c r="N98" s="182">
        <f t="shared" si="6"/>
        <v>0</v>
      </c>
      <c r="O98" s="182">
        <f t="shared" si="6"/>
        <v>0</v>
      </c>
      <c r="P98" s="182">
        <f t="shared" si="6"/>
        <v>0</v>
      </c>
      <c r="Q98" s="39"/>
      <c r="R98" s="28"/>
    </row>
    <row r="99" spans="1:18" s="35" customFormat="1" ht="93" hidden="1" thickTop="1" thickBot="1" x14ac:dyDescent="0.25">
      <c r="A99" s="845" t="s">
        <v>1052</v>
      </c>
      <c r="B99" s="845" t="s">
        <v>368</v>
      </c>
      <c r="C99" s="845" t="s">
        <v>43</v>
      </c>
      <c r="D99" s="845" t="s">
        <v>369</v>
      </c>
      <c r="E99" s="846">
        <f t="shared" ref="E99" si="7">F99</f>
        <v>0</v>
      </c>
      <c r="F99" s="46"/>
      <c r="G99" s="46"/>
      <c r="H99" s="46"/>
      <c r="I99" s="46"/>
      <c r="J99" s="846">
        <f>L99+O99</f>
        <v>0</v>
      </c>
      <c r="K99" s="46"/>
      <c r="L99" s="46"/>
      <c r="M99" s="46"/>
      <c r="N99" s="46"/>
      <c r="O99" s="844">
        <f>K99</f>
        <v>0</v>
      </c>
      <c r="P99" s="846">
        <f>E99+J99</f>
        <v>0</v>
      </c>
      <c r="Q99" s="39"/>
      <c r="R99" s="28"/>
    </row>
    <row r="100" spans="1:18" ht="136.5" thickTop="1" thickBot="1" x14ac:dyDescent="0.25">
      <c r="A100" s="460" t="s">
        <v>155</v>
      </c>
      <c r="B100" s="460"/>
      <c r="C100" s="460"/>
      <c r="D100" s="461" t="s">
        <v>18</v>
      </c>
      <c r="E100" s="463">
        <f>E101</f>
        <v>2980300</v>
      </c>
      <c r="F100" s="462">
        <f t="shared" ref="F100:G100" si="8">F101</f>
        <v>2980300</v>
      </c>
      <c r="G100" s="462">
        <f t="shared" si="8"/>
        <v>0</v>
      </c>
      <c r="H100" s="462">
        <f>H101</f>
        <v>0</v>
      </c>
      <c r="I100" s="462">
        <f t="shared" ref="I100" si="9">I101</f>
        <v>0</v>
      </c>
      <c r="J100" s="463">
        <f>J101</f>
        <v>44210755.239999995</v>
      </c>
      <c r="K100" s="462">
        <f>K101</f>
        <v>44210755.239999995</v>
      </c>
      <c r="L100" s="462">
        <f>L101</f>
        <v>0</v>
      </c>
      <c r="M100" s="462">
        <f t="shared" ref="M100" si="10">M101</f>
        <v>0</v>
      </c>
      <c r="N100" s="462">
        <f>N101</f>
        <v>0</v>
      </c>
      <c r="O100" s="463">
        <f>O101</f>
        <v>44210755.239999995</v>
      </c>
      <c r="P100" s="462">
        <f>P101</f>
        <v>47191055.239999995</v>
      </c>
      <c r="Q100" s="22"/>
    </row>
    <row r="101" spans="1:18" ht="181.5" thickTop="1" thickBot="1" x14ac:dyDescent="0.25">
      <c r="A101" s="464" t="s">
        <v>156</v>
      </c>
      <c r="B101" s="464"/>
      <c r="C101" s="464"/>
      <c r="D101" s="465" t="s">
        <v>36</v>
      </c>
      <c r="E101" s="466">
        <f>E102+E105+E120+E118</f>
        <v>2980300</v>
      </c>
      <c r="F101" s="466">
        <f t="shared" ref="F101:P101" si="11">F102+F105+F120+F118</f>
        <v>2980300</v>
      </c>
      <c r="G101" s="466">
        <f t="shared" si="11"/>
        <v>0</v>
      </c>
      <c r="H101" s="466">
        <f t="shared" si="11"/>
        <v>0</v>
      </c>
      <c r="I101" s="466">
        <f t="shared" si="11"/>
        <v>0</v>
      </c>
      <c r="J101" s="466">
        <f t="shared" si="11"/>
        <v>44210755.239999995</v>
      </c>
      <c r="K101" s="466">
        <f t="shared" si="11"/>
        <v>44210755.239999995</v>
      </c>
      <c r="L101" s="466">
        <f t="shared" si="11"/>
        <v>0</v>
      </c>
      <c r="M101" s="466">
        <f t="shared" si="11"/>
        <v>0</v>
      </c>
      <c r="N101" s="466">
        <f t="shared" si="11"/>
        <v>0</v>
      </c>
      <c r="O101" s="466">
        <f t="shared" si="11"/>
        <v>44210755.239999995</v>
      </c>
      <c r="P101" s="466">
        <f t="shared" si="11"/>
        <v>47191055.239999995</v>
      </c>
      <c r="Q101" s="459" t="b">
        <f>P101=P103+P106+P107+P108+P109+P112+P116+P117+P119+P127+P104+P123</f>
        <v>1</v>
      </c>
      <c r="R101" s="28"/>
    </row>
    <row r="102" spans="1:18" ht="47.25" thickTop="1" thickBot="1" x14ac:dyDescent="0.25">
      <c r="A102" s="385" t="s">
        <v>722</v>
      </c>
      <c r="B102" s="385" t="s">
        <v>693</v>
      </c>
      <c r="C102" s="385"/>
      <c r="D102" s="385" t="s">
        <v>694</v>
      </c>
      <c r="E102" s="833">
        <f>'d3'!E102-d3П!E98</f>
        <v>0</v>
      </c>
      <c r="F102" s="833">
        <f>'d3'!F102-d3П!F98</f>
        <v>0</v>
      </c>
      <c r="G102" s="833">
        <f>'d3'!G102-d3П!G98</f>
        <v>0</v>
      </c>
      <c r="H102" s="833">
        <f>'d3'!H102-d3П!H98</f>
        <v>0</v>
      </c>
      <c r="I102" s="833">
        <f>'d3'!I102-d3П!I98</f>
        <v>0</v>
      </c>
      <c r="J102" s="833">
        <f>'d3'!J102-d3П!J98</f>
        <v>1386951</v>
      </c>
      <c r="K102" s="833">
        <f>'d3'!K102-d3П!K98</f>
        <v>1386951</v>
      </c>
      <c r="L102" s="833">
        <f>'d3'!L102-d3П!L98</f>
        <v>0</v>
      </c>
      <c r="M102" s="833">
        <f>'d3'!M102-d3П!M98</f>
        <v>0</v>
      </c>
      <c r="N102" s="833">
        <f>'d3'!N102-d3П!N98</f>
        <v>0</v>
      </c>
      <c r="O102" s="833">
        <f>'d3'!O102-d3П!O98</f>
        <v>1386951</v>
      </c>
      <c r="P102" s="833">
        <f>'d3'!P102-d3П!P98</f>
        <v>1386951</v>
      </c>
      <c r="Q102" s="32"/>
      <c r="R102" s="28"/>
    </row>
    <row r="103" spans="1:18" ht="230.25" thickTop="1" thickBot="1" x14ac:dyDescent="0.25">
      <c r="A103" s="835" t="s">
        <v>421</v>
      </c>
      <c r="B103" s="835" t="s">
        <v>241</v>
      </c>
      <c r="C103" s="835" t="s">
        <v>239</v>
      </c>
      <c r="D103" s="835" t="s">
        <v>240</v>
      </c>
      <c r="E103" s="833">
        <f>'d3'!E103-d3П!E99</f>
        <v>0</v>
      </c>
      <c r="F103" s="833">
        <f>'d3'!F103-d3П!F99</f>
        <v>0</v>
      </c>
      <c r="G103" s="833">
        <f>'d3'!G103-d3П!G99</f>
        <v>0</v>
      </c>
      <c r="H103" s="833">
        <f>'d3'!H103-d3П!H99</f>
        <v>0</v>
      </c>
      <c r="I103" s="833">
        <f>'d3'!I103-d3П!I99</f>
        <v>0</v>
      </c>
      <c r="J103" s="833">
        <f>'d3'!J103-d3П!J99</f>
        <v>1386951</v>
      </c>
      <c r="K103" s="833">
        <f>'d3'!K103-d3П!K99</f>
        <v>1386951</v>
      </c>
      <c r="L103" s="833">
        <f>'d3'!L103-d3П!L99</f>
        <v>0</v>
      </c>
      <c r="M103" s="833">
        <f>'d3'!M103-d3П!M99</f>
        <v>0</v>
      </c>
      <c r="N103" s="833">
        <f>'d3'!N103-d3П!N99</f>
        <v>0</v>
      </c>
      <c r="O103" s="833">
        <f>'d3'!O103-d3П!O99</f>
        <v>1386951</v>
      </c>
      <c r="P103" s="833">
        <f>'d3'!P103-d3П!P99</f>
        <v>1386951</v>
      </c>
      <c r="Q103" s="42"/>
      <c r="R103" s="28"/>
    </row>
    <row r="104" spans="1:18" ht="184.5" thickTop="1" thickBot="1" x14ac:dyDescent="0.25">
      <c r="A104" s="835" t="s">
        <v>1332</v>
      </c>
      <c r="B104" s="835" t="s">
        <v>367</v>
      </c>
      <c r="C104" s="835" t="s">
        <v>634</v>
      </c>
      <c r="D104" s="835" t="s">
        <v>635</v>
      </c>
      <c r="E104" s="833">
        <f>'d3'!E104-d3П!E100</f>
        <v>0</v>
      </c>
      <c r="F104" s="833">
        <f>'d3'!F104-d3П!F100</f>
        <v>0</v>
      </c>
      <c r="G104" s="833">
        <f>'d3'!G104-d3П!G100</f>
        <v>0</v>
      </c>
      <c r="H104" s="833">
        <f>'d3'!H104-d3П!H100</f>
        <v>0</v>
      </c>
      <c r="I104" s="833">
        <f>'d3'!I104-d3П!I100</f>
        <v>0</v>
      </c>
      <c r="J104" s="833">
        <f>'d3'!J104-d3П!J100</f>
        <v>0</v>
      </c>
      <c r="K104" s="833">
        <f>'d3'!K104-d3П!K100</f>
        <v>0</v>
      </c>
      <c r="L104" s="833">
        <f>'d3'!L104-d3П!L100</f>
        <v>0</v>
      </c>
      <c r="M104" s="833">
        <f>'d3'!M104-d3П!M100</f>
        <v>0</v>
      </c>
      <c r="N104" s="833">
        <f>'d3'!N104-d3П!N100</f>
        <v>0</v>
      </c>
      <c r="O104" s="833">
        <f>'d3'!O104-d3П!O100</f>
        <v>0</v>
      </c>
      <c r="P104" s="833">
        <f>'d3'!P104-d3П!P100</f>
        <v>0</v>
      </c>
      <c r="Q104" s="42"/>
      <c r="R104" s="28"/>
    </row>
    <row r="105" spans="1:18" ht="47.25" thickTop="1" thickBot="1" x14ac:dyDescent="0.25">
      <c r="A105" s="385" t="s">
        <v>723</v>
      </c>
      <c r="B105" s="385" t="s">
        <v>724</v>
      </c>
      <c r="C105" s="385"/>
      <c r="D105" s="385" t="s">
        <v>725</v>
      </c>
      <c r="E105" s="833">
        <f>'d3'!E105-d3П!E101</f>
        <v>2980300</v>
      </c>
      <c r="F105" s="833">
        <f>'d3'!F105-d3П!F101</f>
        <v>2980300</v>
      </c>
      <c r="G105" s="833">
        <f>'d3'!G105-d3П!G101</f>
        <v>0</v>
      </c>
      <c r="H105" s="833">
        <f>'d3'!H105-d3П!H101</f>
        <v>0</v>
      </c>
      <c r="I105" s="833">
        <f>'d3'!I105-d3П!I101</f>
        <v>0</v>
      </c>
      <c r="J105" s="833">
        <f>'d3'!J105-d3П!J101</f>
        <v>28062002</v>
      </c>
      <c r="K105" s="833">
        <f>'d3'!K105-d3П!K101</f>
        <v>28062002</v>
      </c>
      <c r="L105" s="833">
        <f>'d3'!L105-d3П!L101</f>
        <v>0</v>
      </c>
      <c r="M105" s="833">
        <f>'d3'!M105-d3П!M101</f>
        <v>0</v>
      </c>
      <c r="N105" s="833">
        <f>'d3'!N105-d3П!N101</f>
        <v>0</v>
      </c>
      <c r="O105" s="833">
        <f>'d3'!O105-d3П!O101</f>
        <v>28062002</v>
      </c>
      <c r="P105" s="833">
        <f>'d3'!P105-d3П!P101</f>
        <v>31042302</v>
      </c>
      <c r="Q105" s="42"/>
      <c r="R105" s="42"/>
    </row>
    <row r="106" spans="1:18" ht="93" thickTop="1" thickBot="1" x14ac:dyDescent="0.25">
      <c r="A106" s="835" t="s">
        <v>219</v>
      </c>
      <c r="B106" s="835" t="s">
        <v>216</v>
      </c>
      <c r="C106" s="835" t="s">
        <v>220</v>
      </c>
      <c r="D106" s="835" t="s">
        <v>19</v>
      </c>
      <c r="E106" s="833">
        <f>'d3'!E106-d3П!E102</f>
        <v>0</v>
      </c>
      <c r="F106" s="833">
        <f>'d3'!F106-d3П!F102</f>
        <v>0</v>
      </c>
      <c r="G106" s="833">
        <f>'d3'!G106-d3П!G102</f>
        <v>0</v>
      </c>
      <c r="H106" s="833">
        <f>'d3'!H106-d3П!H102</f>
        <v>0</v>
      </c>
      <c r="I106" s="833">
        <f>'d3'!I106-d3П!I102</f>
        <v>0</v>
      </c>
      <c r="J106" s="833">
        <f>'d3'!J106-d3П!J102</f>
        <v>19305822</v>
      </c>
      <c r="K106" s="833">
        <f>'d3'!K106-d3П!K102</f>
        <v>19305822</v>
      </c>
      <c r="L106" s="833">
        <f>'d3'!L106-d3П!L102</f>
        <v>0</v>
      </c>
      <c r="M106" s="833">
        <f>'d3'!M106-d3П!M102</f>
        <v>0</v>
      </c>
      <c r="N106" s="833">
        <f>'d3'!N106-d3П!N102</f>
        <v>0</v>
      </c>
      <c r="O106" s="833">
        <f>'d3'!O106-d3П!O102</f>
        <v>19305822</v>
      </c>
      <c r="P106" s="833">
        <f>'d3'!P106-d3П!P102</f>
        <v>19305822</v>
      </c>
      <c r="Q106" s="22"/>
      <c r="R106" s="32"/>
    </row>
    <row r="107" spans="1:18" ht="93" thickTop="1" thickBot="1" x14ac:dyDescent="0.25">
      <c r="A107" s="835" t="s">
        <v>510</v>
      </c>
      <c r="B107" s="835" t="s">
        <v>513</v>
      </c>
      <c r="C107" s="835" t="s">
        <v>512</v>
      </c>
      <c r="D107" s="835" t="s">
        <v>511</v>
      </c>
      <c r="E107" s="833">
        <f>'d3'!E107-d3П!E103</f>
        <v>2980300</v>
      </c>
      <c r="F107" s="833">
        <f>'d3'!F107-d3П!F103</f>
        <v>2980300</v>
      </c>
      <c r="G107" s="833">
        <f>'d3'!G107-d3П!G103</f>
        <v>0</v>
      </c>
      <c r="H107" s="833">
        <f>'d3'!H107-d3П!H103</f>
        <v>0</v>
      </c>
      <c r="I107" s="833">
        <f>'d3'!I107-d3П!I103</f>
        <v>0</v>
      </c>
      <c r="J107" s="833">
        <f>'d3'!J107-d3П!J103</f>
        <v>0</v>
      </c>
      <c r="K107" s="833">
        <f>'d3'!K107-d3П!K103</f>
        <v>0</v>
      </c>
      <c r="L107" s="833">
        <f>'d3'!L107-d3П!L103</f>
        <v>0</v>
      </c>
      <c r="M107" s="833">
        <f>'d3'!M107-d3П!M103</f>
        <v>0</v>
      </c>
      <c r="N107" s="833">
        <f>'d3'!N107-d3П!N103</f>
        <v>0</v>
      </c>
      <c r="O107" s="833">
        <f>'d3'!O107-d3П!O103</f>
        <v>0</v>
      </c>
      <c r="P107" s="833">
        <f>'d3'!P107-d3П!P103</f>
        <v>2980300</v>
      </c>
      <c r="Q107" s="22"/>
      <c r="R107" s="42"/>
    </row>
    <row r="108" spans="1:18" ht="138.75" thickTop="1" thickBot="1" x14ac:dyDescent="0.25">
      <c r="A108" s="835" t="s">
        <v>221</v>
      </c>
      <c r="B108" s="835" t="s">
        <v>222</v>
      </c>
      <c r="C108" s="835" t="s">
        <v>223</v>
      </c>
      <c r="D108" s="835" t="s">
        <v>224</v>
      </c>
      <c r="E108" s="833">
        <f>'d3'!E108-d3П!E104</f>
        <v>0</v>
      </c>
      <c r="F108" s="833">
        <f>'d3'!F108-d3П!F104</f>
        <v>0</v>
      </c>
      <c r="G108" s="833">
        <f>'d3'!G108-d3П!G104</f>
        <v>0</v>
      </c>
      <c r="H108" s="833">
        <f>'d3'!H108-d3П!H104</f>
        <v>0</v>
      </c>
      <c r="I108" s="833">
        <f>'d3'!I108-d3П!I104</f>
        <v>0</v>
      </c>
      <c r="J108" s="833">
        <f>'d3'!J108-d3П!J104</f>
        <v>4551813</v>
      </c>
      <c r="K108" s="833">
        <f>'d3'!K108-d3П!K104</f>
        <v>4551813</v>
      </c>
      <c r="L108" s="833">
        <f>'d3'!L108-d3П!L104</f>
        <v>0</v>
      </c>
      <c r="M108" s="833">
        <f>'d3'!M108-d3П!M104</f>
        <v>0</v>
      </c>
      <c r="N108" s="833">
        <f>'d3'!N108-d3П!N104</f>
        <v>0</v>
      </c>
      <c r="O108" s="833">
        <f>'d3'!O108-d3П!O104</f>
        <v>4551813</v>
      </c>
      <c r="P108" s="833">
        <f>'d3'!P108-d3П!P104</f>
        <v>4551813</v>
      </c>
      <c r="Q108" s="22"/>
      <c r="R108" s="42"/>
    </row>
    <row r="109" spans="1:18" ht="138.75" thickTop="1" thickBot="1" x14ac:dyDescent="0.25">
      <c r="A109" s="835" t="s">
        <v>225</v>
      </c>
      <c r="B109" s="835" t="s">
        <v>226</v>
      </c>
      <c r="C109" s="835" t="s">
        <v>227</v>
      </c>
      <c r="D109" s="835" t="s">
        <v>350</v>
      </c>
      <c r="E109" s="833">
        <f>'d3'!E109-d3П!E105</f>
        <v>0</v>
      </c>
      <c r="F109" s="833">
        <f>'d3'!F109-d3П!F105</f>
        <v>0</v>
      </c>
      <c r="G109" s="833">
        <f>'d3'!G109-d3П!G105</f>
        <v>0</v>
      </c>
      <c r="H109" s="833">
        <f>'d3'!H109-d3П!H105</f>
        <v>0</v>
      </c>
      <c r="I109" s="833">
        <f>'d3'!I109-d3П!I105</f>
        <v>0</v>
      </c>
      <c r="J109" s="833">
        <f>'d3'!J109-d3П!J105</f>
        <v>1204367</v>
      </c>
      <c r="K109" s="833">
        <f>'d3'!K109-d3П!K105</f>
        <v>1204367</v>
      </c>
      <c r="L109" s="833">
        <f>'d3'!L109-d3П!L105</f>
        <v>0</v>
      </c>
      <c r="M109" s="833">
        <f>'d3'!M109-d3П!M105</f>
        <v>0</v>
      </c>
      <c r="N109" s="833">
        <f>'d3'!N109-d3П!N105</f>
        <v>0</v>
      </c>
      <c r="O109" s="833">
        <f>'d3'!O109-d3П!O105</f>
        <v>1204367</v>
      </c>
      <c r="P109" s="833">
        <f>'d3'!P109-d3П!P105</f>
        <v>1204367</v>
      </c>
      <c r="Q109" s="22"/>
      <c r="R109" s="42"/>
    </row>
    <row r="110" spans="1:18" ht="93" hidden="1" thickTop="1" thickBot="1" x14ac:dyDescent="0.25">
      <c r="A110" s="836" t="s">
        <v>228</v>
      </c>
      <c r="B110" s="836" t="s">
        <v>229</v>
      </c>
      <c r="C110" s="836" t="s">
        <v>230</v>
      </c>
      <c r="D110" s="836" t="s">
        <v>231</v>
      </c>
      <c r="E110" s="833">
        <f>'d3'!E110-d3П!E106</f>
        <v>0</v>
      </c>
      <c r="F110" s="833">
        <f>'d3'!F110-d3П!F106</f>
        <v>0</v>
      </c>
      <c r="G110" s="833">
        <f>'d3'!G110-d3П!G106</f>
        <v>0</v>
      </c>
      <c r="H110" s="833">
        <f>'d3'!H110-d3П!H106</f>
        <v>0</v>
      </c>
      <c r="I110" s="833">
        <f>'d3'!I110-d3П!I106</f>
        <v>0</v>
      </c>
      <c r="J110" s="833">
        <f>'d3'!J110-d3П!J106</f>
        <v>0</v>
      </c>
      <c r="K110" s="833">
        <f>'d3'!K110-d3П!K106</f>
        <v>0</v>
      </c>
      <c r="L110" s="833">
        <f>'d3'!L110-d3П!L106</f>
        <v>0</v>
      </c>
      <c r="M110" s="833">
        <f>'d3'!M110-d3П!M106</f>
        <v>0</v>
      </c>
      <c r="N110" s="833">
        <f>'d3'!N110-d3П!N106</f>
        <v>0</v>
      </c>
      <c r="O110" s="833">
        <f>'d3'!O110-d3П!O106</f>
        <v>0</v>
      </c>
      <c r="P110" s="833">
        <f>'d3'!P110-d3П!P106</f>
        <v>0</v>
      </c>
      <c r="Q110" s="22"/>
      <c r="R110" s="42"/>
    </row>
    <row r="111" spans="1:18" ht="93" thickTop="1" thickBot="1" x14ac:dyDescent="0.25">
      <c r="A111" s="455" t="s">
        <v>726</v>
      </c>
      <c r="B111" s="455" t="s">
        <v>727</v>
      </c>
      <c r="C111" s="455"/>
      <c r="D111" s="455" t="s">
        <v>728</v>
      </c>
      <c r="E111" s="833">
        <f>'d3'!E111-d3П!E107</f>
        <v>0</v>
      </c>
      <c r="F111" s="833">
        <f>'d3'!F111-d3П!F107</f>
        <v>0</v>
      </c>
      <c r="G111" s="833">
        <f>'d3'!G111-d3П!G107</f>
        <v>0</v>
      </c>
      <c r="H111" s="833">
        <f>'d3'!H111-d3П!H107</f>
        <v>0</v>
      </c>
      <c r="I111" s="833">
        <f>'d3'!I111-d3П!I107</f>
        <v>0</v>
      </c>
      <c r="J111" s="833">
        <f>'d3'!J111-d3П!J107</f>
        <v>3000000</v>
      </c>
      <c r="K111" s="833">
        <f>'d3'!K111-d3П!K107</f>
        <v>3000000</v>
      </c>
      <c r="L111" s="833">
        <f>'d3'!L111-d3П!L107</f>
        <v>0</v>
      </c>
      <c r="M111" s="833">
        <f>'d3'!M111-d3П!M107</f>
        <v>0</v>
      </c>
      <c r="N111" s="833">
        <f>'d3'!N111-d3П!N107</f>
        <v>0</v>
      </c>
      <c r="O111" s="833">
        <f>'d3'!O111-d3П!O107</f>
        <v>3000000</v>
      </c>
      <c r="P111" s="833">
        <f>'d3'!P111-d3П!P107</f>
        <v>3000000</v>
      </c>
      <c r="Q111" s="22"/>
      <c r="R111" s="42"/>
    </row>
    <row r="112" spans="1:18" ht="184.5" thickTop="1" thickBot="1" x14ac:dyDescent="0.25">
      <c r="A112" s="835" t="s">
        <v>232</v>
      </c>
      <c r="B112" s="835" t="s">
        <v>233</v>
      </c>
      <c r="C112" s="835" t="s">
        <v>351</v>
      </c>
      <c r="D112" s="835" t="s">
        <v>234</v>
      </c>
      <c r="E112" s="833">
        <f>'d3'!E112-d3П!E108</f>
        <v>0</v>
      </c>
      <c r="F112" s="833">
        <f>'d3'!F112-d3П!F108</f>
        <v>0</v>
      </c>
      <c r="G112" s="833">
        <f>'d3'!G112-d3П!G108</f>
        <v>0</v>
      </c>
      <c r="H112" s="833">
        <f>'d3'!H112-d3П!H108</f>
        <v>0</v>
      </c>
      <c r="I112" s="833">
        <f>'d3'!I112-d3П!I108</f>
        <v>0</v>
      </c>
      <c r="J112" s="833">
        <f>'d3'!J112-d3П!J108</f>
        <v>3000000</v>
      </c>
      <c r="K112" s="833">
        <f>'d3'!K112-d3П!K108</f>
        <v>3000000</v>
      </c>
      <c r="L112" s="833">
        <f>'d3'!L112-d3П!L108</f>
        <v>0</v>
      </c>
      <c r="M112" s="833">
        <f>'d3'!M112-d3П!M108</f>
        <v>0</v>
      </c>
      <c r="N112" s="833">
        <f>'d3'!N112-d3П!N108</f>
        <v>0</v>
      </c>
      <c r="O112" s="833">
        <f>'d3'!O112-d3П!O108</f>
        <v>3000000</v>
      </c>
      <c r="P112" s="833">
        <f>'d3'!P112-d3П!P108</f>
        <v>3000000</v>
      </c>
      <c r="Q112" s="22"/>
      <c r="R112" s="42"/>
    </row>
    <row r="113" spans="1:18" ht="138.75" hidden="1" thickTop="1" thickBot="1" x14ac:dyDescent="0.25">
      <c r="A113" s="174" t="s">
        <v>729</v>
      </c>
      <c r="B113" s="174" t="s">
        <v>730</v>
      </c>
      <c r="C113" s="174"/>
      <c r="D113" s="174" t="s">
        <v>731</v>
      </c>
      <c r="E113" s="833">
        <f>'d3'!E113-d3П!E109</f>
        <v>0</v>
      </c>
      <c r="F113" s="833">
        <f>'d3'!F113-d3П!F109</f>
        <v>0</v>
      </c>
      <c r="G113" s="833">
        <f>'d3'!G113-d3П!G109</f>
        <v>0</v>
      </c>
      <c r="H113" s="833">
        <f>'d3'!H113-d3П!H109</f>
        <v>0</v>
      </c>
      <c r="I113" s="833">
        <f>'d3'!I113-d3П!I109</f>
        <v>0</v>
      </c>
      <c r="J113" s="833">
        <f>'d3'!J113-d3П!J109</f>
        <v>0</v>
      </c>
      <c r="K113" s="833">
        <f>'d3'!K113-d3П!K109</f>
        <v>0</v>
      </c>
      <c r="L113" s="833">
        <f>'d3'!L113-d3П!L109</f>
        <v>0</v>
      </c>
      <c r="M113" s="833">
        <f>'d3'!M113-d3П!M109</f>
        <v>0</v>
      </c>
      <c r="N113" s="833">
        <f>'d3'!N113-d3П!N109</f>
        <v>0</v>
      </c>
      <c r="O113" s="833">
        <f>'d3'!O113-d3П!O109</f>
        <v>0</v>
      </c>
      <c r="P113" s="833">
        <f>'d3'!P113-d3П!P109</f>
        <v>0</v>
      </c>
      <c r="Q113" s="22"/>
      <c r="R113" s="42"/>
    </row>
    <row r="114" spans="1:18" ht="138.75" hidden="1" thickTop="1" thickBot="1" x14ac:dyDescent="0.25">
      <c r="A114" s="836" t="s">
        <v>480</v>
      </c>
      <c r="B114" s="836" t="s">
        <v>481</v>
      </c>
      <c r="C114" s="836" t="s">
        <v>235</v>
      </c>
      <c r="D114" s="836" t="s">
        <v>482</v>
      </c>
      <c r="E114" s="833">
        <f>'d3'!E114-d3П!E110</f>
        <v>0</v>
      </c>
      <c r="F114" s="833">
        <f>'d3'!F114-d3П!F110</f>
        <v>0</v>
      </c>
      <c r="G114" s="833">
        <f>'d3'!G114-d3П!G110</f>
        <v>0</v>
      </c>
      <c r="H114" s="833">
        <f>'d3'!H114-d3П!H110</f>
        <v>0</v>
      </c>
      <c r="I114" s="833">
        <f>'d3'!I114-d3П!I110</f>
        <v>0</v>
      </c>
      <c r="J114" s="833">
        <f>'d3'!J114-d3П!J110</f>
        <v>0</v>
      </c>
      <c r="K114" s="833">
        <f>'d3'!K114-d3П!K110</f>
        <v>0</v>
      </c>
      <c r="L114" s="833">
        <f>'d3'!L114-d3П!L110</f>
        <v>0</v>
      </c>
      <c r="M114" s="833">
        <f>'d3'!M114-d3П!M110</f>
        <v>0</v>
      </c>
      <c r="N114" s="833">
        <f>'d3'!N114-d3П!N110</f>
        <v>0</v>
      </c>
      <c r="O114" s="833">
        <f>'d3'!O114-d3П!O110</f>
        <v>0</v>
      </c>
      <c r="P114" s="833">
        <f>'d3'!P114-d3П!P110</f>
        <v>0</v>
      </c>
      <c r="Q114" s="22"/>
      <c r="R114" s="42"/>
    </row>
    <row r="115" spans="1:18" ht="138.75" thickTop="1" thickBot="1" x14ac:dyDescent="0.25">
      <c r="A115" s="455" t="s">
        <v>732</v>
      </c>
      <c r="B115" s="455" t="s">
        <v>733</v>
      </c>
      <c r="C115" s="455"/>
      <c r="D115" s="455" t="s">
        <v>734</v>
      </c>
      <c r="E115" s="833">
        <f>'d3'!E115-d3П!E111</f>
        <v>0</v>
      </c>
      <c r="F115" s="833">
        <f>'d3'!F115-d3П!F111</f>
        <v>0</v>
      </c>
      <c r="G115" s="833">
        <f>'d3'!G115-d3П!G111</f>
        <v>0</v>
      </c>
      <c r="H115" s="833">
        <f>'d3'!H115-d3П!H111</f>
        <v>0</v>
      </c>
      <c r="I115" s="833">
        <f>'d3'!I115-d3П!I111</f>
        <v>0</v>
      </c>
      <c r="J115" s="833">
        <f>'d3'!J115-d3П!J111</f>
        <v>0</v>
      </c>
      <c r="K115" s="833">
        <f>'d3'!K115-d3П!K111</f>
        <v>0</v>
      </c>
      <c r="L115" s="833">
        <f>'d3'!L115-d3П!L111</f>
        <v>0</v>
      </c>
      <c r="M115" s="833">
        <f>'d3'!M115-d3П!M111</f>
        <v>0</v>
      </c>
      <c r="N115" s="833">
        <f>'d3'!N115-d3П!N111</f>
        <v>0</v>
      </c>
      <c r="O115" s="833">
        <f>'d3'!O115-d3П!O111</f>
        <v>0</v>
      </c>
      <c r="P115" s="833">
        <f>'d3'!P115-d3П!P111</f>
        <v>0</v>
      </c>
      <c r="Q115" s="22"/>
      <c r="R115" s="42"/>
    </row>
    <row r="116" spans="1:18" s="35" customFormat="1" ht="138.75" thickTop="1" thickBot="1" x14ac:dyDescent="0.25">
      <c r="A116" s="835" t="s">
        <v>326</v>
      </c>
      <c r="B116" s="835" t="s">
        <v>328</v>
      </c>
      <c r="C116" s="835" t="s">
        <v>235</v>
      </c>
      <c r="D116" s="470" t="s">
        <v>324</v>
      </c>
      <c r="E116" s="833">
        <f>'d3'!E116-d3П!E112</f>
        <v>0</v>
      </c>
      <c r="F116" s="833">
        <f>'d3'!F116-d3П!F112</f>
        <v>0</v>
      </c>
      <c r="G116" s="833">
        <f>'d3'!G116-d3П!G112</f>
        <v>0</v>
      </c>
      <c r="H116" s="833">
        <f>'d3'!H116-d3П!H112</f>
        <v>0</v>
      </c>
      <c r="I116" s="833">
        <f>'d3'!I116-d3П!I112</f>
        <v>0</v>
      </c>
      <c r="J116" s="833">
        <f>'d3'!J116-d3П!J112</f>
        <v>0</v>
      </c>
      <c r="K116" s="833">
        <f>'d3'!K116-d3П!K112</f>
        <v>0</v>
      </c>
      <c r="L116" s="833">
        <f>'d3'!L116-d3П!L112</f>
        <v>0</v>
      </c>
      <c r="M116" s="833">
        <f>'d3'!M116-d3П!M112</f>
        <v>0</v>
      </c>
      <c r="N116" s="833">
        <f>'d3'!N116-d3П!N112</f>
        <v>0</v>
      </c>
      <c r="O116" s="833">
        <f>'d3'!O116-d3П!O112</f>
        <v>0</v>
      </c>
      <c r="P116" s="833">
        <f>'d3'!P116-d3П!P112</f>
        <v>0</v>
      </c>
      <c r="Q116" s="39"/>
      <c r="R116" s="28"/>
    </row>
    <row r="117" spans="1:18" s="35" customFormat="1" ht="93" thickTop="1" thickBot="1" x14ac:dyDescent="0.25">
      <c r="A117" s="835" t="s">
        <v>327</v>
      </c>
      <c r="B117" s="835" t="s">
        <v>329</v>
      </c>
      <c r="C117" s="835" t="s">
        <v>235</v>
      </c>
      <c r="D117" s="470" t="s">
        <v>325</v>
      </c>
      <c r="E117" s="833">
        <f>'d3'!E117-d3П!E113</f>
        <v>0</v>
      </c>
      <c r="F117" s="833">
        <f>'d3'!F117-d3П!F113</f>
        <v>0</v>
      </c>
      <c r="G117" s="833">
        <f>'d3'!G117-d3П!G113</f>
        <v>0</v>
      </c>
      <c r="H117" s="833">
        <f>'d3'!H117-d3П!H113</f>
        <v>0</v>
      </c>
      <c r="I117" s="833">
        <f>'d3'!I117-d3П!I113</f>
        <v>0</v>
      </c>
      <c r="J117" s="833">
        <f>'d3'!J117-d3П!J113</f>
        <v>0</v>
      </c>
      <c r="K117" s="833">
        <f>'d3'!K117-d3П!K113</f>
        <v>0</v>
      </c>
      <c r="L117" s="833">
        <f>'d3'!L117-d3П!L113</f>
        <v>0</v>
      </c>
      <c r="M117" s="833">
        <f>'d3'!M117-d3П!M113</f>
        <v>0</v>
      </c>
      <c r="N117" s="833">
        <f>'d3'!N117-d3П!N113</f>
        <v>0</v>
      </c>
      <c r="O117" s="833">
        <f>'d3'!O117-d3П!O113</f>
        <v>0</v>
      </c>
      <c r="P117" s="833">
        <f>'d3'!P117-d3П!P113</f>
        <v>0</v>
      </c>
      <c r="Q117" s="39"/>
      <c r="R117" s="42"/>
    </row>
    <row r="118" spans="1:18" s="35" customFormat="1" ht="91.5" thickTop="1" thickBot="1" x14ac:dyDescent="0.25">
      <c r="A118" s="385" t="s">
        <v>1247</v>
      </c>
      <c r="B118" s="385" t="s">
        <v>720</v>
      </c>
      <c r="C118" s="385"/>
      <c r="D118" s="385" t="s">
        <v>721</v>
      </c>
      <c r="E118" s="833">
        <f>'d3'!E118-d3П!E114</f>
        <v>0</v>
      </c>
      <c r="F118" s="833">
        <f>'d3'!F118-d3П!F114</f>
        <v>0</v>
      </c>
      <c r="G118" s="833">
        <f>'d3'!G118-d3П!G114</f>
        <v>0</v>
      </c>
      <c r="H118" s="833">
        <f>'d3'!H118-d3П!H114</f>
        <v>0</v>
      </c>
      <c r="I118" s="833">
        <f>'d3'!I118-d3П!I114</f>
        <v>0</v>
      </c>
      <c r="J118" s="833">
        <f>'d3'!J118-d3П!J114</f>
        <v>0</v>
      </c>
      <c r="K118" s="833">
        <f>'d3'!K118-d3П!K114</f>
        <v>0</v>
      </c>
      <c r="L118" s="833">
        <f>'d3'!L118-d3П!L114</f>
        <v>0</v>
      </c>
      <c r="M118" s="833">
        <f>'d3'!M118-d3П!M114</f>
        <v>0</v>
      </c>
      <c r="N118" s="833">
        <f>'d3'!N118-d3П!N114</f>
        <v>0</v>
      </c>
      <c r="O118" s="833">
        <f>'d3'!O118-d3П!O114</f>
        <v>0</v>
      </c>
      <c r="P118" s="833">
        <f>'d3'!P118-d3П!P114</f>
        <v>0</v>
      </c>
      <c r="Q118" s="39"/>
      <c r="R118" s="42"/>
    </row>
    <row r="119" spans="1:18" s="35" customFormat="1" ht="230.25" thickTop="1" thickBot="1" x14ac:dyDescent="0.25">
      <c r="A119" s="835" t="s">
        <v>1248</v>
      </c>
      <c r="B119" s="835" t="s">
        <v>1249</v>
      </c>
      <c r="C119" s="835" t="s">
        <v>211</v>
      </c>
      <c r="D119" s="470" t="s">
        <v>1250</v>
      </c>
      <c r="E119" s="833">
        <f>'d3'!E119-d3П!E115</f>
        <v>0</v>
      </c>
      <c r="F119" s="833">
        <f>'d3'!F119-d3П!F115</f>
        <v>0</v>
      </c>
      <c r="G119" s="833">
        <f>'d3'!G119-d3П!G115</f>
        <v>0</v>
      </c>
      <c r="H119" s="833">
        <f>'d3'!H119-d3П!H115</f>
        <v>0</v>
      </c>
      <c r="I119" s="833">
        <f>'d3'!I119-d3П!I115</f>
        <v>0</v>
      </c>
      <c r="J119" s="833">
        <f>'d3'!J119-d3П!J115</f>
        <v>0</v>
      </c>
      <c r="K119" s="833">
        <f>'d3'!K119-d3П!K115</f>
        <v>0</v>
      </c>
      <c r="L119" s="833">
        <f>'d3'!L119-d3П!L115</f>
        <v>0</v>
      </c>
      <c r="M119" s="833">
        <f>'d3'!M119-d3П!M115</f>
        <v>0</v>
      </c>
      <c r="N119" s="833">
        <f>'d3'!N119-d3П!N115</f>
        <v>0</v>
      </c>
      <c r="O119" s="833">
        <f>'d3'!O119-d3П!O115</f>
        <v>0</v>
      </c>
      <c r="P119" s="833">
        <f>'d3'!P119-d3П!P115</f>
        <v>0</v>
      </c>
      <c r="Q119" s="39"/>
      <c r="R119" s="42"/>
    </row>
    <row r="120" spans="1:18" s="35" customFormat="1" ht="47.25" thickTop="1" thickBot="1" x14ac:dyDescent="0.25">
      <c r="A120" s="385" t="s">
        <v>759</v>
      </c>
      <c r="B120" s="385" t="s">
        <v>757</v>
      </c>
      <c r="C120" s="385"/>
      <c r="D120" s="385" t="s">
        <v>758</v>
      </c>
      <c r="E120" s="833">
        <f>'d3'!E120-d3П!E116</f>
        <v>0</v>
      </c>
      <c r="F120" s="833">
        <f>'d3'!F120-d3П!F116</f>
        <v>0</v>
      </c>
      <c r="G120" s="833">
        <f>'d3'!G120-d3П!G116</f>
        <v>0</v>
      </c>
      <c r="H120" s="833">
        <f>'d3'!H120-d3П!H116</f>
        <v>0</v>
      </c>
      <c r="I120" s="833">
        <f>'d3'!I120-d3П!I116</f>
        <v>0</v>
      </c>
      <c r="J120" s="833">
        <f>'d3'!J120-d3П!J116</f>
        <v>14761802.239999995</v>
      </c>
      <c r="K120" s="833">
        <f>'d3'!K120-d3П!K116</f>
        <v>14761802.239999995</v>
      </c>
      <c r="L120" s="833">
        <f>'d3'!L120-d3П!L116</f>
        <v>0</v>
      </c>
      <c r="M120" s="833">
        <f>'d3'!M120-d3П!M116</f>
        <v>0</v>
      </c>
      <c r="N120" s="833">
        <f>'d3'!N120-d3П!N116</f>
        <v>0</v>
      </c>
      <c r="O120" s="833">
        <f>'d3'!O120-d3П!O116</f>
        <v>14761802.239999995</v>
      </c>
      <c r="P120" s="833">
        <f>'d3'!P120-d3П!P116</f>
        <v>14761802.239999995</v>
      </c>
      <c r="Q120" s="39"/>
      <c r="R120" s="42"/>
    </row>
    <row r="121" spans="1:18" s="35" customFormat="1" ht="91.5" thickTop="1" thickBot="1" x14ac:dyDescent="0.25">
      <c r="A121" s="387" t="s">
        <v>1080</v>
      </c>
      <c r="B121" s="387" t="s">
        <v>813</v>
      </c>
      <c r="C121" s="387"/>
      <c r="D121" s="387" t="s">
        <v>814</v>
      </c>
      <c r="E121" s="833">
        <f>'d3'!E121-d3П!E117</f>
        <v>0</v>
      </c>
      <c r="F121" s="833">
        <f>'d3'!F121-d3П!F117</f>
        <v>0</v>
      </c>
      <c r="G121" s="833">
        <f>'d3'!G121-d3П!G117</f>
        <v>0</v>
      </c>
      <c r="H121" s="833">
        <f>'d3'!H121-d3П!H117</f>
        <v>0</v>
      </c>
      <c r="I121" s="833">
        <f>'d3'!I121-d3П!I117</f>
        <v>0</v>
      </c>
      <c r="J121" s="833">
        <f>'d3'!J121-d3П!J117</f>
        <v>13430558</v>
      </c>
      <c r="K121" s="833">
        <f>'d3'!K121-d3П!K117</f>
        <v>13430558</v>
      </c>
      <c r="L121" s="833">
        <f>'d3'!L121-d3П!L117</f>
        <v>0</v>
      </c>
      <c r="M121" s="833">
        <f>'d3'!M121-d3П!M117</f>
        <v>0</v>
      </c>
      <c r="N121" s="833">
        <f>'d3'!N121-d3П!N117</f>
        <v>0</v>
      </c>
      <c r="O121" s="833">
        <f>'d3'!O121-d3П!O117</f>
        <v>13430558</v>
      </c>
      <c r="P121" s="833">
        <f>'d3'!P121-d3П!P117</f>
        <v>13430558</v>
      </c>
      <c r="Q121" s="39"/>
      <c r="R121" s="42"/>
    </row>
    <row r="122" spans="1:18" s="35" customFormat="1" ht="146.25" thickTop="1" thickBot="1" x14ac:dyDescent="0.25">
      <c r="A122" s="455" t="s">
        <v>1228</v>
      </c>
      <c r="B122" s="455" t="s">
        <v>831</v>
      </c>
      <c r="C122" s="455"/>
      <c r="D122" s="455" t="s">
        <v>1335</v>
      </c>
      <c r="E122" s="833">
        <f>'d3'!E122-d3П!E118</f>
        <v>0</v>
      </c>
      <c r="F122" s="833">
        <f>'d3'!F122-d3П!F118</f>
        <v>0</v>
      </c>
      <c r="G122" s="833">
        <f>'d3'!G122-d3П!G118</f>
        <v>0</v>
      </c>
      <c r="H122" s="833">
        <f>'d3'!H122-d3П!H118</f>
        <v>0</v>
      </c>
      <c r="I122" s="833">
        <f>'d3'!I122-d3П!I118</f>
        <v>0</v>
      </c>
      <c r="J122" s="833">
        <f>'d3'!J122-d3П!J118</f>
        <v>13430558</v>
      </c>
      <c r="K122" s="833">
        <f>'d3'!K122-d3П!K118</f>
        <v>13430558</v>
      </c>
      <c r="L122" s="833">
        <f>'d3'!L122-d3П!L118</f>
        <v>0</v>
      </c>
      <c r="M122" s="833">
        <f>'d3'!M122-d3П!M118</f>
        <v>0</v>
      </c>
      <c r="N122" s="833">
        <f>'d3'!N122-d3П!N118</f>
        <v>0</v>
      </c>
      <c r="O122" s="833">
        <f>'d3'!O122-d3П!O118</f>
        <v>13430558</v>
      </c>
      <c r="P122" s="833">
        <f>'d3'!P122-d3П!P118</f>
        <v>13430558</v>
      </c>
      <c r="Q122" s="39"/>
      <c r="R122" s="42"/>
    </row>
    <row r="123" spans="1:18" s="35" customFormat="1" ht="99.75" thickTop="1" thickBot="1" x14ac:dyDescent="0.25">
      <c r="A123" s="835" t="s">
        <v>1227</v>
      </c>
      <c r="B123" s="835" t="s">
        <v>1229</v>
      </c>
      <c r="C123" s="835" t="s">
        <v>309</v>
      </c>
      <c r="D123" s="835" t="s">
        <v>1334</v>
      </c>
      <c r="E123" s="833">
        <f>'d3'!E123-d3П!E119</f>
        <v>0</v>
      </c>
      <c r="F123" s="833">
        <f>'d3'!F123-d3П!F119</f>
        <v>0</v>
      </c>
      <c r="G123" s="833">
        <f>'d3'!G123-d3П!G119</f>
        <v>0</v>
      </c>
      <c r="H123" s="833">
        <f>'d3'!H123-d3П!H119</f>
        <v>0</v>
      </c>
      <c r="I123" s="833">
        <f>'d3'!I123-d3П!I119</f>
        <v>0</v>
      </c>
      <c r="J123" s="833">
        <f>'d3'!J123-d3П!J119</f>
        <v>13430558</v>
      </c>
      <c r="K123" s="833">
        <f>'d3'!K123-d3П!K119</f>
        <v>13430558</v>
      </c>
      <c r="L123" s="833">
        <f>'d3'!L123-d3П!L119</f>
        <v>0</v>
      </c>
      <c r="M123" s="833">
        <f>'d3'!M123-d3П!M119</f>
        <v>0</v>
      </c>
      <c r="N123" s="833">
        <f>'d3'!N123-d3П!N119</f>
        <v>0</v>
      </c>
      <c r="O123" s="833">
        <f>'d3'!O123-d3П!O119</f>
        <v>13430558</v>
      </c>
      <c r="P123" s="833">
        <f>'d3'!P123-d3П!P119</f>
        <v>13430558</v>
      </c>
      <c r="Q123" s="39"/>
      <c r="R123" s="42"/>
    </row>
    <row r="124" spans="1:18" s="35" customFormat="1" ht="93" hidden="1" thickTop="1" thickBot="1" x14ac:dyDescent="0.25">
      <c r="A124" s="178" t="s">
        <v>1081</v>
      </c>
      <c r="B124" s="178" t="s">
        <v>1079</v>
      </c>
      <c r="C124" s="178"/>
      <c r="D124" s="178" t="s">
        <v>1078</v>
      </c>
      <c r="E124" s="833">
        <f>'d3'!E124-d3П!E120</f>
        <v>0</v>
      </c>
      <c r="F124" s="833">
        <f>'d3'!F124-d3П!F120</f>
        <v>0</v>
      </c>
      <c r="G124" s="833">
        <f>'d3'!G124-d3П!G120</f>
        <v>0</v>
      </c>
      <c r="H124" s="833">
        <f>'d3'!H124-d3П!H120</f>
        <v>0</v>
      </c>
      <c r="I124" s="833">
        <f>'d3'!I124-d3П!I120</f>
        <v>0</v>
      </c>
      <c r="J124" s="833">
        <f>'d3'!J124-d3П!J120</f>
        <v>0</v>
      </c>
      <c r="K124" s="833">
        <f>'d3'!K124-d3П!K120</f>
        <v>0</v>
      </c>
      <c r="L124" s="833">
        <f>'d3'!L124-d3П!L120</f>
        <v>0</v>
      </c>
      <c r="M124" s="833">
        <f>'d3'!M124-d3П!M120</f>
        <v>0</v>
      </c>
      <c r="N124" s="833">
        <f>'d3'!N124-d3П!N120</f>
        <v>0</v>
      </c>
      <c r="O124" s="833">
        <f>'d3'!O124-d3П!O120</f>
        <v>0</v>
      </c>
      <c r="P124" s="833">
        <f>'d3'!P124-d3П!P120</f>
        <v>0</v>
      </c>
      <c r="Q124" s="39"/>
      <c r="R124" s="42"/>
    </row>
    <row r="125" spans="1:18" s="35" customFormat="1" ht="230.25" hidden="1" thickTop="1" thickBot="1" x14ac:dyDescent="0.25">
      <c r="A125" s="845" t="s">
        <v>1082</v>
      </c>
      <c r="B125" s="845" t="s">
        <v>1083</v>
      </c>
      <c r="C125" s="845" t="s">
        <v>171</v>
      </c>
      <c r="D125" s="845" t="s">
        <v>1084</v>
      </c>
      <c r="E125" s="833">
        <f>'d3'!E125-d3П!E121</f>
        <v>0</v>
      </c>
      <c r="F125" s="833">
        <f>'d3'!F125-d3П!F121</f>
        <v>0</v>
      </c>
      <c r="G125" s="833">
        <f>'d3'!G125-d3П!G121</f>
        <v>0</v>
      </c>
      <c r="H125" s="833">
        <f>'d3'!H125-d3П!H121</f>
        <v>0</v>
      </c>
      <c r="I125" s="833">
        <f>'d3'!I125-d3П!I121</f>
        <v>0</v>
      </c>
      <c r="J125" s="833">
        <f>'d3'!J125-d3П!J121</f>
        <v>0</v>
      </c>
      <c r="K125" s="833">
        <f>'d3'!K125-d3П!K121</f>
        <v>0</v>
      </c>
      <c r="L125" s="833">
        <f>'d3'!L125-d3П!L121</f>
        <v>0</v>
      </c>
      <c r="M125" s="833">
        <f>'d3'!M125-d3П!M121</f>
        <v>0</v>
      </c>
      <c r="N125" s="833">
        <f>'d3'!N125-d3П!N121</f>
        <v>0</v>
      </c>
      <c r="O125" s="833">
        <f>'d3'!O125-d3П!O121</f>
        <v>0</v>
      </c>
      <c r="P125" s="833">
        <f>'d3'!P125-d3П!P121</f>
        <v>0</v>
      </c>
      <c r="Q125" s="39"/>
      <c r="R125" s="28"/>
    </row>
    <row r="126" spans="1:18" s="30" customFormat="1" ht="136.5" thickTop="1" thickBot="1" x14ac:dyDescent="0.25">
      <c r="A126" s="387" t="s">
        <v>735</v>
      </c>
      <c r="B126" s="387" t="s">
        <v>700</v>
      </c>
      <c r="C126" s="387"/>
      <c r="D126" s="387" t="s">
        <v>698</v>
      </c>
      <c r="E126" s="833">
        <f>'d3'!E126-d3П!E122</f>
        <v>0</v>
      </c>
      <c r="F126" s="833">
        <f>'d3'!F126-d3П!F122</f>
        <v>0</v>
      </c>
      <c r="G126" s="833">
        <f>'d3'!G126-d3П!G122</f>
        <v>0</v>
      </c>
      <c r="H126" s="833">
        <f>'d3'!H126-d3П!H122</f>
        <v>0</v>
      </c>
      <c r="I126" s="833">
        <f>'d3'!I126-d3П!I122</f>
        <v>0</v>
      </c>
      <c r="J126" s="833">
        <f>'d3'!J126-d3П!J122</f>
        <v>1331244.2399999984</v>
      </c>
      <c r="K126" s="833">
        <f>'d3'!K126-d3П!K122</f>
        <v>1331244.2399999984</v>
      </c>
      <c r="L126" s="833">
        <f>'d3'!L126-d3П!L122</f>
        <v>0</v>
      </c>
      <c r="M126" s="833">
        <f>'d3'!M126-d3П!M122</f>
        <v>0</v>
      </c>
      <c r="N126" s="833">
        <f>'d3'!N126-d3П!N122</f>
        <v>0</v>
      </c>
      <c r="O126" s="833">
        <f>'d3'!O126-d3П!O122</f>
        <v>1331244.2399999984</v>
      </c>
      <c r="P126" s="833">
        <f>'d3'!P126-d3П!P122</f>
        <v>1331244.2399999984</v>
      </c>
      <c r="Q126" s="183"/>
      <c r="R126" s="43"/>
    </row>
    <row r="127" spans="1:18" s="30" customFormat="1" ht="47.25" thickTop="1" thickBot="1" x14ac:dyDescent="0.25">
      <c r="A127" s="835" t="s">
        <v>1330</v>
      </c>
      <c r="B127" s="835" t="s">
        <v>217</v>
      </c>
      <c r="C127" s="835" t="s">
        <v>218</v>
      </c>
      <c r="D127" s="835" t="s">
        <v>41</v>
      </c>
      <c r="E127" s="833">
        <f>'d3'!E127-d3П!E123</f>
        <v>0</v>
      </c>
      <c r="F127" s="833">
        <f>'d3'!F127-d3П!F123</f>
        <v>0</v>
      </c>
      <c r="G127" s="833">
        <f>'d3'!G127-d3П!G123</f>
        <v>0</v>
      </c>
      <c r="H127" s="833">
        <f>'d3'!H127-d3П!H123</f>
        <v>0</v>
      </c>
      <c r="I127" s="833">
        <f>'d3'!I127-d3П!I123</f>
        <v>0</v>
      </c>
      <c r="J127" s="833">
        <f>'d3'!J127-d3П!J123</f>
        <v>1331244.2399999984</v>
      </c>
      <c r="K127" s="833">
        <f>'d3'!K127-d3П!K123</f>
        <v>1331244.2399999984</v>
      </c>
      <c r="L127" s="833">
        <f>'d3'!L127-d3П!L123</f>
        <v>0</v>
      </c>
      <c r="M127" s="833">
        <f>'d3'!M127-d3П!M123</f>
        <v>0</v>
      </c>
      <c r="N127" s="833">
        <f>'d3'!N127-d3П!N123</f>
        <v>0</v>
      </c>
      <c r="O127" s="833">
        <f>'d3'!O127-d3П!O123</f>
        <v>1331244.2399999984</v>
      </c>
      <c r="P127" s="833">
        <f>'d3'!P127-d3П!P123</f>
        <v>1331244.2399999984</v>
      </c>
      <c r="Q127" s="183"/>
      <c r="R127" s="43"/>
    </row>
    <row r="128" spans="1:18" s="35" customFormat="1" ht="93" hidden="1" thickTop="1" thickBot="1" x14ac:dyDescent="0.25">
      <c r="A128" s="845" t="s">
        <v>440</v>
      </c>
      <c r="B128" s="845" t="s">
        <v>202</v>
      </c>
      <c r="C128" s="845" t="s">
        <v>171</v>
      </c>
      <c r="D128" s="845" t="s">
        <v>34</v>
      </c>
      <c r="E128" s="846">
        <f t="shared" ref="E128:E129" si="12">F128</f>
        <v>0</v>
      </c>
      <c r="F128" s="46"/>
      <c r="G128" s="46"/>
      <c r="H128" s="46"/>
      <c r="I128" s="46"/>
      <c r="J128" s="846">
        <f t="shared" ref="J128:J129" si="13">L128+O128</f>
        <v>0</v>
      </c>
      <c r="K128" s="46"/>
      <c r="L128" s="46"/>
      <c r="M128" s="46"/>
      <c r="N128" s="46"/>
      <c r="O128" s="844">
        <f t="shared" ref="O128:O129" si="14">K128</f>
        <v>0</v>
      </c>
      <c r="P128" s="846">
        <f t="shared" ref="P128:P129" si="15">E128+J128</f>
        <v>0</v>
      </c>
      <c r="Q128" s="39"/>
      <c r="R128" s="28"/>
    </row>
    <row r="129" spans="1:20" s="35" customFormat="1" ht="93" hidden="1" thickTop="1" thickBot="1" x14ac:dyDescent="0.25">
      <c r="A129" s="845" t="s">
        <v>514</v>
      </c>
      <c r="B129" s="845" t="s">
        <v>368</v>
      </c>
      <c r="C129" s="845" t="s">
        <v>43</v>
      </c>
      <c r="D129" s="845" t="s">
        <v>369</v>
      </c>
      <c r="E129" s="846">
        <f t="shared" si="12"/>
        <v>0</v>
      </c>
      <c r="F129" s="46"/>
      <c r="G129" s="46"/>
      <c r="H129" s="46"/>
      <c r="I129" s="46"/>
      <c r="J129" s="846">
        <f t="shared" si="13"/>
        <v>0</v>
      </c>
      <c r="K129" s="46"/>
      <c r="L129" s="46"/>
      <c r="M129" s="46"/>
      <c r="N129" s="46"/>
      <c r="O129" s="844">
        <f t="shared" si="14"/>
        <v>0</v>
      </c>
      <c r="P129" s="846">
        <f t="shared" si="15"/>
        <v>0</v>
      </c>
      <c r="Q129" s="39"/>
      <c r="R129" s="32"/>
    </row>
    <row r="130" spans="1:20" ht="226.5" thickTop="1" thickBot="1" x14ac:dyDescent="0.25">
      <c r="A130" s="460" t="s">
        <v>157</v>
      </c>
      <c r="B130" s="460"/>
      <c r="C130" s="460"/>
      <c r="D130" s="461" t="s">
        <v>37</v>
      </c>
      <c r="E130" s="463">
        <f>E131</f>
        <v>19041593.779999942</v>
      </c>
      <c r="F130" s="462">
        <f t="shared" ref="F130:G130" si="16">F131</f>
        <v>19041593.779999942</v>
      </c>
      <c r="G130" s="462">
        <f t="shared" si="16"/>
        <v>497899</v>
      </c>
      <c r="H130" s="462">
        <f>H131</f>
        <v>269552.78000000026</v>
      </c>
      <c r="I130" s="462">
        <f t="shared" ref="I130" si="17">I131</f>
        <v>0</v>
      </c>
      <c r="J130" s="463">
        <f>J131</f>
        <v>30184955</v>
      </c>
      <c r="K130" s="462">
        <f>K131</f>
        <v>30184955</v>
      </c>
      <c r="L130" s="462">
        <f>L131</f>
        <v>0</v>
      </c>
      <c r="M130" s="462">
        <f t="shared" ref="M130" si="18">M131</f>
        <v>587980</v>
      </c>
      <c r="N130" s="462">
        <f>N131</f>
        <v>20000</v>
      </c>
      <c r="O130" s="463">
        <f>O131</f>
        <v>30184955</v>
      </c>
      <c r="P130" s="462">
        <f>P131</f>
        <v>49226548.779999942</v>
      </c>
      <c r="Q130" s="22"/>
    </row>
    <row r="131" spans="1:20" ht="226.5" thickTop="1" thickBot="1" x14ac:dyDescent="0.25">
      <c r="A131" s="464" t="s">
        <v>158</v>
      </c>
      <c r="B131" s="464"/>
      <c r="C131" s="464"/>
      <c r="D131" s="465" t="s">
        <v>38</v>
      </c>
      <c r="E131" s="466">
        <f>E132+E136+E176+E180</f>
        <v>19041593.779999942</v>
      </c>
      <c r="F131" s="466">
        <f>F132+F136+F176+F180</f>
        <v>19041593.779999942</v>
      </c>
      <c r="G131" s="466">
        <f>G132+G136+G176+G180</f>
        <v>497899</v>
      </c>
      <c r="H131" s="466">
        <f>H132+H136+H176+H180</f>
        <v>269552.78000000026</v>
      </c>
      <c r="I131" s="466">
        <f>I132+I136+I176+I180</f>
        <v>0</v>
      </c>
      <c r="J131" s="466">
        <f t="shared" ref="J131" si="19">L131+O131</f>
        <v>30184955</v>
      </c>
      <c r="K131" s="466">
        <f>K132+K136+K176+K180</f>
        <v>30184955</v>
      </c>
      <c r="L131" s="466">
        <f>L132+L136+L176+L180</f>
        <v>0</v>
      </c>
      <c r="M131" s="466">
        <f>M132+M136+M176+M180</f>
        <v>587980</v>
      </c>
      <c r="N131" s="466">
        <f>N132+N136+N176+N180</f>
        <v>20000</v>
      </c>
      <c r="O131" s="466">
        <f>O132+O136+O176+O180</f>
        <v>30184955</v>
      </c>
      <c r="P131" s="466">
        <f>E131+J131</f>
        <v>49226548.779999942</v>
      </c>
      <c r="Q131" s="392" t="b">
        <f>P131=P133+P134+P135+P138+P139+P140+P141+P142+P144+P147+P148+P150+P151+P154+P156+P172+P174+P175+P178+P157+P143+P145+P153+P185</f>
        <v>0</v>
      </c>
      <c r="R131" s="847"/>
      <c r="S131" s="847"/>
      <c r="T131" s="48"/>
    </row>
    <row r="132" spans="1:20" ht="47.25" thickTop="1" thickBot="1" x14ac:dyDescent="0.25">
      <c r="A132" s="385" t="s">
        <v>736</v>
      </c>
      <c r="B132" s="385" t="s">
        <v>693</v>
      </c>
      <c r="C132" s="385"/>
      <c r="D132" s="385" t="s">
        <v>694</v>
      </c>
      <c r="E132" s="833">
        <f>'d3'!E132-d3П!E128</f>
        <v>742000</v>
      </c>
      <c r="F132" s="833">
        <f>'d3'!F132-d3П!F128</f>
        <v>742000</v>
      </c>
      <c r="G132" s="833">
        <f>'d3'!G132-d3П!G128</f>
        <v>0</v>
      </c>
      <c r="H132" s="833">
        <f>'d3'!H132-d3П!H128</f>
        <v>0</v>
      </c>
      <c r="I132" s="833">
        <f>'d3'!I132-d3П!I128</f>
        <v>0</v>
      </c>
      <c r="J132" s="833">
        <f>'d3'!J132-d3П!J128</f>
        <v>1019000</v>
      </c>
      <c r="K132" s="833">
        <f>'d3'!K132-d3П!K128</f>
        <v>1019000</v>
      </c>
      <c r="L132" s="833">
        <f>'d3'!L132-d3П!L128</f>
        <v>0</v>
      </c>
      <c r="M132" s="833">
        <f>'d3'!M132-d3П!M128</f>
        <v>0</v>
      </c>
      <c r="N132" s="833">
        <f>'d3'!N132-d3П!N128</f>
        <v>0</v>
      </c>
      <c r="O132" s="833">
        <f>'d3'!O132-d3П!O128</f>
        <v>1019000</v>
      </c>
      <c r="P132" s="833">
        <f>'d3'!P132-d3П!P128</f>
        <v>1761000</v>
      </c>
      <c r="Q132" s="50"/>
      <c r="R132" s="847"/>
      <c r="T132" s="48"/>
    </row>
    <row r="133" spans="1:20" ht="230.25" thickTop="1" thickBot="1" x14ac:dyDescent="0.25">
      <c r="A133" s="835" t="s">
        <v>420</v>
      </c>
      <c r="B133" s="835" t="s">
        <v>241</v>
      </c>
      <c r="C133" s="835" t="s">
        <v>239</v>
      </c>
      <c r="D133" s="835" t="s">
        <v>240</v>
      </c>
      <c r="E133" s="833">
        <f>'d3'!E133-d3П!E129</f>
        <v>742000</v>
      </c>
      <c r="F133" s="833">
        <f>'d3'!F133-d3П!F129</f>
        <v>742000</v>
      </c>
      <c r="G133" s="833">
        <f>'d3'!G133-d3П!G129</f>
        <v>0</v>
      </c>
      <c r="H133" s="833">
        <f>'d3'!H133-d3П!H129</f>
        <v>0</v>
      </c>
      <c r="I133" s="833">
        <f>'d3'!I133-d3П!I129</f>
        <v>0</v>
      </c>
      <c r="J133" s="833">
        <f>'d3'!J133-d3П!J129</f>
        <v>1019000</v>
      </c>
      <c r="K133" s="833">
        <f>'d3'!K133-d3П!K129</f>
        <v>1019000</v>
      </c>
      <c r="L133" s="833">
        <f>'d3'!L133-d3П!L129</f>
        <v>0</v>
      </c>
      <c r="M133" s="833">
        <f>'d3'!M133-d3П!M129</f>
        <v>0</v>
      </c>
      <c r="N133" s="833">
        <f>'d3'!N133-d3П!N129</f>
        <v>0</v>
      </c>
      <c r="O133" s="833">
        <f>'d3'!O133-d3П!O129</f>
        <v>1019000</v>
      </c>
      <c r="P133" s="833">
        <f>'d3'!P133-d3П!P129</f>
        <v>1761000</v>
      </c>
      <c r="Q133" s="50"/>
      <c r="R133" s="847"/>
      <c r="T133" s="48"/>
    </row>
    <row r="134" spans="1:20" ht="184.5" thickTop="1" thickBot="1" x14ac:dyDescent="0.25">
      <c r="A134" s="835" t="s">
        <v>637</v>
      </c>
      <c r="B134" s="835" t="s">
        <v>367</v>
      </c>
      <c r="C134" s="835" t="s">
        <v>634</v>
      </c>
      <c r="D134" s="835" t="s">
        <v>635</v>
      </c>
      <c r="E134" s="833">
        <f>'d3'!E134-d3П!E130</f>
        <v>0</v>
      </c>
      <c r="F134" s="833">
        <f>'d3'!F134-d3П!F130</f>
        <v>0</v>
      </c>
      <c r="G134" s="833">
        <f>'d3'!G134-d3П!G130</f>
        <v>0</v>
      </c>
      <c r="H134" s="833">
        <f>'d3'!H134-d3П!H130</f>
        <v>0</v>
      </c>
      <c r="I134" s="833">
        <f>'d3'!I134-d3П!I130</f>
        <v>0</v>
      </c>
      <c r="J134" s="833">
        <f>'d3'!J134-d3П!J130</f>
        <v>0</v>
      </c>
      <c r="K134" s="833">
        <f>'d3'!K134-d3П!K130</f>
        <v>0</v>
      </c>
      <c r="L134" s="833">
        <f>'d3'!L134-d3П!L130</f>
        <v>0</v>
      </c>
      <c r="M134" s="833">
        <f>'d3'!M134-d3П!M130</f>
        <v>0</v>
      </c>
      <c r="N134" s="833">
        <f>'d3'!N134-d3П!N130</f>
        <v>0</v>
      </c>
      <c r="O134" s="833">
        <f>'d3'!O134-d3П!O130</f>
        <v>0</v>
      </c>
      <c r="P134" s="833">
        <f>'d3'!P134-d3П!P130</f>
        <v>0</v>
      </c>
      <c r="Q134" s="50"/>
      <c r="R134" s="847"/>
      <c r="T134" s="48"/>
    </row>
    <row r="135" spans="1:20" ht="93" thickTop="1" thickBot="1" x14ac:dyDescent="0.25">
      <c r="A135" s="835" t="s">
        <v>932</v>
      </c>
      <c r="B135" s="835" t="s">
        <v>43</v>
      </c>
      <c r="C135" s="835" t="s">
        <v>42</v>
      </c>
      <c r="D135" s="835" t="s">
        <v>253</v>
      </c>
      <c r="E135" s="833">
        <f>'d3'!E135-d3П!E131</f>
        <v>0</v>
      </c>
      <c r="F135" s="833">
        <f>'d3'!F135-d3П!F131</f>
        <v>0</v>
      </c>
      <c r="G135" s="833">
        <f>'d3'!G135-d3П!G131</f>
        <v>0</v>
      </c>
      <c r="H135" s="833">
        <f>'d3'!H135-d3П!H131</f>
        <v>0</v>
      </c>
      <c r="I135" s="833">
        <f>'d3'!I135-d3П!I131</f>
        <v>0</v>
      </c>
      <c r="J135" s="833">
        <f>'d3'!J135-d3П!J131</f>
        <v>0</v>
      </c>
      <c r="K135" s="833">
        <f>'d3'!K135-d3П!K131</f>
        <v>0</v>
      </c>
      <c r="L135" s="833">
        <f>'d3'!L135-d3П!L131</f>
        <v>0</v>
      </c>
      <c r="M135" s="833">
        <f>'d3'!M135-d3П!M131</f>
        <v>0</v>
      </c>
      <c r="N135" s="833">
        <f>'d3'!N135-d3П!N131</f>
        <v>0</v>
      </c>
      <c r="O135" s="833">
        <f>'d3'!O135-d3П!O131</f>
        <v>0</v>
      </c>
      <c r="P135" s="833">
        <f>'d3'!P135-d3П!P131</f>
        <v>0</v>
      </c>
      <c r="Q135" s="50"/>
      <c r="R135" s="847"/>
      <c r="T135" s="48"/>
    </row>
    <row r="136" spans="1:20" ht="91.5" thickTop="1" thickBot="1" x14ac:dyDescent="0.25">
      <c r="A136" s="385" t="s">
        <v>737</v>
      </c>
      <c r="B136" s="385" t="s">
        <v>720</v>
      </c>
      <c r="C136" s="385"/>
      <c r="D136" s="385" t="s">
        <v>721</v>
      </c>
      <c r="E136" s="833">
        <f>'d3'!E136-d3П!E132</f>
        <v>18279593.779999942</v>
      </c>
      <c r="F136" s="833">
        <f>'d3'!F136-d3П!F132</f>
        <v>18279593.779999942</v>
      </c>
      <c r="G136" s="833">
        <f>'d3'!G136-d3П!G132</f>
        <v>497899</v>
      </c>
      <c r="H136" s="833">
        <f>'d3'!H136-d3П!H132</f>
        <v>269552.78000000026</v>
      </c>
      <c r="I136" s="833">
        <f>'d3'!I136-d3П!I132</f>
        <v>0</v>
      </c>
      <c r="J136" s="833">
        <f>'d3'!J136-d3П!J132</f>
        <v>22365955</v>
      </c>
      <c r="K136" s="833">
        <f>'d3'!K136-d3П!K132</f>
        <v>22365955</v>
      </c>
      <c r="L136" s="833">
        <f>'d3'!L136-d3П!L132</f>
        <v>0</v>
      </c>
      <c r="M136" s="833">
        <f>'d3'!M136-d3П!M132</f>
        <v>587980</v>
      </c>
      <c r="N136" s="833">
        <f>'d3'!N136-d3П!N132</f>
        <v>20000</v>
      </c>
      <c r="O136" s="833">
        <f>'d3'!O136-d3П!O132</f>
        <v>22365955</v>
      </c>
      <c r="P136" s="833">
        <f>'d3'!P136-d3П!P132</f>
        <v>40645548.779999971</v>
      </c>
      <c r="Q136" s="50"/>
      <c r="R136" s="847"/>
      <c r="T136" s="48"/>
    </row>
    <row r="137" spans="1:20" s="37" customFormat="1" ht="321.75" thickTop="1" thickBot="1" x14ac:dyDescent="0.25">
      <c r="A137" s="455" t="s">
        <v>738</v>
      </c>
      <c r="B137" s="455" t="s">
        <v>739</v>
      </c>
      <c r="C137" s="455"/>
      <c r="D137" s="455" t="s">
        <v>740</v>
      </c>
      <c r="E137" s="833">
        <f>'d3'!E137-d3П!E133</f>
        <v>395000</v>
      </c>
      <c r="F137" s="833">
        <f>'d3'!F137-d3П!F133</f>
        <v>395000</v>
      </c>
      <c r="G137" s="833">
        <f>'d3'!G137-d3П!G133</f>
        <v>0</v>
      </c>
      <c r="H137" s="833">
        <f>'d3'!H137-d3П!H133</f>
        <v>0</v>
      </c>
      <c r="I137" s="833">
        <f>'d3'!I137-d3П!I133</f>
        <v>0</v>
      </c>
      <c r="J137" s="833">
        <f>'d3'!J137-d3П!J133</f>
        <v>0</v>
      </c>
      <c r="K137" s="833">
        <f>'d3'!K137-d3П!K133</f>
        <v>0</v>
      </c>
      <c r="L137" s="833">
        <f>'d3'!L137-d3П!L133</f>
        <v>0</v>
      </c>
      <c r="M137" s="833">
        <f>'d3'!M137-d3П!M133</f>
        <v>0</v>
      </c>
      <c r="N137" s="833">
        <f>'d3'!N137-d3П!N133</f>
        <v>0</v>
      </c>
      <c r="O137" s="833">
        <f>'d3'!O137-d3П!O133</f>
        <v>0</v>
      </c>
      <c r="P137" s="833">
        <f>'d3'!P137-d3П!P133</f>
        <v>395000</v>
      </c>
      <c r="Q137" s="184"/>
      <c r="R137" s="51"/>
      <c r="T137" s="52"/>
    </row>
    <row r="138" spans="1:20" s="35" customFormat="1" ht="138.75" thickTop="1" thickBot="1" x14ac:dyDescent="0.25">
      <c r="A138" s="835" t="s">
        <v>274</v>
      </c>
      <c r="B138" s="835" t="s">
        <v>275</v>
      </c>
      <c r="C138" s="835" t="s">
        <v>210</v>
      </c>
      <c r="D138" s="457" t="s">
        <v>276</v>
      </c>
      <c r="E138" s="833">
        <f>'d3'!E138-d3П!E134</f>
        <v>395000</v>
      </c>
      <c r="F138" s="833">
        <f>'d3'!F138-d3П!F134</f>
        <v>395000</v>
      </c>
      <c r="G138" s="833">
        <f>'d3'!G138-d3П!G134</f>
        <v>0</v>
      </c>
      <c r="H138" s="833">
        <f>'d3'!H138-d3П!H134</f>
        <v>0</v>
      </c>
      <c r="I138" s="833">
        <f>'d3'!I138-d3П!I134</f>
        <v>0</v>
      </c>
      <c r="J138" s="833">
        <f>'d3'!J138-d3П!J134</f>
        <v>0</v>
      </c>
      <c r="K138" s="833">
        <f>'d3'!K138-d3П!K134</f>
        <v>0</v>
      </c>
      <c r="L138" s="833">
        <f>'d3'!L138-d3П!L134</f>
        <v>0</v>
      </c>
      <c r="M138" s="833">
        <f>'d3'!M138-d3П!M134</f>
        <v>0</v>
      </c>
      <c r="N138" s="833">
        <f>'d3'!N138-d3П!N134</f>
        <v>0</v>
      </c>
      <c r="O138" s="833">
        <f>'d3'!O138-d3П!O134</f>
        <v>0</v>
      </c>
      <c r="P138" s="833">
        <f>'d3'!P138-d3П!P134</f>
        <v>395000</v>
      </c>
      <c r="Q138" s="39"/>
      <c r="R138" s="847"/>
    </row>
    <row r="139" spans="1:20" s="35" customFormat="1" ht="138.75" thickTop="1" thickBot="1" x14ac:dyDescent="0.25">
      <c r="A139" s="835" t="s">
        <v>277</v>
      </c>
      <c r="B139" s="835" t="s">
        <v>278</v>
      </c>
      <c r="C139" s="835" t="s">
        <v>211</v>
      </c>
      <c r="D139" s="835" t="s">
        <v>6</v>
      </c>
      <c r="E139" s="833">
        <f>'d3'!E139-d3П!E135</f>
        <v>0</v>
      </c>
      <c r="F139" s="833">
        <f>'d3'!F139-d3П!F135</f>
        <v>0</v>
      </c>
      <c r="G139" s="833">
        <f>'d3'!G139-d3П!G135</f>
        <v>0</v>
      </c>
      <c r="H139" s="833">
        <f>'d3'!H139-d3П!H135</f>
        <v>0</v>
      </c>
      <c r="I139" s="833">
        <f>'d3'!I139-d3П!I135</f>
        <v>0</v>
      </c>
      <c r="J139" s="833">
        <f>'d3'!J139-d3П!J135</f>
        <v>0</v>
      </c>
      <c r="K139" s="833">
        <f>'d3'!K139-d3П!K135</f>
        <v>0</v>
      </c>
      <c r="L139" s="833">
        <f>'d3'!L139-d3П!L135</f>
        <v>0</v>
      </c>
      <c r="M139" s="833">
        <f>'d3'!M139-d3П!M135</f>
        <v>0</v>
      </c>
      <c r="N139" s="833">
        <f>'d3'!N139-d3П!N135</f>
        <v>0</v>
      </c>
      <c r="O139" s="833">
        <f>'d3'!O139-d3П!O135</f>
        <v>0</v>
      </c>
      <c r="P139" s="833">
        <f>'d3'!P139-d3П!P135</f>
        <v>0</v>
      </c>
      <c r="Q139" s="39"/>
      <c r="R139" s="53"/>
    </row>
    <row r="140" spans="1:20" s="35" customFormat="1" ht="184.5" thickTop="1" thickBot="1" x14ac:dyDescent="0.25">
      <c r="A140" s="835" t="s">
        <v>280</v>
      </c>
      <c r="B140" s="835" t="s">
        <v>281</v>
      </c>
      <c r="C140" s="835" t="s">
        <v>211</v>
      </c>
      <c r="D140" s="835" t="s">
        <v>7</v>
      </c>
      <c r="E140" s="833">
        <f>'d3'!E140-d3П!E136</f>
        <v>0</v>
      </c>
      <c r="F140" s="833">
        <f>'d3'!F140-d3П!F136</f>
        <v>0</v>
      </c>
      <c r="G140" s="833">
        <f>'d3'!G140-d3П!G136</f>
        <v>0</v>
      </c>
      <c r="H140" s="833">
        <f>'d3'!H140-d3П!H136</f>
        <v>0</v>
      </c>
      <c r="I140" s="833">
        <f>'d3'!I140-d3П!I136</f>
        <v>0</v>
      </c>
      <c r="J140" s="833">
        <f>'d3'!J140-d3П!J136</f>
        <v>0</v>
      </c>
      <c r="K140" s="833">
        <f>'d3'!K140-d3П!K136</f>
        <v>0</v>
      </c>
      <c r="L140" s="833">
        <f>'d3'!L140-d3П!L136</f>
        <v>0</v>
      </c>
      <c r="M140" s="833">
        <f>'d3'!M140-d3П!M136</f>
        <v>0</v>
      </c>
      <c r="N140" s="833">
        <f>'d3'!N140-d3П!N136</f>
        <v>0</v>
      </c>
      <c r="O140" s="833">
        <f>'d3'!O140-d3П!O136</f>
        <v>0</v>
      </c>
      <c r="P140" s="833">
        <f>'d3'!P140-d3П!P136</f>
        <v>0</v>
      </c>
      <c r="Q140" s="39"/>
      <c r="R140" s="53"/>
    </row>
    <row r="141" spans="1:20" s="35" customFormat="1" ht="184.5" thickTop="1" thickBot="1" x14ac:dyDescent="0.25">
      <c r="A141" s="835" t="s">
        <v>282</v>
      </c>
      <c r="B141" s="835" t="s">
        <v>279</v>
      </c>
      <c r="C141" s="835" t="s">
        <v>211</v>
      </c>
      <c r="D141" s="835" t="s">
        <v>8</v>
      </c>
      <c r="E141" s="833">
        <f>'d3'!E141-d3П!E137</f>
        <v>0</v>
      </c>
      <c r="F141" s="833">
        <f>'d3'!F141-d3П!F137</f>
        <v>0</v>
      </c>
      <c r="G141" s="833">
        <f>'d3'!G141-d3П!G137</f>
        <v>0</v>
      </c>
      <c r="H141" s="833">
        <f>'d3'!H141-d3П!H137</f>
        <v>0</v>
      </c>
      <c r="I141" s="833">
        <f>'d3'!I141-d3П!I137</f>
        <v>0</v>
      </c>
      <c r="J141" s="833">
        <f>'d3'!J141-d3П!J137</f>
        <v>0</v>
      </c>
      <c r="K141" s="833">
        <f>'d3'!K141-d3П!K137</f>
        <v>0</v>
      </c>
      <c r="L141" s="833">
        <f>'d3'!L141-d3П!L137</f>
        <v>0</v>
      </c>
      <c r="M141" s="833">
        <f>'d3'!M141-d3П!M137</f>
        <v>0</v>
      </c>
      <c r="N141" s="833">
        <f>'d3'!N141-d3П!N137</f>
        <v>0</v>
      </c>
      <c r="O141" s="833">
        <f>'d3'!O141-d3П!O137</f>
        <v>0</v>
      </c>
      <c r="P141" s="833">
        <f>'d3'!P141-d3П!P137</f>
        <v>0</v>
      </c>
      <c r="Q141" s="39"/>
      <c r="R141" s="53"/>
    </row>
    <row r="142" spans="1:20" s="35" customFormat="1" ht="184.5" thickTop="1" thickBot="1" x14ac:dyDescent="0.25">
      <c r="A142" s="835" t="s">
        <v>283</v>
      </c>
      <c r="B142" s="835" t="s">
        <v>284</v>
      </c>
      <c r="C142" s="835" t="s">
        <v>211</v>
      </c>
      <c r="D142" s="835" t="s">
        <v>9</v>
      </c>
      <c r="E142" s="833">
        <f>'d3'!E142-d3П!E138</f>
        <v>0</v>
      </c>
      <c r="F142" s="833">
        <f>'d3'!F142-d3П!F138</f>
        <v>0</v>
      </c>
      <c r="G142" s="833">
        <f>'d3'!G142-d3П!G138</f>
        <v>0</v>
      </c>
      <c r="H142" s="833">
        <f>'d3'!H142-d3П!H138</f>
        <v>0</v>
      </c>
      <c r="I142" s="833">
        <f>'d3'!I142-d3П!I138</f>
        <v>0</v>
      </c>
      <c r="J142" s="833">
        <f>'d3'!J142-d3П!J138</f>
        <v>0</v>
      </c>
      <c r="K142" s="833">
        <f>'d3'!K142-d3П!K138</f>
        <v>0</v>
      </c>
      <c r="L142" s="833">
        <f>'d3'!L142-d3П!L138</f>
        <v>0</v>
      </c>
      <c r="M142" s="833">
        <f>'d3'!M142-d3П!M138</f>
        <v>0</v>
      </c>
      <c r="N142" s="833">
        <f>'d3'!N142-d3П!N138</f>
        <v>0</v>
      </c>
      <c r="O142" s="833">
        <f>'d3'!O142-d3П!O138</f>
        <v>0</v>
      </c>
      <c r="P142" s="833">
        <f>'d3'!P142-d3П!P138</f>
        <v>0</v>
      </c>
      <c r="Q142" s="39"/>
      <c r="R142" s="53"/>
    </row>
    <row r="143" spans="1:20" s="35" customFormat="1" ht="184.5" thickTop="1" thickBot="1" x14ac:dyDescent="0.25">
      <c r="A143" s="835" t="s">
        <v>483</v>
      </c>
      <c r="B143" s="835" t="s">
        <v>484</v>
      </c>
      <c r="C143" s="835" t="s">
        <v>211</v>
      </c>
      <c r="D143" s="835" t="s">
        <v>485</v>
      </c>
      <c r="E143" s="833">
        <f>'d3'!E143-d3П!E139</f>
        <v>0</v>
      </c>
      <c r="F143" s="833">
        <f>'d3'!F143-d3П!F139</f>
        <v>0</v>
      </c>
      <c r="G143" s="833">
        <f>'d3'!G143-d3П!G139</f>
        <v>0</v>
      </c>
      <c r="H143" s="833">
        <f>'d3'!H143-d3П!H139</f>
        <v>0</v>
      </c>
      <c r="I143" s="833">
        <f>'d3'!I143-d3П!I139</f>
        <v>0</v>
      </c>
      <c r="J143" s="833">
        <f>'d3'!J143-d3П!J139</f>
        <v>0</v>
      </c>
      <c r="K143" s="833">
        <f>'d3'!K143-d3П!K139</f>
        <v>0</v>
      </c>
      <c r="L143" s="833">
        <f>'d3'!L143-d3П!L139</f>
        <v>0</v>
      </c>
      <c r="M143" s="833">
        <f>'d3'!M143-d3П!M139</f>
        <v>0</v>
      </c>
      <c r="N143" s="833">
        <f>'d3'!N143-d3П!N139</f>
        <v>0</v>
      </c>
      <c r="O143" s="833">
        <f>'d3'!O143-d3П!O139</f>
        <v>0</v>
      </c>
      <c r="P143" s="833">
        <f>'d3'!P143-d3П!P139</f>
        <v>0</v>
      </c>
      <c r="Q143" s="39"/>
      <c r="R143" s="53"/>
    </row>
    <row r="144" spans="1:20" s="35" customFormat="1" ht="138.75" thickTop="1" thickBot="1" x14ac:dyDescent="0.25">
      <c r="A144" s="835" t="s">
        <v>933</v>
      </c>
      <c r="B144" s="835" t="s">
        <v>934</v>
      </c>
      <c r="C144" s="835" t="s">
        <v>211</v>
      </c>
      <c r="D144" s="835" t="s">
        <v>935</v>
      </c>
      <c r="E144" s="833">
        <f>'d3'!E144-d3П!E140</f>
        <v>0</v>
      </c>
      <c r="F144" s="833">
        <f>'d3'!F144-d3П!F140</f>
        <v>0</v>
      </c>
      <c r="G144" s="833">
        <f>'d3'!G144-d3П!G140</f>
        <v>0</v>
      </c>
      <c r="H144" s="833">
        <f>'d3'!H144-d3П!H140</f>
        <v>0</v>
      </c>
      <c r="I144" s="833">
        <f>'d3'!I144-d3П!I140</f>
        <v>0</v>
      </c>
      <c r="J144" s="833">
        <f>'d3'!J144-d3П!J140</f>
        <v>0</v>
      </c>
      <c r="K144" s="833">
        <f>'d3'!K144-d3П!K140</f>
        <v>0</v>
      </c>
      <c r="L144" s="833">
        <f>'d3'!L144-d3П!L140</f>
        <v>0</v>
      </c>
      <c r="M144" s="833">
        <f>'d3'!M144-d3П!M140</f>
        <v>0</v>
      </c>
      <c r="N144" s="833">
        <f>'d3'!N144-d3П!N140</f>
        <v>0</v>
      </c>
      <c r="O144" s="833">
        <f>'d3'!O144-d3П!O140</f>
        <v>0</v>
      </c>
      <c r="P144" s="833">
        <f>'d3'!P144-d3П!P140</f>
        <v>0</v>
      </c>
      <c r="Q144" s="39"/>
      <c r="R144" s="53"/>
    </row>
    <row r="145" spans="1:18" ht="138.75" thickTop="1" thickBot="1" x14ac:dyDescent="0.25">
      <c r="A145" s="835" t="s">
        <v>486</v>
      </c>
      <c r="B145" s="835" t="s">
        <v>487</v>
      </c>
      <c r="C145" s="835" t="s">
        <v>210</v>
      </c>
      <c r="D145" s="835" t="s">
        <v>488</v>
      </c>
      <c r="E145" s="833">
        <f>'d3'!E145-d3П!E141</f>
        <v>0</v>
      </c>
      <c r="F145" s="833">
        <f>'d3'!F145-d3П!F141</f>
        <v>0</v>
      </c>
      <c r="G145" s="833">
        <f>'d3'!G145-d3П!G141</f>
        <v>0</v>
      </c>
      <c r="H145" s="833">
        <f>'d3'!H145-d3П!H141</f>
        <v>0</v>
      </c>
      <c r="I145" s="833">
        <f>'d3'!I145-d3П!I141</f>
        <v>0</v>
      </c>
      <c r="J145" s="833">
        <f>'d3'!J145-d3П!J141</f>
        <v>0</v>
      </c>
      <c r="K145" s="833">
        <f>'d3'!K145-d3П!K141</f>
        <v>0</v>
      </c>
      <c r="L145" s="833">
        <f>'d3'!L145-d3П!L141</f>
        <v>0</v>
      </c>
      <c r="M145" s="833">
        <f>'d3'!M145-d3П!M141</f>
        <v>0</v>
      </c>
      <c r="N145" s="833">
        <f>'d3'!N145-d3П!N141</f>
        <v>0</v>
      </c>
      <c r="O145" s="833">
        <f>'d3'!O145-d3П!O141</f>
        <v>0</v>
      </c>
      <c r="P145" s="833">
        <f>'d3'!P145-d3П!P141</f>
        <v>0</v>
      </c>
      <c r="Q145" s="22"/>
      <c r="R145" s="53"/>
    </row>
    <row r="146" spans="1:18" s="35" customFormat="1" ht="276" thickTop="1" thickBot="1" x14ac:dyDescent="0.25">
      <c r="A146" s="455" t="s">
        <v>741</v>
      </c>
      <c r="B146" s="455" t="s">
        <v>742</v>
      </c>
      <c r="C146" s="455"/>
      <c r="D146" s="455" t="s">
        <v>743</v>
      </c>
      <c r="E146" s="833">
        <f>'d3'!E146-d3П!E142</f>
        <v>4650682.6099999994</v>
      </c>
      <c r="F146" s="833">
        <f>'d3'!F146-d3П!F142</f>
        <v>4650682.6099999994</v>
      </c>
      <c r="G146" s="833">
        <f>'d3'!G146-d3П!G142</f>
        <v>0</v>
      </c>
      <c r="H146" s="833">
        <f>'d3'!H146-d3П!H142</f>
        <v>4208.6100000001024</v>
      </c>
      <c r="I146" s="833">
        <f>'d3'!I146-d3П!I142</f>
        <v>0</v>
      </c>
      <c r="J146" s="833">
        <f>'d3'!J146-d3П!J142</f>
        <v>764000</v>
      </c>
      <c r="K146" s="833">
        <f>'d3'!K146-d3П!K142</f>
        <v>764000</v>
      </c>
      <c r="L146" s="833">
        <f>'d3'!L146-d3П!L142</f>
        <v>0</v>
      </c>
      <c r="M146" s="833">
        <f>'d3'!M146-d3П!M142</f>
        <v>0</v>
      </c>
      <c r="N146" s="833">
        <f>'d3'!N146-d3П!N142</f>
        <v>0</v>
      </c>
      <c r="O146" s="833">
        <f>'d3'!O146-d3П!O142</f>
        <v>764000</v>
      </c>
      <c r="P146" s="833">
        <f>'d3'!P146-d3П!P142</f>
        <v>5414682.6099999994</v>
      </c>
      <c r="Q146" s="39"/>
      <c r="R146" s="54"/>
    </row>
    <row r="147" spans="1:18" ht="276" thickTop="1" thickBot="1" x14ac:dyDescent="0.25">
      <c r="A147" s="835" t="s">
        <v>272</v>
      </c>
      <c r="B147" s="835" t="s">
        <v>270</v>
      </c>
      <c r="C147" s="835" t="s">
        <v>205</v>
      </c>
      <c r="D147" s="835" t="s">
        <v>17</v>
      </c>
      <c r="E147" s="833">
        <f>'d3'!E147-d3П!E143</f>
        <v>4375756.6099999994</v>
      </c>
      <c r="F147" s="833">
        <f>'d3'!F147-d3П!F143</f>
        <v>4375756.6099999994</v>
      </c>
      <c r="G147" s="833">
        <f>'d3'!G147-d3П!G143</f>
        <v>0</v>
      </c>
      <c r="H147" s="833">
        <f>'d3'!H147-d3П!H143</f>
        <v>4208.609999999986</v>
      </c>
      <c r="I147" s="833">
        <f>'d3'!I147-d3П!I143</f>
        <v>0</v>
      </c>
      <c r="J147" s="833">
        <f>'d3'!J147-d3П!J143</f>
        <v>764000</v>
      </c>
      <c r="K147" s="833">
        <f>'d3'!K147-d3П!K143</f>
        <v>764000</v>
      </c>
      <c r="L147" s="833">
        <f>'d3'!L147-d3П!L143</f>
        <v>0</v>
      </c>
      <c r="M147" s="833">
        <f>'d3'!M147-d3П!M143</f>
        <v>0</v>
      </c>
      <c r="N147" s="833">
        <f>'d3'!N147-d3П!N143</f>
        <v>0</v>
      </c>
      <c r="O147" s="833">
        <f>'d3'!O147-d3П!O143</f>
        <v>764000</v>
      </c>
      <c r="P147" s="833">
        <f>'d3'!P147-d3П!P143</f>
        <v>5139756.6099999994</v>
      </c>
      <c r="Q147" s="22"/>
      <c r="R147" s="847"/>
    </row>
    <row r="148" spans="1:18" ht="138.75" thickTop="1" thickBot="1" x14ac:dyDescent="0.25">
      <c r="A148" s="835" t="s">
        <v>273</v>
      </c>
      <c r="B148" s="835" t="s">
        <v>271</v>
      </c>
      <c r="C148" s="835" t="s">
        <v>204</v>
      </c>
      <c r="D148" s="835" t="s">
        <v>460</v>
      </c>
      <c r="E148" s="833">
        <f>'d3'!E148-d3П!E144</f>
        <v>274926</v>
      </c>
      <c r="F148" s="833">
        <f>'d3'!F148-d3П!F144</f>
        <v>274926</v>
      </c>
      <c r="G148" s="833">
        <f>'d3'!G148-d3П!G144</f>
        <v>0</v>
      </c>
      <c r="H148" s="833">
        <f>'d3'!H148-d3П!H144</f>
        <v>0</v>
      </c>
      <c r="I148" s="833">
        <f>'d3'!I148-d3П!I144</f>
        <v>0</v>
      </c>
      <c r="J148" s="833">
        <f>'d3'!J148-d3П!J144</f>
        <v>0</v>
      </c>
      <c r="K148" s="833">
        <f>'d3'!K148-d3П!K144</f>
        <v>0</v>
      </c>
      <c r="L148" s="833">
        <f>'d3'!L148-d3П!L144</f>
        <v>0</v>
      </c>
      <c r="M148" s="833">
        <f>'d3'!M148-d3П!M144</f>
        <v>0</v>
      </c>
      <c r="N148" s="833">
        <f>'d3'!N148-d3П!N144</f>
        <v>0</v>
      </c>
      <c r="O148" s="833">
        <f>'d3'!O148-d3П!O144</f>
        <v>0</v>
      </c>
      <c r="P148" s="833">
        <f>'d3'!P148-d3П!P144</f>
        <v>274926</v>
      </c>
      <c r="Q148" s="22"/>
      <c r="R148" s="847"/>
    </row>
    <row r="149" spans="1:18" ht="138.75" thickTop="1" thickBot="1" x14ac:dyDescent="0.25">
      <c r="A149" s="455" t="s">
        <v>1040</v>
      </c>
      <c r="B149" s="455" t="s">
        <v>774</v>
      </c>
      <c r="C149" s="455"/>
      <c r="D149" s="455" t="s">
        <v>775</v>
      </c>
      <c r="E149" s="833">
        <f>'d3'!E149-d3П!E145</f>
        <v>39014.169999999925</v>
      </c>
      <c r="F149" s="833">
        <f>'d3'!F149-d3П!F145</f>
        <v>39014.169999999925</v>
      </c>
      <c r="G149" s="833">
        <f>'d3'!G149-d3П!G145</f>
        <v>0</v>
      </c>
      <c r="H149" s="833">
        <f>'d3'!H149-d3П!H145</f>
        <v>22314.169999999984</v>
      </c>
      <c r="I149" s="833">
        <f>'d3'!I149-d3П!I145</f>
        <v>0</v>
      </c>
      <c r="J149" s="833">
        <f>'d3'!J149-d3П!J145</f>
        <v>39800</v>
      </c>
      <c r="K149" s="833">
        <f>'d3'!K149-d3П!K145</f>
        <v>39800</v>
      </c>
      <c r="L149" s="833">
        <f>'d3'!L149-d3П!L145</f>
        <v>0</v>
      </c>
      <c r="M149" s="833">
        <f>'d3'!M149-d3П!M145</f>
        <v>0</v>
      </c>
      <c r="N149" s="833">
        <f>'d3'!N149-d3П!N145</f>
        <v>0</v>
      </c>
      <c r="O149" s="833">
        <f>'d3'!O149-d3П!O145</f>
        <v>39800</v>
      </c>
      <c r="P149" s="833">
        <f>'d3'!P149-d3П!P145</f>
        <v>78814.169999999925</v>
      </c>
      <c r="Q149" s="22"/>
      <c r="R149" s="847"/>
    </row>
    <row r="150" spans="1:18" ht="138.75" thickTop="1" thickBot="1" x14ac:dyDescent="0.25">
      <c r="A150" s="835" t="s">
        <v>1264</v>
      </c>
      <c r="B150" s="835" t="s">
        <v>189</v>
      </c>
      <c r="C150" s="835" t="s">
        <v>190</v>
      </c>
      <c r="D150" s="835" t="s">
        <v>647</v>
      </c>
      <c r="E150" s="833">
        <f>'d3'!E150-d3П!E146</f>
        <v>39014.169999999925</v>
      </c>
      <c r="F150" s="833">
        <f>'d3'!F150-d3П!F146</f>
        <v>39014.169999999925</v>
      </c>
      <c r="G150" s="833">
        <f>'d3'!G150-d3П!G146</f>
        <v>0</v>
      </c>
      <c r="H150" s="833">
        <f>'d3'!H150-d3П!H146</f>
        <v>22314.169999999984</v>
      </c>
      <c r="I150" s="833">
        <f>'d3'!I150-d3П!I146</f>
        <v>0</v>
      </c>
      <c r="J150" s="833">
        <f>'d3'!J150-d3П!J146</f>
        <v>39800</v>
      </c>
      <c r="K150" s="833">
        <f>'d3'!K150-d3П!K146</f>
        <v>39800</v>
      </c>
      <c r="L150" s="833">
        <f>'d3'!L150-d3П!L146</f>
        <v>0</v>
      </c>
      <c r="M150" s="833">
        <f>'d3'!M150-d3П!M146</f>
        <v>0</v>
      </c>
      <c r="N150" s="833">
        <f>'d3'!N150-d3П!N146</f>
        <v>0</v>
      </c>
      <c r="O150" s="833">
        <f>'d3'!O150-d3П!O146</f>
        <v>39800</v>
      </c>
      <c r="P150" s="833">
        <f>'d3'!P150-d3П!P146</f>
        <v>78814.169999999925</v>
      </c>
      <c r="Q150" s="22"/>
      <c r="R150" s="847"/>
    </row>
    <row r="151" spans="1:18" ht="409.6" thickTop="1" thickBot="1" x14ac:dyDescent="0.25">
      <c r="A151" s="835" t="s">
        <v>268</v>
      </c>
      <c r="B151" s="835" t="s">
        <v>269</v>
      </c>
      <c r="C151" s="835" t="s">
        <v>204</v>
      </c>
      <c r="D151" s="835" t="s">
        <v>458</v>
      </c>
      <c r="E151" s="833">
        <f>'d3'!E151-d3П!E147</f>
        <v>0</v>
      </c>
      <c r="F151" s="833">
        <f>'d3'!F151-d3П!F147</f>
        <v>0</v>
      </c>
      <c r="G151" s="833">
        <f>'d3'!G151-d3П!G147</f>
        <v>0</v>
      </c>
      <c r="H151" s="833">
        <f>'d3'!H151-d3П!H147</f>
        <v>0</v>
      </c>
      <c r="I151" s="833">
        <f>'d3'!I151-d3П!I147</f>
        <v>0</v>
      </c>
      <c r="J151" s="833">
        <f>'d3'!J151-d3П!J147</f>
        <v>0</v>
      </c>
      <c r="K151" s="833">
        <f>'d3'!K151-d3П!K147</f>
        <v>0</v>
      </c>
      <c r="L151" s="833">
        <f>'d3'!L151-d3П!L147</f>
        <v>0</v>
      </c>
      <c r="M151" s="833">
        <f>'d3'!M151-d3П!M147</f>
        <v>0</v>
      </c>
      <c r="N151" s="833">
        <f>'d3'!N151-d3П!N147</f>
        <v>0</v>
      </c>
      <c r="O151" s="833">
        <f>'d3'!O151-d3П!O147</f>
        <v>0</v>
      </c>
      <c r="P151" s="833">
        <f>'d3'!P151-d3П!P147</f>
        <v>0</v>
      </c>
      <c r="Q151" s="22"/>
      <c r="R151" s="53"/>
    </row>
    <row r="152" spans="1:18" ht="138.75" thickTop="1" thickBot="1" x14ac:dyDescent="0.25">
      <c r="A152" s="455" t="s">
        <v>892</v>
      </c>
      <c r="B152" s="455" t="s">
        <v>893</v>
      </c>
      <c r="C152" s="455"/>
      <c r="D152" s="455" t="s">
        <v>894</v>
      </c>
      <c r="E152" s="833">
        <f>'d3'!E152-d3П!E148</f>
        <v>0</v>
      </c>
      <c r="F152" s="833">
        <f>'d3'!F152-d3П!F148</f>
        <v>0</v>
      </c>
      <c r="G152" s="833">
        <f>'d3'!G152-d3П!G148</f>
        <v>0</v>
      </c>
      <c r="H152" s="833">
        <f>'d3'!H152-d3П!H148</f>
        <v>0</v>
      </c>
      <c r="I152" s="833">
        <f>'d3'!I152-d3П!I148</f>
        <v>0</v>
      </c>
      <c r="J152" s="833">
        <f>'d3'!J152-d3П!J148</f>
        <v>0</v>
      </c>
      <c r="K152" s="833">
        <f>'d3'!K152-d3П!K148</f>
        <v>0</v>
      </c>
      <c r="L152" s="833">
        <f>'d3'!L152-d3П!L148</f>
        <v>0</v>
      </c>
      <c r="M152" s="833">
        <f>'d3'!M152-d3П!M148</f>
        <v>0</v>
      </c>
      <c r="N152" s="833">
        <f>'d3'!N152-d3П!N148</f>
        <v>0</v>
      </c>
      <c r="O152" s="833">
        <f>'d3'!O152-d3П!O148</f>
        <v>0</v>
      </c>
      <c r="P152" s="833">
        <f>'d3'!P152-d3П!P148</f>
        <v>0</v>
      </c>
      <c r="Q152" s="22"/>
      <c r="R152" s="53"/>
    </row>
    <row r="153" spans="1:18" ht="276" thickTop="1" thickBot="1" x14ac:dyDescent="0.25">
      <c r="A153" s="835" t="s">
        <v>489</v>
      </c>
      <c r="B153" s="835" t="s">
        <v>490</v>
      </c>
      <c r="C153" s="835" t="s">
        <v>204</v>
      </c>
      <c r="D153" s="835" t="s">
        <v>491</v>
      </c>
      <c r="E153" s="833">
        <f>'d3'!E153-d3П!E149</f>
        <v>0</v>
      </c>
      <c r="F153" s="833">
        <f>'d3'!F153-d3П!F149</f>
        <v>0</v>
      </c>
      <c r="G153" s="833">
        <f>'d3'!G153-d3П!G149</f>
        <v>0</v>
      </c>
      <c r="H153" s="833">
        <f>'d3'!H153-d3П!H149</f>
        <v>0</v>
      </c>
      <c r="I153" s="833">
        <f>'d3'!I153-d3П!I149</f>
        <v>0</v>
      </c>
      <c r="J153" s="833">
        <f>'d3'!J153-d3П!J149</f>
        <v>0</v>
      </c>
      <c r="K153" s="833">
        <f>'d3'!K153-d3П!K149</f>
        <v>0</v>
      </c>
      <c r="L153" s="833">
        <f>'d3'!L153-d3П!L149</f>
        <v>0</v>
      </c>
      <c r="M153" s="833">
        <f>'d3'!M153-d3П!M149</f>
        <v>0</v>
      </c>
      <c r="N153" s="833">
        <f>'d3'!N153-d3П!N149</f>
        <v>0</v>
      </c>
      <c r="O153" s="833">
        <f>'d3'!O153-d3П!O149</f>
        <v>0</v>
      </c>
      <c r="P153" s="833">
        <f>'d3'!P153-d3П!P149</f>
        <v>0</v>
      </c>
      <c r="Q153" s="22"/>
      <c r="R153" s="53"/>
    </row>
    <row r="154" spans="1:18" ht="367.5" thickTop="1" thickBot="1" x14ac:dyDescent="0.25">
      <c r="A154" s="835" t="s">
        <v>353</v>
      </c>
      <c r="B154" s="835" t="s">
        <v>352</v>
      </c>
      <c r="C154" s="835" t="s">
        <v>50</v>
      </c>
      <c r="D154" s="835" t="s">
        <v>459</v>
      </c>
      <c r="E154" s="833">
        <f>'d3'!E154-d3П!E150</f>
        <v>0</v>
      </c>
      <c r="F154" s="833">
        <f>'d3'!F154-d3П!F150</f>
        <v>0</v>
      </c>
      <c r="G154" s="833">
        <f>'d3'!G154-d3П!G150</f>
        <v>0</v>
      </c>
      <c r="H154" s="833">
        <f>'d3'!H154-d3П!H150</f>
        <v>0</v>
      </c>
      <c r="I154" s="833">
        <f>'d3'!I154-d3П!I150</f>
        <v>0</v>
      </c>
      <c r="J154" s="833">
        <f>'d3'!J154-d3П!J150</f>
        <v>0</v>
      </c>
      <c r="K154" s="833">
        <f>'d3'!K154-d3П!K150</f>
        <v>0</v>
      </c>
      <c r="L154" s="833">
        <f>'d3'!L154-d3П!L150</f>
        <v>0</v>
      </c>
      <c r="M154" s="833">
        <f>'d3'!M154-d3П!M150</f>
        <v>0</v>
      </c>
      <c r="N154" s="833">
        <f>'d3'!N154-d3П!N150</f>
        <v>0</v>
      </c>
      <c r="O154" s="833">
        <f>'d3'!O154-d3П!O150</f>
        <v>0</v>
      </c>
      <c r="P154" s="833">
        <f>'d3'!P154-d3П!P150</f>
        <v>0</v>
      </c>
      <c r="Q154" s="22"/>
      <c r="R154" s="53"/>
    </row>
    <row r="155" spans="1:18" s="35" customFormat="1" ht="93" thickTop="1" thickBot="1" x14ac:dyDescent="0.25">
      <c r="A155" s="455" t="s">
        <v>744</v>
      </c>
      <c r="B155" s="455" t="s">
        <v>745</v>
      </c>
      <c r="C155" s="455"/>
      <c r="D155" s="455" t="s">
        <v>746</v>
      </c>
      <c r="E155" s="833">
        <f>'d3'!E155-d3П!E151</f>
        <v>400000</v>
      </c>
      <c r="F155" s="833">
        <f>'d3'!F155-d3П!F151</f>
        <v>400000</v>
      </c>
      <c r="G155" s="833">
        <f>'d3'!G155-d3П!G151</f>
        <v>0</v>
      </c>
      <c r="H155" s="833">
        <f>'d3'!H155-d3П!H151</f>
        <v>0</v>
      </c>
      <c r="I155" s="833">
        <f>'d3'!I155-d3П!I151</f>
        <v>0</v>
      </c>
      <c r="J155" s="833">
        <f>'d3'!J155-d3П!J151</f>
        <v>0</v>
      </c>
      <c r="K155" s="833">
        <f>'d3'!K155-d3П!K151</f>
        <v>0</v>
      </c>
      <c r="L155" s="833">
        <f>'d3'!L155-d3П!L151</f>
        <v>0</v>
      </c>
      <c r="M155" s="833">
        <f>'d3'!M155-d3П!M151</f>
        <v>0</v>
      </c>
      <c r="N155" s="833">
        <f>'d3'!N155-d3П!N151</f>
        <v>0</v>
      </c>
      <c r="O155" s="833">
        <f>'d3'!O155-d3П!O151</f>
        <v>0</v>
      </c>
      <c r="P155" s="833">
        <f>'d3'!P155-d3П!P151</f>
        <v>400000</v>
      </c>
      <c r="Q155" s="39"/>
      <c r="R155" s="54"/>
    </row>
    <row r="156" spans="1:18" ht="230.25" thickTop="1" thickBot="1" x14ac:dyDescent="0.25">
      <c r="A156" s="835" t="s">
        <v>330</v>
      </c>
      <c r="B156" s="835" t="s">
        <v>331</v>
      </c>
      <c r="C156" s="835" t="s">
        <v>210</v>
      </c>
      <c r="D156" s="835" t="s">
        <v>644</v>
      </c>
      <c r="E156" s="833">
        <f>'d3'!E156-d3П!E152</f>
        <v>400000</v>
      </c>
      <c r="F156" s="833">
        <f>'d3'!F156-d3П!F152</f>
        <v>400000</v>
      </c>
      <c r="G156" s="833">
        <f>'d3'!G156-d3П!G152</f>
        <v>0</v>
      </c>
      <c r="H156" s="833">
        <f>'d3'!H156-d3П!H152</f>
        <v>0</v>
      </c>
      <c r="I156" s="833">
        <f>'d3'!I156-d3П!I152</f>
        <v>0</v>
      </c>
      <c r="J156" s="833">
        <f>'d3'!J156-d3П!J152</f>
        <v>0</v>
      </c>
      <c r="K156" s="833">
        <f>'d3'!K156-d3П!K152</f>
        <v>0</v>
      </c>
      <c r="L156" s="833">
        <f>'d3'!L156-d3П!L152</f>
        <v>0</v>
      </c>
      <c r="M156" s="833">
        <f>'d3'!M156-d3П!M152</f>
        <v>0</v>
      </c>
      <c r="N156" s="833">
        <f>'d3'!N156-d3П!N152</f>
        <v>0</v>
      </c>
      <c r="O156" s="833">
        <f>'d3'!O156-d3П!O152</f>
        <v>0</v>
      </c>
      <c r="P156" s="833">
        <f>'d3'!P156-d3П!P152</f>
        <v>400000</v>
      </c>
      <c r="Q156" s="22"/>
      <c r="R156" s="53"/>
    </row>
    <row r="157" spans="1:18" ht="93" thickTop="1" thickBot="1" x14ac:dyDescent="0.25">
      <c r="A157" s="835" t="s">
        <v>433</v>
      </c>
      <c r="B157" s="835" t="s">
        <v>377</v>
      </c>
      <c r="C157" s="835" t="s">
        <v>378</v>
      </c>
      <c r="D157" s="835" t="s">
        <v>376</v>
      </c>
      <c r="E157" s="833">
        <f>'d3'!E157-d3П!E153</f>
        <v>0</v>
      </c>
      <c r="F157" s="833">
        <f>'d3'!F157-d3П!F153</f>
        <v>0</v>
      </c>
      <c r="G157" s="833">
        <f>'d3'!G157-d3П!G153</f>
        <v>0</v>
      </c>
      <c r="H157" s="833">
        <f>'d3'!H157-d3П!H153</f>
        <v>0</v>
      </c>
      <c r="I157" s="833">
        <f>'d3'!I157-d3П!I153</f>
        <v>0</v>
      </c>
      <c r="J157" s="833">
        <f>'d3'!J157-d3П!J153</f>
        <v>0</v>
      </c>
      <c r="K157" s="833">
        <f>'d3'!K157-d3П!K153</f>
        <v>0</v>
      </c>
      <c r="L157" s="833">
        <f>'d3'!L157-d3П!L153</f>
        <v>0</v>
      </c>
      <c r="M157" s="833">
        <f>'d3'!M157-d3П!M153</f>
        <v>0</v>
      </c>
      <c r="N157" s="833">
        <f>'d3'!N157-d3П!N153</f>
        <v>0</v>
      </c>
      <c r="O157" s="833">
        <f>'d3'!O157-d3П!O153</f>
        <v>0</v>
      </c>
      <c r="P157" s="833">
        <f>'d3'!P157-d3П!P153</f>
        <v>0</v>
      </c>
      <c r="Q157" s="22"/>
      <c r="R157" s="53"/>
    </row>
    <row r="158" spans="1:18" ht="230.25" hidden="1" customHeight="1" thickTop="1" thickBot="1" x14ac:dyDescent="0.25">
      <c r="A158" s="490" t="s">
        <v>1086</v>
      </c>
      <c r="B158" s="490" t="s">
        <v>1087</v>
      </c>
      <c r="C158" s="490"/>
      <c r="D158" s="490" t="s">
        <v>1085</v>
      </c>
      <c r="E158" s="833">
        <f>'d3'!E158-d3П!E154</f>
        <v>0</v>
      </c>
      <c r="F158" s="833">
        <f>'d3'!F158-d3П!F154</f>
        <v>0</v>
      </c>
      <c r="G158" s="833">
        <f>'d3'!G158-d3П!G154</f>
        <v>0</v>
      </c>
      <c r="H158" s="833">
        <f>'d3'!H158-d3П!H154</f>
        <v>0</v>
      </c>
      <c r="I158" s="833">
        <f>'d3'!I158-d3П!I154</f>
        <v>0</v>
      </c>
      <c r="J158" s="833">
        <f>'d3'!J158-d3П!J154</f>
        <v>0</v>
      </c>
      <c r="K158" s="833">
        <f>'d3'!K158-d3П!K154</f>
        <v>0</v>
      </c>
      <c r="L158" s="833">
        <f>'d3'!L158-d3П!L154</f>
        <v>0</v>
      </c>
      <c r="M158" s="833">
        <f>'d3'!M158-d3П!M154</f>
        <v>0</v>
      </c>
      <c r="N158" s="833">
        <f>'d3'!N158-d3П!N154</f>
        <v>0</v>
      </c>
      <c r="O158" s="833">
        <f>'d3'!O158-d3П!O154</f>
        <v>0</v>
      </c>
      <c r="P158" s="833">
        <f>'d3'!P158-d3П!P154</f>
        <v>0</v>
      </c>
      <c r="Q158" s="22"/>
      <c r="R158" s="53"/>
    </row>
    <row r="159" spans="1:18" ht="409.6" hidden="1" customHeight="1" thickTop="1" thickBot="1" x14ac:dyDescent="0.7">
      <c r="A159" s="921" t="s">
        <v>1091</v>
      </c>
      <c r="B159" s="921" t="s">
        <v>1092</v>
      </c>
      <c r="C159" s="921" t="s">
        <v>50</v>
      </c>
      <c r="D159" s="554" t="s">
        <v>1088</v>
      </c>
      <c r="E159" s="833">
        <f>'d3'!E159-d3П!E155</f>
        <v>0</v>
      </c>
      <c r="F159" s="833">
        <f>'d3'!F159-d3П!F155</f>
        <v>0</v>
      </c>
      <c r="G159" s="833">
        <f>'d3'!G159-d3П!G155</f>
        <v>0</v>
      </c>
      <c r="H159" s="833">
        <f>'d3'!H159-d3П!H155</f>
        <v>0</v>
      </c>
      <c r="I159" s="833">
        <f>'d3'!I159-d3П!I155</f>
        <v>0</v>
      </c>
      <c r="J159" s="833">
        <f>'d3'!J159-d3П!J155</f>
        <v>0</v>
      </c>
      <c r="K159" s="833">
        <f>'d3'!K159-d3П!K155</f>
        <v>0</v>
      </c>
      <c r="L159" s="833">
        <f>'d3'!L159-d3П!L155</f>
        <v>0</v>
      </c>
      <c r="M159" s="833">
        <f>'d3'!M159-d3П!M155</f>
        <v>0</v>
      </c>
      <c r="N159" s="833">
        <f>'d3'!N159-d3П!N155</f>
        <v>0</v>
      </c>
      <c r="O159" s="833">
        <f>'d3'!O159-d3П!O155</f>
        <v>0</v>
      </c>
      <c r="P159" s="833">
        <f>'d3'!P159-d3П!P155</f>
        <v>0</v>
      </c>
      <c r="Q159" s="932"/>
      <c r="R159" s="938"/>
    </row>
    <row r="160" spans="1:18" ht="409.6" hidden="1" customHeight="1" thickTop="1" thickBot="1" x14ac:dyDescent="0.25">
      <c r="A160" s="923"/>
      <c r="B160" s="923"/>
      <c r="C160" s="923"/>
      <c r="D160" s="555" t="s">
        <v>1089</v>
      </c>
      <c r="E160" s="833">
        <f>'d3'!E160-d3П!E156</f>
        <v>0</v>
      </c>
      <c r="F160" s="833">
        <f>'d3'!F160-d3П!F156</f>
        <v>0</v>
      </c>
      <c r="G160" s="833">
        <f>'d3'!G160-d3П!G156</f>
        <v>0</v>
      </c>
      <c r="H160" s="833">
        <f>'d3'!H160-d3П!H156</f>
        <v>0</v>
      </c>
      <c r="I160" s="833">
        <f>'d3'!I160-d3П!I156</f>
        <v>0</v>
      </c>
      <c r="J160" s="833">
        <f>'d3'!J160-d3П!J156</f>
        <v>0</v>
      </c>
      <c r="K160" s="833">
        <f>'d3'!K160-d3П!K156</f>
        <v>0</v>
      </c>
      <c r="L160" s="833">
        <f>'d3'!L160-d3П!L156</f>
        <v>0</v>
      </c>
      <c r="M160" s="833">
        <f>'d3'!M160-d3П!M156</f>
        <v>0</v>
      </c>
      <c r="N160" s="833">
        <f>'d3'!N160-d3П!N156</f>
        <v>0</v>
      </c>
      <c r="O160" s="833">
        <f>'d3'!O160-d3П!O156</f>
        <v>0</v>
      </c>
      <c r="P160" s="833">
        <f>'d3'!P160-d3П!P156</f>
        <v>0</v>
      </c>
      <c r="Q160" s="932"/>
      <c r="R160" s="939"/>
    </row>
    <row r="161" spans="1:18" ht="409.6" hidden="1" customHeight="1" thickTop="1" thickBot="1" x14ac:dyDescent="0.25">
      <c r="A161" s="900"/>
      <c r="B161" s="900"/>
      <c r="C161" s="900"/>
      <c r="D161" s="556" t="s">
        <v>1090</v>
      </c>
      <c r="E161" s="833">
        <f>'d3'!E161-d3П!E157</f>
        <v>0</v>
      </c>
      <c r="F161" s="833">
        <f>'d3'!F161-d3П!F157</f>
        <v>0</v>
      </c>
      <c r="G161" s="833">
        <f>'d3'!G161-d3П!G157</f>
        <v>0</v>
      </c>
      <c r="H161" s="833">
        <f>'d3'!H161-d3П!H157</f>
        <v>0</v>
      </c>
      <c r="I161" s="833">
        <f>'d3'!I161-d3П!I157</f>
        <v>0</v>
      </c>
      <c r="J161" s="833">
        <f>'d3'!J161-d3П!J157</f>
        <v>0</v>
      </c>
      <c r="K161" s="833">
        <f>'d3'!K161-d3П!K157</f>
        <v>0</v>
      </c>
      <c r="L161" s="833">
        <f>'d3'!L161-d3П!L157</f>
        <v>0</v>
      </c>
      <c r="M161" s="833">
        <f>'d3'!M161-d3П!M157</f>
        <v>0</v>
      </c>
      <c r="N161" s="833">
        <f>'d3'!N161-d3П!N157</f>
        <v>0</v>
      </c>
      <c r="O161" s="833">
        <f>'d3'!O161-d3П!O157</f>
        <v>0</v>
      </c>
      <c r="P161" s="833">
        <f>'d3'!P161-d3П!P157</f>
        <v>0</v>
      </c>
      <c r="Q161" s="932"/>
      <c r="R161" s="939"/>
    </row>
    <row r="162" spans="1:18" ht="409.6" hidden="1" customHeight="1" thickTop="1" thickBot="1" x14ac:dyDescent="0.7">
      <c r="A162" s="921" t="s">
        <v>1097</v>
      </c>
      <c r="B162" s="921" t="s">
        <v>1098</v>
      </c>
      <c r="C162" s="921" t="s">
        <v>50</v>
      </c>
      <c r="D162" s="554" t="s">
        <v>1093</v>
      </c>
      <c r="E162" s="833">
        <f>'d3'!E162-d3П!E158</f>
        <v>0</v>
      </c>
      <c r="F162" s="833">
        <f>'d3'!F162-d3П!F158</f>
        <v>0</v>
      </c>
      <c r="G162" s="833">
        <f>'d3'!G162-d3П!G158</f>
        <v>0</v>
      </c>
      <c r="H162" s="833">
        <f>'d3'!H162-d3П!H158</f>
        <v>0</v>
      </c>
      <c r="I162" s="833">
        <f>'d3'!I162-d3П!I158</f>
        <v>0</v>
      </c>
      <c r="J162" s="833">
        <f>'d3'!J162-d3П!J158</f>
        <v>0</v>
      </c>
      <c r="K162" s="833">
        <f>'d3'!K162-d3П!K158</f>
        <v>0</v>
      </c>
      <c r="L162" s="833">
        <f>'d3'!L162-d3П!L158</f>
        <v>0</v>
      </c>
      <c r="M162" s="833">
        <f>'d3'!M162-d3П!M158</f>
        <v>0</v>
      </c>
      <c r="N162" s="833">
        <f>'d3'!N162-d3П!N158</f>
        <v>0</v>
      </c>
      <c r="O162" s="833">
        <f>'d3'!O162-d3П!O158</f>
        <v>0</v>
      </c>
      <c r="P162" s="833">
        <f>'d3'!P162-d3П!P158</f>
        <v>0</v>
      </c>
      <c r="Q162" s="22"/>
      <c r="R162" s="938"/>
    </row>
    <row r="163" spans="1:18" ht="409.6" hidden="1" customHeight="1" thickTop="1" thickBot="1" x14ac:dyDescent="0.25">
      <c r="A163" s="923"/>
      <c r="B163" s="923"/>
      <c r="C163" s="923"/>
      <c r="D163" s="555" t="s">
        <v>1094</v>
      </c>
      <c r="E163" s="833">
        <f>'d3'!E163-d3П!E159</f>
        <v>0</v>
      </c>
      <c r="F163" s="833">
        <f>'d3'!F163-d3П!F159</f>
        <v>0</v>
      </c>
      <c r="G163" s="833">
        <f>'d3'!G163-d3П!G159</f>
        <v>0</v>
      </c>
      <c r="H163" s="833">
        <f>'d3'!H163-d3П!H159</f>
        <v>0</v>
      </c>
      <c r="I163" s="833">
        <f>'d3'!I163-d3П!I159</f>
        <v>0</v>
      </c>
      <c r="J163" s="833">
        <f>'d3'!J163-d3П!J159</f>
        <v>0</v>
      </c>
      <c r="K163" s="833">
        <f>'d3'!K163-d3П!K159</f>
        <v>0</v>
      </c>
      <c r="L163" s="833">
        <f>'d3'!L163-d3П!L159</f>
        <v>0</v>
      </c>
      <c r="M163" s="833">
        <f>'d3'!M163-d3П!M159</f>
        <v>0</v>
      </c>
      <c r="N163" s="833">
        <f>'d3'!N163-d3П!N159</f>
        <v>0</v>
      </c>
      <c r="O163" s="833">
        <f>'d3'!O163-d3П!O159</f>
        <v>0</v>
      </c>
      <c r="P163" s="833">
        <f>'d3'!P163-d3П!P159</f>
        <v>0</v>
      </c>
      <c r="Q163" s="22"/>
      <c r="R163" s="940"/>
    </row>
    <row r="164" spans="1:18" ht="409.6" hidden="1" customHeight="1" thickTop="1" thickBot="1" x14ac:dyDescent="0.25">
      <c r="A164" s="923"/>
      <c r="B164" s="923"/>
      <c r="C164" s="923"/>
      <c r="D164" s="555" t="s">
        <v>1095</v>
      </c>
      <c r="E164" s="833">
        <f>'d3'!E164-d3П!E160</f>
        <v>0</v>
      </c>
      <c r="F164" s="833">
        <f>'d3'!F164-d3П!F160</f>
        <v>0</v>
      </c>
      <c r="G164" s="833">
        <f>'d3'!G164-d3П!G160</f>
        <v>0</v>
      </c>
      <c r="H164" s="833">
        <f>'d3'!H164-d3П!H160</f>
        <v>0</v>
      </c>
      <c r="I164" s="833">
        <f>'d3'!I164-d3П!I160</f>
        <v>0</v>
      </c>
      <c r="J164" s="833">
        <f>'d3'!J164-d3П!J160</f>
        <v>0</v>
      </c>
      <c r="K164" s="833">
        <f>'d3'!K164-d3П!K160</f>
        <v>0</v>
      </c>
      <c r="L164" s="833">
        <f>'d3'!L164-d3П!L160</f>
        <v>0</v>
      </c>
      <c r="M164" s="833">
        <f>'d3'!M164-d3П!M160</f>
        <v>0</v>
      </c>
      <c r="N164" s="833">
        <f>'d3'!N164-d3П!N160</f>
        <v>0</v>
      </c>
      <c r="O164" s="833">
        <f>'d3'!O164-d3П!O160</f>
        <v>0</v>
      </c>
      <c r="P164" s="833">
        <f>'d3'!P164-d3П!P160</f>
        <v>0</v>
      </c>
      <c r="Q164" s="22"/>
      <c r="R164" s="940"/>
    </row>
    <row r="165" spans="1:18" ht="184.5" hidden="1" customHeight="1" thickTop="1" thickBot="1" x14ac:dyDescent="0.25">
      <c r="A165" s="900"/>
      <c r="B165" s="900"/>
      <c r="C165" s="900"/>
      <c r="D165" s="556" t="s">
        <v>1096</v>
      </c>
      <c r="E165" s="833">
        <f>'d3'!E165-d3П!E161</f>
        <v>0</v>
      </c>
      <c r="F165" s="833">
        <f>'d3'!F165-d3П!F161</f>
        <v>0</v>
      </c>
      <c r="G165" s="833">
        <f>'d3'!G165-d3П!G161</f>
        <v>0</v>
      </c>
      <c r="H165" s="833">
        <f>'d3'!H165-d3П!H161</f>
        <v>0</v>
      </c>
      <c r="I165" s="833">
        <f>'d3'!I165-d3П!I161</f>
        <v>0</v>
      </c>
      <c r="J165" s="833">
        <f>'d3'!J165-d3П!J161</f>
        <v>0</v>
      </c>
      <c r="K165" s="833">
        <f>'d3'!K165-d3П!K161</f>
        <v>0</v>
      </c>
      <c r="L165" s="833">
        <f>'d3'!L165-d3П!L161</f>
        <v>0</v>
      </c>
      <c r="M165" s="833">
        <f>'d3'!M165-d3П!M161</f>
        <v>0</v>
      </c>
      <c r="N165" s="833">
        <f>'d3'!N165-d3П!N161</f>
        <v>0</v>
      </c>
      <c r="O165" s="833">
        <f>'d3'!O165-d3П!O161</f>
        <v>0</v>
      </c>
      <c r="P165" s="833">
        <f>'d3'!P165-d3П!P161</f>
        <v>0</v>
      </c>
      <c r="Q165" s="22"/>
      <c r="R165" s="940"/>
    </row>
    <row r="166" spans="1:18" ht="409.6" hidden="1" customHeight="1" thickTop="1" thickBot="1" x14ac:dyDescent="0.7">
      <c r="A166" s="921" t="s">
        <v>1099</v>
      </c>
      <c r="B166" s="921" t="s">
        <v>1100</v>
      </c>
      <c r="C166" s="921" t="s">
        <v>50</v>
      </c>
      <c r="D166" s="554" t="s">
        <v>1101</v>
      </c>
      <c r="E166" s="833">
        <f>'d3'!E166-d3П!E162</f>
        <v>0</v>
      </c>
      <c r="F166" s="833">
        <f>'d3'!F166-d3П!F162</f>
        <v>0</v>
      </c>
      <c r="G166" s="833">
        <f>'d3'!G166-d3П!G162</f>
        <v>0</v>
      </c>
      <c r="H166" s="833">
        <f>'d3'!H166-d3П!H162</f>
        <v>0</v>
      </c>
      <c r="I166" s="833">
        <f>'d3'!I166-d3П!I162</f>
        <v>0</v>
      </c>
      <c r="J166" s="833">
        <f>'d3'!J166-d3П!J162</f>
        <v>0</v>
      </c>
      <c r="K166" s="833">
        <f>'d3'!K166-d3П!K162</f>
        <v>0</v>
      </c>
      <c r="L166" s="833">
        <f>'d3'!L166-d3П!L162</f>
        <v>0</v>
      </c>
      <c r="M166" s="833">
        <f>'d3'!M166-d3П!M162</f>
        <v>0</v>
      </c>
      <c r="N166" s="833">
        <f>'d3'!N166-d3П!N162</f>
        <v>0</v>
      </c>
      <c r="O166" s="833">
        <f>'d3'!O166-d3П!O162</f>
        <v>0</v>
      </c>
      <c r="P166" s="833">
        <f>'d3'!P166-d3П!P162</f>
        <v>0</v>
      </c>
      <c r="Q166" s="22"/>
      <c r="R166" s="938"/>
    </row>
    <row r="167" spans="1:18" ht="409.6" hidden="1" customHeight="1" thickTop="1" thickBot="1" x14ac:dyDescent="0.25">
      <c r="A167" s="923"/>
      <c r="B167" s="923"/>
      <c r="C167" s="923"/>
      <c r="D167" s="555" t="s">
        <v>1102</v>
      </c>
      <c r="E167" s="833">
        <f>'d3'!E167-d3П!E163</f>
        <v>0</v>
      </c>
      <c r="F167" s="833">
        <f>'d3'!F167-d3П!F163</f>
        <v>0</v>
      </c>
      <c r="G167" s="833">
        <f>'d3'!G167-d3П!G163</f>
        <v>0</v>
      </c>
      <c r="H167" s="833">
        <f>'d3'!H167-d3П!H163</f>
        <v>0</v>
      </c>
      <c r="I167" s="833">
        <f>'d3'!I167-d3П!I163</f>
        <v>0</v>
      </c>
      <c r="J167" s="833">
        <f>'d3'!J167-d3П!J163</f>
        <v>0</v>
      </c>
      <c r="K167" s="833">
        <f>'d3'!K167-d3П!K163</f>
        <v>0</v>
      </c>
      <c r="L167" s="833">
        <f>'d3'!L167-d3П!L163</f>
        <v>0</v>
      </c>
      <c r="M167" s="833">
        <f>'d3'!M167-d3П!M163</f>
        <v>0</v>
      </c>
      <c r="N167" s="833">
        <f>'d3'!N167-d3П!N163</f>
        <v>0</v>
      </c>
      <c r="O167" s="833">
        <f>'d3'!O167-d3П!O163</f>
        <v>0</v>
      </c>
      <c r="P167" s="833">
        <f>'d3'!P167-d3П!P163</f>
        <v>0</v>
      </c>
      <c r="Q167" s="22"/>
      <c r="R167" s="939"/>
    </row>
    <row r="168" spans="1:18" ht="138.75" hidden="1" customHeight="1" thickTop="1" thickBot="1" x14ac:dyDescent="0.25">
      <c r="A168" s="900"/>
      <c r="B168" s="900"/>
      <c r="C168" s="900"/>
      <c r="D168" s="556" t="s">
        <v>1103</v>
      </c>
      <c r="E168" s="833">
        <f>'d3'!E168-d3П!E164</f>
        <v>0</v>
      </c>
      <c r="F168" s="833">
        <f>'d3'!F168-d3П!F164</f>
        <v>0</v>
      </c>
      <c r="G168" s="833">
        <f>'d3'!G168-d3П!G164</f>
        <v>0</v>
      </c>
      <c r="H168" s="833">
        <f>'d3'!H168-d3П!H164</f>
        <v>0</v>
      </c>
      <c r="I168" s="833">
        <f>'d3'!I168-d3П!I164</f>
        <v>0</v>
      </c>
      <c r="J168" s="833">
        <f>'d3'!J168-d3П!J164</f>
        <v>0</v>
      </c>
      <c r="K168" s="833">
        <f>'d3'!K168-d3П!K164</f>
        <v>0</v>
      </c>
      <c r="L168" s="833">
        <f>'d3'!L168-d3П!L164</f>
        <v>0</v>
      </c>
      <c r="M168" s="833">
        <f>'d3'!M168-d3П!M164</f>
        <v>0</v>
      </c>
      <c r="N168" s="833">
        <f>'d3'!N168-d3П!N164</f>
        <v>0</v>
      </c>
      <c r="O168" s="833">
        <f>'d3'!O168-d3П!O164</f>
        <v>0</v>
      </c>
      <c r="P168" s="833">
        <f>'d3'!P168-d3П!P164</f>
        <v>0</v>
      </c>
      <c r="Q168" s="22"/>
      <c r="R168" s="939"/>
    </row>
    <row r="169" spans="1:18" ht="409.6" hidden="1" customHeight="1" thickTop="1" thickBot="1" x14ac:dyDescent="0.7">
      <c r="A169" s="921" t="s">
        <v>1107</v>
      </c>
      <c r="B169" s="921" t="s">
        <v>1108</v>
      </c>
      <c r="C169" s="921" t="s">
        <v>50</v>
      </c>
      <c r="D169" s="554" t="s">
        <v>1104</v>
      </c>
      <c r="E169" s="833">
        <f>'d3'!E169-d3П!E165</f>
        <v>0</v>
      </c>
      <c r="F169" s="833">
        <f>'d3'!F169-d3П!F165</f>
        <v>0</v>
      </c>
      <c r="G169" s="833">
        <f>'d3'!G169-d3П!G165</f>
        <v>0</v>
      </c>
      <c r="H169" s="833">
        <f>'d3'!H169-d3П!H165</f>
        <v>0</v>
      </c>
      <c r="I169" s="833">
        <f>'d3'!I169-d3П!I165</f>
        <v>0</v>
      </c>
      <c r="J169" s="833">
        <f>'d3'!J169-d3П!J165</f>
        <v>0</v>
      </c>
      <c r="K169" s="833">
        <f>'d3'!K169-d3П!K165</f>
        <v>0</v>
      </c>
      <c r="L169" s="833">
        <f>'d3'!L169-d3П!L165</f>
        <v>0</v>
      </c>
      <c r="M169" s="833">
        <f>'d3'!M169-d3П!M165</f>
        <v>0</v>
      </c>
      <c r="N169" s="833">
        <f>'d3'!N169-d3П!N165</f>
        <v>0</v>
      </c>
      <c r="O169" s="833">
        <f>'d3'!O169-d3П!O165</f>
        <v>0</v>
      </c>
      <c r="P169" s="833">
        <f>'d3'!P169-d3П!P165</f>
        <v>0</v>
      </c>
      <c r="Q169" s="22"/>
      <c r="R169" s="938"/>
    </row>
    <row r="170" spans="1:18" ht="409.6" hidden="1" customHeight="1" thickBot="1" x14ac:dyDescent="0.25">
      <c r="A170" s="923"/>
      <c r="B170" s="923"/>
      <c r="C170" s="923"/>
      <c r="D170" s="555" t="s">
        <v>1105</v>
      </c>
      <c r="E170" s="833">
        <f>'d3'!E170-d3П!E166</f>
        <v>0</v>
      </c>
      <c r="F170" s="833">
        <f>'d3'!F170-d3П!F166</f>
        <v>0</v>
      </c>
      <c r="G170" s="833">
        <f>'d3'!G170-d3П!G166</f>
        <v>0</v>
      </c>
      <c r="H170" s="833">
        <f>'d3'!H170-d3П!H166</f>
        <v>0</v>
      </c>
      <c r="I170" s="833">
        <f>'d3'!I170-d3П!I166</f>
        <v>0</v>
      </c>
      <c r="J170" s="833">
        <f>'d3'!J170-d3П!J166</f>
        <v>0</v>
      </c>
      <c r="K170" s="833">
        <f>'d3'!K170-d3П!K166</f>
        <v>0</v>
      </c>
      <c r="L170" s="833">
        <f>'d3'!L170-d3П!L166</f>
        <v>0</v>
      </c>
      <c r="M170" s="833">
        <f>'d3'!M170-d3П!M166</f>
        <v>0</v>
      </c>
      <c r="N170" s="833">
        <f>'d3'!N170-d3П!N166</f>
        <v>0</v>
      </c>
      <c r="O170" s="833">
        <f>'d3'!O170-d3П!O166</f>
        <v>0</v>
      </c>
      <c r="P170" s="833">
        <f>'d3'!P170-d3П!P166</f>
        <v>0</v>
      </c>
      <c r="Q170" s="22"/>
      <c r="R170" s="939"/>
    </row>
    <row r="171" spans="1:18" ht="93" hidden="1" customHeight="1" thickTop="1" thickBot="1" x14ac:dyDescent="0.25">
      <c r="A171" s="900"/>
      <c r="B171" s="900"/>
      <c r="C171" s="900"/>
      <c r="D171" s="556" t="s">
        <v>1106</v>
      </c>
      <c r="E171" s="833">
        <f>'d3'!E171-d3П!E167</f>
        <v>0</v>
      </c>
      <c r="F171" s="833">
        <f>'d3'!F171-d3П!F167</f>
        <v>0</v>
      </c>
      <c r="G171" s="833">
        <f>'d3'!G171-d3П!G167</f>
        <v>0</v>
      </c>
      <c r="H171" s="833">
        <f>'d3'!H171-d3П!H167</f>
        <v>0</v>
      </c>
      <c r="I171" s="833">
        <f>'d3'!I171-d3П!I167</f>
        <v>0</v>
      </c>
      <c r="J171" s="833">
        <f>'d3'!J171-d3П!J167</f>
        <v>0</v>
      </c>
      <c r="K171" s="833">
        <f>'d3'!K171-d3П!K167</f>
        <v>0</v>
      </c>
      <c r="L171" s="833">
        <f>'d3'!L171-d3П!L167</f>
        <v>0</v>
      </c>
      <c r="M171" s="833">
        <f>'d3'!M171-d3П!M167</f>
        <v>0</v>
      </c>
      <c r="N171" s="833">
        <f>'d3'!N171-d3П!N167</f>
        <v>0</v>
      </c>
      <c r="O171" s="833">
        <f>'d3'!O171-d3П!O167</f>
        <v>0</v>
      </c>
      <c r="P171" s="833">
        <f>'d3'!P171-d3П!P167</f>
        <v>0</v>
      </c>
      <c r="Q171" s="22"/>
      <c r="R171" s="939"/>
    </row>
    <row r="172" spans="1:18" ht="230.25" thickTop="1" thickBot="1" x14ac:dyDescent="0.25">
      <c r="A172" s="835" t="s">
        <v>1252</v>
      </c>
      <c r="B172" s="835" t="s">
        <v>1249</v>
      </c>
      <c r="C172" s="835" t="s">
        <v>211</v>
      </c>
      <c r="D172" s="470" t="s">
        <v>1250</v>
      </c>
      <c r="E172" s="833">
        <f>'d3'!E172-d3П!E168</f>
        <v>1691000</v>
      </c>
      <c r="F172" s="833">
        <f>'d3'!F172-d3П!F168</f>
        <v>1691000</v>
      </c>
      <c r="G172" s="833">
        <f>'d3'!G172-d3П!G168</f>
        <v>0</v>
      </c>
      <c r="H172" s="833">
        <f>'d3'!H172-d3П!H168</f>
        <v>0</v>
      </c>
      <c r="I172" s="833">
        <f>'d3'!I172-d3П!I168</f>
        <v>0</v>
      </c>
      <c r="J172" s="833">
        <f>'d3'!J172-d3П!J168</f>
        <v>17580175</v>
      </c>
      <c r="K172" s="833">
        <f>'d3'!K172-d3П!K168</f>
        <v>17580175</v>
      </c>
      <c r="L172" s="833">
        <f>'d3'!L172-d3П!L168</f>
        <v>0</v>
      </c>
      <c r="M172" s="833">
        <f>'d3'!M172-d3П!M168</f>
        <v>0</v>
      </c>
      <c r="N172" s="833">
        <f>'d3'!N172-d3П!N168</f>
        <v>0</v>
      </c>
      <c r="O172" s="833">
        <f>'d3'!O172-d3П!O168</f>
        <v>17580175</v>
      </c>
      <c r="P172" s="833">
        <f>'d3'!P172-d3П!P168</f>
        <v>19271175</v>
      </c>
      <c r="Q172" s="22"/>
      <c r="R172" s="848"/>
    </row>
    <row r="173" spans="1:18" s="35" customFormat="1" ht="47.25" thickTop="1" thickBot="1" x14ac:dyDescent="0.25">
      <c r="A173" s="455" t="s">
        <v>747</v>
      </c>
      <c r="B173" s="455" t="s">
        <v>748</v>
      </c>
      <c r="C173" s="455"/>
      <c r="D173" s="455" t="s">
        <v>749</v>
      </c>
      <c r="E173" s="833">
        <f>'d3'!E173-d3П!E169</f>
        <v>11103897</v>
      </c>
      <c r="F173" s="833">
        <f>'d3'!F173-d3П!F169</f>
        <v>11103897</v>
      </c>
      <c r="G173" s="833">
        <f>'d3'!G173-d3П!G169</f>
        <v>497899</v>
      </c>
      <c r="H173" s="833">
        <f>'d3'!H173-d3П!H169</f>
        <v>243030</v>
      </c>
      <c r="I173" s="833">
        <f>'d3'!I173-d3П!I169</f>
        <v>0</v>
      </c>
      <c r="J173" s="833">
        <f>'d3'!J173-d3П!J169</f>
        <v>3981980</v>
      </c>
      <c r="K173" s="833">
        <f>'d3'!K173-d3П!K169</f>
        <v>3981980</v>
      </c>
      <c r="L173" s="833">
        <f>'d3'!L173-d3П!L169</f>
        <v>0</v>
      </c>
      <c r="M173" s="833">
        <f>'d3'!M173-d3П!M169</f>
        <v>587980</v>
      </c>
      <c r="N173" s="833">
        <f>'d3'!N173-d3П!N169</f>
        <v>20000</v>
      </c>
      <c r="O173" s="833">
        <f>'d3'!O173-d3П!O169</f>
        <v>3981980</v>
      </c>
      <c r="P173" s="833">
        <f>'d3'!P173-d3П!P169</f>
        <v>15085877</v>
      </c>
      <c r="Q173" s="39"/>
      <c r="R173" s="54"/>
    </row>
    <row r="174" spans="1:18" ht="184.5" thickTop="1" thickBot="1" x14ac:dyDescent="0.25">
      <c r="A174" s="835" t="s">
        <v>332</v>
      </c>
      <c r="B174" s="835" t="s">
        <v>334</v>
      </c>
      <c r="C174" s="835" t="s">
        <v>196</v>
      </c>
      <c r="D174" s="470" t="s">
        <v>336</v>
      </c>
      <c r="E174" s="833">
        <f>'d3'!E174-d3П!E170</f>
        <v>5970902</v>
      </c>
      <c r="F174" s="833">
        <f>'d3'!F174-d3П!F170</f>
        <v>5970902</v>
      </c>
      <c r="G174" s="833">
        <f>'d3'!G174-d3П!G170</f>
        <v>497899</v>
      </c>
      <c r="H174" s="833">
        <f>'d3'!H174-d3П!H170</f>
        <v>243030</v>
      </c>
      <c r="I174" s="833">
        <f>'d3'!I174-d3П!I170</f>
        <v>0</v>
      </c>
      <c r="J174" s="833">
        <f>'d3'!J174-d3П!J170</f>
        <v>3981980</v>
      </c>
      <c r="K174" s="833">
        <f>'d3'!K174-d3П!K170</f>
        <v>3981980</v>
      </c>
      <c r="L174" s="833">
        <f>'d3'!L174-d3П!L170</f>
        <v>0</v>
      </c>
      <c r="M174" s="833">
        <f>'d3'!M174-d3П!M170</f>
        <v>587980</v>
      </c>
      <c r="N174" s="833">
        <f>'d3'!N174-d3П!N170</f>
        <v>20000</v>
      </c>
      <c r="O174" s="833">
        <f>'d3'!O174-d3П!O170</f>
        <v>3981980</v>
      </c>
      <c r="P174" s="833">
        <f>'d3'!P174-d3П!P170</f>
        <v>9952882</v>
      </c>
      <c r="Q174" s="22"/>
      <c r="R174" s="847"/>
    </row>
    <row r="175" spans="1:18" ht="138.75" thickTop="1" thickBot="1" x14ac:dyDescent="0.25">
      <c r="A175" s="835" t="s">
        <v>333</v>
      </c>
      <c r="B175" s="835" t="s">
        <v>335</v>
      </c>
      <c r="C175" s="835" t="s">
        <v>196</v>
      </c>
      <c r="D175" s="470" t="s">
        <v>337</v>
      </c>
      <c r="E175" s="833">
        <f>'d3'!E175-d3П!E171</f>
        <v>5132995</v>
      </c>
      <c r="F175" s="833">
        <f>'d3'!F175-d3П!F171</f>
        <v>5132995</v>
      </c>
      <c r="G175" s="833">
        <f>'d3'!G175-d3П!G171</f>
        <v>0</v>
      </c>
      <c r="H175" s="833">
        <f>'d3'!H175-d3П!H171</f>
        <v>0</v>
      </c>
      <c r="I175" s="833">
        <f>'d3'!I175-d3П!I171</f>
        <v>0</v>
      </c>
      <c r="J175" s="833">
        <f>'d3'!J175-d3П!J171</f>
        <v>0</v>
      </c>
      <c r="K175" s="833">
        <f>'d3'!K175-d3П!K171</f>
        <v>0</v>
      </c>
      <c r="L175" s="833">
        <f>'d3'!L175-d3П!L171</f>
        <v>0</v>
      </c>
      <c r="M175" s="833">
        <f>'d3'!M175-d3П!M171</f>
        <v>0</v>
      </c>
      <c r="N175" s="833">
        <f>'d3'!N175-d3П!N171</f>
        <v>0</v>
      </c>
      <c r="O175" s="833">
        <f>'d3'!O175-d3П!O171</f>
        <v>0</v>
      </c>
      <c r="P175" s="833">
        <f>'d3'!P175-d3П!P171</f>
        <v>5132995</v>
      </c>
      <c r="Q175" s="22"/>
      <c r="R175" s="847"/>
    </row>
    <row r="176" spans="1:18" ht="91.5" thickTop="1" thickBot="1" x14ac:dyDescent="0.25">
      <c r="A176" s="385" t="s">
        <v>750</v>
      </c>
      <c r="B176" s="385" t="s">
        <v>751</v>
      </c>
      <c r="C176" s="385"/>
      <c r="D176" s="536" t="s">
        <v>752</v>
      </c>
      <c r="E176" s="833">
        <f>'d3'!E176-d3П!E172</f>
        <v>0</v>
      </c>
      <c r="F176" s="833">
        <f>'d3'!F176-d3П!F172</f>
        <v>0</v>
      </c>
      <c r="G176" s="833">
        <f>'d3'!G176-d3П!G172</f>
        <v>0</v>
      </c>
      <c r="H176" s="833">
        <f>'d3'!H176-d3П!H172</f>
        <v>0</v>
      </c>
      <c r="I176" s="833">
        <f>'d3'!I176-d3П!I172</f>
        <v>0</v>
      </c>
      <c r="J176" s="833">
        <f>'d3'!J176-d3П!J172</f>
        <v>0</v>
      </c>
      <c r="K176" s="833">
        <f>'d3'!K176-d3П!K172</f>
        <v>0</v>
      </c>
      <c r="L176" s="833">
        <f>'d3'!L176-d3П!L172</f>
        <v>0</v>
      </c>
      <c r="M176" s="833">
        <f>'d3'!M176-d3П!M172</f>
        <v>0</v>
      </c>
      <c r="N176" s="833">
        <f>'d3'!N176-d3П!N172</f>
        <v>0</v>
      </c>
      <c r="O176" s="833">
        <f>'d3'!O176-d3П!O172</f>
        <v>0</v>
      </c>
      <c r="P176" s="833">
        <f>'d3'!P176-d3П!P172</f>
        <v>0</v>
      </c>
      <c r="Q176" s="22"/>
      <c r="R176" s="847"/>
    </row>
    <row r="177" spans="1:18" s="35" customFormat="1" ht="93" thickTop="1" thickBot="1" x14ac:dyDescent="0.25">
      <c r="A177" s="455" t="s">
        <v>753</v>
      </c>
      <c r="B177" s="455" t="s">
        <v>754</v>
      </c>
      <c r="C177" s="455"/>
      <c r="D177" s="557" t="s">
        <v>755</v>
      </c>
      <c r="E177" s="833">
        <f>'d3'!E177-d3П!E173</f>
        <v>0</v>
      </c>
      <c r="F177" s="833">
        <f>'d3'!F177-d3П!F173</f>
        <v>0</v>
      </c>
      <c r="G177" s="833">
        <f>'d3'!G177-d3П!G173</f>
        <v>0</v>
      </c>
      <c r="H177" s="833">
        <f>'d3'!H177-d3П!H173</f>
        <v>0</v>
      </c>
      <c r="I177" s="833">
        <f>'d3'!I177-d3П!I173</f>
        <v>0</v>
      </c>
      <c r="J177" s="833">
        <f>'d3'!J177-d3П!J173</f>
        <v>0</v>
      </c>
      <c r="K177" s="833">
        <f>'d3'!K177-d3П!K173</f>
        <v>0</v>
      </c>
      <c r="L177" s="833">
        <f>'d3'!L177-d3П!L173</f>
        <v>0</v>
      </c>
      <c r="M177" s="833">
        <f>'d3'!M177-d3П!M173</f>
        <v>0</v>
      </c>
      <c r="N177" s="833">
        <f>'d3'!N177-d3П!N173</f>
        <v>0</v>
      </c>
      <c r="O177" s="833">
        <f>'d3'!O177-d3П!O173</f>
        <v>0</v>
      </c>
      <c r="P177" s="833">
        <f>'d3'!P177-d3П!P173</f>
        <v>0</v>
      </c>
      <c r="Q177" s="39"/>
      <c r="R177" s="55"/>
    </row>
    <row r="178" spans="1:18" ht="138.75" thickTop="1" thickBot="1" x14ac:dyDescent="0.25">
      <c r="A178" s="835" t="s">
        <v>372</v>
      </c>
      <c r="B178" s="835" t="s">
        <v>370</v>
      </c>
      <c r="C178" s="835" t="s">
        <v>345</v>
      </c>
      <c r="D178" s="470" t="s">
        <v>371</v>
      </c>
      <c r="E178" s="833">
        <f>'d3'!E178-d3П!E174</f>
        <v>0</v>
      </c>
      <c r="F178" s="833">
        <f>'d3'!F178-d3П!F174</f>
        <v>0</v>
      </c>
      <c r="G178" s="833">
        <f>'d3'!G178-d3П!G174</f>
        <v>0</v>
      </c>
      <c r="H178" s="833">
        <f>'d3'!H178-d3П!H174</f>
        <v>0</v>
      </c>
      <c r="I178" s="833">
        <f>'d3'!I178-d3П!I174</f>
        <v>0</v>
      </c>
      <c r="J178" s="833">
        <f>'d3'!J178-d3П!J174</f>
        <v>0</v>
      </c>
      <c r="K178" s="833">
        <f>'d3'!K178-d3П!K174</f>
        <v>0</v>
      </c>
      <c r="L178" s="833">
        <f>'d3'!L178-d3П!L174</f>
        <v>0</v>
      </c>
      <c r="M178" s="833">
        <f>'d3'!M178-d3П!M174</f>
        <v>0</v>
      </c>
      <c r="N178" s="833">
        <f>'d3'!N178-d3П!N174</f>
        <v>0</v>
      </c>
      <c r="O178" s="833">
        <f>'d3'!O178-d3П!O174</f>
        <v>0</v>
      </c>
      <c r="P178" s="833">
        <f>'d3'!P178-d3П!P174</f>
        <v>0</v>
      </c>
      <c r="Q178" s="22"/>
      <c r="R178" s="847"/>
    </row>
    <row r="179" spans="1:18" ht="409.6" hidden="1" customHeight="1" thickTop="1" thickBot="1" x14ac:dyDescent="0.25">
      <c r="A179" s="845" t="s">
        <v>1109</v>
      </c>
      <c r="B179" s="845" t="s">
        <v>1110</v>
      </c>
      <c r="C179" s="845" t="s">
        <v>345</v>
      </c>
      <c r="D179" s="188" t="s">
        <v>1111</v>
      </c>
      <c r="E179" s="833">
        <f>'d3'!E179-d3П!E175</f>
        <v>0</v>
      </c>
      <c r="F179" s="833">
        <f>'d3'!F179-d3П!F175</f>
        <v>0</v>
      </c>
      <c r="G179" s="833">
        <f>'d3'!G179-d3П!G175</f>
        <v>0</v>
      </c>
      <c r="H179" s="833">
        <f>'d3'!H179-d3П!H175</f>
        <v>0</v>
      </c>
      <c r="I179" s="833">
        <f>'d3'!I179-d3П!I175</f>
        <v>0</v>
      </c>
      <c r="J179" s="833">
        <f>'d3'!J179-d3П!J175</f>
        <v>0</v>
      </c>
      <c r="K179" s="833">
        <f>'d3'!K179-d3П!K175</f>
        <v>0</v>
      </c>
      <c r="L179" s="833">
        <f>'d3'!L179-d3П!L175</f>
        <v>0</v>
      </c>
      <c r="M179" s="833">
        <f>'d3'!M179-d3П!M175</f>
        <v>0</v>
      </c>
      <c r="N179" s="833">
        <f>'d3'!N179-d3П!N175</f>
        <v>0</v>
      </c>
      <c r="O179" s="833">
        <f>'d3'!O179-d3П!O175</f>
        <v>0</v>
      </c>
      <c r="P179" s="833">
        <f>'d3'!P179-d3П!P175</f>
        <v>0</v>
      </c>
      <c r="Q179" s="22"/>
      <c r="R179" s="847"/>
    </row>
    <row r="180" spans="1:18" ht="47.25" thickTop="1" thickBot="1" x14ac:dyDescent="0.25">
      <c r="A180" s="385" t="s">
        <v>760</v>
      </c>
      <c r="B180" s="385" t="s">
        <v>757</v>
      </c>
      <c r="C180" s="385"/>
      <c r="D180" s="385" t="s">
        <v>758</v>
      </c>
      <c r="E180" s="833">
        <f>'d3'!E180-d3П!E176</f>
        <v>20000</v>
      </c>
      <c r="F180" s="833">
        <f>'d3'!F180-d3П!F176</f>
        <v>20000</v>
      </c>
      <c r="G180" s="833">
        <f>'d3'!G180-d3П!G176</f>
        <v>0</v>
      </c>
      <c r="H180" s="833">
        <f>'d3'!H180-d3П!H176</f>
        <v>0</v>
      </c>
      <c r="I180" s="833">
        <f>'d3'!I180-d3П!I176</f>
        <v>0</v>
      </c>
      <c r="J180" s="833">
        <f>'d3'!J180-d3П!J176</f>
        <v>6800000</v>
      </c>
      <c r="K180" s="833">
        <f>'d3'!K180-d3П!K176</f>
        <v>6800000</v>
      </c>
      <c r="L180" s="833">
        <f>'d3'!L180-d3П!L176</f>
        <v>0</v>
      </c>
      <c r="M180" s="833">
        <f>'d3'!M180-d3П!M176</f>
        <v>0</v>
      </c>
      <c r="N180" s="833">
        <f>'d3'!N180-d3П!N176</f>
        <v>0</v>
      </c>
      <c r="O180" s="833">
        <f>'d3'!O180-d3П!O176</f>
        <v>6800000</v>
      </c>
      <c r="P180" s="833">
        <f>'d3'!P180-d3П!P176</f>
        <v>6820000</v>
      </c>
      <c r="Q180" s="22"/>
      <c r="R180" s="847"/>
    </row>
    <row r="181" spans="1:18" ht="91.5" hidden="1" customHeight="1" thickTop="1" thickBot="1" x14ac:dyDescent="0.25">
      <c r="A181" s="170" t="s">
        <v>939</v>
      </c>
      <c r="B181" s="170" t="s">
        <v>813</v>
      </c>
      <c r="C181" s="170"/>
      <c r="D181" s="170" t="s">
        <v>814</v>
      </c>
      <c r="E181" s="833">
        <f>'d3'!E181-d3П!E177</f>
        <v>0</v>
      </c>
      <c r="F181" s="833">
        <f>'d3'!F181-d3П!F177</f>
        <v>0</v>
      </c>
      <c r="G181" s="833">
        <f>'d3'!G181-d3П!G177</f>
        <v>0</v>
      </c>
      <c r="H181" s="833">
        <f>'d3'!H181-d3П!H177</f>
        <v>0</v>
      </c>
      <c r="I181" s="833">
        <f>'d3'!I181-d3П!I177</f>
        <v>0</v>
      </c>
      <c r="J181" s="833">
        <f>'d3'!J181-d3П!J177</f>
        <v>0</v>
      </c>
      <c r="K181" s="833">
        <f>'d3'!K181-d3П!K177</f>
        <v>0</v>
      </c>
      <c r="L181" s="833">
        <f>'d3'!L181-d3П!L177</f>
        <v>0</v>
      </c>
      <c r="M181" s="833">
        <f>'d3'!M181-d3П!M177</f>
        <v>0</v>
      </c>
      <c r="N181" s="833">
        <f>'d3'!N181-d3П!N177</f>
        <v>0</v>
      </c>
      <c r="O181" s="833">
        <f>'d3'!O181-d3П!O177</f>
        <v>0</v>
      </c>
      <c r="P181" s="833">
        <f>'d3'!P181-d3П!P177</f>
        <v>0</v>
      </c>
      <c r="Q181" s="22"/>
      <c r="R181" s="847"/>
    </row>
    <row r="182" spans="1:18" ht="146.25" hidden="1" customHeight="1" thickTop="1" thickBot="1" x14ac:dyDescent="0.25">
      <c r="A182" s="174" t="s">
        <v>936</v>
      </c>
      <c r="B182" s="174" t="s">
        <v>831</v>
      </c>
      <c r="C182" s="174"/>
      <c r="D182" s="174" t="s">
        <v>1287</v>
      </c>
      <c r="E182" s="833">
        <f>'d3'!E182-d3П!E178</f>
        <v>0</v>
      </c>
      <c r="F182" s="833">
        <f>'d3'!F182-d3П!F178</f>
        <v>0</v>
      </c>
      <c r="G182" s="833">
        <f>'d3'!G182-d3П!G178</f>
        <v>0</v>
      </c>
      <c r="H182" s="833">
        <f>'d3'!H182-d3П!H178</f>
        <v>0</v>
      </c>
      <c r="I182" s="833">
        <f>'d3'!I182-d3П!I178</f>
        <v>0</v>
      </c>
      <c r="J182" s="833">
        <f>'d3'!J182-d3П!J178</f>
        <v>0</v>
      </c>
      <c r="K182" s="833">
        <f>'d3'!K182-d3П!K178</f>
        <v>0</v>
      </c>
      <c r="L182" s="833">
        <f>'d3'!L182-d3П!L178</f>
        <v>0</v>
      </c>
      <c r="M182" s="833">
        <f>'d3'!M182-d3П!M178</f>
        <v>0</v>
      </c>
      <c r="N182" s="833">
        <f>'d3'!N182-d3П!N178</f>
        <v>0</v>
      </c>
      <c r="O182" s="833">
        <f>'d3'!O182-d3П!O178</f>
        <v>0</v>
      </c>
      <c r="P182" s="833">
        <f>'d3'!P182-d3П!P178</f>
        <v>0</v>
      </c>
      <c r="Q182" s="22"/>
      <c r="R182" s="847"/>
    </row>
    <row r="183" spans="1:18" ht="99.75" hidden="1" customHeight="1" thickTop="1" thickBot="1" x14ac:dyDescent="0.25">
      <c r="A183" s="836" t="s">
        <v>937</v>
      </c>
      <c r="B183" s="836" t="s">
        <v>938</v>
      </c>
      <c r="C183" s="836" t="s">
        <v>309</v>
      </c>
      <c r="D183" s="836" t="s">
        <v>1288</v>
      </c>
      <c r="E183" s="833">
        <f>'d3'!E183-d3П!E179</f>
        <v>0</v>
      </c>
      <c r="F183" s="833">
        <f>'d3'!F183-d3П!F179</f>
        <v>0</v>
      </c>
      <c r="G183" s="833">
        <f>'d3'!G183-d3П!G179</f>
        <v>0</v>
      </c>
      <c r="H183" s="833">
        <f>'d3'!H183-d3П!H179</f>
        <v>0</v>
      </c>
      <c r="I183" s="833">
        <f>'d3'!I183-d3П!I179</f>
        <v>0</v>
      </c>
      <c r="J183" s="833">
        <f>'d3'!J183-d3П!J179</f>
        <v>0</v>
      </c>
      <c r="K183" s="833">
        <f>'d3'!K183-d3П!K179</f>
        <v>0</v>
      </c>
      <c r="L183" s="833">
        <f>'d3'!L183-d3П!L179</f>
        <v>0</v>
      </c>
      <c r="M183" s="833">
        <f>'d3'!M183-d3П!M179</f>
        <v>0</v>
      </c>
      <c r="N183" s="833">
        <f>'d3'!N183-d3П!N179</f>
        <v>0</v>
      </c>
      <c r="O183" s="833">
        <f>'d3'!O183-d3П!O179</f>
        <v>0</v>
      </c>
      <c r="P183" s="833">
        <f>'d3'!P183-d3П!P179</f>
        <v>0</v>
      </c>
      <c r="Q183" s="22"/>
      <c r="R183" s="847"/>
    </row>
    <row r="184" spans="1:18" ht="136.5" thickTop="1" thickBot="1" x14ac:dyDescent="0.25">
      <c r="A184" s="387" t="s">
        <v>762</v>
      </c>
      <c r="B184" s="387" t="s">
        <v>700</v>
      </c>
      <c r="C184" s="387"/>
      <c r="D184" s="387" t="s">
        <v>698</v>
      </c>
      <c r="E184" s="833">
        <f>'d3'!E184-d3П!E180</f>
        <v>20000</v>
      </c>
      <c r="F184" s="833">
        <f>'d3'!F184-d3П!F180</f>
        <v>20000</v>
      </c>
      <c r="G184" s="833">
        <f>'d3'!G184-d3П!G180</f>
        <v>0</v>
      </c>
      <c r="H184" s="833">
        <f>'d3'!H184-d3П!H180</f>
        <v>0</v>
      </c>
      <c r="I184" s="833">
        <f>'d3'!I184-d3П!I180</f>
        <v>0</v>
      </c>
      <c r="J184" s="833">
        <f>'d3'!J184-d3П!J180</f>
        <v>6800000</v>
      </c>
      <c r="K184" s="833">
        <f>'d3'!K184-d3П!K180</f>
        <v>6800000</v>
      </c>
      <c r="L184" s="833">
        <f>'d3'!L184-d3П!L180</f>
        <v>0</v>
      </c>
      <c r="M184" s="833">
        <f>'d3'!M184-d3П!M180</f>
        <v>0</v>
      </c>
      <c r="N184" s="833">
        <f>'d3'!N184-d3П!N180</f>
        <v>0</v>
      </c>
      <c r="O184" s="833">
        <f>'d3'!O184-d3П!O180</f>
        <v>6800000</v>
      </c>
      <c r="P184" s="833">
        <f>'d3'!P184-d3П!P180</f>
        <v>6820000</v>
      </c>
      <c r="Q184" s="22"/>
      <c r="R184" s="847"/>
    </row>
    <row r="185" spans="1:18" ht="47.25" thickTop="1" thickBot="1" x14ac:dyDescent="0.25">
      <c r="A185" s="835" t="s">
        <v>1415</v>
      </c>
      <c r="B185" s="835" t="s">
        <v>217</v>
      </c>
      <c r="C185" s="835" t="s">
        <v>218</v>
      </c>
      <c r="D185" s="835" t="s">
        <v>41</v>
      </c>
      <c r="E185" s="833">
        <f>'d3'!E185-d3П!E181</f>
        <v>20000</v>
      </c>
      <c r="F185" s="833">
        <f>'d3'!F185-d3П!F181</f>
        <v>20000</v>
      </c>
      <c r="G185" s="833">
        <f>'d3'!G185-d3П!G181</f>
        <v>0</v>
      </c>
      <c r="H185" s="833">
        <f>'d3'!H185-d3П!H181</f>
        <v>0</v>
      </c>
      <c r="I185" s="833">
        <f>'d3'!I185-d3П!I181</f>
        <v>0</v>
      </c>
      <c r="J185" s="833">
        <f>'d3'!J185-d3П!J181</f>
        <v>6800000</v>
      </c>
      <c r="K185" s="833">
        <f>'d3'!K185-d3П!K181</f>
        <v>6800000</v>
      </c>
      <c r="L185" s="833">
        <f>'d3'!L185-d3П!L181</f>
        <v>0</v>
      </c>
      <c r="M185" s="833">
        <f>'d3'!M185-d3П!M181</f>
        <v>0</v>
      </c>
      <c r="N185" s="833">
        <f>'d3'!N185-d3П!N181</f>
        <v>0</v>
      </c>
      <c r="O185" s="833">
        <f>'d3'!O185-d3П!O181</f>
        <v>6800000</v>
      </c>
      <c r="P185" s="833">
        <f>'d3'!P185-d3П!P181</f>
        <v>6820000</v>
      </c>
      <c r="Q185" s="22"/>
      <c r="R185" s="847"/>
    </row>
    <row r="186" spans="1:18" ht="48" hidden="1" thickTop="1" thickBot="1" x14ac:dyDescent="0.25">
      <c r="A186" s="174" t="s">
        <v>761</v>
      </c>
      <c r="B186" s="174" t="s">
        <v>703</v>
      </c>
      <c r="C186" s="174"/>
      <c r="D186" s="187" t="s">
        <v>701</v>
      </c>
      <c r="E186" s="175">
        <f>E187</f>
        <v>0</v>
      </c>
      <c r="F186" s="175">
        <f t="shared" ref="F186:P186" si="20">F187</f>
        <v>0</v>
      </c>
      <c r="G186" s="175">
        <f t="shared" si="20"/>
        <v>0</v>
      </c>
      <c r="H186" s="175">
        <f t="shared" si="20"/>
        <v>0</v>
      </c>
      <c r="I186" s="175">
        <f t="shared" si="20"/>
        <v>0</v>
      </c>
      <c r="J186" s="175">
        <f t="shared" si="20"/>
        <v>0</v>
      </c>
      <c r="K186" s="175">
        <f t="shared" si="20"/>
        <v>0</v>
      </c>
      <c r="L186" s="175">
        <f t="shared" si="20"/>
        <v>0</v>
      </c>
      <c r="M186" s="175">
        <f t="shared" si="20"/>
        <v>0</v>
      </c>
      <c r="N186" s="175">
        <f t="shared" si="20"/>
        <v>0</v>
      </c>
      <c r="O186" s="175">
        <f t="shared" si="20"/>
        <v>0</v>
      </c>
      <c r="P186" s="175">
        <f t="shared" si="20"/>
        <v>0</v>
      </c>
      <c r="Q186" s="22"/>
      <c r="R186" s="847"/>
    </row>
    <row r="187" spans="1:18" ht="409.6" hidden="1" thickTop="1" thickBot="1" x14ac:dyDescent="0.7">
      <c r="A187" s="918" t="s">
        <v>428</v>
      </c>
      <c r="B187" s="918" t="s">
        <v>343</v>
      </c>
      <c r="C187" s="918" t="s">
        <v>171</v>
      </c>
      <c r="D187" s="189" t="s">
        <v>445</v>
      </c>
      <c r="E187" s="920">
        <f t="shared" ref="E187" si="21">F187</f>
        <v>0</v>
      </c>
      <c r="F187" s="916"/>
      <c r="G187" s="916"/>
      <c r="H187" s="916"/>
      <c r="I187" s="916"/>
      <c r="J187" s="920">
        <f t="shared" ref="J187" si="22">L187+O187</f>
        <v>0</v>
      </c>
      <c r="K187" s="916"/>
      <c r="L187" s="916"/>
      <c r="M187" s="916"/>
      <c r="N187" s="916"/>
      <c r="O187" s="943">
        <f t="shared" ref="O187" si="23">K187</f>
        <v>0</v>
      </c>
      <c r="P187" s="945">
        <f t="shared" ref="P187" si="24">E187+J187</f>
        <v>0</v>
      </c>
      <c r="Q187" s="22"/>
      <c r="R187" s="53"/>
    </row>
    <row r="188" spans="1:18" ht="184.5" hidden="1" thickTop="1" thickBot="1" x14ac:dyDescent="0.25">
      <c r="A188" s="919"/>
      <c r="B188" s="927"/>
      <c r="C188" s="919"/>
      <c r="D188" s="190" t="s">
        <v>446</v>
      </c>
      <c r="E188" s="919"/>
      <c r="F188" s="917"/>
      <c r="G188" s="917"/>
      <c r="H188" s="917"/>
      <c r="I188" s="917"/>
      <c r="J188" s="919"/>
      <c r="K188" s="919"/>
      <c r="L188" s="917"/>
      <c r="M188" s="917"/>
      <c r="N188" s="917"/>
      <c r="O188" s="944"/>
      <c r="P188" s="946"/>
      <c r="Q188" s="22"/>
      <c r="R188" s="53"/>
    </row>
    <row r="189" spans="1:18" ht="181.5" thickTop="1" thickBot="1" x14ac:dyDescent="0.25">
      <c r="A189" s="460">
        <v>1000000</v>
      </c>
      <c r="B189" s="460"/>
      <c r="C189" s="460"/>
      <c r="D189" s="461" t="s">
        <v>24</v>
      </c>
      <c r="E189" s="463">
        <f>E190</f>
        <v>1184850</v>
      </c>
      <c r="F189" s="462">
        <f t="shared" ref="F189:G189" si="25">F190</f>
        <v>1184850</v>
      </c>
      <c r="G189" s="462">
        <f t="shared" si="25"/>
        <v>0</v>
      </c>
      <c r="H189" s="462">
        <f>H190</f>
        <v>0</v>
      </c>
      <c r="I189" s="462">
        <f>I190</f>
        <v>0</v>
      </c>
      <c r="J189" s="463">
        <f>J190</f>
        <v>5731992</v>
      </c>
      <c r="K189" s="462">
        <f>K190</f>
        <v>5731992</v>
      </c>
      <c r="L189" s="462">
        <f>L190</f>
        <v>0</v>
      </c>
      <c r="M189" s="462">
        <f t="shared" ref="M189" si="26">M190</f>
        <v>0</v>
      </c>
      <c r="N189" s="462">
        <f>N190</f>
        <v>0</v>
      </c>
      <c r="O189" s="463">
        <f>O190</f>
        <v>5731992</v>
      </c>
      <c r="P189" s="462">
        <f t="shared" ref="P189" si="27">P190</f>
        <v>6916842</v>
      </c>
      <c r="Q189" s="22"/>
    </row>
    <row r="190" spans="1:18" ht="181.5" thickTop="1" thickBot="1" x14ac:dyDescent="0.25">
      <c r="A190" s="464">
        <v>1010000</v>
      </c>
      <c r="B190" s="464"/>
      <c r="C190" s="464"/>
      <c r="D190" s="465" t="s">
        <v>39</v>
      </c>
      <c r="E190" s="466">
        <f>E191+E193+E208+E202</f>
        <v>1184850</v>
      </c>
      <c r="F190" s="466">
        <f>F191+F193+F208+F202</f>
        <v>1184850</v>
      </c>
      <c r="G190" s="466">
        <f>G191+G193+G208+G202</f>
        <v>0</v>
      </c>
      <c r="H190" s="466">
        <f>H191+H193+H208+H202</f>
        <v>0</v>
      </c>
      <c r="I190" s="466">
        <f>I191+I193+I208+I202</f>
        <v>0</v>
      </c>
      <c r="J190" s="466">
        <f t="shared" ref="J190" si="28">L190+O190</f>
        <v>5731992</v>
      </c>
      <c r="K190" s="466">
        <f>K191+K193+K208+K202</f>
        <v>5731992</v>
      </c>
      <c r="L190" s="466">
        <f>L191+L193+L208+L202</f>
        <v>0</v>
      </c>
      <c r="M190" s="466">
        <f>M191+M193+M208+M202</f>
        <v>0</v>
      </c>
      <c r="N190" s="466">
        <f>N191+N193+N208+N202</f>
        <v>0</v>
      </c>
      <c r="O190" s="466">
        <f>O191+O193+O208+O202</f>
        <v>5731992</v>
      </c>
      <c r="P190" s="466">
        <f t="shared" ref="P190" si="29">E190+J190</f>
        <v>6916842</v>
      </c>
      <c r="Q190" s="392" t="b">
        <f>P190=P192+P194+P195+P196+P197+P200+P201+P205+P206+P198+P207</f>
        <v>1</v>
      </c>
      <c r="R190" s="847"/>
    </row>
    <row r="191" spans="1:18" ht="47.25" thickTop="1" thickBot="1" x14ac:dyDescent="0.25">
      <c r="A191" s="385" t="s">
        <v>763</v>
      </c>
      <c r="B191" s="385" t="s">
        <v>717</v>
      </c>
      <c r="C191" s="385"/>
      <c r="D191" s="385" t="s">
        <v>718</v>
      </c>
      <c r="E191" s="833">
        <f>'d3'!E191-d3П!E187</f>
        <v>317176</v>
      </c>
      <c r="F191" s="833">
        <f>'d3'!F191-d3П!F187</f>
        <v>317176</v>
      </c>
      <c r="G191" s="833">
        <f>'d3'!G191-d3П!G187</f>
        <v>0</v>
      </c>
      <c r="H191" s="833">
        <f>'d3'!H191-d3П!H187</f>
        <v>0</v>
      </c>
      <c r="I191" s="833">
        <f>'d3'!I191-d3П!I187</f>
        <v>0</v>
      </c>
      <c r="J191" s="833">
        <f>'d3'!J191-d3П!J187</f>
        <v>2239320</v>
      </c>
      <c r="K191" s="833">
        <f>'d3'!K191-d3П!K187</f>
        <v>2239320</v>
      </c>
      <c r="L191" s="833">
        <f>'d3'!L191-d3П!L187</f>
        <v>0</v>
      </c>
      <c r="M191" s="833">
        <f>'d3'!M191-d3П!M187</f>
        <v>0</v>
      </c>
      <c r="N191" s="833">
        <f>'d3'!N191-d3П!N187</f>
        <v>0</v>
      </c>
      <c r="O191" s="833">
        <f>'d3'!O191-d3П!O187</f>
        <v>2239320</v>
      </c>
      <c r="P191" s="833">
        <f>'d3'!P191-d3П!P187</f>
        <v>2556496</v>
      </c>
      <c r="Q191" s="50"/>
      <c r="R191" s="847"/>
    </row>
    <row r="192" spans="1:18" ht="93" thickTop="1" thickBot="1" x14ac:dyDescent="0.25">
      <c r="A192" s="835" t="s">
        <v>645</v>
      </c>
      <c r="B192" s="835" t="s">
        <v>646</v>
      </c>
      <c r="C192" s="835" t="s">
        <v>186</v>
      </c>
      <c r="D192" s="835" t="s">
        <v>1162</v>
      </c>
      <c r="E192" s="833">
        <f>'d3'!E192-d3П!E188</f>
        <v>317176</v>
      </c>
      <c r="F192" s="833">
        <f>'d3'!F192-d3П!F188</f>
        <v>317176</v>
      </c>
      <c r="G192" s="833">
        <f>'d3'!G192-d3П!G188</f>
        <v>0</v>
      </c>
      <c r="H192" s="833">
        <f>'d3'!H192-d3П!H188</f>
        <v>0</v>
      </c>
      <c r="I192" s="833">
        <f>'d3'!I192-d3П!I188</f>
        <v>0</v>
      </c>
      <c r="J192" s="833">
        <f>'d3'!J192-d3П!J188</f>
        <v>2239320</v>
      </c>
      <c r="K192" s="833">
        <f>'d3'!K192-d3П!K188</f>
        <v>2239320</v>
      </c>
      <c r="L192" s="833">
        <f>'d3'!L192-d3П!L188</f>
        <v>0</v>
      </c>
      <c r="M192" s="833">
        <f>'d3'!M192-d3П!M188</f>
        <v>0</v>
      </c>
      <c r="N192" s="833">
        <f>'d3'!N192-d3П!N188</f>
        <v>0</v>
      </c>
      <c r="O192" s="833">
        <f>'d3'!O192-d3П!O188</f>
        <v>2239320</v>
      </c>
      <c r="P192" s="833">
        <f>'d3'!P192-d3П!P188</f>
        <v>2556496</v>
      </c>
      <c r="Q192" s="22"/>
      <c r="R192" s="847"/>
    </row>
    <row r="193" spans="1:18" s="26" customFormat="1" ht="47.25" thickTop="1" thickBot="1" x14ac:dyDescent="0.25">
      <c r="A193" s="385" t="s">
        <v>764</v>
      </c>
      <c r="B193" s="385" t="s">
        <v>765</v>
      </c>
      <c r="C193" s="385"/>
      <c r="D193" s="385" t="s">
        <v>766</v>
      </c>
      <c r="E193" s="833">
        <f>'d3'!E193-d3П!E189</f>
        <v>867674</v>
      </c>
      <c r="F193" s="833">
        <f>'d3'!F193-d3П!F189</f>
        <v>867674</v>
      </c>
      <c r="G193" s="833">
        <f>'d3'!G193-d3П!G189</f>
        <v>0</v>
      </c>
      <c r="H193" s="833">
        <f>'d3'!H193-d3П!H189</f>
        <v>0</v>
      </c>
      <c r="I193" s="833">
        <f>'d3'!I193-d3П!I189</f>
        <v>0</v>
      </c>
      <c r="J193" s="833">
        <f>'d3'!J193-d3П!J189</f>
        <v>1790212</v>
      </c>
      <c r="K193" s="833">
        <f>'d3'!K193-d3П!K189</f>
        <v>1790212</v>
      </c>
      <c r="L193" s="833">
        <f>'d3'!L193-d3П!L189</f>
        <v>0</v>
      </c>
      <c r="M193" s="833">
        <f>'d3'!M193-d3П!M189</f>
        <v>0</v>
      </c>
      <c r="N193" s="833">
        <f>'d3'!N193-d3П!N189</f>
        <v>0</v>
      </c>
      <c r="O193" s="833">
        <f>'d3'!O193-d3П!O189</f>
        <v>1790212</v>
      </c>
      <c r="P193" s="833">
        <f>'d3'!P193-d3П!P189</f>
        <v>2657886</v>
      </c>
      <c r="Q193" s="27"/>
      <c r="R193" s="53"/>
    </row>
    <row r="194" spans="1:18" ht="47.25" thickTop="1" thickBot="1" x14ac:dyDescent="0.25">
      <c r="A194" s="835" t="s">
        <v>172</v>
      </c>
      <c r="B194" s="835" t="s">
        <v>173</v>
      </c>
      <c r="C194" s="835" t="s">
        <v>175</v>
      </c>
      <c r="D194" s="835" t="s">
        <v>176</v>
      </c>
      <c r="E194" s="833">
        <f>'d3'!E194-d3П!E190</f>
        <v>0</v>
      </c>
      <c r="F194" s="833">
        <f>'d3'!F194-d3П!F190</f>
        <v>0</v>
      </c>
      <c r="G194" s="833">
        <f>'d3'!G194-d3П!G190</f>
        <v>0</v>
      </c>
      <c r="H194" s="833">
        <f>'d3'!H194-d3П!H190</f>
        <v>0</v>
      </c>
      <c r="I194" s="833">
        <f>'d3'!I194-d3П!I190</f>
        <v>0</v>
      </c>
      <c r="J194" s="833">
        <f>'d3'!J194-d3П!J190</f>
        <v>0</v>
      </c>
      <c r="K194" s="833">
        <f>'d3'!K194-d3П!K190</f>
        <v>0</v>
      </c>
      <c r="L194" s="833">
        <f>'d3'!L194-d3П!L190</f>
        <v>0</v>
      </c>
      <c r="M194" s="833">
        <f>'d3'!M194-d3П!M190</f>
        <v>0</v>
      </c>
      <c r="N194" s="833">
        <f>'d3'!N194-d3П!N190</f>
        <v>0</v>
      </c>
      <c r="O194" s="833">
        <f>'d3'!O194-d3П!O190</f>
        <v>0</v>
      </c>
      <c r="P194" s="833">
        <f>'d3'!P194-d3П!P190</f>
        <v>0</v>
      </c>
      <c r="Q194" s="22"/>
      <c r="R194" s="53"/>
    </row>
    <row r="195" spans="1:18" ht="93" thickTop="1" thickBot="1" x14ac:dyDescent="0.25">
      <c r="A195" s="835" t="s">
        <v>177</v>
      </c>
      <c r="B195" s="835" t="s">
        <v>178</v>
      </c>
      <c r="C195" s="835" t="s">
        <v>179</v>
      </c>
      <c r="D195" s="835" t="s">
        <v>180</v>
      </c>
      <c r="E195" s="833">
        <f>'d3'!E195-d3П!E191</f>
        <v>167010</v>
      </c>
      <c r="F195" s="833">
        <f>'d3'!F195-d3П!F191</f>
        <v>167010</v>
      </c>
      <c r="G195" s="833">
        <f>'d3'!G195-d3П!G191</f>
        <v>0</v>
      </c>
      <c r="H195" s="833">
        <f>'d3'!H195-d3П!H191</f>
        <v>0</v>
      </c>
      <c r="I195" s="833">
        <f>'d3'!I195-d3П!I191</f>
        <v>0</v>
      </c>
      <c r="J195" s="833">
        <f>'d3'!J195-d3П!J191</f>
        <v>281500</v>
      </c>
      <c r="K195" s="833">
        <f>'d3'!K195-d3П!K191</f>
        <v>281500</v>
      </c>
      <c r="L195" s="833">
        <f>'d3'!L195-d3П!L191</f>
        <v>0</v>
      </c>
      <c r="M195" s="833">
        <f>'d3'!M195-d3П!M191</f>
        <v>0</v>
      </c>
      <c r="N195" s="833">
        <f>'d3'!N195-d3П!N191</f>
        <v>0</v>
      </c>
      <c r="O195" s="833">
        <f>'d3'!O195-d3П!O191</f>
        <v>281500</v>
      </c>
      <c r="P195" s="833">
        <f>'d3'!P195-d3П!P191</f>
        <v>448510</v>
      </c>
      <c r="Q195" s="22"/>
      <c r="R195" s="847"/>
    </row>
    <row r="196" spans="1:18" ht="93" thickTop="1" thickBot="1" x14ac:dyDescent="0.25">
      <c r="A196" s="835" t="s">
        <v>181</v>
      </c>
      <c r="B196" s="835" t="s">
        <v>182</v>
      </c>
      <c r="C196" s="835" t="s">
        <v>179</v>
      </c>
      <c r="D196" s="835" t="s">
        <v>468</v>
      </c>
      <c r="E196" s="833">
        <f>'d3'!E196-d3П!E192</f>
        <v>0</v>
      </c>
      <c r="F196" s="833">
        <f>'d3'!F196-d3П!F192</f>
        <v>0</v>
      </c>
      <c r="G196" s="833">
        <f>'d3'!G196-d3П!G192</f>
        <v>0</v>
      </c>
      <c r="H196" s="833">
        <f>'d3'!H196-d3П!H192</f>
        <v>0</v>
      </c>
      <c r="I196" s="833">
        <f>'d3'!I196-d3П!I192</f>
        <v>0</v>
      </c>
      <c r="J196" s="833">
        <f>'d3'!J196-d3П!J192</f>
        <v>0</v>
      </c>
      <c r="K196" s="833">
        <f>'d3'!K196-d3П!K192</f>
        <v>0</v>
      </c>
      <c r="L196" s="833">
        <f>'d3'!L196-d3П!L192</f>
        <v>0</v>
      </c>
      <c r="M196" s="833">
        <f>'d3'!M196-d3П!M192</f>
        <v>0</v>
      </c>
      <c r="N196" s="833">
        <f>'d3'!N196-d3П!N192</f>
        <v>0</v>
      </c>
      <c r="O196" s="833">
        <f>'d3'!O196-d3П!O192</f>
        <v>0</v>
      </c>
      <c r="P196" s="833">
        <f>'d3'!P196-d3П!P192</f>
        <v>0</v>
      </c>
      <c r="Q196" s="22"/>
      <c r="R196" s="847"/>
    </row>
    <row r="197" spans="1:18" ht="184.5" thickTop="1" thickBot="1" x14ac:dyDescent="0.25">
      <c r="A197" s="835" t="s">
        <v>183</v>
      </c>
      <c r="B197" s="835" t="s">
        <v>174</v>
      </c>
      <c r="C197" s="835" t="s">
        <v>184</v>
      </c>
      <c r="D197" s="835" t="s">
        <v>185</v>
      </c>
      <c r="E197" s="833">
        <f>'d3'!E197-d3П!E193</f>
        <v>548405</v>
      </c>
      <c r="F197" s="833">
        <f>'d3'!F197-d3П!F193</f>
        <v>548405</v>
      </c>
      <c r="G197" s="833">
        <f>'d3'!G197-d3П!G193</f>
        <v>0</v>
      </c>
      <c r="H197" s="833">
        <f>'d3'!H197-d3П!H193</f>
        <v>0</v>
      </c>
      <c r="I197" s="833">
        <f>'d3'!I197-d3П!I193</f>
        <v>0</v>
      </c>
      <c r="J197" s="833">
        <f>'d3'!J197-d3П!J193</f>
        <v>1508712</v>
      </c>
      <c r="K197" s="833">
        <f>'d3'!K197-d3П!K193</f>
        <v>1508712</v>
      </c>
      <c r="L197" s="833">
        <f>'d3'!L197-d3П!L193</f>
        <v>0</v>
      </c>
      <c r="M197" s="833">
        <f>'d3'!M197-d3П!M193</f>
        <v>0</v>
      </c>
      <c r="N197" s="833">
        <f>'d3'!N197-d3П!N193</f>
        <v>0</v>
      </c>
      <c r="O197" s="833">
        <f>'d3'!O197-d3П!O193</f>
        <v>1508712</v>
      </c>
      <c r="P197" s="833">
        <f>'d3'!P197-d3П!P193</f>
        <v>2057117</v>
      </c>
      <c r="Q197" s="22"/>
      <c r="R197" s="847"/>
    </row>
    <row r="198" spans="1:18" ht="93" thickTop="1" thickBot="1" x14ac:dyDescent="0.25">
      <c r="A198" s="835" t="s">
        <v>1243</v>
      </c>
      <c r="B198" s="835" t="s">
        <v>1244</v>
      </c>
      <c r="C198" s="835" t="s">
        <v>1246</v>
      </c>
      <c r="D198" s="835" t="s">
        <v>1245</v>
      </c>
      <c r="E198" s="833">
        <f>'d3'!E198-d3П!E194</f>
        <v>152259</v>
      </c>
      <c r="F198" s="833">
        <f>'d3'!F198-d3П!F194</f>
        <v>152259</v>
      </c>
      <c r="G198" s="833">
        <f>'d3'!G198-d3П!G194</f>
        <v>0</v>
      </c>
      <c r="H198" s="833">
        <f>'d3'!H198-d3П!H194</f>
        <v>0</v>
      </c>
      <c r="I198" s="833">
        <f>'d3'!I198-d3П!I194</f>
        <v>0</v>
      </c>
      <c r="J198" s="833">
        <f>'d3'!J198-d3П!J194</f>
        <v>0</v>
      </c>
      <c r="K198" s="833">
        <f>'d3'!K198-d3П!K194</f>
        <v>0</v>
      </c>
      <c r="L198" s="833">
        <f>'d3'!L198-d3П!L194</f>
        <v>0</v>
      </c>
      <c r="M198" s="833">
        <f>'d3'!M198-d3П!M194</f>
        <v>0</v>
      </c>
      <c r="N198" s="833">
        <f>'d3'!N198-d3П!N194</f>
        <v>0</v>
      </c>
      <c r="O198" s="833">
        <f>'d3'!O198-d3П!O194</f>
        <v>0</v>
      </c>
      <c r="P198" s="833">
        <f>'d3'!P198-d3П!P194</f>
        <v>152259</v>
      </c>
      <c r="Q198" s="22"/>
      <c r="R198" s="847"/>
    </row>
    <row r="199" spans="1:18" ht="93" thickTop="1" thickBot="1" x14ac:dyDescent="0.25">
      <c r="A199" s="455" t="s">
        <v>767</v>
      </c>
      <c r="B199" s="455" t="s">
        <v>768</v>
      </c>
      <c r="C199" s="455"/>
      <c r="D199" s="455" t="s">
        <v>769</v>
      </c>
      <c r="E199" s="833">
        <f>'d3'!E199-d3П!E195</f>
        <v>0</v>
      </c>
      <c r="F199" s="833">
        <f>'d3'!F199-d3П!F195</f>
        <v>0</v>
      </c>
      <c r="G199" s="833">
        <f>'d3'!G199-d3П!G195</f>
        <v>0</v>
      </c>
      <c r="H199" s="833">
        <f>'d3'!H199-d3П!H195</f>
        <v>0</v>
      </c>
      <c r="I199" s="833">
        <f>'d3'!I199-d3П!I195</f>
        <v>0</v>
      </c>
      <c r="J199" s="833">
        <f>'d3'!J199-d3П!J195</f>
        <v>0</v>
      </c>
      <c r="K199" s="833">
        <f>'d3'!K199-d3П!K195</f>
        <v>0</v>
      </c>
      <c r="L199" s="833">
        <f>'d3'!L199-d3П!L195</f>
        <v>0</v>
      </c>
      <c r="M199" s="833">
        <f>'d3'!M199-d3П!M195</f>
        <v>0</v>
      </c>
      <c r="N199" s="833">
        <f>'d3'!N199-d3П!N195</f>
        <v>0</v>
      </c>
      <c r="O199" s="833">
        <f>'d3'!O199-d3П!O195</f>
        <v>0</v>
      </c>
      <c r="P199" s="833">
        <f>'d3'!P199-d3П!P195</f>
        <v>0</v>
      </c>
      <c r="Q199" s="22"/>
      <c r="R199" s="847"/>
    </row>
    <row r="200" spans="1:18" ht="138.75" thickTop="1" thickBot="1" x14ac:dyDescent="0.25">
      <c r="A200" s="835" t="s">
        <v>338</v>
      </c>
      <c r="B200" s="835" t="s">
        <v>339</v>
      </c>
      <c r="C200" s="835" t="s">
        <v>187</v>
      </c>
      <c r="D200" s="835" t="s">
        <v>469</v>
      </c>
      <c r="E200" s="833">
        <f>'d3'!E200-d3П!E196</f>
        <v>0</v>
      </c>
      <c r="F200" s="833">
        <f>'d3'!F200-d3П!F196</f>
        <v>0</v>
      </c>
      <c r="G200" s="833">
        <f>'d3'!G200-d3П!G196</f>
        <v>0</v>
      </c>
      <c r="H200" s="833">
        <f>'d3'!H200-d3П!H196</f>
        <v>0</v>
      </c>
      <c r="I200" s="833">
        <f>'d3'!I200-d3П!I196</f>
        <v>0</v>
      </c>
      <c r="J200" s="833">
        <f>'d3'!J200-d3П!J196</f>
        <v>0</v>
      </c>
      <c r="K200" s="833">
        <f>'d3'!K200-d3П!K196</f>
        <v>0</v>
      </c>
      <c r="L200" s="833">
        <f>'d3'!L200-d3П!L196</f>
        <v>0</v>
      </c>
      <c r="M200" s="833">
        <f>'d3'!M200-d3П!M196</f>
        <v>0</v>
      </c>
      <c r="N200" s="833">
        <f>'d3'!N200-d3П!N196</f>
        <v>0</v>
      </c>
      <c r="O200" s="833">
        <f>'d3'!O200-d3П!O196</f>
        <v>0</v>
      </c>
      <c r="P200" s="833">
        <f>'d3'!P200-d3П!P196</f>
        <v>0</v>
      </c>
      <c r="Q200" s="22"/>
      <c r="R200" s="847"/>
    </row>
    <row r="201" spans="1:18" ht="93" thickTop="1" thickBot="1" x14ac:dyDescent="0.25">
      <c r="A201" s="835" t="s">
        <v>340</v>
      </c>
      <c r="B201" s="835" t="s">
        <v>341</v>
      </c>
      <c r="C201" s="835" t="s">
        <v>187</v>
      </c>
      <c r="D201" s="835" t="s">
        <v>470</v>
      </c>
      <c r="E201" s="833">
        <f>'d3'!E201-d3П!E197</f>
        <v>0</v>
      </c>
      <c r="F201" s="833">
        <f>'d3'!F201-d3П!F197</f>
        <v>0</v>
      </c>
      <c r="G201" s="833">
        <f>'d3'!G201-d3П!G197</f>
        <v>0</v>
      </c>
      <c r="H201" s="833">
        <f>'d3'!H201-d3П!H197</f>
        <v>0</v>
      </c>
      <c r="I201" s="833">
        <f>'d3'!I201-d3П!I197</f>
        <v>0</v>
      </c>
      <c r="J201" s="833">
        <f>'d3'!J201-d3П!J197</f>
        <v>0</v>
      </c>
      <c r="K201" s="833">
        <f>'d3'!K201-d3П!K197</f>
        <v>0</v>
      </c>
      <c r="L201" s="833">
        <f>'d3'!L201-d3П!L197</f>
        <v>0</v>
      </c>
      <c r="M201" s="833">
        <f>'d3'!M201-d3П!M197</f>
        <v>0</v>
      </c>
      <c r="N201" s="833">
        <f>'d3'!N201-d3П!N197</f>
        <v>0</v>
      </c>
      <c r="O201" s="833">
        <f>'d3'!O201-d3П!O197</f>
        <v>0</v>
      </c>
      <c r="P201" s="833">
        <f>'d3'!P201-d3П!P197</f>
        <v>0</v>
      </c>
      <c r="Q201" s="22"/>
      <c r="R201" s="53"/>
    </row>
    <row r="202" spans="1:18" ht="47.25" thickTop="1" thickBot="1" x14ac:dyDescent="0.25">
      <c r="A202" s="385" t="s">
        <v>928</v>
      </c>
      <c r="B202" s="385" t="s">
        <v>757</v>
      </c>
      <c r="C202" s="385"/>
      <c r="D202" s="385" t="s">
        <v>758</v>
      </c>
      <c r="E202" s="833">
        <f>'d3'!E202-d3П!E198</f>
        <v>0</v>
      </c>
      <c r="F202" s="833">
        <f>'d3'!F202-d3П!F198</f>
        <v>0</v>
      </c>
      <c r="G202" s="833">
        <f>'d3'!G202-d3П!G198</f>
        <v>0</v>
      </c>
      <c r="H202" s="833">
        <f>'d3'!H202-d3П!H198</f>
        <v>0</v>
      </c>
      <c r="I202" s="833">
        <f>'d3'!I202-d3П!I198</f>
        <v>0</v>
      </c>
      <c r="J202" s="833">
        <f>'d3'!J202-d3П!J198</f>
        <v>1702460</v>
      </c>
      <c r="K202" s="833">
        <f>'d3'!K202-d3П!K198</f>
        <v>1702460</v>
      </c>
      <c r="L202" s="833">
        <f>'d3'!L202-d3П!L198</f>
        <v>0</v>
      </c>
      <c r="M202" s="833">
        <f>'d3'!M202-d3П!M198</f>
        <v>0</v>
      </c>
      <c r="N202" s="833">
        <f>'d3'!N202-d3П!N198</f>
        <v>0</v>
      </c>
      <c r="O202" s="833">
        <f>'d3'!O202-d3П!O198</f>
        <v>1702460</v>
      </c>
      <c r="P202" s="833">
        <f>'d3'!P202-d3П!P198</f>
        <v>1702460</v>
      </c>
      <c r="Q202" s="22"/>
      <c r="R202" s="53"/>
    </row>
    <row r="203" spans="1:18" ht="136.5" thickTop="1" thickBot="1" x14ac:dyDescent="0.25">
      <c r="A203" s="387" t="s">
        <v>929</v>
      </c>
      <c r="B203" s="387" t="s">
        <v>700</v>
      </c>
      <c r="C203" s="387"/>
      <c r="D203" s="387" t="s">
        <v>698</v>
      </c>
      <c r="E203" s="833">
        <f>'d3'!E203-d3П!E199</f>
        <v>0</v>
      </c>
      <c r="F203" s="833">
        <f>'d3'!F203-d3П!F199</f>
        <v>0</v>
      </c>
      <c r="G203" s="833">
        <f>'d3'!G203-d3П!G199</f>
        <v>0</v>
      </c>
      <c r="H203" s="833">
        <f>'d3'!H203-d3П!H199</f>
        <v>0</v>
      </c>
      <c r="I203" s="833">
        <f>'d3'!I203-d3П!I199</f>
        <v>0</v>
      </c>
      <c r="J203" s="833">
        <f>'d3'!J203-d3П!J199</f>
        <v>1702460</v>
      </c>
      <c r="K203" s="833">
        <f>'d3'!K203-d3П!K199</f>
        <v>1702460</v>
      </c>
      <c r="L203" s="833">
        <f>'d3'!L203-d3П!L199</f>
        <v>0</v>
      </c>
      <c r="M203" s="833">
        <f>'d3'!M203-d3П!M199</f>
        <v>0</v>
      </c>
      <c r="N203" s="833">
        <f>'d3'!N203-d3П!N199</f>
        <v>0</v>
      </c>
      <c r="O203" s="833">
        <f>'d3'!O203-d3П!O199</f>
        <v>1702460</v>
      </c>
      <c r="P203" s="833">
        <f>'d3'!P203-d3П!P199</f>
        <v>1702460</v>
      </c>
      <c r="Q203" s="22"/>
      <c r="R203" s="53"/>
    </row>
    <row r="204" spans="1:18" ht="93" thickTop="1" thickBot="1" x14ac:dyDescent="0.25">
      <c r="A204" s="455" t="s">
        <v>1054</v>
      </c>
      <c r="B204" s="455" t="s">
        <v>1055</v>
      </c>
      <c r="C204" s="455"/>
      <c r="D204" s="455" t="s">
        <v>1053</v>
      </c>
      <c r="E204" s="833">
        <f>'d3'!E204-d3П!E200</f>
        <v>0</v>
      </c>
      <c r="F204" s="833">
        <f>'d3'!F204-d3П!F200</f>
        <v>0</v>
      </c>
      <c r="G204" s="833">
        <f>'d3'!G204-d3П!G200</f>
        <v>0</v>
      </c>
      <c r="H204" s="833">
        <f>'d3'!H204-d3П!H200</f>
        <v>0</v>
      </c>
      <c r="I204" s="833">
        <f>'d3'!I204-d3П!I200</f>
        <v>0</v>
      </c>
      <c r="J204" s="833">
        <f>'d3'!J204-d3П!J200</f>
        <v>0</v>
      </c>
      <c r="K204" s="833">
        <f>'d3'!K204-d3П!K200</f>
        <v>0</v>
      </c>
      <c r="L204" s="833">
        <f>'d3'!L204-d3П!L200</f>
        <v>0</v>
      </c>
      <c r="M204" s="833">
        <f>'d3'!M204-d3П!M200</f>
        <v>0</v>
      </c>
      <c r="N204" s="833">
        <f>'d3'!N204-d3П!N200</f>
        <v>0</v>
      </c>
      <c r="O204" s="833">
        <f>'d3'!O204-d3П!O200</f>
        <v>0</v>
      </c>
      <c r="P204" s="833">
        <f>'d3'!P204-d3П!P200</f>
        <v>0</v>
      </c>
      <c r="Q204" s="22"/>
      <c r="R204" s="53"/>
    </row>
    <row r="205" spans="1:18" ht="93" thickTop="1" thickBot="1" x14ac:dyDescent="0.25">
      <c r="A205" s="835" t="s">
        <v>1057</v>
      </c>
      <c r="B205" s="835" t="s">
        <v>1058</v>
      </c>
      <c r="C205" s="835" t="s">
        <v>218</v>
      </c>
      <c r="D205" s="835" t="s">
        <v>1056</v>
      </c>
      <c r="E205" s="833">
        <f>'d3'!E205-d3П!E201</f>
        <v>0</v>
      </c>
      <c r="F205" s="833">
        <f>'d3'!F205-d3П!F201</f>
        <v>0</v>
      </c>
      <c r="G205" s="833">
        <f>'d3'!G205-d3П!G201</f>
        <v>0</v>
      </c>
      <c r="H205" s="833">
        <f>'d3'!H205-d3П!H201</f>
        <v>0</v>
      </c>
      <c r="I205" s="833">
        <f>'d3'!I205-d3П!I201</f>
        <v>0</v>
      </c>
      <c r="J205" s="833">
        <f>'d3'!J205-d3П!J201</f>
        <v>0</v>
      </c>
      <c r="K205" s="833">
        <f>'d3'!K205-d3П!K201</f>
        <v>0</v>
      </c>
      <c r="L205" s="833">
        <f>'d3'!L205-d3П!L201</f>
        <v>0</v>
      </c>
      <c r="M205" s="833">
        <f>'d3'!M205-d3П!M201</f>
        <v>0</v>
      </c>
      <c r="N205" s="833">
        <f>'d3'!N205-d3П!N201</f>
        <v>0</v>
      </c>
      <c r="O205" s="833">
        <f>'d3'!O205-d3П!O201</f>
        <v>0</v>
      </c>
      <c r="P205" s="833">
        <f>'d3'!P205-d3П!P201</f>
        <v>0</v>
      </c>
      <c r="Q205" s="22"/>
      <c r="R205" s="53"/>
    </row>
    <row r="206" spans="1:18" ht="47.25" thickTop="1" thickBot="1" x14ac:dyDescent="0.25">
      <c r="A206" s="835" t="s">
        <v>1346</v>
      </c>
      <c r="B206" s="835" t="s">
        <v>217</v>
      </c>
      <c r="C206" s="835" t="s">
        <v>218</v>
      </c>
      <c r="D206" s="835" t="s">
        <v>41</v>
      </c>
      <c r="E206" s="833">
        <f>'d3'!E206-d3П!E202</f>
        <v>0</v>
      </c>
      <c r="F206" s="833">
        <f>'d3'!F206-d3П!F202</f>
        <v>0</v>
      </c>
      <c r="G206" s="833">
        <f>'d3'!G206-d3П!G202</f>
        <v>0</v>
      </c>
      <c r="H206" s="833">
        <f>'d3'!H206-d3П!H202</f>
        <v>0</v>
      </c>
      <c r="I206" s="833">
        <f>'d3'!I206-d3П!I202</f>
        <v>0</v>
      </c>
      <c r="J206" s="833">
        <f>'d3'!J206-d3П!J202</f>
        <v>762218</v>
      </c>
      <c r="K206" s="833">
        <f>'d3'!K206-d3П!K202</f>
        <v>762218</v>
      </c>
      <c r="L206" s="833">
        <f>'d3'!L206-d3П!L202</f>
        <v>0</v>
      </c>
      <c r="M206" s="833">
        <f>'d3'!M206-d3П!M202</f>
        <v>0</v>
      </c>
      <c r="N206" s="833">
        <f>'d3'!N206-d3П!N202</f>
        <v>0</v>
      </c>
      <c r="O206" s="833">
        <f>'d3'!O206-d3П!O202</f>
        <v>762218</v>
      </c>
      <c r="P206" s="833">
        <f>'d3'!P206-d3П!P202</f>
        <v>762218</v>
      </c>
      <c r="Q206" s="22"/>
      <c r="R206" s="53"/>
    </row>
    <row r="207" spans="1:18" ht="93" thickTop="1" thickBot="1" x14ac:dyDescent="0.25">
      <c r="A207" s="835" t="s">
        <v>930</v>
      </c>
      <c r="B207" s="835" t="s">
        <v>202</v>
      </c>
      <c r="C207" s="835" t="s">
        <v>171</v>
      </c>
      <c r="D207" s="835" t="s">
        <v>34</v>
      </c>
      <c r="E207" s="833">
        <f>'d3'!E207-d3П!E203</f>
        <v>0</v>
      </c>
      <c r="F207" s="833">
        <f>'d3'!F207-d3П!F203</f>
        <v>0</v>
      </c>
      <c r="G207" s="833">
        <f>'d3'!G207-d3П!G203</f>
        <v>0</v>
      </c>
      <c r="H207" s="833">
        <f>'d3'!H207-d3П!H203</f>
        <v>0</v>
      </c>
      <c r="I207" s="833">
        <f>'d3'!I207-d3П!I203</f>
        <v>0</v>
      </c>
      <c r="J207" s="833">
        <f>'d3'!J207-d3П!J203</f>
        <v>940242</v>
      </c>
      <c r="K207" s="833">
        <f>'d3'!K207-d3П!K203</f>
        <v>940242</v>
      </c>
      <c r="L207" s="833">
        <f>'d3'!L207-d3П!L203</f>
        <v>0</v>
      </c>
      <c r="M207" s="833">
        <f>'d3'!M207-d3П!M203</f>
        <v>0</v>
      </c>
      <c r="N207" s="833">
        <f>'d3'!N207-d3П!N203</f>
        <v>0</v>
      </c>
      <c r="O207" s="833">
        <f>'d3'!O207-d3П!O203</f>
        <v>940242</v>
      </c>
      <c r="P207" s="833">
        <f>'d3'!P207-d3П!P203</f>
        <v>940242</v>
      </c>
      <c r="Q207" s="22"/>
      <c r="R207" s="847"/>
    </row>
    <row r="208" spans="1:18" ht="47.25" hidden="1" thickTop="1" thickBot="1" x14ac:dyDescent="0.25">
      <c r="A208" s="180" t="s">
        <v>770</v>
      </c>
      <c r="B208" s="180" t="s">
        <v>711</v>
      </c>
      <c r="C208" s="180"/>
      <c r="D208" s="180" t="s">
        <v>712</v>
      </c>
      <c r="E208" s="846">
        <f>E209</f>
        <v>0</v>
      </c>
      <c r="F208" s="846">
        <f t="shared" ref="F208:P209" si="30">F209</f>
        <v>0</v>
      </c>
      <c r="G208" s="846">
        <f t="shared" si="30"/>
        <v>0</v>
      </c>
      <c r="H208" s="846">
        <f t="shared" si="30"/>
        <v>0</v>
      </c>
      <c r="I208" s="846">
        <f t="shared" si="30"/>
        <v>0</v>
      </c>
      <c r="J208" s="846">
        <f t="shared" si="30"/>
        <v>0</v>
      </c>
      <c r="K208" s="846">
        <f t="shared" si="30"/>
        <v>0</v>
      </c>
      <c r="L208" s="846">
        <f t="shared" si="30"/>
        <v>0</v>
      </c>
      <c r="M208" s="846">
        <f t="shared" si="30"/>
        <v>0</v>
      </c>
      <c r="N208" s="846">
        <f t="shared" si="30"/>
        <v>0</v>
      </c>
      <c r="O208" s="846">
        <f t="shared" si="30"/>
        <v>0</v>
      </c>
      <c r="P208" s="846">
        <f t="shared" si="30"/>
        <v>0</v>
      </c>
      <c r="Q208" s="22"/>
      <c r="R208" s="53"/>
    </row>
    <row r="209" spans="1:18" ht="271.5" hidden="1" thickTop="1" thickBot="1" x14ac:dyDescent="0.25">
      <c r="A209" s="181" t="s">
        <v>771</v>
      </c>
      <c r="B209" s="181" t="s">
        <v>714</v>
      </c>
      <c r="C209" s="181"/>
      <c r="D209" s="181" t="s">
        <v>715</v>
      </c>
      <c r="E209" s="182">
        <f>E210</f>
        <v>0</v>
      </c>
      <c r="F209" s="182">
        <f t="shared" si="30"/>
        <v>0</v>
      </c>
      <c r="G209" s="182">
        <f t="shared" si="30"/>
        <v>0</v>
      </c>
      <c r="H209" s="182">
        <f t="shared" si="30"/>
        <v>0</v>
      </c>
      <c r="I209" s="182">
        <f t="shared" si="30"/>
        <v>0</v>
      </c>
      <c r="J209" s="182">
        <f t="shared" si="30"/>
        <v>0</v>
      </c>
      <c r="K209" s="182">
        <f t="shared" si="30"/>
        <v>0</v>
      </c>
      <c r="L209" s="182">
        <f t="shared" si="30"/>
        <v>0</v>
      </c>
      <c r="M209" s="182">
        <f t="shared" si="30"/>
        <v>0</v>
      </c>
      <c r="N209" s="182">
        <f t="shared" si="30"/>
        <v>0</v>
      </c>
      <c r="O209" s="182">
        <f t="shared" si="30"/>
        <v>0</v>
      </c>
      <c r="P209" s="182">
        <f t="shared" si="30"/>
        <v>0</v>
      </c>
      <c r="Q209" s="22"/>
      <c r="R209" s="53"/>
    </row>
    <row r="210" spans="1:18" ht="93" hidden="1" thickTop="1" thickBot="1" x14ac:dyDescent="0.25">
      <c r="A210" s="845" t="s">
        <v>592</v>
      </c>
      <c r="B210" s="845" t="s">
        <v>368</v>
      </c>
      <c r="C210" s="845" t="s">
        <v>43</v>
      </c>
      <c r="D210" s="845" t="s">
        <v>369</v>
      </c>
      <c r="E210" s="846">
        <f t="shared" ref="E210" si="31">F210</f>
        <v>0</v>
      </c>
      <c r="F210" s="46">
        <v>0</v>
      </c>
      <c r="G210" s="46"/>
      <c r="H210" s="46"/>
      <c r="I210" s="46"/>
      <c r="J210" s="846">
        <f>L210+O210</f>
        <v>0</v>
      </c>
      <c r="K210" s="46"/>
      <c r="L210" s="46"/>
      <c r="M210" s="46"/>
      <c r="N210" s="46"/>
      <c r="O210" s="844">
        <f>K210</f>
        <v>0</v>
      </c>
      <c r="P210" s="846">
        <f>E210+J210</f>
        <v>0</v>
      </c>
      <c r="Q210" s="22"/>
      <c r="R210" s="53"/>
    </row>
    <row r="211" spans="1:18" ht="136.5" thickTop="1" thickBot="1" x14ac:dyDescent="0.25">
      <c r="A211" s="460" t="s">
        <v>22</v>
      </c>
      <c r="B211" s="460"/>
      <c r="C211" s="460"/>
      <c r="D211" s="461" t="s">
        <v>23</v>
      </c>
      <c r="E211" s="463">
        <f>E212</f>
        <v>974324</v>
      </c>
      <c r="F211" s="462">
        <f t="shared" ref="F211:G211" si="32">F212</f>
        <v>974324</v>
      </c>
      <c r="G211" s="462">
        <f t="shared" si="32"/>
        <v>72361.469999998808</v>
      </c>
      <c r="H211" s="462">
        <f>H212</f>
        <v>0</v>
      </c>
      <c r="I211" s="462">
        <f t="shared" ref="I211" si="33">I212</f>
        <v>0</v>
      </c>
      <c r="J211" s="463">
        <f>J212</f>
        <v>19688843</v>
      </c>
      <c r="K211" s="462">
        <f>K212</f>
        <v>19688843</v>
      </c>
      <c r="L211" s="462">
        <f>L212</f>
        <v>0</v>
      </c>
      <c r="M211" s="462">
        <f t="shared" ref="M211" si="34">M212</f>
        <v>-78000</v>
      </c>
      <c r="N211" s="462">
        <f>N212</f>
        <v>0</v>
      </c>
      <c r="O211" s="463">
        <f>O212</f>
        <v>19688843</v>
      </c>
      <c r="P211" s="462">
        <f t="shared" ref="P211" si="35">P212</f>
        <v>20663167</v>
      </c>
      <c r="Q211" s="22"/>
    </row>
    <row r="212" spans="1:18" ht="178.5" customHeight="1" thickTop="1" thickBot="1" x14ac:dyDescent="0.25">
      <c r="A212" s="464" t="s">
        <v>21</v>
      </c>
      <c r="B212" s="464"/>
      <c r="C212" s="464"/>
      <c r="D212" s="465" t="s">
        <v>35</v>
      </c>
      <c r="E212" s="466">
        <f>E213+E219+E234+E237+E244</f>
        <v>974324</v>
      </c>
      <c r="F212" s="466">
        <f t="shared" ref="F212:I212" si="36">F213+F219+F234+F237+F244</f>
        <v>974324</v>
      </c>
      <c r="G212" s="466">
        <f t="shared" si="36"/>
        <v>72361.469999998808</v>
      </c>
      <c r="H212" s="466">
        <f t="shared" si="36"/>
        <v>0</v>
      </c>
      <c r="I212" s="466">
        <f t="shared" si="36"/>
        <v>0</v>
      </c>
      <c r="J212" s="466">
        <f>L212+O212</f>
        <v>19688843</v>
      </c>
      <c r="K212" s="466">
        <f t="shared" ref="K212:O212" si="37">K213+K219+K234+K237+K244</f>
        <v>19688843</v>
      </c>
      <c r="L212" s="466">
        <f t="shared" si="37"/>
        <v>0</v>
      </c>
      <c r="M212" s="466">
        <f t="shared" si="37"/>
        <v>-78000</v>
      </c>
      <c r="N212" s="466">
        <f t="shared" si="37"/>
        <v>0</v>
      </c>
      <c r="O212" s="466">
        <f t="shared" si="37"/>
        <v>19688843</v>
      </c>
      <c r="P212" s="466">
        <f>E212+J212</f>
        <v>20663167</v>
      </c>
      <c r="Q212" s="392" t="b">
        <f>P212=P217+P218+P221+P222+P224+P226+P227+P231+P232+P233+P236+P240+P242+P229+P243</f>
        <v>1</v>
      </c>
      <c r="R212" s="847"/>
    </row>
    <row r="213" spans="1:18" ht="91.5" thickTop="1" thickBot="1" x14ac:dyDescent="0.25">
      <c r="A213" s="385" t="s">
        <v>772</v>
      </c>
      <c r="B213" s="385" t="s">
        <v>720</v>
      </c>
      <c r="C213" s="385"/>
      <c r="D213" s="385" t="s">
        <v>721</v>
      </c>
      <c r="E213" s="833">
        <f>'d3'!E213-d3П!E209</f>
        <v>0</v>
      </c>
      <c r="F213" s="833">
        <f>'d3'!F213-d3П!F209</f>
        <v>0</v>
      </c>
      <c r="G213" s="833">
        <f>'d3'!G213-d3П!G209</f>
        <v>0</v>
      </c>
      <c r="H213" s="833">
        <f>'d3'!H213-d3П!H209</f>
        <v>0</v>
      </c>
      <c r="I213" s="833">
        <f>'d3'!I213-d3П!I209</f>
        <v>0</v>
      </c>
      <c r="J213" s="833">
        <f>'d3'!J213-d3П!J209</f>
        <v>1833705</v>
      </c>
      <c r="K213" s="833">
        <f>'d3'!K213-d3П!K209</f>
        <v>1833705</v>
      </c>
      <c r="L213" s="833">
        <f>'d3'!L213-d3П!L209</f>
        <v>0</v>
      </c>
      <c r="M213" s="833">
        <f>'d3'!M213-d3П!M209</f>
        <v>0</v>
      </c>
      <c r="N213" s="833">
        <f>'d3'!N213-d3П!N209</f>
        <v>0</v>
      </c>
      <c r="O213" s="833">
        <f>'d3'!O213-d3П!O209</f>
        <v>1833705</v>
      </c>
      <c r="P213" s="833">
        <f>'d3'!P213-d3П!P209</f>
        <v>1833705</v>
      </c>
      <c r="Q213" s="50"/>
      <c r="R213" s="847"/>
    </row>
    <row r="214" spans="1:18" s="35" customFormat="1" ht="138.75" hidden="1" thickTop="1" thickBot="1" x14ac:dyDescent="0.25">
      <c r="A214" s="455" t="s">
        <v>773</v>
      </c>
      <c r="B214" s="455" t="s">
        <v>774</v>
      </c>
      <c r="C214" s="455"/>
      <c r="D214" s="455" t="s">
        <v>775</v>
      </c>
      <c r="E214" s="833">
        <f>'d3'!E214-d3П!E210</f>
        <v>0</v>
      </c>
      <c r="F214" s="833">
        <f>'d3'!F214-d3П!F210</f>
        <v>0</v>
      </c>
      <c r="G214" s="833">
        <f>'d3'!G214-d3П!G210</f>
        <v>0</v>
      </c>
      <c r="H214" s="833">
        <f>'d3'!H214-d3П!H210</f>
        <v>0</v>
      </c>
      <c r="I214" s="833">
        <f>'d3'!I214-d3П!I210</f>
        <v>0</v>
      </c>
      <c r="J214" s="833">
        <f>'d3'!J214-d3П!J210</f>
        <v>0</v>
      </c>
      <c r="K214" s="833">
        <f>'d3'!K214-d3П!K210</f>
        <v>0</v>
      </c>
      <c r="L214" s="833">
        <f>'d3'!L214-d3П!L210</f>
        <v>0</v>
      </c>
      <c r="M214" s="833">
        <f>'d3'!M214-d3П!M210</f>
        <v>0</v>
      </c>
      <c r="N214" s="833">
        <f>'d3'!N214-d3П!N210</f>
        <v>0</v>
      </c>
      <c r="O214" s="833">
        <f>'d3'!O214-d3П!O210</f>
        <v>0</v>
      </c>
      <c r="P214" s="833">
        <f>'d3'!P214-d3П!P210</f>
        <v>0</v>
      </c>
      <c r="Q214" s="191"/>
      <c r="R214" s="55"/>
    </row>
    <row r="215" spans="1:18" ht="138.75" hidden="1" thickTop="1" thickBot="1" x14ac:dyDescent="0.25">
      <c r="A215" s="835" t="s">
        <v>188</v>
      </c>
      <c r="B215" s="835" t="s">
        <v>189</v>
      </c>
      <c r="C215" s="835" t="s">
        <v>190</v>
      </c>
      <c r="D215" s="835" t="s">
        <v>647</v>
      </c>
      <c r="E215" s="833">
        <f>'d3'!E215-d3П!E211</f>
        <v>0</v>
      </c>
      <c r="F215" s="833">
        <f>'d3'!F215-d3П!F211</f>
        <v>0</v>
      </c>
      <c r="G215" s="833">
        <f>'d3'!G215-d3П!G211</f>
        <v>0</v>
      </c>
      <c r="H215" s="833">
        <f>'d3'!H215-d3П!H211</f>
        <v>0</v>
      </c>
      <c r="I215" s="833">
        <f>'d3'!I215-d3П!I211</f>
        <v>0</v>
      </c>
      <c r="J215" s="833">
        <f>'d3'!J215-d3П!J211</f>
        <v>0</v>
      </c>
      <c r="K215" s="833">
        <f>'d3'!K215-d3П!K211</f>
        <v>0</v>
      </c>
      <c r="L215" s="833">
        <f>'d3'!L215-d3П!L211</f>
        <v>0</v>
      </c>
      <c r="M215" s="833">
        <f>'d3'!M215-d3П!M211</f>
        <v>0</v>
      </c>
      <c r="N215" s="833">
        <f>'d3'!N215-d3П!N211</f>
        <v>0</v>
      </c>
      <c r="O215" s="833">
        <f>'d3'!O215-d3П!O211</f>
        <v>0</v>
      </c>
      <c r="P215" s="833">
        <f>'d3'!P215-d3П!P211</f>
        <v>0</v>
      </c>
      <c r="Q215" s="53"/>
      <c r="R215" s="53"/>
    </row>
    <row r="216" spans="1:18" s="35" customFormat="1" ht="93" thickTop="1" thickBot="1" x14ac:dyDescent="0.25">
      <c r="A216" s="455" t="s">
        <v>776</v>
      </c>
      <c r="B216" s="455" t="s">
        <v>777</v>
      </c>
      <c r="C216" s="455"/>
      <c r="D216" s="455" t="s">
        <v>778</v>
      </c>
      <c r="E216" s="833">
        <f>'d3'!E216-d3П!E212</f>
        <v>0</v>
      </c>
      <c r="F216" s="833">
        <f>'d3'!F216-d3П!F212</f>
        <v>0</v>
      </c>
      <c r="G216" s="833">
        <f>'d3'!G216-d3П!G212</f>
        <v>0</v>
      </c>
      <c r="H216" s="833">
        <f>'d3'!H216-d3П!H212</f>
        <v>0</v>
      </c>
      <c r="I216" s="833">
        <f>'d3'!I216-d3П!I212</f>
        <v>0</v>
      </c>
      <c r="J216" s="833">
        <f>'d3'!J216-d3П!J212</f>
        <v>1833705</v>
      </c>
      <c r="K216" s="833">
        <f>'d3'!K216-d3П!K212</f>
        <v>1833705</v>
      </c>
      <c r="L216" s="833">
        <f>'d3'!L216-d3П!L212</f>
        <v>0</v>
      </c>
      <c r="M216" s="833">
        <f>'d3'!M216-d3П!M212</f>
        <v>0</v>
      </c>
      <c r="N216" s="833">
        <f>'d3'!N216-d3П!N212</f>
        <v>0</v>
      </c>
      <c r="O216" s="833">
        <f>'d3'!O216-d3П!O212</f>
        <v>1833705</v>
      </c>
      <c r="P216" s="833">
        <f>'d3'!P216-d3П!P212</f>
        <v>1833705</v>
      </c>
      <c r="Q216" s="54"/>
      <c r="R216" s="54"/>
    </row>
    <row r="217" spans="1:18" ht="93" thickTop="1" thickBot="1" x14ac:dyDescent="0.25">
      <c r="A217" s="835" t="s">
        <v>194</v>
      </c>
      <c r="B217" s="835" t="s">
        <v>195</v>
      </c>
      <c r="C217" s="835" t="s">
        <v>190</v>
      </c>
      <c r="D217" s="835" t="s">
        <v>10</v>
      </c>
      <c r="E217" s="833">
        <f>'d3'!E217-d3П!E213</f>
        <v>0</v>
      </c>
      <c r="F217" s="833">
        <f>'d3'!F217-d3П!F213</f>
        <v>0</v>
      </c>
      <c r="G217" s="833">
        <f>'d3'!G217-d3П!G213</f>
        <v>0</v>
      </c>
      <c r="H217" s="833">
        <f>'d3'!H217-d3П!H213</f>
        <v>0</v>
      </c>
      <c r="I217" s="833">
        <f>'d3'!I217-d3П!I213</f>
        <v>0</v>
      </c>
      <c r="J217" s="833">
        <f>'d3'!J217-d3П!J213</f>
        <v>1833705</v>
      </c>
      <c r="K217" s="833">
        <f>'d3'!K217-d3П!K213</f>
        <v>1833705</v>
      </c>
      <c r="L217" s="833">
        <f>'d3'!L217-d3П!L213</f>
        <v>0</v>
      </c>
      <c r="M217" s="833">
        <f>'d3'!M217-d3П!M213</f>
        <v>0</v>
      </c>
      <c r="N217" s="833">
        <f>'d3'!N217-d3П!N213</f>
        <v>0</v>
      </c>
      <c r="O217" s="833">
        <f>'d3'!O217-d3П!O213</f>
        <v>1833705</v>
      </c>
      <c r="P217" s="833">
        <f>'d3'!P217-d3П!P213</f>
        <v>1833705</v>
      </c>
      <c r="Q217" s="22"/>
      <c r="R217" s="847"/>
    </row>
    <row r="218" spans="1:18" ht="93" thickTop="1" thickBot="1" x14ac:dyDescent="0.25">
      <c r="A218" s="835" t="s">
        <v>356</v>
      </c>
      <c r="B218" s="835" t="s">
        <v>357</v>
      </c>
      <c r="C218" s="835" t="s">
        <v>190</v>
      </c>
      <c r="D218" s="835" t="s">
        <v>358</v>
      </c>
      <c r="E218" s="833">
        <f>'d3'!E218-d3П!E214</f>
        <v>0</v>
      </c>
      <c r="F218" s="833">
        <f>'d3'!F218-d3П!F214</f>
        <v>0</v>
      </c>
      <c r="G218" s="833">
        <f>'d3'!G218-d3П!G214</f>
        <v>0</v>
      </c>
      <c r="H218" s="833">
        <f>'d3'!H218-d3П!H214</f>
        <v>0</v>
      </c>
      <c r="I218" s="833">
        <f>'d3'!I218-d3П!I214</f>
        <v>0</v>
      </c>
      <c r="J218" s="833">
        <f>'d3'!J218-d3П!J214</f>
        <v>0</v>
      </c>
      <c r="K218" s="833">
        <f>'d3'!K218-d3П!K214</f>
        <v>0</v>
      </c>
      <c r="L218" s="833">
        <f>'d3'!L218-d3П!L214</f>
        <v>0</v>
      </c>
      <c r="M218" s="833">
        <f>'d3'!M218-d3П!M214</f>
        <v>0</v>
      </c>
      <c r="N218" s="833">
        <f>'d3'!N218-d3П!N214</f>
        <v>0</v>
      </c>
      <c r="O218" s="833">
        <f>'d3'!O218-d3П!O214</f>
        <v>0</v>
      </c>
      <c r="P218" s="833">
        <f>'d3'!P218-d3П!P214</f>
        <v>0</v>
      </c>
      <c r="Q218" s="22"/>
      <c r="R218" s="847"/>
    </row>
    <row r="219" spans="1:18" ht="47.25" thickTop="1" thickBot="1" x14ac:dyDescent="0.25">
      <c r="A219" s="385" t="s">
        <v>779</v>
      </c>
      <c r="B219" s="385" t="s">
        <v>780</v>
      </c>
      <c r="C219" s="835"/>
      <c r="D219" s="385" t="s">
        <v>781</v>
      </c>
      <c r="E219" s="833">
        <f>'d3'!E219-d3П!E215</f>
        <v>974324</v>
      </c>
      <c r="F219" s="833">
        <f>'d3'!F219-d3П!F215</f>
        <v>974324</v>
      </c>
      <c r="G219" s="833">
        <f>'d3'!G219-d3П!G215</f>
        <v>72361.469999998808</v>
      </c>
      <c r="H219" s="833">
        <f>'d3'!H219-d3П!H215</f>
        <v>0</v>
      </c>
      <c r="I219" s="833">
        <f>'d3'!I219-d3П!I215</f>
        <v>0</v>
      </c>
      <c r="J219" s="833">
        <f>'d3'!J219-d3П!J215</f>
        <v>16748046.999999998</v>
      </c>
      <c r="K219" s="833">
        <f>'d3'!K219-d3П!K215</f>
        <v>16748046.999999998</v>
      </c>
      <c r="L219" s="833">
        <f>'d3'!L219-d3П!L215</f>
        <v>0</v>
      </c>
      <c r="M219" s="833">
        <f>'d3'!M219-d3П!M215</f>
        <v>-78000</v>
      </c>
      <c r="N219" s="833">
        <f>'d3'!N219-d3П!N215</f>
        <v>0</v>
      </c>
      <c r="O219" s="833">
        <f>'d3'!O219-d3П!O215</f>
        <v>16748046.999999998</v>
      </c>
      <c r="P219" s="833">
        <f>'d3'!P219-d3П!P215</f>
        <v>17722371.000000015</v>
      </c>
      <c r="Q219" s="22"/>
      <c r="R219" s="847"/>
    </row>
    <row r="220" spans="1:18" s="35" customFormat="1" ht="93" thickTop="1" thickBot="1" x14ac:dyDescent="0.25">
      <c r="A220" s="455" t="s">
        <v>782</v>
      </c>
      <c r="B220" s="455" t="s">
        <v>783</v>
      </c>
      <c r="C220" s="455"/>
      <c r="D220" s="455" t="s">
        <v>784</v>
      </c>
      <c r="E220" s="833">
        <f>'d3'!E220-d3П!E216</f>
        <v>0</v>
      </c>
      <c r="F220" s="833">
        <f>'d3'!F220-d3П!F216</f>
        <v>0</v>
      </c>
      <c r="G220" s="833">
        <f>'d3'!G220-d3П!G216</f>
        <v>0</v>
      </c>
      <c r="H220" s="833">
        <f>'d3'!H220-d3П!H216</f>
        <v>0</v>
      </c>
      <c r="I220" s="833">
        <f>'d3'!I220-d3П!I216</f>
        <v>0</v>
      </c>
      <c r="J220" s="833">
        <f>'d3'!J220-d3П!J216</f>
        <v>0</v>
      </c>
      <c r="K220" s="833">
        <f>'d3'!K220-d3П!K216</f>
        <v>0</v>
      </c>
      <c r="L220" s="833">
        <f>'d3'!L220-d3П!L216</f>
        <v>0</v>
      </c>
      <c r="M220" s="833">
        <f>'d3'!M220-d3П!M216</f>
        <v>0</v>
      </c>
      <c r="N220" s="833">
        <f>'d3'!N220-d3П!N216</f>
        <v>0</v>
      </c>
      <c r="O220" s="833">
        <f>'d3'!O220-d3П!O216</f>
        <v>0</v>
      </c>
      <c r="P220" s="833">
        <f>'d3'!P220-d3П!P216</f>
        <v>0</v>
      </c>
      <c r="Q220" s="39"/>
      <c r="R220" s="55"/>
    </row>
    <row r="221" spans="1:18" ht="138.75" thickTop="1" thickBot="1" x14ac:dyDescent="0.25">
      <c r="A221" s="835" t="s">
        <v>44</v>
      </c>
      <c r="B221" s="835" t="s">
        <v>191</v>
      </c>
      <c r="C221" s="835" t="s">
        <v>200</v>
      </c>
      <c r="D221" s="835" t="s">
        <v>45</v>
      </c>
      <c r="E221" s="833">
        <f>'d3'!E221-d3П!E217</f>
        <v>0</v>
      </c>
      <c r="F221" s="833">
        <f>'d3'!F221-d3П!F217</f>
        <v>0</v>
      </c>
      <c r="G221" s="833">
        <f>'d3'!G221-d3П!G217</f>
        <v>0</v>
      </c>
      <c r="H221" s="833">
        <f>'d3'!H221-d3П!H217</f>
        <v>0</v>
      </c>
      <c r="I221" s="833">
        <f>'d3'!I221-d3П!I217</f>
        <v>0</v>
      </c>
      <c r="J221" s="833">
        <f>'d3'!J221-d3П!J217</f>
        <v>0</v>
      </c>
      <c r="K221" s="833">
        <f>'d3'!K221-d3П!K217</f>
        <v>0</v>
      </c>
      <c r="L221" s="833">
        <f>'d3'!L221-d3П!L217</f>
        <v>0</v>
      </c>
      <c r="M221" s="833">
        <f>'d3'!M221-d3П!M217</f>
        <v>0</v>
      </c>
      <c r="N221" s="833">
        <f>'d3'!N221-d3П!N217</f>
        <v>0</v>
      </c>
      <c r="O221" s="833">
        <f>'d3'!O221-d3П!O217</f>
        <v>0</v>
      </c>
      <c r="P221" s="833">
        <f>'d3'!P221-d3П!P217</f>
        <v>0</v>
      </c>
      <c r="Q221" s="22"/>
      <c r="R221" s="847"/>
    </row>
    <row r="222" spans="1:18" ht="138.75" thickTop="1" thickBot="1" x14ac:dyDescent="0.25">
      <c r="A222" s="835" t="s">
        <v>46</v>
      </c>
      <c r="B222" s="835" t="s">
        <v>192</v>
      </c>
      <c r="C222" s="835" t="s">
        <v>200</v>
      </c>
      <c r="D222" s="835" t="s">
        <v>4</v>
      </c>
      <c r="E222" s="833">
        <f>'d3'!E222-d3П!E218</f>
        <v>0</v>
      </c>
      <c r="F222" s="833">
        <f>'d3'!F222-d3П!F218</f>
        <v>0</v>
      </c>
      <c r="G222" s="833">
        <f>'d3'!G222-d3П!G218</f>
        <v>0</v>
      </c>
      <c r="H222" s="833">
        <f>'d3'!H222-d3П!H218</f>
        <v>0</v>
      </c>
      <c r="I222" s="833">
        <f>'d3'!I222-d3П!I218</f>
        <v>0</v>
      </c>
      <c r="J222" s="833">
        <f>'d3'!J222-d3П!J218</f>
        <v>0</v>
      </c>
      <c r="K222" s="833">
        <f>'d3'!K222-d3П!K218</f>
        <v>0</v>
      </c>
      <c r="L222" s="833">
        <f>'d3'!L222-d3П!L218</f>
        <v>0</v>
      </c>
      <c r="M222" s="833">
        <f>'d3'!M222-d3П!M218</f>
        <v>0</v>
      </c>
      <c r="N222" s="833">
        <f>'d3'!N222-d3П!N218</f>
        <v>0</v>
      </c>
      <c r="O222" s="833">
        <f>'d3'!O222-d3П!O218</f>
        <v>0</v>
      </c>
      <c r="P222" s="833">
        <f>'d3'!P222-d3П!P218</f>
        <v>0</v>
      </c>
      <c r="Q222" s="22"/>
      <c r="R222" s="847"/>
    </row>
    <row r="223" spans="1:18" s="35" customFormat="1" ht="184.5" thickTop="1" thickBot="1" x14ac:dyDescent="0.25">
      <c r="A223" s="455" t="s">
        <v>785</v>
      </c>
      <c r="B223" s="455" t="s">
        <v>786</v>
      </c>
      <c r="C223" s="455"/>
      <c r="D223" s="455" t="s">
        <v>787</v>
      </c>
      <c r="E223" s="833">
        <f>'d3'!E223-d3П!E219</f>
        <v>0</v>
      </c>
      <c r="F223" s="833">
        <f>'d3'!F223-d3П!F219</f>
        <v>0</v>
      </c>
      <c r="G223" s="833">
        <f>'d3'!G223-d3П!G219</f>
        <v>0</v>
      </c>
      <c r="H223" s="833">
        <f>'d3'!H223-d3П!H219</f>
        <v>0</v>
      </c>
      <c r="I223" s="833">
        <f>'d3'!I223-d3П!I219</f>
        <v>0</v>
      </c>
      <c r="J223" s="833">
        <f>'d3'!J223-d3П!J219</f>
        <v>0</v>
      </c>
      <c r="K223" s="833">
        <f>'d3'!K223-d3П!K219</f>
        <v>0</v>
      </c>
      <c r="L223" s="833">
        <f>'d3'!L223-d3П!L219</f>
        <v>0</v>
      </c>
      <c r="M223" s="833">
        <f>'d3'!M223-d3П!M219</f>
        <v>0</v>
      </c>
      <c r="N223" s="833">
        <f>'d3'!N223-d3П!N219</f>
        <v>0</v>
      </c>
      <c r="O223" s="833">
        <f>'d3'!O223-d3П!O219</f>
        <v>0</v>
      </c>
      <c r="P223" s="833">
        <f>'d3'!P223-d3П!P219</f>
        <v>0</v>
      </c>
      <c r="Q223" s="39"/>
      <c r="R223" s="56"/>
    </row>
    <row r="224" spans="1:18" ht="184.5" thickTop="1" thickBot="1" x14ac:dyDescent="0.25">
      <c r="A224" s="835" t="s">
        <v>47</v>
      </c>
      <c r="B224" s="835" t="s">
        <v>193</v>
      </c>
      <c r="C224" s="835" t="s">
        <v>200</v>
      </c>
      <c r="D224" s="835" t="s">
        <v>354</v>
      </c>
      <c r="E224" s="833">
        <f>'d3'!E224-d3П!E220</f>
        <v>0</v>
      </c>
      <c r="F224" s="833">
        <f>'d3'!F224-d3П!F220</f>
        <v>0</v>
      </c>
      <c r="G224" s="833">
        <f>'d3'!G224-d3П!G220</f>
        <v>0</v>
      </c>
      <c r="H224" s="833">
        <f>'d3'!H224-d3П!H220</f>
        <v>0</v>
      </c>
      <c r="I224" s="833">
        <f>'d3'!I224-d3П!I220</f>
        <v>0</v>
      </c>
      <c r="J224" s="833">
        <f>'d3'!J224-d3П!J220</f>
        <v>0</v>
      </c>
      <c r="K224" s="833">
        <f>'d3'!K224-d3П!K220</f>
        <v>0</v>
      </c>
      <c r="L224" s="833">
        <f>'d3'!L224-d3П!L220</f>
        <v>0</v>
      </c>
      <c r="M224" s="833">
        <f>'d3'!M224-d3П!M220</f>
        <v>0</v>
      </c>
      <c r="N224" s="833">
        <f>'d3'!N224-d3П!N220</f>
        <v>0</v>
      </c>
      <c r="O224" s="833">
        <f>'d3'!O224-d3П!O220</f>
        <v>0</v>
      </c>
      <c r="P224" s="833">
        <f>'d3'!P224-d3П!P220</f>
        <v>0</v>
      </c>
      <c r="Q224" s="22"/>
      <c r="R224" s="847"/>
    </row>
    <row r="225" spans="1:18" ht="93" thickTop="1" thickBot="1" x14ac:dyDescent="0.25">
      <c r="A225" s="455" t="s">
        <v>788</v>
      </c>
      <c r="B225" s="455" t="s">
        <v>789</v>
      </c>
      <c r="C225" s="455"/>
      <c r="D225" s="455" t="s">
        <v>790</v>
      </c>
      <c r="E225" s="833">
        <f>'d3'!E225-d3П!E221</f>
        <v>974324</v>
      </c>
      <c r="F225" s="833">
        <f>'d3'!F225-d3П!F221</f>
        <v>974324</v>
      </c>
      <c r="G225" s="833">
        <f>'d3'!G225-d3П!G221</f>
        <v>0</v>
      </c>
      <c r="H225" s="833">
        <f>'d3'!H225-d3П!H221</f>
        <v>0</v>
      </c>
      <c r="I225" s="833">
        <f>'d3'!I225-d3П!I221</f>
        <v>0</v>
      </c>
      <c r="J225" s="833">
        <f>'d3'!J225-d3П!J221</f>
        <v>16748046.999999998</v>
      </c>
      <c r="K225" s="833">
        <f>'d3'!K225-d3П!K221</f>
        <v>16748046.999999998</v>
      </c>
      <c r="L225" s="833">
        <f>'d3'!L225-d3П!L221</f>
        <v>0</v>
      </c>
      <c r="M225" s="833">
        <f>'d3'!M225-d3П!M221</f>
        <v>-78000</v>
      </c>
      <c r="N225" s="833">
        <f>'d3'!N225-d3П!N221</f>
        <v>0</v>
      </c>
      <c r="O225" s="833">
        <f>'d3'!O225-d3П!O221</f>
        <v>16748046.999999998</v>
      </c>
      <c r="P225" s="833">
        <f>'d3'!P225-d3П!P221</f>
        <v>17722371</v>
      </c>
      <c r="Q225" s="22"/>
      <c r="R225" s="847"/>
    </row>
    <row r="226" spans="1:18" ht="184.5" thickTop="1" thickBot="1" x14ac:dyDescent="0.25">
      <c r="A226" s="835" t="s">
        <v>28</v>
      </c>
      <c r="B226" s="835" t="s">
        <v>197</v>
      </c>
      <c r="C226" s="835" t="s">
        <v>200</v>
      </c>
      <c r="D226" s="835" t="s">
        <v>48</v>
      </c>
      <c r="E226" s="833">
        <f>'d3'!E226-d3П!E222</f>
        <v>974324</v>
      </c>
      <c r="F226" s="833">
        <f>'d3'!F226-d3П!F222</f>
        <v>974324</v>
      </c>
      <c r="G226" s="833">
        <f>'d3'!G226-d3П!G222</f>
        <v>0</v>
      </c>
      <c r="H226" s="833">
        <f>'d3'!H226-d3П!H222</f>
        <v>0</v>
      </c>
      <c r="I226" s="833">
        <f>'d3'!I226-d3П!I222</f>
        <v>0</v>
      </c>
      <c r="J226" s="833">
        <f>'d3'!J226-d3П!J222</f>
        <v>16748046.999999998</v>
      </c>
      <c r="K226" s="833">
        <f>'d3'!K226-d3П!K222</f>
        <v>16748046.999999998</v>
      </c>
      <c r="L226" s="833">
        <f>'d3'!L226-d3П!L222</f>
        <v>0</v>
      </c>
      <c r="M226" s="833">
        <f>'d3'!M226-d3П!M222</f>
        <v>-78000</v>
      </c>
      <c r="N226" s="833">
        <f>'d3'!N226-d3П!N222</f>
        <v>0</v>
      </c>
      <c r="O226" s="833">
        <f>'d3'!O226-d3П!O222</f>
        <v>16748046.999999998</v>
      </c>
      <c r="P226" s="833">
        <f>'d3'!P226-d3П!P222</f>
        <v>17722371</v>
      </c>
      <c r="Q226" s="22"/>
      <c r="R226" s="847"/>
    </row>
    <row r="227" spans="1:18" ht="184.5" thickTop="1" thickBot="1" x14ac:dyDescent="0.25">
      <c r="A227" s="835" t="s">
        <v>29</v>
      </c>
      <c r="B227" s="835" t="s">
        <v>198</v>
      </c>
      <c r="C227" s="835" t="s">
        <v>200</v>
      </c>
      <c r="D227" s="835" t="s">
        <v>49</v>
      </c>
      <c r="E227" s="833">
        <f>'d3'!E227-d3П!E223</f>
        <v>0</v>
      </c>
      <c r="F227" s="833">
        <f>'d3'!F227-d3П!F223</f>
        <v>0</v>
      </c>
      <c r="G227" s="833">
        <f>'d3'!G227-d3П!G223</f>
        <v>0</v>
      </c>
      <c r="H227" s="833">
        <f>'d3'!H227-d3П!H223</f>
        <v>0</v>
      </c>
      <c r="I227" s="833">
        <f>'d3'!I227-d3П!I223</f>
        <v>0</v>
      </c>
      <c r="J227" s="833">
        <f>'d3'!J227-d3П!J223</f>
        <v>0</v>
      </c>
      <c r="K227" s="833">
        <f>'d3'!K227-d3П!K223</f>
        <v>0</v>
      </c>
      <c r="L227" s="833">
        <f>'d3'!L227-d3П!L223</f>
        <v>0</v>
      </c>
      <c r="M227" s="833">
        <f>'d3'!M227-d3П!M223</f>
        <v>0</v>
      </c>
      <c r="N227" s="833">
        <f>'d3'!N227-d3П!N223</f>
        <v>0</v>
      </c>
      <c r="O227" s="833">
        <f>'d3'!O227-d3П!O223</f>
        <v>0</v>
      </c>
      <c r="P227" s="833">
        <f>'d3'!P227-d3П!P223</f>
        <v>0</v>
      </c>
      <c r="Q227" s="22"/>
      <c r="R227" s="847"/>
    </row>
    <row r="228" spans="1:18" ht="93" thickTop="1" thickBot="1" x14ac:dyDescent="0.25">
      <c r="A228" s="537" t="s">
        <v>1501</v>
      </c>
      <c r="B228" s="455" t="s">
        <v>826</v>
      </c>
      <c r="C228" s="455"/>
      <c r="D228" s="455" t="s">
        <v>827</v>
      </c>
      <c r="E228" s="833">
        <f>'d3'!E228-d3П!E224</f>
        <v>0</v>
      </c>
      <c r="F228" s="833">
        <f>'d3'!F228-d3П!F224</f>
        <v>0</v>
      </c>
      <c r="G228" s="833">
        <f>'d3'!G228-d3П!G224</f>
        <v>72361.47</v>
      </c>
      <c r="H228" s="833">
        <f>'d3'!H228-d3П!H224</f>
        <v>0</v>
      </c>
      <c r="I228" s="833">
        <f>'d3'!I228-d3П!I224</f>
        <v>0</v>
      </c>
      <c r="J228" s="833">
        <f>'d3'!J228-d3П!J224</f>
        <v>0</v>
      </c>
      <c r="K228" s="833">
        <f>'d3'!K228-d3П!K224</f>
        <v>0</v>
      </c>
      <c r="L228" s="833">
        <f>'d3'!L228-d3П!L224</f>
        <v>0</v>
      </c>
      <c r="M228" s="833">
        <f>'d3'!M228-d3П!M224</f>
        <v>0</v>
      </c>
      <c r="N228" s="833">
        <f>'d3'!N228-d3П!N224</f>
        <v>0</v>
      </c>
      <c r="O228" s="833">
        <f>'d3'!O228-d3П!O224</f>
        <v>0</v>
      </c>
      <c r="P228" s="833">
        <f>'d3'!P228-d3П!P224</f>
        <v>0</v>
      </c>
      <c r="Q228" s="22"/>
      <c r="R228" s="847"/>
    </row>
    <row r="229" spans="1:18" ht="184.5" thickTop="1" thickBot="1" x14ac:dyDescent="0.25">
      <c r="A229" s="835" t="s">
        <v>1502</v>
      </c>
      <c r="B229" s="835" t="s">
        <v>1503</v>
      </c>
      <c r="C229" s="835" t="s">
        <v>200</v>
      </c>
      <c r="D229" s="835" t="s">
        <v>1504</v>
      </c>
      <c r="E229" s="833">
        <f>'d3'!E229-d3П!E225</f>
        <v>0</v>
      </c>
      <c r="F229" s="833">
        <f>'d3'!F229-d3П!F225</f>
        <v>0</v>
      </c>
      <c r="G229" s="833">
        <f>'d3'!G229-d3П!G225</f>
        <v>72361.47</v>
      </c>
      <c r="H229" s="833">
        <f>'d3'!H229-d3П!H225</f>
        <v>0</v>
      </c>
      <c r="I229" s="833">
        <f>'d3'!I229-d3П!I225</f>
        <v>0</v>
      </c>
      <c r="J229" s="833">
        <f>'d3'!J229-d3П!J225</f>
        <v>0</v>
      </c>
      <c r="K229" s="833">
        <f>'d3'!K229-d3П!K225</f>
        <v>0</v>
      </c>
      <c r="L229" s="833">
        <f>'d3'!L229-d3П!L225</f>
        <v>0</v>
      </c>
      <c r="M229" s="833">
        <f>'d3'!M229-d3П!M225</f>
        <v>0</v>
      </c>
      <c r="N229" s="833">
        <f>'d3'!N229-d3П!N225</f>
        <v>0</v>
      </c>
      <c r="O229" s="833">
        <f>'d3'!O229-d3П!O225</f>
        <v>0</v>
      </c>
      <c r="P229" s="833">
        <f>'d3'!P229-d3П!P225</f>
        <v>0</v>
      </c>
      <c r="Q229" s="22"/>
      <c r="R229" s="847"/>
    </row>
    <row r="230" spans="1:18" ht="93" thickTop="1" thickBot="1" x14ac:dyDescent="0.25">
      <c r="A230" s="537" t="s">
        <v>791</v>
      </c>
      <c r="B230" s="455" t="s">
        <v>792</v>
      </c>
      <c r="C230" s="455"/>
      <c r="D230" s="455" t="s">
        <v>793</v>
      </c>
      <c r="E230" s="833">
        <f>'d3'!E230-d3П!E226</f>
        <v>0</v>
      </c>
      <c r="F230" s="833">
        <f>'d3'!F230-d3П!F226</f>
        <v>0</v>
      </c>
      <c r="G230" s="833">
        <f>'d3'!G230-d3П!G226</f>
        <v>0</v>
      </c>
      <c r="H230" s="833">
        <f>'d3'!H230-d3П!H226</f>
        <v>0</v>
      </c>
      <c r="I230" s="833">
        <f>'d3'!I230-d3П!I226</f>
        <v>0</v>
      </c>
      <c r="J230" s="833">
        <f>'d3'!J230-d3П!J226</f>
        <v>0</v>
      </c>
      <c r="K230" s="833">
        <f>'d3'!K230-d3П!K226</f>
        <v>0</v>
      </c>
      <c r="L230" s="833">
        <f>'d3'!L230-d3П!L226</f>
        <v>0</v>
      </c>
      <c r="M230" s="833">
        <f>'d3'!M230-d3П!M226</f>
        <v>0</v>
      </c>
      <c r="N230" s="833">
        <f>'d3'!N230-d3П!N226</f>
        <v>0</v>
      </c>
      <c r="O230" s="833">
        <f>'d3'!O230-d3П!O226</f>
        <v>0</v>
      </c>
      <c r="P230" s="833">
        <f>'d3'!P230-d3П!P226</f>
        <v>0</v>
      </c>
      <c r="Q230" s="22"/>
      <c r="R230" s="847"/>
    </row>
    <row r="231" spans="1:18" ht="276" thickTop="1" thickBot="1" x14ac:dyDescent="0.25">
      <c r="A231" s="503" t="s">
        <v>30</v>
      </c>
      <c r="B231" s="503" t="s">
        <v>199</v>
      </c>
      <c r="C231" s="503" t="s">
        <v>200</v>
      </c>
      <c r="D231" s="835" t="s">
        <v>31</v>
      </c>
      <c r="E231" s="833">
        <f>'d3'!E231-d3П!E227</f>
        <v>0</v>
      </c>
      <c r="F231" s="833">
        <f>'d3'!F231-d3П!F227</f>
        <v>0</v>
      </c>
      <c r="G231" s="833">
        <f>'d3'!G231-d3П!G227</f>
        <v>0</v>
      </c>
      <c r="H231" s="833">
        <f>'d3'!H231-d3П!H227</f>
        <v>0</v>
      </c>
      <c r="I231" s="833">
        <f>'d3'!I231-d3П!I227</f>
        <v>0</v>
      </c>
      <c r="J231" s="833">
        <f>'d3'!J231-d3П!J227</f>
        <v>0</v>
      </c>
      <c r="K231" s="833">
        <f>'d3'!K231-d3П!K227</f>
        <v>0</v>
      </c>
      <c r="L231" s="833">
        <f>'d3'!L231-d3П!L227</f>
        <v>0</v>
      </c>
      <c r="M231" s="833">
        <f>'d3'!M231-d3П!M227</f>
        <v>0</v>
      </c>
      <c r="N231" s="833">
        <f>'d3'!N231-d3П!N227</f>
        <v>0</v>
      </c>
      <c r="O231" s="833">
        <f>'d3'!O231-d3П!O227</f>
        <v>0</v>
      </c>
      <c r="P231" s="833">
        <f>'d3'!P231-d3П!P227</f>
        <v>0</v>
      </c>
      <c r="Q231" s="22"/>
      <c r="R231" s="847"/>
    </row>
    <row r="232" spans="1:18" ht="184.5" thickTop="1" thickBot="1" x14ac:dyDescent="0.25">
      <c r="A232" s="503" t="s">
        <v>517</v>
      </c>
      <c r="B232" s="503" t="s">
        <v>515</v>
      </c>
      <c r="C232" s="503" t="s">
        <v>200</v>
      </c>
      <c r="D232" s="835" t="s">
        <v>516</v>
      </c>
      <c r="E232" s="833">
        <f>'d3'!E232-d3П!E228</f>
        <v>0</v>
      </c>
      <c r="F232" s="833">
        <f>'d3'!F232-d3П!F228</f>
        <v>0</v>
      </c>
      <c r="G232" s="833">
        <f>'d3'!G232-d3П!G228</f>
        <v>0</v>
      </c>
      <c r="H232" s="833">
        <f>'d3'!H232-d3П!H228</f>
        <v>0</v>
      </c>
      <c r="I232" s="833">
        <f>'d3'!I232-d3П!I228</f>
        <v>0</v>
      </c>
      <c r="J232" s="833">
        <f>'d3'!J232-d3П!J228</f>
        <v>0</v>
      </c>
      <c r="K232" s="833">
        <f>'d3'!K232-d3П!K228</f>
        <v>0</v>
      </c>
      <c r="L232" s="833">
        <f>'d3'!L232-d3П!L228</f>
        <v>0</v>
      </c>
      <c r="M232" s="833">
        <f>'d3'!M232-d3П!M228</f>
        <v>0</v>
      </c>
      <c r="N232" s="833">
        <f>'d3'!N232-d3П!N228</f>
        <v>0</v>
      </c>
      <c r="O232" s="833">
        <f>'d3'!O232-d3П!O228</f>
        <v>0</v>
      </c>
      <c r="P232" s="833">
        <f>'d3'!P232-d3П!P228</f>
        <v>0</v>
      </c>
      <c r="Q232" s="22"/>
      <c r="R232" s="847"/>
    </row>
    <row r="233" spans="1:18" ht="93" thickTop="1" thickBot="1" x14ac:dyDescent="0.25">
      <c r="A233" s="503" t="s">
        <v>32</v>
      </c>
      <c r="B233" s="503" t="s">
        <v>201</v>
      </c>
      <c r="C233" s="503" t="s">
        <v>200</v>
      </c>
      <c r="D233" s="835" t="s">
        <v>33</v>
      </c>
      <c r="E233" s="833">
        <f>'d3'!E233-d3П!E229</f>
        <v>0</v>
      </c>
      <c r="F233" s="833">
        <f>'d3'!F233-d3П!F229</f>
        <v>0</v>
      </c>
      <c r="G233" s="833">
        <f>'d3'!G233-d3П!G229</f>
        <v>0</v>
      </c>
      <c r="H233" s="833">
        <f>'d3'!H233-d3П!H229</f>
        <v>0</v>
      </c>
      <c r="I233" s="833">
        <f>'d3'!I233-d3П!I229</f>
        <v>0</v>
      </c>
      <c r="J233" s="833">
        <f>'d3'!J233-d3П!J229</f>
        <v>0</v>
      </c>
      <c r="K233" s="833">
        <f>'d3'!K233-d3П!K229</f>
        <v>0</v>
      </c>
      <c r="L233" s="833">
        <f>'d3'!L233-d3П!L229</f>
        <v>0</v>
      </c>
      <c r="M233" s="833">
        <f>'d3'!M233-d3П!M229</f>
        <v>0</v>
      </c>
      <c r="N233" s="833">
        <f>'d3'!N233-d3П!N229</f>
        <v>0</v>
      </c>
      <c r="O233" s="833">
        <f>'d3'!O233-d3П!O229</f>
        <v>0</v>
      </c>
      <c r="P233" s="833">
        <f>'d3'!P233-d3П!P229</f>
        <v>0</v>
      </c>
      <c r="Q233" s="22"/>
      <c r="R233" s="847"/>
    </row>
    <row r="234" spans="1:18" ht="91.5" thickTop="1" thickBot="1" x14ac:dyDescent="0.25">
      <c r="A234" s="385" t="s">
        <v>794</v>
      </c>
      <c r="B234" s="385" t="s">
        <v>751</v>
      </c>
      <c r="C234" s="385"/>
      <c r="D234" s="536" t="s">
        <v>752</v>
      </c>
      <c r="E234" s="833">
        <f>'d3'!E234-d3П!E230</f>
        <v>0</v>
      </c>
      <c r="F234" s="833">
        <f>'d3'!F234-d3П!F230</f>
        <v>0</v>
      </c>
      <c r="G234" s="833">
        <f>'d3'!G234-d3П!G230</f>
        <v>0</v>
      </c>
      <c r="H234" s="833">
        <f>'d3'!H234-d3П!H230</f>
        <v>0</v>
      </c>
      <c r="I234" s="833">
        <f>'d3'!I234-d3П!I230</f>
        <v>0</v>
      </c>
      <c r="J234" s="833">
        <f>'d3'!J234-d3П!J230</f>
        <v>0</v>
      </c>
      <c r="K234" s="833">
        <f>'d3'!K234-d3П!K230</f>
        <v>0</v>
      </c>
      <c r="L234" s="833">
        <f>'d3'!L234-d3П!L230</f>
        <v>0</v>
      </c>
      <c r="M234" s="833">
        <f>'d3'!M234-d3П!M230</f>
        <v>0</v>
      </c>
      <c r="N234" s="833">
        <f>'d3'!N234-d3П!N230</f>
        <v>0</v>
      </c>
      <c r="O234" s="833">
        <f>'d3'!O234-d3П!O230</f>
        <v>0</v>
      </c>
      <c r="P234" s="833">
        <f>'d3'!P234-d3П!P230</f>
        <v>0</v>
      </c>
      <c r="Q234" s="22"/>
      <c r="R234" s="847"/>
    </row>
    <row r="235" spans="1:18" ht="93" thickTop="1" thickBot="1" x14ac:dyDescent="0.25">
      <c r="A235" s="537" t="s">
        <v>795</v>
      </c>
      <c r="B235" s="537" t="s">
        <v>754</v>
      </c>
      <c r="C235" s="537"/>
      <c r="D235" s="455" t="s">
        <v>755</v>
      </c>
      <c r="E235" s="833">
        <f>'d3'!E235-d3П!E231</f>
        <v>0</v>
      </c>
      <c r="F235" s="833">
        <f>'d3'!F235-d3П!F231</f>
        <v>0</v>
      </c>
      <c r="G235" s="833">
        <f>'d3'!G235-d3П!G231</f>
        <v>0</v>
      </c>
      <c r="H235" s="833">
        <f>'d3'!H235-d3П!H231</f>
        <v>0</v>
      </c>
      <c r="I235" s="833">
        <f>'d3'!I235-d3П!I231</f>
        <v>0</v>
      </c>
      <c r="J235" s="833">
        <f>'d3'!J235-d3П!J231</f>
        <v>0</v>
      </c>
      <c r="K235" s="833">
        <f>'d3'!K235-d3П!K231</f>
        <v>0</v>
      </c>
      <c r="L235" s="833">
        <f>'d3'!L235-d3П!L231</f>
        <v>0</v>
      </c>
      <c r="M235" s="833">
        <f>'d3'!M235-d3П!M231</f>
        <v>0</v>
      </c>
      <c r="N235" s="833">
        <f>'d3'!N235-d3П!N231</f>
        <v>0</v>
      </c>
      <c r="O235" s="833">
        <f>'d3'!O235-d3П!O231</f>
        <v>0</v>
      </c>
      <c r="P235" s="833">
        <f>'d3'!P235-d3П!P231</f>
        <v>0</v>
      </c>
      <c r="Q235" s="22"/>
      <c r="R235" s="847"/>
    </row>
    <row r="236" spans="1:18" ht="276" thickTop="1" thickBot="1" x14ac:dyDescent="0.25">
      <c r="A236" s="503" t="s">
        <v>347</v>
      </c>
      <c r="B236" s="503" t="s">
        <v>346</v>
      </c>
      <c r="C236" s="503" t="s">
        <v>345</v>
      </c>
      <c r="D236" s="835" t="s">
        <v>648</v>
      </c>
      <c r="E236" s="833">
        <f>'d3'!E236-d3П!E232</f>
        <v>0</v>
      </c>
      <c r="F236" s="833">
        <f>'d3'!F236-d3П!F232</f>
        <v>0</v>
      </c>
      <c r="G236" s="833">
        <f>'d3'!G236-d3П!G232</f>
        <v>0</v>
      </c>
      <c r="H236" s="833">
        <f>'d3'!H236-d3П!H232</f>
        <v>0</v>
      </c>
      <c r="I236" s="833">
        <f>'d3'!I236-d3П!I232</f>
        <v>0</v>
      </c>
      <c r="J236" s="833">
        <f>'d3'!J236-d3П!J232</f>
        <v>0</v>
      </c>
      <c r="K236" s="833">
        <f>'d3'!K236-d3П!K232</f>
        <v>0</v>
      </c>
      <c r="L236" s="833">
        <f>'d3'!L236-d3П!L232</f>
        <v>0</v>
      </c>
      <c r="M236" s="833">
        <f>'d3'!M236-d3П!M232</f>
        <v>0</v>
      </c>
      <c r="N236" s="833">
        <f>'d3'!N236-d3П!N232</f>
        <v>0</v>
      </c>
      <c r="O236" s="833">
        <f>'d3'!O236-d3П!O232</f>
        <v>0</v>
      </c>
      <c r="P236" s="833">
        <f>'d3'!P236-d3П!P232</f>
        <v>0</v>
      </c>
      <c r="Q236" s="22"/>
      <c r="R236" s="53"/>
    </row>
    <row r="237" spans="1:18" ht="47.25" thickTop="1" thickBot="1" x14ac:dyDescent="0.25">
      <c r="A237" s="385" t="s">
        <v>796</v>
      </c>
      <c r="B237" s="385" t="s">
        <v>757</v>
      </c>
      <c r="C237" s="385"/>
      <c r="D237" s="385" t="s">
        <v>758</v>
      </c>
      <c r="E237" s="833">
        <f>'d3'!E237-d3П!E233</f>
        <v>0</v>
      </c>
      <c r="F237" s="833">
        <f>'d3'!F237-d3П!F233</f>
        <v>0</v>
      </c>
      <c r="G237" s="833">
        <f>'d3'!G237-d3П!G233</f>
        <v>0</v>
      </c>
      <c r="H237" s="833">
        <f>'d3'!H237-d3П!H233</f>
        <v>0</v>
      </c>
      <c r="I237" s="833">
        <f>'d3'!I237-d3П!I233</f>
        <v>0</v>
      </c>
      <c r="J237" s="833">
        <f>'d3'!J237-d3П!J233</f>
        <v>1107091</v>
      </c>
      <c r="K237" s="833">
        <f>'d3'!K237-d3П!K233</f>
        <v>1107091</v>
      </c>
      <c r="L237" s="833">
        <f>'d3'!L237-d3П!L233</f>
        <v>0</v>
      </c>
      <c r="M237" s="833">
        <f>'d3'!M237-d3П!M233</f>
        <v>0</v>
      </c>
      <c r="N237" s="833">
        <f>'d3'!N237-d3П!N233</f>
        <v>0</v>
      </c>
      <c r="O237" s="833">
        <f>'d3'!O237-d3П!O233</f>
        <v>1107091</v>
      </c>
      <c r="P237" s="833">
        <f>'d3'!P237-d3П!P233</f>
        <v>1107091</v>
      </c>
      <c r="Q237" s="22"/>
      <c r="R237" s="53"/>
    </row>
    <row r="238" spans="1:18" ht="91.5" hidden="1" thickTop="1" thickBot="1" x14ac:dyDescent="0.25">
      <c r="A238" s="387" t="s">
        <v>1140</v>
      </c>
      <c r="B238" s="387" t="s">
        <v>813</v>
      </c>
      <c r="C238" s="387"/>
      <c r="D238" s="387" t="s">
        <v>814</v>
      </c>
      <c r="E238" s="833">
        <f>'d3'!E238-d3П!E234</f>
        <v>0</v>
      </c>
      <c r="F238" s="833">
        <f>'d3'!F238-d3П!F234</f>
        <v>0</v>
      </c>
      <c r="G238" s="833">
        <f>'d3'!G238-d3П!G234</f>
        <v>0</v>
      </c>
      <c r="H238" s="833">
        <f>'d3'!H238-d3П!H234</f>
        <v>0</v>
      </c>
      <c r="I238" s="833">
        <f>'d3'!I238-d3П!I234</f>
        <v>0</v>
      </c>
      <c r="J238" s="833">
        <f>'d3'!J238-d3П!J234</f>
        <v>0</v>
      </c>
      <c r="K238" s="833">
        <f>'d3'!K238-d3П!K234</f>
        <v>0</v>
      </c>
      <c r="L238" s="833">
        <f>'d3'!L238-d3П!L234</f>
        <v>0</v>
      </c>
      <c r="M238" s="833">
        <f>'d3'!M238-d3П!M234</f>
        <v>0</v>
      </c>
      <c r="N238" s="833">
        <f>'d3'!N238-d3П!N234</f>
        <v>0</v>
      </c>
      <c r="O238" s="833">
        <f>'d3'!O238-d3П!O234</f>
        <v>0</v>
      </c>
      <c r="P238" s="833">
        <f>'d3'!P238-d3П!P234</f>
        <v>0</v>
      </c>
      <c r="Q238" s="22"/>
      <c r="R238" s="53"/>
    </row>
    <row r="239" spans="1:18" ht="145.5" hidden="1" thickTop="1" thickBot="1" x14ac:dyDescent="0.25">
      <c r="A239" s="455" t="s">
        <v>1141</v>
      </c>
      <c r="B239" s="455" t="s">
        <v>831</v>
      </c>
      <c r="C239" s="455"/>
      <c r="D239" s="455" t="s">
        <v>1318</v>
      </c>
      <c r="E239" s="833">
        <f>'d3'!E239-d3П!E235</f>
        <v>0</v>
      </c>
      <c r="F239" s="833">
        <f>'d3'!F239-d3П!F235</f>
        <v>0</v>
      </c>
      <c r="G239" s="833">
        <f>'d3'!G239-d3П!G235</f>
        <v>0</v>
      </c>
      <c r="H239" s="833">
        <f>'d3'!H239-d3П!H235</f>
        <v>0</v>
      </c>
      <c r="I239" s="833">
        <f>'d3'!I239-d3П!I235</f>
        <v>0</v>
      </c>
      <c r="J239" s="833">
        <f>'d3'!J239-d3П!J235</f>
        <v>0</v>
      </c>
      <c r="K239" s="833">
        <f>'d3'!K239-d3П!K235</f>
        <v>0</v>
      </c>
      <c r="L239" s="833">
        <f>'d3'!L239-d3П!L235</f>
        <v>0</v>
      </c>
      <c r="M239" s="833">
        <f>'d3'!M239-d3П!M235</f>
        <v>0</v>
      </c>
      <c r="N239" s="833">
        <f>'d3'!N239-d3П!N235</f>
        <v>0</v>
      </c>
      <c r="O239" s="833">
        <f>'d3'!O239-d3П!O235</f>
        <v>0</v>
      </c>
      <c r="P239" s="833">
        <f>'d3'!P239-d3П!P235</f>
        <v>0</v>
      </c>
      <c r="Q239" s="22"/>
      <c r="R239" s="53"/>
    </row>
    <row r="240" spans="1:18" ht="145.5" hidden="1" thickTop="1" thickBot="1" x14ac:dyDescent="0.25">
      <c r="A240" s="835" t="s">
        <v>1142</v>
      </c>
      <c r="B240" s="835" t="s">
        <v>318</v>
      </c>
      <c r="C240" s="835" t="s">
        <v>309</v>
      </c>
      <c r="D240" s="835" t="s">
        <v>1327</v>
      </c>
      <c r="E240" s="833">
        <f>'d3'!E240-d3П!E236</f>
        <v>0</v>
      </c>
      <c r="F240" s="833">
        <f>'d3'!F240-d3П!F236</f>
        <v>0</v>
      </c>
      <c r="G240" s="833">
        <f>'d3'!G240-d3П!G236</f>
        <v>0</v>
      </c>
      <c r="H240" s="833">
        <f>'d3'!H240-d3П!H236</f>
        <v>0</v>
      </c>
      <c r="I240" s="833">
        <f>'d3'!I240-d3П!I236</f>
        <v>0</v>
      </c>
      <c r="J240" s="833">
        <f>'d3'!J240-d3П!J236</f>
        <v>0</v>
      </c>
      <c r="K240" s="833">
        <f>'d3'!K240-d3П!K236</f>
        <v>0</v>
      </c>
      <c r="L240" s="833">
        <f>'d3'!L240-d3П!L236</f>
        <v>0</v>
      </c>
      <c r="M240" s="833">
        <f>'d3'!M240-d3П!M236</f>
        <v>0</v>
      </c>
      <c r="N240" s="833">
        <f>'d3'!N240-d3П!N236</f>
        <v>0</v>
      </c>
      <c r="O240" s="833">
        <f>'d3'!O240-d3П!O236</f>
        <v>0</v>
      </c>
      <c r="P240" s="833">
        <f>'d3'!P240-d3П!P236</f>
        <v>0</v>
      </c>
      <c r="Q240" s="22"/>
      <c r="R240" s="53"/>
    </row>
    <row r="241" spans="1:18" ht="136.5" thickTop="1" thickBot="1" x14ac:dyDescent="0.25">
      <c r="A241" s="387" t="s">
        <v>797</v>
      </c>
      <c r="B241" s="387" t="s">
        <v>700</v>
      </c>
      <c r="C241" s="387"/>
      <c r="D241" s="387" t="s">
        <v>698</v>
      </c>
      <c r="E241" s="833">
        <f>'d3'!E241-d3П!E237</f>
        <v>0</v>
      </c>
      <c r="F241" s="833">
        <f>'d3'!F241-d3П!F237</f>
        <v>0</v>
      </c>
      <c r="G241" s="833">
        <f>'d3'!G241-d3П!G237</f>
        <v>0</v>
      </c>
      <c r="H241" s="833">
        <f>'d3'!H241-d3П!H237</f>
        <v>0</v>
      </c>
      <c r="I241" s="833">
        <f>'d3'!I241-d3П!I237</f>
        <v>0</v>
      </c>
      <c r="J241" s="833">
        <f>'d3'!J241-d3П!J237</f>
        <v>1107091</v>
      </c>
      <c r="K241" s="833">
        <f>'d3'!K241-d3П!K237</f>
        <v>1107091</v>
      </c>
      <c r="L241" s="833">
        <f>'d3'!L241-d3П!L237</f>
        <v>0</v>
      </c>
      <c r="M241" s="833">
        <f>'d3'!M241-d3П!M237</f>
        <v>0</v>
      </c>
      <c r="N241" s="833">
        <f>'d3'!N241-d3П!N237</f>
        <v>0</v>
      </c>
      <c r="O241" s="833">
        <f>'d3'!O241-d3П!O237</f>
        <v>1107091</v>
      </c>
      <c r="P241" s="833">
        <f>'d3'!P241-d3П!P237</f>
        <v>1107091</v>
      </c>
      <c r="Q241" s="22"/>
      <c r="R241" s="53"/>
    </row>
    <row r="242" spans="1:18" ht="47.25" thickTop="1" thickBot="1" x14ac:dyDescent="0.25">
      <c r="A242" s="503" t="s">
        <v>1454</v>
      </c>
      <c r="B242" s="503" t="s">
        <v>217</v>
      </c>
      <c r="C242" s="503"/>
      <c r="D242" s="835" t="s">
        <v>41</v>
      </c>
      <c r="E242" s="833">
        <f>'d3'!E242-d3П!E238</f>
        <v>0</v>
      </c>
      <c r="F242" s="833">
        <f>'d3'!F242-d3П!F238</f>
        <v>0</v>
      </c>
      <c r="G242" s="833">
        <f>'d3'!G242-d3П!G238</f>
        <v>0</v>
      </c>
      <c r="H242" s="833">
        <f>'d3'!H242-d3П!H238</f>
        <v>0</v>
      </c>
      <c r="I242" s="833">
        <f>'d3'!I242-d3П!I238</f>
        <v>0</v>
      </c>
      <c r="J242" s="833">
        <f>'d3'!J242-d3П!J238</f>
        <v>900000</v>
      </c>
      <c r="K242" s="833">
        <f>'d3'!K242-d3П!K238</f>
        <v>900000</v>
      </c>
      <c r="L242" s="833">
        <f>'d3'!L242-d3П!L238</f>
        <v>0</v>
      </c>
      <c r="M242" s="833">
        <f>'d3'!M242-d3П!M238</f>
        <v>0</v>
      </c>
      <c r="N242" s="833">
        <f>'d3'!N242-d3П!N238</f>
        <v>0</v>
      </c>
      <c r="O242" s="833">
        <f>'d3'!O242-d3П!O238</f>
        <v>900000</v>
      </c>
      <c r="P242" s="833">
        <f>'d3'!P242-d3П!P238</f>
        <v>900000</v>
      </c>
      <c r="Q242" s="22"/>
      <c r="R242" s="53"/>
    </row>
    <row r="243" spans="1:18" ht="93" thickTop="1" thickBot="1" x14ac:dyDescent="0.25">
      <c r="A243" s="835" t="s">
        <v>615</v>
      </c>
      <c r="B243" s="835" t="s">
        <v>202</v>
      </c>
      <c r="C243" s="835" t="s">
        <v>171</v>
      </c>
      <c r="D243" s="835" t="s">
        <v>34</v>
      </c>
      <c r="E243" s="833">
        <f>'d3'!E243-d3П!E239</f>
        <v>0</v>
      </c>
      <c r="F243" s="833">
        <f>'d3'!F243-d3П!F239</f>
        <v>0</v>
      </c>
      <c r="G243" s="833">
        <f>'d3'!G243-d3П!G239</f>
        <v>0</v>
      </c>
      <c r="H243" s="833">
        <f>'d3'!H243-d3П!H239</f>
        <v>0</v>
      </c>
      <c r="I243" s="833">
        <f>'d3'!I243-d3П!I239</f>
        <v>0</v>
      </c>
      <c r="J243" s="833">
        <f>'d3'!J243-d3П!J239</f>
        <v>207091</v>
      </c>
      <c r="K243" s="833">
        <f>'d3'!K243-d3П!K239</f>
        <v>207091</v>
      </c>
      <c r="L243" s="833">
        <f>'d3'!L243-d3П!L239</f>
        <v>0</v>
      </c>
      <c r="M243" s="833">
        <f>'d3'!M243-d3П!M239</f>
        <v>0</v>
      </c>
      <c r="N243" s="833">
        <f>'d3'!N243-d3П!N239</f>
        <v>0</v>
      </c>
      <c r="O243" s="833">
        <f>'d3'!O243-d3П!O239</f>
        <v>207091</v>
      </c>
      <c r="P243" s="833">
        <f>'d3'!P243-d3П!P239</f>
        <v>207091</v>
      </c>
      <c r="Q243" s="22"/>
      <c r="R243" s="847"/>
    </row>
    <row r="244" spans="1:18" ht="47.25" hidden="1" thickTop="1" thickBot="1" x14ac:dyDescent="0.25">
      <c r="A244" s="180" t="s">
        <v>1149</v>
      </c>
      <c r="B244" s="180" t="s">
        <v>711</v>
      </c>
      <c r="C244" s="180"/>
      <c r="D244" s="180" t="s">
        <v>712</v>
      </c>
      <c r="E244" s="846">
        <f>E245</f>
        <v>0</v>
      </c>
      <c r="F244" s="846">
        <f t="shared" ref="F244:P245" si="38">F245</f>
        <v>0</v>
      </c>
      <c r="G244" s="846">
        <f t="shared" si="38"/>
        <v>0</v>
      </c>
      <c r="H244" s="846">
        <f t="shared" si="38"/>
        <v>0</v>
      </c>
      <c r="I244" s="846">
        <f t="shared" si="38"/>
        <v>0</v>
      </c>
      <c r="J244" s="846">
        <f t="shared" si="38"/>
        <v>0</v>
      </c>
      <c r="K244" s="846">
        <f t="shared" si="38"/>
        <v>0</v>
      </c>
      <c r="L244" s="846">
        <f t="shared" si="38"/>
        <v>0</v>
      </c>
      <c r="M244" s="846">
        <f t="shared" si="38"/>
        <v>0</v>
      </c>
      <c r="N244" s="846">
        <f t="shared" si="38"/>
        <v>0</v>
      </c>
      <c r="O244" s="846">
        <f t="shared" si="38"/>
        <v>0</v>
      </c>
      <c r="P244" s="846">
        <f t="shared" si="38"/>
        <v>0</v>
      </c>
      <c r="Q244" s="22"/>
      <c r="R244" s="847"/>
    </row>
    <row r="245" spans="1:18" ht="271.5" hidden="1" thickTop="1" thickBot="1" x14ac:dyDescent="0.25">
      <c r="A245" s="181" t="s">
        <v>1150</v>
      </c>
      <c r="B245" s="181" t="s">
        <v>714</v>
      </c>
      <c r="C245" s="181"/>
      <c r="D245" s="181" t="s">
        <v>715</v>
      </c>
      <c r="E245" s="182">
        <f>E246</f>
        <v>0</v>
      </c>
      <c r="F245" s="182">
        <f t="shared" si="38"/>
        <v>0</v>
      </c>
      <c r="G245" s="182">
        <f t="shared" si="38"/>
        <v>0</v>
      </c>
      <c r="H245" s="182">
        <f t="shared" si="38"/>
        <v>0</v>
      </c>
      <c r="I245" s="182">
        <f t="shared" si="38"/>
        <v>0</v>
      </c>
      <c r="J245" s="182">
        <f t="shared" si="38"/>
        <v>0</v>
      </c>
      <c r="K245" s="182">
        <f t="shared" si="38"/>
        <v>0</v>
      </c>
      <c r="L245" s="182">
        <f t="shared" si="38"/>
        <v>0</v>
      </c>
      <c r="M245" s="182">
        <f t="shared" si="38"/>
        <v>0</v>
      </c>
      <c r="N245" s="182">
        <f t="shared" si="38"/>
        <v>0</v>
      </c>
      <c r="O245" s="182">
        <f t="shared" si="38"/>
        <v>0</v>
      </c>
      <c r="P245" s="182">
        <f t="shared" si="38"/>
        <v>0</v>
      </c>
      <c r="Q245" s="22"/>
      <c r="R245" s="847"/>
    </row>
    <row r="246" spans="1:18" ht="93" hidden="1" thickTop="1" thickBot="1" x14ac:dyDescent="0.25">
      <c r="A246" s="845" t="s">
        <v>1151</v>
      </c>
      <c r="B246" s="845" t="s">
        <v>368</v>
      </c>
      <c r="C246" s="845" t="s">
        <v>43</v>
      </c>
      <c r="D246" s="845" t="s">
        <v>369</v>
      </c>
      <c r="E246" s="846">
        <f t="shared" ref="E246" si="39">F246</f>
        <v>0</v>
      </c>
      <c r="F246" s="46">
        <v>0</v>
      </c>
      <c r="G246" s="46"/>
      <c r="H246" s="46"/>
      <c r="I246" s="46"/>
      <c r="J246" s="846">
        <f>L246+O246</f>
        <v>0</v>
      </c>
      <c r="K246" s="46">
        <v>0</v>
      </c>
      <c r="L246" s="46"/>
      <c r="M246" s="46"/>
      <c r="N246" s="46"/>
      <c r="O246" s="844">
        <f>K246</f>
        <v>0</v>
      </c>
      <c r="P246" s="846">
        <f>E246+J246</f>
        <v>0</v>
      </c>
      <c r="Q246" s="22"/>
      <c r="R246" s="847"/>
    </row>
    <row r="247" spans="1:18" ht="181.5" thickTop="1" thickBot="1" x14ac:dyDescent="0.25">
      <c r="A247" s="460" t="s">
        <v>159</v>
      </c>
      <c r="B247" s="460"/>
      <c r="C247" s="460"/>
      <c r="D247" s="461" t="s">
        <v>567</v>
      </c>
      <c r="E247" s="463">
        <f>E248</f>
        <v>32508100</v>
      </c>
      <c r="F247" s="462">
        <f t="shared" ref="F247:G247" si="40">F248</f>
        <v>32508100</v>
      </c>
      <c r="G247" s="462">
        <f t="shared" si="40"/>
        <v>0</v>
      </c>
      <c r="H247" s="462">
        <f>H248</f>
        <v>0</v>
      </c>
      <c r="I247" s="462">
        <f t="shared" ref="I247" si="41">I248</f>
        <v>0</v>
      </c>
      <c r="J247" s="463">
        <f>J248</f>
        <v>33323156</v>
      </c>
      <c r="K247" s="462">
        <f>K248</f>
        <v>33323156</v>
      </c>
      <c r="L247" s="462">
        <f>L248</f>
        <v>0</v>
      </c>
      <c r="M247" s="462">
        <f t="shared" ref="M247" si="42">M248</f>
        <v>0</v>
      </c>
      <c r="N247" s="462">
        <f>N248</f>
        <v>0</v>
      </c>
      <c r="O247" s="463">
        <f>O248</f>
        <v>33323156</v>
      </c>
      <c r="P247" s="462">
        <f>P248</f>
        <v>65831256</v>
      </c>
      <c r="Q247" s="22"/>
      <c r="R247" s="53"/>
    </row>
    <row r="248" spans="1:18" ht="181.5" thickTop="1" thickBot="1" x14ac:dyDescent="0.25">
      <c r="A248" s="464" t="s">
        <v>160</v>
      </c>
      <c r="B248" s="464"/>
      <c r="C248" s="464"/>
      <c r="D248" s="465" t="s">
        <v>568</v>
      </c>
      <c r="E248" s="466">
        <f>E249+E253+E261+E270</f>
        <v>32508100</v>
      </c>
      <c r="F248" s="466">
        <f>F249+F253+F261+F270</f>
        <v>32508100</v>
      </c>
      <c r="G248" s="466">
        <f>G249+G253+G261+G270</f>
        <v>0</v>
      </c>
      <c r="H248" s="466">
        <f>H249+H253+H261+H270</f>
        <v>0</v>
      </c>
      <c r="I248" s="466">
        <f>I249+I253+I261+I270</f>
        <v>0</v>
      </c>
      <c r="J248" s="466">
        <f t="shared" ref="J248" si="43">L248+O248</f>
        <v>33323156</v>
      </c>
      <c r="K248" s="466">
        <f>K249+K253+K261+K270</f>
        <v>33323156</v>
      </c>
      <c r="L248" s="466">
        <f>L249+L253+L261+L270</f>
        <v>0</v>
      </c>
      <c r="M248" s="466">
        <f>M249+M253+M261+M270</f>
        <v>0</v>
      </c>
      <c r="N248" s="466">
        <f>N249+N253+N261+N270</f>
        <v>0</v>
      </c>
      <c r="O248" s="466">
        <f>O249+O253+O261+O270</f>
        <v>33323156</v>
      </c>
      <c r="P248" s="466">
        <f>E248+J248</f>
        <v>65831256</v>
      </c>
      <c r="Q248" s="392" t="b">
        <f>P248=P250+P251+P255+P256+P260+P266+P265+P268+P258+P263+P259+P257+P252</f>
        <v>1</v>
      </c>
      <c r="R248" s="57"/>
    </row>
    <row r="249" spans="1:18" ht="47.25" thickTop="1" thickBot="1" x14ac:dyDescent="0.25">
      <c r="A249" s="385" t="s">
        <v>798</v>
      </c>
      <c r="B249" s="385" t="s">
        <v>693</v>
      </c>
      <c r="C249" s="385"/>
      <c r="D249" s="385" t="s">
        <v>694</v>
      </c>
      <c r="E249" s="833">
        <f>'d3'!E249-d3П!E245</f>
        <v>0</v>
      </c>
      <c r="F249" s="833">
        <f>'d3'!F249-d3П!F245</f>
        <v>0</v>
      </c>
      <c r="G249" s="833">
        <f>'d3'!G249-d3П!G245</f>
        <v>0</v>
      </c>
      <c r="H249" s="833">
        <f>'d3'!H249-d3П!H245</f>
        <v>0</v>
      </c>
      <c r="I249" s="833">
        <f>'d3'!I249-d3П!I245</f>
        <v>0</v>
      </c>
      <c r="J249" s="833">
        <f>'d3'!J249-d3П!J245</f>
        <v>25000</v>
      </c>
      <c r="K249" s="833">
        <f>'d3'!K249-d3П!K245</f>
        <v>25000</v>
      </c>
      <c r="L249" s="833">
        <f>'d3'!L249-d3П!L245</f>
        <v>0</v>
      </c>
      <c r="M249" s="833">
        <f>'d3'!M249-d3П!M245</f>
        <v>0</v>
      </c>
      <c r="N249" s="833">
        <f>'d3'!N249-d3П!N245</f>
        <v>0</v>
      </c>
      <c r="O249" s="833">
        <f>'d3'!O249-d3П!O245</f>
        <v>25000</v>
      </c>
      <c r="P249" s="833">
        <f>'d3'!P249-d3П!P245</f>
        <v>25000</v>
      </c>
      <c r="Q249" s="50"/>
      <c r="R249" s="57"/>
    </row>
    <row r="250" spans="1:18" ht="230.25" thickTop="1" thickBot="1" x14ac:dyDescent="0.25">
      <c r="A250" s="835" t="s">
        <v>426</v>
      </c>
      <c r="B250" s="835" t="s">
        <v>241</v>
      </c>
      <c r="C250" s="835" t="s">
        <v>239</v>
      </c>
      <c r="D250" s="835" t="s">
        <v>240</v>
      </c>
      <c r="E250" s="833">
        <f>'d3'!E250-d3П!E246</f>
        <v>0</v>
      </c>
      <c r="F250" s="833">
        <f>'d3'!F250-d3П!F246</f>
        <v>0</v>
      </c>
      <c r="G250" s="833">
        <f>'d3'!G250-d3П!G246</f>
        <v>0</v>
      </c>
      <c r="H250" s="833">
        <f>'d3'!H250-d3П!H246</f>
        <v>0</v>
      </c>
      <c r="I250" s="833">
        <f>'d3'!I250-d3П!I246</f>
        <v>0</v>
      </c>
      <c r="J250" s="833">
        <f>'d3'!J250-d3П!J246</f>
        <v>25000</v>
      </c>
      <c r="K250" s="833">
        <f>'d3'!K250-d3П!K246</f>
        <v>25000</v>
      </c>
      <c r="L250" s="833">
        <f>'d3'!L250-d3П!L246</f>
        <v>0</v>
      </c>
      <c r="M250" s="833">
        <f>'d3'!M250-d3П!M246</f>
        <v>0</v>
      </c>
      <c r="N250" s="833">
        <f>'d3'!N250-d3П!N246</f>
        <v>0</v>
      </c>
      <c r="O250" s="833">
        <f>'d3'!O250-d3П!O246</f>
        <v>25000</v>
      </c>
      <c r="P250" s="833">
        <f>'d3'!P250-d3П!P246</f>
        <v>25000</v>
      </c>
      <c r="Q250" s="22"/>
      <c r="R250" s="57"/>
    </row>
    <row r="251" spans="1:18" ht="184.5" thickTop="1" thickBot="1" x14ac:dyDescent="0.25">
      <c r="A251" s="835" t="s">
        <v>636</v>
      </c>
      <c r="B251" s="835" t="s">
        <v>367</v>
      </c>
      <c r="C251" s="835" t="s">
        <v>634</v>
      </c>
      <c r="D251" s="835" t="s">
        <v>635</v>
      </c>
      <c r="E251" s="833">
        <f>'d3'!E251-d3П!E247</f>
        <v>0</v>
      </c>
      <c r="F251" s="833">
        <f>'d3'!F251-d3П!F247</f>
        <v>0</v>
      </c>
      <c r="G251" s="833">
        <f>'d3'!G251-d3П!G247</f>
        <v>0</v>
      </c>
      <c r="H251" s="833">
        <f>'d3'!H251-d3П!H247</f>
        <v>0</v>
      </c>
      <c r="I251" s="833">
        <f>'d3'!I251-d3П!I247</f>
        <v>0</v>
      </c>
      <c r="J251" s="833">
        <f>'d3'!J251-d3П!J247</f>
        <v>0</v>
      </c>
      <c r="K251" s="833">
        <f>'d3'!K251-d3П!K247</f>
        <v>0</v>
      </c>
      <c r="L251" s="833">
        <f>'d3'!L251-d3П!L247</f>
        <v>0</v>
      </c>
      <c r="M251" s="833">
        <f>'d3'!M251-d3П!M247</f>
        <v>0</v>
      </c>
      <c r="N251" s="833">
        <f>'d3'!N251-d3П!N247</f>
        <v>0</v>
      </c>
      <c r="O251" s="833">
        <f>'d3'!O251-d3П!O247</f>
        <v>0</v>
      </c>
      <c r="P251" s="833">
        <f>'d3'!P251-d3П!P247</f>
        <v>0</v>
      </c>
      <c r="Q251" s="22"/>
      <c r="R251" s="57"/>
    </row>
    <row r="252" spans="1:18" ht="93" thickTop="1" thickBot="1" x14ac:dyDescent="0.25">
      <c r="A252" s="835" t="s">
        <v>1187</v>
      </c>
      <c r="B252" s="835" t="s">
        <v>43</v>
      </c>
      <c r="C252" s="835" t="s">
        <v>42</v>
      </c>
      <c r="D252" s="835" t="s">
        <v>253</v>
      </c>
      <c r="E252" s="833">
        <f>'d3'!E252-d3П!E248</f>
        <v>0</v>
      </c>
      <c r="F252" s="833">
        <f>'d3'!F252-d3П!F248</f>
        <v>0</v>
      </c>
      <c r="G252" s="833">
        <f>'d3'!G252-d3П!G248</f>
        <v>0</v>
      </c>
      <c r="H252" s="833">
        <f>'d3'!H252-d3П!H248</f>
        <v>0</v>
      </c>
      <c r="I252" s="833">
        <f>'d3'!I252-d3П!I248</f>
        <v>0</v>
      </c>
      <c r="J252" s="833">
        <f>'d3'!J252-d3П!J248</f>
        <v>0</v>
      </c>
      <c r="K252" s="833">
        <f>'d3'!K252-d3П!K248</f>
        <v>0</v>
      </c>
      <c r="L252" s="833">
        <f>'d3'!L252-d3П!L248</f>
        <v>0</v>
      </c>
      <c r="M252" s="833">
        <f>'d3'!M252-d3П!M248</f>
        <v>0</v>
      </c>
      <c r="N252" s="833">
        <f>'d3'!N252-d3П!N248</f>
        <v>0</v>
      </c>
      <c r="O252" s="833">
        <f>'d3'!O252-d3П!O248</f>
        <v>0</v>
      </c>
      <c r="P252" s="833">
        <f>'d3'!P252-d3П!P248</f>
        <v>0</v>
      </c>
      <c r="Q252" s="22"/>
      <c r="R252" s="57"/>
    </row>
    <row r="253" spans="1:18" ht="91.5" thickTop="1" thickBot="1" x14ac:dyDescent="0.25">
      <c r="A253" s="385" t="s">
        <v>799</v>
      </c>
      <c r="B253" s="385" t="s">
        <v>751</v>
      </c>
      <c r="C253" s="385"/>
      <c r="D253" s="536" t="s">
        <v>752</v>
      </c>
      <c r="E253" s="833">
        <f>'d3'!E253-d3П!E249</f>
        <v>32508100</v>
      </c>
      <c r="F253" s="833">
        <f>'d3'!F253-d3П!F249</f>
        <v>32508100</v>
      </c>
      <c r="G253" s="833">
        <f>'d3'!G253-d3П!G249</f>
        <v>0</v>
      </c>
      <c r="H253" s="833">
        <f>'d3'!H253-d3П!H249</f>
        <v>0</v>
      </c>
      <c r="I253" s="833">
        <f>'d3'!I253-d3П!I249</f>
        <v>0</v>
      </c>
      <c r="J253" s="833">
        <f>'d3'!J253-d3П!J249</f>
        <v>17515264</v>
      </c>
      <c r="K253" s="833">
        <f>'d3'!K253-d3П!K249</f>
        <v>17515264</v>
      </c>
      <c r="L253" s="833">
        <f>'d3'!L253-d3П!L249</f>
        <v>0</v>
      </c>
      <c r="M253" s="833">
        <f>'d3'!M253-d3П!M249</f>
        <v>0</v>
      </c>
      <c r="N253" s="833">
        <f>'d3'!N253-d3П!N249</f>
        <v>0</v>
      </c>
      <c r="O253" s="833">
        <f>'d3'!O253-d3П!O249</f>
        <v>17515264</v>
      </c>
      <c r="P253" s="833">
        <f>'d3'!P253-d3П!P249</f>
        <v>50023364</v>
      </c>
      <c r="Q253" s="22"/>
      <c r="R253" s="57"/>
    </row>
    <row r="254" spans="1:18" s="35" customFormat="1" ht="184.5" thickTop="1" thickBot="1" x14ac:dyDescent="0.25">
      <c r="A254" s="455" t="s">
        <v>800</v>
      </c>
      <c r="B254" s="455" t="s">
        <v>801</v>
      </c>
      <c r="C254" s="455"/>
      <c r="D254" s="455" t="s">
        <v>802</v>
      </c>
      <c r="E254" s="833">
        <f>'d3'!E254-d3П!E250</f>
        <v>4500000</v>
      </c>
      <c r="F254" s="833">
        <f>'d3'!F254-d3П!F250</f>
        <v>4500000</v>
      </c>
      <c r="G254" s="833">
        <f>'d3'!G254-d3П!G250</f>
        <v>0</v>
      </c>
      <c r="H254" s="833">
        <f>'d3'!H254-d3П!H250</f>
        <v>0</v>
      </c>
      <c r="I254" s="833">
        <f>'d3'!I254-d3П!I250</f>
        <v>0</v>
      </c>
      <c r="J254" s="833">
        <f>'d3'!J254-d3П!J250</f>
        <v>6329226</v>
      </c>
      <c r="K254" s="833">
        <f>'d3'!K254-d3П!K250</f>
        <v>6329226</v>
      </c>
      <c r="L254" s="833">
        <f>'d3'!L254-d3П!L250</f>
        <v>0</v>
      </c>
      <c r="M254" s="833">
        <f>'d3'!M254-d3П!M250</f>
        <v>0</v>
      </c>
      <c r="N254" s="833">
        <f>'d3'!N254-d3П!N250</f>
        <v>0</v>
      </c>
      <c r="O254" s="833">
        <f>'d3'!O254-d3П!O250</f>
        <v>6329226</v>
      </c>
      <c r="P254" s="833">
        <f>'d3'!P254-d3П!P250</f>
        <v>10829226</v>
      </c>
      <c r="Q254" s="39"/>
      <c r="R254" s="57"/>
    </row>
    <row r="255" spans="1:18" ht="138.75" thickTop="1" thickBot="1" x14ac:dyDescent="0.25">
      <c r="A255" s="835" t="s">
        <v>285</v>
      </c>
      <c r="B255" s="835" t="s">
        <v>286</v>
      </c>
      <c r="C255" s="835" t="s">
        <v>345</v>
      </c>
      <c r="D255" s="835" t="s">
        <v>287</v>
      </c>
      <c r="E255" s="833">
        <f>'d3'!E255-d3П!E251</f>
        <v>2000000</v>
      </c>
      <c r="F255" s="833">
        <f>'d3'!F255-d3П!F251</f>
        <v>2000000</v>
      </c>
      <c r="G255" s="833">
        <f>'d3'!G255-d3П!G251</f>
        <v>0</v>
      </c>
      <c r="H255" s="833">
        <f>'d3'!H255-d3П!H251</f>
        <v>0</v>
      </c>
      <c r="I255" s="833">
        <f>'d3'!I255-d3П!I251</f>
        <v>0</v>
      </c>
      <c r="J255" s="833">
        <f>'d3'!J255-d3П!J251</f>
        <v>2529226</v>
      </c>
      <c r="K255" s="833">
        <f>'d3'!K255-d3П!K251</f>
        <v>2529226</v>
      </c>
      <c r="L255" s="833">
        <f>'d3'!L255-d3П!L251</f>
        <v>0</v>
      </c>
      <c r="M255" s="833">
        <f>'d3'!M255-d3П!M251</f>
        <v>0</v>
      </c>
      <c r="N255" s="833">
        <f>'d3'!N255-d3П!N251</f>
        <v>0</v>
      </c>
      <c r="O255" s="833">
        <f>'d3'!O255-d3П!O251</f>
        <v>2529226</v>
      </c>
      <c r="P255" s="833">
        <f>'d3'!P255-d3П!P251</f>
        <v>4529226</v>
      </c>
      <c r="Q255" s="22"/>
      <c r="R255" s="57"/>
    </row>
    <row r="256" spans="1:18" ht="138.75" thickTop="1" thickBot="1" x14ac:dyDescent="0.25">
      <c r="A256" s="835" t="s">
        <v>306</v>
      </c>
      <c r="B256" s="835" t="s">
        <v>307</v>
      </c>
      <c r="C256" s="835" t="s">
        <v>288</v>
      </c>
      <c r="D256" s="835" t="s">
        <v>308</v>
      </c>
      <c r="E256" s="833">
        <f>'d3'!E256-d3П!E252</f>
        <v>0</v>
      </c>
      <c r="F256" s="833">
        <f>'d3'!F256-d3П!F252</f>
        <v>0</v>
      </c>
      <c r="G256" s="833">
        <f>'d3'!G256-d3П!G252</f>
        <v>0</v>
      </c>
      <c r="H256" s="833">
        <f>'d3'!H256-d3П!H252</f>
        <v>0</v>
      </c>
      <c r="I256" s="833">
        <f>'d3'!I256-d3П!I252</f>
        <v>0</v>
      </c>
      <c r="J256" s="833">
        <f>'d3'!J256-d3П!J252</f>
        <v>1000000</v>
      </c>
      <c r="K256" s="833">
        <f>'d3'!K256-d3П!K252</f>
        <v>1000000</v>
      </c>
      <c r="L256" s="833">
        <f>'d3'!L256-d3П!L252</f>
        <v>0</v>
      </c>
      <c r="M256" s="833">
        <f>'d3'!M256-d3П!M252</f>
        <v>0</v>
      </c>
      <c r="N256" s="833">
        <f>'d3'!N256-d3П!N252</f>
        <v>0</v>
      </c>
      <c r="O256" s="833">
        <f>'d3'!O256-d3П!O252</f>
        <v>1000000</v>
      </c>
      <c r="P256" s="833">
        <f>'d3'!P256-d3П!P252</f>
        <v>1000000</v>
      </c>
      <c r="Q256" s="22"/>
      <c r="R256" s="57"/>
    </row>
    <row r="257" spans="1:18" ht="184.5" thickTop="1" thickBot="1" x14ac:dyDescent="0.25">
      <c r="A257" s="835" t="s">
        <v>289</v>
      </c>
      <c r="B257" s="835" t="s">
        <v>290</v>
      </c>
      <c r="C257" s="835" t="s">
        <v>288</v>
      </c>
      <c r="D257" s="835" t="s">
        <v>471</v>
      </c>
      <c r="E257" s="833">
        <f>'d3'!E257-d3П!E253</f>
        <v>2500000</v>
      </c>
      <c r="F257" s="833">
        <f>'d3'!F257-d3П!F253</f>
        <v>2500000</v>
      </c>
      <c r="G257" s="833">
        <f>'d3'!G257-d3П!G253</f>
        <v>0</v>
      </c>
      <c r="H257" s="833">
        <f>'d3'!H257-d3П!H253</f>
        <v>0</v>
      </c>
      <c r="I257" s="833">
        <f>'d3'!I257-d3П!I253</f>
        <v>0</v>
      </c>
      <c r="J257" s="833">
        <f>'d3'!J257-d3П!J253</f>
        <v>2800000</v>
      </c>
      <c r="K257" s="833">
        <f>'d3'!K257-d3П!K253</f>
        <v>2800000</v>
      </c>
      <c r="L257" s="833">
        <f>'d3'!L257-d3П!L253</f>
        <v>0</v>
      </c>
      <c r="M257" s="833">
        <f>'d3'!M257-d3П!M253</f>
        <v>0</v>
      </c>
      <c r="N257" s="833">
        <f>'d3'!N257-d3П!N253</f>
        <v>0</v>
      </c>
      <c r="O257" s="833">
        <f>'d3'!O257-d3П!O253</f>
        <v>2800000</v>
      </c>
      <c r="P257" s="833">
        <f>'d3'!P257-d3П!P253</f>
        <v>5300000</v>
      </c>
      <c r="Q257" s="22"/>
      <c r="R257" s="57"/>
    </row>
    <row r="258" spans="1:18" ht="230.25" thickTop="1" thickBot="1" x14ac:dyDescent="0.25">
      <c r="A258" s="835" t="s">
        <v>942</v>
      </c>
      <c r="B258" s="835" t="s">
        <v>302</v>
      </c>
      <c r="C258" s="835" t="s">
        <v>288</v>
      </c>
      <c r="D258" s="835" t="s">
        <v>303</v>
      </c>
      <c r="E258" s="833">
        <f>'d3'!E258-d3П!E254</f>
        <v>5008100</v>
      </c>
      <c r="F258" s="833">
        <f>'d3'!F258-d3П!F254</f>
        <v>5008100</v>
      </c>
      <c r="G258" s="833">
        <f>'d3'!G258-d3П!G254</f>
        <v>0</v>
      </c>
      <c r="H258" s="833">
        <f>'d3'!H258-d3П!H254</f>
        <v>0</v>
      </c>
      <c r="I258" s="833">
        <f>'d3'!I258-d3П!I254</f>
        <v>0</v>
      </c>
      <c r="J258" s="833">
        <f>'d3'!J258-d3П!J254</f>
        <v>0</v>
      </c>
      <c r="K258" s="833">
        <f>'d3'!K258-d3П!K254</f>
        <v>0</v>
      </c>
      <c r="L258" s="833">
        <f>'d3'!L258-d3П!L254</f>
        <v>0</v>
      </c>
      <c r="M258" s="833">
        <f>'d3'!M258-d3П!M254</f>
        <v>0</v>
      </c>
      <c r="N258" s="833">
        <f>'d3'!N258-d3П!N254</f>
        <v>0</v>
      </c>
      <c r="O258" s="833">
        <f>'d3'!O258-d3П!O254</f>
        <v>0</v>
      </c>
      <c r="P258" s="833">
        <f>'d3'!P258-d3П!P254</f>
        <v>5008100</v>
      </c>
      <c r="Q258" s="22"/>
      <c r="R258" s="57"/>
    </row>
    <row r="259" spans="1:18" ht="93" thickTop="1" thickBot="1" x14ac:dyDescent="0.25">
      <c r="A259" s="835" t="s">
        <v>293</v>
      </c>
      <c r="B259" s="835" t="s">
        <v>294</v>
      </c>
      <c r="C259" s="835" t="s">
        <v>288</v>
      </c>
      <c r="D259" s="835" t="s">
        <v>295</v>
      </c>
      <c r="E259" s="833">
        <f>'d3'!E259-d3П!E255</f>
        <v>20000000</v>
      </c>
      <c r="F259" s="833">
        <f>'d3'!F259-d3П!F255</f>
        <v>20000000</v>
      </c>
      <c r="G259" s="833">
        <f>'d3'!G259-d3П!G255</f>
        <v>0</v>
      </c>
      <c r="H259" s="833">
        <f>'d3'!H259-d3П!H255</f>
        <v>0</v>
      </c>
      <c r="I259" s="833">
        <f>'d3'!I259-d3П!I255</f>
        <v>0</v>
      </c>
      <c r="J259" s="833">
        <f>'d3'!J259-d3П!J255</f>
        <v>11186038</v>
      </c>
      <c r="K259" s="833">
        <f>'d3'!K259-d3П!K255</f>
        <v>11186038</v>
      </c>
      <c r="L259" s="833">
        <f>'d3'!L259-d3П!L255</f>
        <v>0</v>
      </c>
      <c r="M259" s="833">
        <f>'d3'!M259-d3П!M255</f>
        <v>0</v>
      </c>
      <c r="N259" s="833">
        <f>'d3'!N259-d3П!N255</f>
        <v>0</v>
      </c>
      <c r="O259" s="833">
        <f>'d3'!O259-d3П!O255</f>
        <v>11186038</v>
      </c>
      <c r="P259" s="833">
        <f>'d3'!P259-d3П!P255</f>
        <v>31186038</v>
      </c>
      <c r="Q259" s="22"/>
      <c r="R259" s="53"/>
    </row>
    <row r="260" spans="1:18" ht="138.75" thickTop="1" thickBot="1" x14ac:dyDescent="0.25">
      <c r="A260" s="835" t="s">
        <v>1340</v>
      </c>
      <c r="B260" s="835" t="s">
        <v>1193</v>
      </c>
      <c r="C260" s="835" t="s">
        <v>1194</v>
      </c>
      <c r="D260" s="835" t="s">
        <v>1191</v>
      </c>
      <c r="E260" s="833">
        <f>'d3'!E260-d3П!E256</f>
        <v>3000000</v>
      </c>
      <c r="F260" s="833">
        <f>'d3'!F260-d3П!F256</f>
        <v>3000000</v>
      </c>
      <c r="G260" s="833">
        <f>'d3'!G260-d3П!G256</f>
        <v>0</v>
      </c>
      <c r="H260" s="833">
        <f>'d3'!H260-d3П!H256</f>
        <v>0</v>
      </c>
      <c r="I260" s="833">
        <f>'d3'!I260-d3П!I256</f>
        <v>0</v>
      </c>
      <c r="J260" s="833">
        <f>'d3'!J260-d3П!J256</f>
        <v>0</v>
      </c>
      <c r="K260" s="833">
        <f>'d3'!K260-d3П!K256</f>
        <v>0</v>
      </c>
      <c r="L260" s="833">
        <f>'d3'!L260-d3П!L256</f>
        <v>0</v>
      </c>
      <c r="M260" s="833">
        <f>'d3'!M260-d3П!M256</f>
        <v>0</v>
      </c>
      <c r="N260" s="833">
        <f>'d3'!N260-d3П!N256</f>
        <v>0</v>
      </c>
      <c r="O260" s="833">
        <f>'d3'!O260-d3П!O256</f>
        <v>0</v>
      </c>
      <c r="P260" s="833">
        <f>'d3'!P260-d3П!P256</f>
        <v>3000000</v>
      </c>
      <c r="Q260" s="22"/>
      <c r="R260" s="53"/>
    </row>
    <row r="261" spans="1:18" ht="47.25" thickTop="1" thickBot="1" x14ac:dyDescent="0.25">
      <c r="A261" s="385" t="s">
        <v>803</v>
      </c>
      <c r="B261" s="385" t="s">
        <v>757</v>
      </c>
      <c r="C261" s="385"/>
      <c r="D261" s="385" t="s">
        <v>804</v>
      </c>
      <c r="E261" s="833">
        <f>'d3'!E261-d3П!E257</f>
        <v>0</v>
      </c>
      <c r="F261" s="833">
        <f>'d3'!F261-d3П!F257</f>
        <v>0</v>
      </c>
      <c r="G261" s="833">
        <f>'d3'!G261-d3П!G257</f>
        <v>0</v>
      </c>
      <c r="H261" s="833">
        <f>'d3'!H261-d3П!H257</f>
        <v>0</v>
      </c>
      <c r="I261" s="833">
        <f>'d3'!I261-d3П!I257</f>
        <v>0</v>
      </c>
      <c r="J261" s="833">
        <f>'d3'!J261-d3П!J257</f>
        <v>15782891.999999996</v>
      </c>
      <c r="K261" s="833">
        <f>'d3'!K261-d3П!K257</f>
        <v>15782892</v>
      </c>
      <c r="L261" s="833">
        <f>'d3'!L261-d3П!L257</f>
        <v>0</v>
      </c>
      <c r="M261" s="833">
        <f>'d3'!M261-d3П!M257</f>
        <v>0</v>
      </c>
      <c r="N261" s="833">
        <f>'d3'!N261-d3П!N257</f>
        <v>0</v>
      </c>
      <c r="O261" s="833">
        <f>'d3'!O261-d3П!O257</f>
        <v>15782892</v>
      </c>
      <c r="P261" s="833">
        <f>'d3'!P261-d3П!P257</f>
        <v>15782891.999999998</v>
      </c>
      <c r="Q261" s="22"/>
      <c r="R261" s="53"/>
    </row>
    <row r="262" spans="1:18" ht="91.5" thickTop="1" thickBot="1" x14ac:dyDescent="0.25">
      <c r="A262" s="387" t="s">
        <v>1189</v>
      </c>
      <c r="B262" s="387" t="s">
        <v>813</v>
      </c>
      <c r="C262" s="387"/>
      <c r="D262" s="387" t="s">
        <v>814</v>
      </c>
      <c r="E262" s="833">
        <f>'d3'!E262-d3П!E258</f>
        <v>0</v>
      </c>
      <c r="F262" s="833">
        <f>'d3'!F262-d3П!F258</f>
        <v>0</v>
      </c>
      <c r="G262" s="833">
        <f>'d3'!G262-d3П!G258</f>
        <v>0</v>
      </c>
      <c r="H262" s="833">
        <f>'d3'!H262-d3П!H258</f>
        <v>0</v>
      </c>
      <c r="I262" s="833">
        <f>'d3'!I262-d3П!I258</f>
        <v>0</v>
      </c>
      <c r="J262" s="833">
        <f>'d3'!J262-d3П!J258</f>
        <v>100000</v>
      </c>
      <c r="K262" s="833">
        <f>'d3'!K262-d3П!K258</f>
        <v>100000</v>
      </c>
      <c r="L262" s="833">
        <f>'d3'!L262-d3П!L258</f>
        <v>0</v>
      </c>
      <c r="M262" s="833">
        <f>'d3'!M262-d3П!M258</f>
        <v>0</v>
      </c>
      <c r="N262" s="833">
        <f>'d3'!N262-d3П!N258</f>
        <v>0</v>
      </c>
      <c r="O262" s="833">
        <f>'d3'!O262-d3П!O258</f>
        <v>100000</v>
      </c>
      <c r="P262" s="833">
        <f>'d3'!P262-d3П!P258</f>
        <v>100000</v>
      </c>
      <c r="Q262" s="22"/>
      <c r="R262" s="53"/>
    </row>
    <row r="263" spans="1:18" ht="99.75" thickTop="1" thickBot="1" x14ac:dyDescent="0.25">
      <c r="A263" s="835" t="s">
        <v>1190</v>
      </c>
      <c r="B263" s="835" t="s">
        <v>310</v>
      </c>
      <c r="C263" s="835" t="s">
        <v>309</v>
      </c>
      <c r="D263" s="835" t="s">
        <v>1342</v>
      </c>
      <c r="E263" s="833">
        <f>'d3'!E263-d3П!E259</f>
        <v>0</v>
      </c>
      <c r="F263" s="833">
        <f>'d3'!F263-d3П!F259</f>
        <v>0</v>
      </c>
      <c r="G263" s="833">
        <f>'d3'!G263-d3П!G259</f>
        <v>0</v>
      </c>
      <c r="H263" s="833">
        <f>'d3'!H263-d3П!H259</f>
        <v>0</v>
      </c>
      <c r="I263" s="833">
        <f>'d3'!I263-d3П!I259</f>
        <v>0</v>
      </c>
      <c r="J263" s="833">
        <f>'d3'!J263-d3П!J259</f>
        <v>100000</v>
      </c>
      <c r="K263" s="833">
        <f>'d3'!K263-d3П!K259</f>
        <v>100000</v>
      </c>
      <c r="L263" s="833">
        <f>'d3'!L263-d3П!L259</f>
        <v>0</v>
      </c>
      <c r="M263" s="833">
        <f>'d3'!M263-d3П!M259</f>
        <v>0</v>
      </c>
      <c r="N263" s="833">
        <f>'d3'!N263-d3П!N259</f>
        <v>0</v>
      </c>
      <c r="O263" s="833">
        <f>'d3'!O263-d3П!O259</f>
        <v>100000</v>
      </c>
      <c r="P263" s="833">
        <f>'d3'!P263-d3П!P259</f>
        <v>100000</v>
      </c>
      <c r="Q263" s="22"/>
      <c r="R263" s="53"/>
    </row>
    <row r="264" spans="1:18" ht="136.5" thickTop="1" thickBot="1" x14ac:dyDescent="0.25">
      <c r="A264" s="387" t="s">
        <v>805</v>
      </c>
      <c r="B264" s="387" t="s">
        <v>700</v>
      </c>
      <c r="C264" s="387"/>
      <c r="D264" s="387" t="s">
        <v>698</v>
      </c>
      <c r="E264" s="833">
        <f>'d3'!E264-d3П!E260</f>
        <v>0</v>
      </c>
      <c r="F264" s="833">
        <f>'d3'!F264-d3П!F260</f>
        <v>0</v>
      </c>
      <c r="G264" s="833">
        <f>'d3'!G264-d3П!G260</f>
        <v>0</v>
      </c>
      <c r="H264" s="833">
        <f>'d3'!H264-d3П!H260</f>
        <v>0</v>
      </c>
      <c r="I264" s="833">
        <f>'d3'!I264-d3П!I260</f>
        <v>0</v>
      </c>
      <c r="J264" s="833">
        <f>'d3'!J264-d3П!J260</f>
        <v>15682892</v>
      </c>
      <c r="K264" s="833">
        <f>'d3'!K264-d3П!K260</f>
        <v>15682892</v>
      </c>
      <c r="L264" s="833">
        <f>'d3'!L264-d3П!L260</f>
        <v>0</v>
      </c>
      <c r="M264" s="833">
        <f>'d3'!M264-d3П!M260</f>
        <v>0</v>
      </c>
      <c r="N264" s="833">
        <f>'d3'!N264-d3П!N260</f>
        <v>0</v>
      </c>
      <c r="O264" s="833">
        <f>'d3'!O264-d3П!O260</f>
        <v>15682892</v>
      </c>
      <c r="P264" s="833">
        <f>'d3'!P264-d3П!P260</f>
        <v>15682891.999999998</v>
      </c>
      <c r="Q264" s="22"/>
      <c r="R264" s="53"/>
    </row>
    <row r="265" spans="1:18" ht="47.25" thickTop="1" thickBot="1" x14ac:dyDescent="0.25">
      <c r="A265" s="835" t="s">
        <v>301</v>
      </c>
      <c r="B265" s="835" t="s">
        <v>217</v>
      </c>
      <c r="C265" s="835" t="s">
        <v>218</v>
      </c>
      <c r="D265" s="835" t="s">
        <v>41</v>
      </c>
      <c r="E265" s="833">
        <f>'d3'!E265-d3П!E261</f>
        <v>0</v>
      </c>
      <c r="F265" s="833">
        <f>'d3'!F265-d3П!F261</f>
        <v>0</v>
      </c>
      <c r="G265" s="833">
        <f>'d3'!G265-d3П!G261</f>
        <v>0</v>
      </c>
      <c r="H265" s="833">
        <f>'d3'!H265-d3П!H261</f>
        <v>0</v>
      </c>
      <c r="I265" s="833">
        <f>'d3'!I265-d3П!I261</f>
        <v>0</v>
      </c>
      <c r="J265" s="833">
        <f>'d3'!J265-d3П!J261</f>
        <v>0</v>
      </c>
      <c r="K265" s="833">
        <f>'d3'!K265-d3П!K261</f>
        <v>0</v>
      </c>
      <c r="L265" s="833">
        <f>'d3'!L265-d3П!L261</f>
        <v>0</v>
      </c>
      <c r="M265" s="833">
        <f>'d3'!M265-d3П!M261</f>
        <v>0</v>
      </c>
      <c r="N265" s="833">
        <f>'d3'!N265-d3П!N261</f>
        <v>0</v>
      </c>
      <c r="O265" s="833">
        <f>'d3'!O265-d3П!O261</f>
        <v>0</v>
      </c>
      <c r="P265" s="833">
        <f>'d3'!P265-d3П!P261</f>
        <v>0</v>
      </c>
      <c r="Q265" s="22"/>
      <c r="R265" s="57"/>
    </row>
    <row r="266" spans="1:18" ht="93" thickTop="1" thickBot="1" x14ac:dyDescent="0.25">
      <c r="A266" s="835" t="s">
        <v>931</v>
      </c>
      <c r="B266" s="835" t="s">
        <v>202</v>
      </c>
      <c r="C266" s="835" t="s">
        <v>171</v>
      </c>
      <c r="D266" s="835" t="s">
        <v>34</v>
      </c>
      <c r="E266" s="833">
        <f>'d3'!E266-d3П!E262</f>
        <v>0</v>
      </c>
      <c r="F266" s="833">
        <f>'d3'!F266-d3П!F262</f>
        <v>0</v>
      </c>
      <c r="G266" s="833">
        <f>'d3'!G266-d3П!G262</f>
        <v>0</v>
      </c>
      <c r="H266" s="833">
        <f>'d3'!H266-d3П!H262</f>
        <v>0</v>
      </c>
      <c r="I266" s="833">
        <f>'d3'!I266-d3П!I262</f>
        <v>0</v>
      </c>
      <c r="J266" s="833">
        <f>'d3'!J266-d3П!J262</f>
        <v>15682892</v>
      </c>
      <c r="K266" s="833">
        <f>'d3'!K266-d3П!K262</f>
        <v>15682892</v>
      </c>
      <c r="L266" s="833">
        <f>'d3'!L266-d3П!L262</f>
        <v>0</v>
      </c>
      <c r="M266" s="833">
        <f>'d3'!M266-d3П!M262</f>
        <v>0</v>
      </c>
      <c r="N266" s="833">
        <f>'d3'!N266-d3П!N262</f>
        <v>0</v>
      </c>
      <c r="O266" s="833">
        <f>'d3'!O266-d3П!O262</f>
        <v>15682892</v>
      </c>
      <c r="P266" s="833">
        <f>'d3'!P266-d3П!P262</f>
        <v>15682892</v>
      </c>
      <c r="Q266" s="22"/>
      <c r="R266" s="57"/>
    </row>
    <row r="267" spans="1:18" ht="47.25" thickTop="1" thickBot="1" x14ac:dyDescent="0.25">
      <c r="A267" s="455" t="s">
        <v>806</v>
      </c>
      <c r="B267" s="455" t="s">
        <v>703</v>
      </c>
      <c r="C267" s="455"/>
      <c r="D267" s="455" t="s">
        <v>807</v>
      </c>
      <c r="E267" s="833">
        <f>'d3'!E267-d3П!E263</f>
        <v>0</v>
      </c>
      <c r="F267" s="833">
        <f>'d3'!F267-d3П!F263</f>
        <v>0</v>
      </c>
      <c r="G267" s="833">
        <f>'d3'!G267-d3П!G263</f>
        <v>0</v>
      </c>
      <c r="H267" s="833">
        <f>'d3'!H267-d3П!H263</f>
        <v>0</v>
      </c>
      <c r="I267" s="833">
        <f>'d3'!I267-d3П!I263</f>
        <v>0</v>
      </c>
      <c r="J267" s="833">
        <f>'d3'!J267-d3П!J263</f>
        <v>0</v>
      </c>
      <c r="K267" s="833">
        <f>'d3'!K267-d3П!K263</f>
        <v>0</v>
      </c>
      <c r="L267" s="833">
        <f>'d3'!L267-d3П!L263</f>
        <v>0</v>
      </c>
      <c r="M267" s="833">
        <f>'d3'!M267-d3П!M263</f>
        <v>0</v>
      </c>
      <c r="N267" s="833">
        <f>'d3'!N267-d3П!N263</f>
        <v>0</v>
      </c>
      <c r="O267" s="833">
        <f>'d3'!O267-d3П!O263</f>
        <v>0</v>
      </c>
      <c r="P267" s="833">
        <f>'d3'!P267-d3П!P263</f>
        <v>0</v>
      </c>
      <c r="Q267" s="22"/>
      <c r="R267" s="53"/>
    </row>
    <row r="268" spans="1:18" ht="409.6" thickTop="1" thickBot="1" x14ac:dyDescent="0.7">
      <c r="A268" s="895" t="s">
        <v>429</v>
      </c>
      <c r="B268" s="895" t="s">
        <v>343</v>
      </c>
      <c r="C268" s="895" t="s">
        <v>171</v>
      </c>
      <c r="D268" s="729" t="s">
        <v>445</v>
      </c>
      <c r="E268" s="897">
        <f>'d3'!E268-d3П!E264</f>
        <v>0</v>
      </c>
      <c r="F268" s="897">
        <f>'d3'!F268-d3П!F264</f>
        <v>0</v>
      </c>
      <c r="G268" s="897">
        <f>'d3'!G268-d3П!G264</f>
        <v>0</v>
      </c>
      <c r="H268" s="897">
        <f>'d3'!H268-d3П!H264</f>
        <v>0</v>
      </c>
      <c r="I268" s="897">
        <f>'d3'!I268-d3П!I264</f>
        <v>0</v>
      </c>
      <c r="J268" s="897">
        <f>'d3'!J268-d3П!J264</f>
        <v>0</v>
      </c>
      <c r="K268" s="897">
        <f>'d3'!K268-d3П!K264</f>
        <v>0</v>
      </c>
      <c r="L268" s="897">
        <f>'d3'!L268-d3П!L264</f>
        <v>0</v>
      </c>
      <c r="M268" s="897">
        <f>'d3'!M268-d3П!M264</f>
        <v>0</v>
      </c>
      <c r="N268" s="897">
        <f>'d3'!N268-d3П!N264</f>
        <v>0</v>
      </c>
      <c r="O268" s="897">
        <f>'d3'!O268-d3П!O264</f>
        <v>0</v>
      </c>
      <c r="P268" s="897">
        <f>'d3'!P268-d3П!P264</f>
        <v>0</v>
      </c>
      <c r="Q268" s="22"/>
      <c r="R268" s="53"/>
    </row>
    <row r="269" spans="1:18" ht="184.5" thickTop="1" thickBot="1" x14ac:dyDescent="0.25">
      <c r="A269" s="895"/>
      <c r="B269" s="895"/>
      <c r="C269" s="895"/>
      <c r="D269" s="730" t="s">
        <v>446</v>
      </c>
      <c r="E269" s="898"/>
      <c r="F269" s="898"/>
      <c r="G269" s="898"/>
      <c r="H269" s="898"/>
      <c r="I269" s="898"/>
      <c r="J269" s="898"/>
      <c r="K269" s="898"/>
      <c r="L269" s="898"/>
      <c r="M269" s="898"/>
      <c r="N269" s="898"/>
      <c r="O269" s="898"/>
      <c r="P269" s="898"/>
      <c r="Q269" s="22"/>
      <c r="R269" s="53"/>
    </row>
    <row r="270" spans="1:18" ht="47.25" hidden="1" thickTop="1" thickBot="1" x14ac:dyDescent="0.25">
      <c r="A270" s="159" t="s">
        <v>1280</v>
      </c>
      <c r="B270" s="159" t="s">
        <v>705</v>
      </c>
      <c r="C270" s="159"/>
      <c r="D270" s="159" t="s">
        <v>706</v>
      </c>
      <c r="E270" s="842">
        <f t="shared" ref="E270:P270" si="44">E271</f>
        <v>0</v>
      </c>
      <c r="F270" s="842">
        <f t="shared" si="44"/>
        <v>0</v>
      </c>
      <c r="G270" s="842">
        <f t="shared" si="44"/>
        <v>0</v>
      </c>
      <c r="H270" s="842">
        <f t="shared" si="44"/>
        <v>0</v>
      </c>
      <c r="I270" s="842">
        <f t="shared" si="44"/>
        <v>0</v>
      </c>
      <c r="J270" s="842">
        <f t="shared" si="44"/>
        <v>0</v>
      </c>
      <c r="K270" s="842">
        <f t="shared" si="44"/>
        <v>0</v>
      </c>
      <c r="L270" s="842">
        <f t="shared" si="44"/>
        <v>0</v>
      </c>
      <c r="M270" s="842">
        <f t="shared" si="44"/>
        <v>0</v>
      </c>
      <c r="N270" s="842">
        <f t="shared" si="44"/>
        <v>0</v>
      </c>
      <c r="O270" s="842">
        <f t="shared" si="44"/>
        <v>0</v>
      </c>
      <c r="P270" s="842">
        <f t="shared" si="44"/>
        <v>0</v>
      </c>
      <c r="Q270" s="22"/>
      <c r="R270" s="53"/>
    </row>
    <row r="271" spans="1:18" ht="91.5" hidden="1" thickTop="1" thickBot="1" x14ac:dyDescent="0.25">
      <c r="A271" s="170" t="s">
        <v>1281</v>
      </c>
      <c r="B271" s="170" t="s">
        <v>1234</v>
      </c>
      <c r="C271" s="170"/>
      <c r="D271" s="170" t="s">
        <v>1232</v>
      </c>
      <c r="E271" s="171">
        <f t="shared" ref="E271:P271" si="45">SUM(E272:E272)</f>
        <v>0</v>
      </c>
      <c r="F271" s="171">
        <f t="shared" si="45"/>
        <v>0</v>
      </c>
      <c r="G271" s="171">
        <f t="shared" si="45"/>
        <v>0</v>
      </c>
      <c r="H271" s="171">
        <f t="shared" si="45"/>
        <v>0</v>
      </c>
      <c r="I271" s="171">
        <f t="shared" si="45"/>
        <v>0</v>
      </c>
      <c r="J271" s="171">
        <f t="shared" si="45"/>
        <v>0</v>
      </c>
      <c r="K271" s="171">
        <f t="shared" si="45"/>
        <v>0</v>
      </c>
      <c r="L271" s="171">
        <f t="shared" si="45"/>
        <v>0</v>
      </c>
      <c r="M271" s="171">
        <f t="shared" si="45"/>
        <v>0</v>
      </c>
      <c r="N271" s="171">
        <f t="shared" si="45"/>
        <v>0</v>
      </c>
      <c r="O271" s="171">
        <f t="shared" si="45"/>
        <v>0</v>
      </c>
      <c r="P271" s="171">
        <f t="shared" si="45"/>
        <v>0</v>
      </c>
      <c r="Q271" s="22"/>
      <c r="R271" s="53"/>
    </row>
    <row r="272" spans="1:18" ht="93" hidden="1" thickTop="1" thickBot="1" x14ac:dyDescent="0.25">
      <c r="A272" s="836" t="s">
        <v>1282</v>
      </c>
      <c r="B272" s="836" t="s">
        <v>1262</v>
      </c>
      <c r="C272" s="836" t="s">
        <v>1236</v>
      </c>
      <c r="D272" s="836" t="s">
        <v>1263</v>
      </c>
      <c r="E272" s="842">
        <f>F272</f>
        <v>0</v>
      </c>
      <c r="F272" s="168"/>
      <c r="G272" s="168"/>
      <c r="H272" s="168"/>
      <c r="I272" s="168"/>
      <c r="J272" s="842">
        <f>L272+O272</f>
        <v>0</v>
      </c>
      <c r="K272" s="168"/>
      <c r="L272" s="168"/>
      <c r="M272" s="168"/>
      <c r="N272" s="168"/>
      <c r="O272" s="843">
        <f>K272</f>
        <v>0</v>
      </c>
      <c r="P272" s="842">
        <f>E272+J272</f>
        <v>0</v>
      </c>
      <c r="Q272" s="22"/>
      <c r="R272" s="53"/>
    </row>
    <row r="273" spans="1:18" ht="181.5" thickTop="1" thickBot="1" x14ac:dyDescent="0.25">
      <c r="A273" s="460" t="s">
        <v>546</v>
      </c>
      <c r="B273" s="460"/>
      <c r="C273" s="460"/>
      <c r="D273" s="461" t="s">
        <v>565</v>
      </c>
      <c r="E273" s="463">
        <f>E274</f>
        <v>14095745</v>
      </c>
      <c r="F273" s="462">
        <f t="shared" ref="F273:G273" si="46">F274</f>
        <v>14095745</v>
      </c>
      <c r="G273" s="462">
        <f t="shared" si="46"/>
        <v>0</v>
      </c>
      <c r="H273" s="462">
        <f>H274</f>
        <v>0</v>
      </c>
      <c r="I273" s="462">
        <f t="shared" ref="I273" si="47">I274</f>
        <v>0</v>
      </c>
      <c r="J273" s="463">
        <f>J274</f>
        <v>121463665</v>
      </c>
      <c r="K273" s="462">
        <f>K274</f>
        <v>120610723</v>
      </c>
      <c r="L273" s="462">
        <f>L274</f>
        <v>852942</v>
      </c>
      <c r="M273" s="462">
        <f t="shared" ref="M273" si="48">M274</f>
        <v>0</v>
      </c>
      <c r="N273" s="462">
        <f>N274</f>
        <v>0</v>
      </c>
      <c r="O273" s="463">
        <f>O274</f>
        <v>120610723</v>
      </c>
      <c r="P273" s="462">
        <f>P274</f>
        <v>135559410</v>
      </c>
      <c r="Q273" s="22"/>
      <c r="R273" s="53"/>
    </row>
    <row r="274" spans="1:18" ht="181.5" thickTop="1" thickBot="1" x14ac:dyDescent="0.25">
      <c r="A274" s="464" t="s">
        <v>547</v>
      </c>
      <c r="B274" s="464"/>
      <c r="C274" s="464"/>
      <c r="D274" s="465" t="s">
        <v>566</v>
      </c>
      <c r="E274" s="466">
        <f>E275+E279+E287+E300</f>
        <v>14095745</v>
      </c>
      <c r="F274" s="466">
        <f t="shared" ref="F274:I274" si="49">F275+F279+F287+F300</f>
        <v>14095745</v>
      </c>
      <c r="G274" s="466">
        <f t="shared" si="49"/>
        <v>0</v>
      </c>
      <c r="H274" s="466">
        <f t="shared" si="49"/>
        <v>0</v>
      </c>
      <c r="I274" s="466">
        <f t="shared" si="49"/>
        <v>0</v>
      </c>
      <c r="J274" s="466">
        <f t="shared" ref="J274" si="50">L274+O274</f>
        <v>121463665</v>
      </c>
      <c r="K274" s="466">
        <f t="shared" ref="K274:O274" si="51">K275+K279+K287+K300</f>
        <v>120610723</v>
      </c>
      <c r="L274" s="466">
        <f t="shared" si="51"/>
        <v>852942</v>
      </c>
      <c r="M274" s="466">
        <f t="shared" si="51"/>
        <v>0</v>
      </c>
      <c r="N274" s="466">
        <f t="shared" si="51"/>
        <v>0</v>
      </c>
      <c r="O274" s="466">
        <f t="shared" si="51"/>
        <v>120610723</v>
      </c>
      <c r="P274" s="466">
        <f>E274+J274</f>
        <v>135559410</v>
      </c>
      <c r="Q274" s="392" t="b">
        <f>P274=P276+P278+P281+P282+P284+P285+P292+P294+P295+P302+P303+P289+P286+P283+P297</f>
        <v>1</v>
      </c>
      <c r="R274" s="48"/>
    </row>
    <row r="275" spans="1:18" ht="47.25" thickTop="1" thickBot="1" x14ac:dyDescent="0.25">
      <c r="A275" s="385" t="s">
        <v>808</v>
      </c>
      <c r="B275" s="385" t="s">
        <v>693</v>
      </c>
      <c r="C275" s="385"/>
      <c r="D275" s="385" t="s">
        <v>694</v>
      </c>
      <c r="E275" s="833">
        <f>'d3'!E275-d3П!E271</f>
        <v>0</v>
      </c>
      <c r="F275" s="833">
        <f>'d3'!F275-d3П!F271</f>
        <v>0</v>
      </c>
      <c r="G275" s="833">
        <f>'d3'!G275-d3П!G271</f>
        <v>0</v>
      </c>
      <c r="H275" s="833">
        <f>'d3'!H275-d3П!H271</f>
        <v>0</v>
      </c>
      <c r="I275" s="833">
        <f>'d3'!I275-d3П!I271</f>
        <v>0</v>
      </c>
      <c r="J275" s="833">
        <f>'d3'!J275-d3П!J271</f>
        <v>0</v>
      </c>
      <c r="K275" s="833">
        <f>'d3'!K275-d3П!K271</f>
        <v>0</v>
      </c>
      <c r="L275" s="833">
        <f>'d3'!L275-d3П!L271</f>
        <v>0</v>
      </c>
      <c r="M275" s="833">
        <f>'d3'!M275-d3П!M271</f>
        <v>0</v>
      </c>
      <c r="N275" s="833">
        <f>'d3'!N275-d3П!N271</f>
        <v>0</v>
      </c>
      <c r="O275" s="833">
        <f>'d3'!O275-d3П!O271</f>
        <v>0</v>
      </c>
      <c r="P275" s="833">
        <f>'d3'!P275-d3П!P271</f>
        <v>0</v>
      </c>
      <c r="Q275" s="50"/>
      <c r="R275" s="48"/>
    </row>
    <row r="276" spans="1:18" ht="230.25" thickTop="1" thickBot="1" x14ac:dyDescent="0.25">
      <c r="A276" s="835" t="s">
        <v>548</v>
      </c>
      <c r="B276" s="835" t="s">
        <v>241</v>
      </c>
      <c r="C276" s="835" t="s">
        <v>239</v>
      </c>
      <c r="D276" s="835" t="s">
        <v>240</v>
      </c>
      <c r="E276" s="833">
        <f>'d3'!E276-d3П!E272</f>
        <v>0</v>
      </c>
      <c r="F276" s="833">
        <f>'d3'!F276-d3П!F272</f>
        <v>0</v>
      </c>
      <c r="G276" s="833">
        <f>'d3'!G276-d3П!G272</f>
        <v>0</v>
      </c>
      <c r="H276" s="833">
        <f>'d3'!H276-d3П!H272</f>
        <v>0</v>
      </c>
      <c r="I276" s="833">
        <f>'d3'!I276-d3П!I272</f>
        <v>0</v>
      </c>
      <c r="J276" s="833">
        <f>'d3'!J276-d3П!J272</f>
        <v>0</v>
      </c>
      <c r="K276" s="833">
        <f>'d3'!K276-d3П!K272</f>
        <v>0</v>
      </c>
      <c r="L276" s="833">
        <f>'d3'!L276-d3П!L272</f>
        <v>0</v>
      </c>
      <c r="M276" s="833">
        <f>'d3'!M276-d3П!M272</f>
        <v>0</v>
      </c>
      <c r="N276" s="833">
        <f>'d3'!N276-d3П!N272</f>
        <v>0</v>
      </c>
      <c r="O276" s="833">
        <f>'d3'!O276-d3П!O272</f>
        <v>0</v>
      </c>
      <c r="P276" s="833">
        <f>'d3'!P276-d3П!P272</f>
        <v>0</v>
      </c>
      <c r="Q276" s="22"/>
      <c r="R276" s="48"/>
    </row>
    <row r="277" spans="1:18" ht="184.5" hidden="1" thickTop="1" thickBot="1" x14ac:dyDescent="0.25">
      <c r="A277" s="836" t="s">
        <v>638</v>
      </c>
      <c r="B277" s="836" t="s">
        <v>367</v>
      </c>
      <c r="C277" s="836" t="s">
        <v>634</v>
      </c>
      <c r="D277" s="836" t="s">
        <v>635</v>
      </c>
      <c r="E277" s="186"/>
      <c r="F277" s="163"/>
      <c r="G277" s="163"/>
      <c r="H277" s="163"/>
      <c r="I277" s="163"/>
      <c r="J277" s="842"/>
      <c r="K277" s="163"/>
      <c r="L277" s="164"/>
      <c r="M277" s="164"/>
      <c r="N277" s="164"/>
      <c r="O277" s="843"/>
      <c r="P277" s="842"/>
      <c r="Q277" s="22"/>
      <c r="R277" s="48"/>
    </row>
    <row r="278" spans="1:18" ht="93" thickTop="1" thickBot="1" x14ac:dyDescent="0.25">
      <c r="A278" s="835" t="s">
        <v>549</v>
      </c>
      <c r="B278" s="835" t="s">
        <v>43</v>
      </c>
      <c r="C278" s="835" t="s">
        <v>42</v>
      </c>
      <c r="D278" s="835" t="s">
        <v>253</v>
      </c>
      <c r="E278" s="833">
        <f>'d3'!E278-d3П!E274</f>
        <v>0</v>
      </c>
      <c r="F278" s="833">
        <f>'d3'!F278-d3П!F274</f>
        <v>0</v>
      </c>
      <c r="G278" s="833">
        <f>'d3'!G278-d3П!G274</f>
        <v>0</v>
      </c>
      <c r="H278" s="833">
        <f>'d3'!H278-d3П!H274</f>
        <v>0</v>
      </c>
      <c r="I278" s="833">
        <f>'d3'!I278-d3П!I274</f>
        <v>0</v>
      </c>
      <c r="J278" s="833">
        <f>'d3'!J278-d3П!J274</f>
        <v>0</v>
      </c>
      <c r="K278" s="833">
        <f>'d3'!K278-d3П!K274</f>
        <v>0</v>
      </c>
      <c r="L278" s="833">
        <f>'d3'!L278-d3П!L274</f>
        <v>0</v>
      </c>
      <c r="M278" s="833">
        <f>'d3'!M278-d3П!M274</f>
        <v>0</v>
      </c>
      <c r="N278" s="833">
        <f>'d3'!N278-d3П!N274</f>
        <v>0</v>
      </c>
      <c r="O278" s="833">
        <f>'d3'!O278-d3П!O274</f>
        <v>0</v>
      </c>
      <c r="P278" s="833">
        <f>'d3'!P278-d3П!P274</f>
        <v>0</v>
      </c>
      <c r="Q278" s="22"/>
      <c r="R278" s="53"/>
    </row>
    <row r="279" spans="1:18" ht="91.5" thickTop="1" thickBot="1" x14ac:dyDescent="0.25">
      <c r="A279" s="385" t="s">
        <v>809</v>
      </c>
      <c r="B279" s="385" t="s">
        <v>751</v>
      </c>
      <c r="C279" s="385"/>
      <c r="D279" s="536" t="s">
        <v>752</v>
      </c>
      <c r="E279" s="833">
        <f>'d3'!E279-d3П!E275</f>
        <v>18738733</v>
      </c>
      <c r="F279" s="833">
        <f>'d3'!F279-d3П!F275</f>
        <v>18738733</v>
      </c>
      <c r="G279" s="833">
        <f>'d3'!G279-d3П!G275</f>
        <v>0</v>
      </c>
      <c r="H279" s="833">
        <f>'d3'!H279-d3П!H275</f>
        <v>0</v>
      </c>
      <c r="I279" s="833">
        <f>'d3'!I279-d3П!I275</f>
        <v>0</v>
      </c>
      <c r="J279" s="833">
        <f>'d3'!J279-d3П!J275</f>
        <v>1990000</v>
      </c>
      <c r="K279" s="833">
        <f>'d3'!K279-d3П!K275</f>
        <v>1990000</v>
      </c>
      <c r="L279" s="833">
        <f>'d3'!L279-d3П!L275</f>
        <v>0</v>
      </c>
      <c r="M279" s="833">
        <f>'d3'!M279-d3П!M275</f>
        <v>0</v>
      </c>
      <c r="N279" s="833">
        <f>'d3'!N279-d3П!N275</f>
        <v>0</v>
      </c>
      <c r="O279" s="833">
        <f>'d3'!O279-d3П!O275</f>
        <v>1990000</v>
      </c>
      <c r="P279" s="833">
        <f>'d3'!P279-d3П!P275</f>
        <v>20728733</v>
      </c>
      <c r="Q279" s="22"/>
      <c r="R279" s="53"/>
    </row>
    <row r="280" spans="1:18" ht="184.5" thickTop="1" thickBot="1" x14ac:dyDescent="0.25">
      <c r="A280" s="455" t="s">
        <v>810</v>
      </c>
      <c r="B280" s="455" t="s">
        <v>801</v>
      </c>
      <c r="C280" s="455"/>
      <c r="D280" s="455" t="s">
        <v>802</v>
      </c>
      <c r="E280" s="833">
        <f>'d3'!E280-d3П!E276</f>
        <v>10936308</v>
      </c>
      <c r="F280" s="833">
        <f>'d3'!F280-d3П!F276</f>
        <v>10936308</v>
      </c>
      <c r="G280" s="833">
        <f>'d3'!G280-d3П!G276</f>
        <v>0</v>
      </c>
      <c r="H280" s="833">
        <f>'d3'!H280-d3П!H276</f>
        <v>0</v>
      </c>
      <c r="I280" s="833">
        <f>'d3'!I280-d3П!I276</f>
        <v>0</v>
      </c>
      <c r="J280" s="833">
        <f>'d3'!J280-d3П!J276</f>
        <v>100000</v>
      </c>
      <c r="K280" s="833">
        <f>'d3'!K280-d3П!K276</f>
        <v>100000</v>
      </c>
      <c r="L280" s="833">
        <f>'d3'!L280-d3П!L276</f>
        <v>0</v>
      </c>
      <c r="M280" s="833">
        <f>'d3'!M280-d3П!M276</f>
        <v>0</v>
      </c>
      <c r="N280" s="833">
        <f>'d3'!N280-d3П!N276</f>
        <v>0</v>
      </c>
      <c r="O280" s="833">
        <f>'d3'!O280-d3П!O276</f>
        <v>100000</v>
      </c>
      <c r="P280" s="833">
        <f>'d3'!P280-d3П!P276</f>
        <v>11036308</v>
      </c>
      <c r="Q280" s="22"/>
      <c r="R280" s="53"/>
    </row>
    <row r="281" spans="1:18" ht="184.5" thickTop="1" thickBot="1" x14ac:dyDescent="0.25">
      <c r="A281" s="835" t="s">
        <v>550</v>
      </c>
      <c r="B281" s="835" t="s">
        <v>381</v>
      </c>
      <c r="C281" s="835" t="s">
        <v>288</v>
      </c>
      <c r="D281" s="835" t="s">
        <v>382</v>
      </c>
      <c r="E281" s="833">
        <f>'d3'!E281-d3П!E277</f>
        <v>0</v>
      </c>
      <c r="F281" s="833">
        <f>'d3'!F281-d3П!F277</f>
        <v>0</v>
      </c>
      <c r="G281" s="833">
        <f>'d3'!G281-d3П!G277</f>
        <v>0</v>
      </c>
      <c r="H281" s="833">
        <f>'d3'!H281-d3П!H277</f>
        <v>0</v>
      </c>
      <c r="I281" s="833">
        <f>'d3'!I281-d3П!I277</f>
        <v>0</v>
      </c>
      <c r="J281" s="833">
        <f>'d3'!J281-d3П!J277</f>
        <v>0</v>
      </c>
      <c r="K281" s="833">
        <f>'d3'!K281-d3П!K277</f>
        <v>0</v>
      </c>
      <c r="L281" s="833">
        <f>'d3'!L281-d3П!L277</f>
        <v>0</v>
      </c>
      <c r="M281" s="833">
        <f>'d3'!M281-d3П!M277</f>
        <v>0</v>
      </c>
      <c r="N281" s="833">
        <f>'d3'!N281-d3П!N277</f>
        <v>0</v>
      </c>
      <c r="O281" s="833">
        <f>'d3'!O281-d3П!O277</f>
        <v>0</v>
      </c>
      <c r="P281" s="833">
        <f>'d3'!P281-d3П!P277</f>
        <v>0</v>
      </c>
      <c r="Q281" s="22"/>
      <c r="R281" s="53"/>
    </row>
    <row r="282" spans="1:18" ht="138.75" thickTop="1" thickBot="1" x14ac:dyDescent="0.25">
      <c r="A282" s="835" t="s">
        <v>551</v>
      </c>
      <c r="B282" s="835" t="s">
        <v>291</v>
      </c>
      <c r="C282" s="835" t="s">
        <v>288</v>
      </c>
      <c r="D282" s="835" t="s">
        <v>292</v>
      </c>
      <c r="E282" s="833">
        <f>'d3'!E282-d3П!E278</f>
        <v>7209100</v>
      </c>
      <c r="F282" s="833">
        <f>'d3'!F282-d3П!F278</f>
        <v>7209100</v>
      </c>
      <c r="G282" s="833">
        <f>'d3'!G282-d3П!G278</f>
        <v>0</v>
      </c>
      <c r="H282" s="833">
        <f>'d3'!H282-d3П!H278</f>
        <v>0</v>
      </c>
      <c r="I282" s="833">
        <f>'d3'!I282-d3П!I278</f>
        <v>0</v>
      </c>
      <c r="J282" s="833">
        <f>'d3'!J282-d3П!J278</f>
        <v>100000</v>
      </c>
      <c r="K282" s="833">
        <f>'d3'!K282-d3П!K278</f>
        <v>100000</v>
      </c>
      <c r="L282" s="833">
        <f>'d3'!L282-d3П!L278</f>
        <v>0</v>
      </c>
      <c r="M282" s="833">
        <f>'d3'!M282-d3П!M278</f>
        <v>0</v>
      </c>
      <c r="N282" s="833">
        <f>'d3'!N282-d3П!N278</f>
        <v>0</v>
      </c>
      <c r="O282" s="833">
        <f>'d3'!O282-d3П!O278</f>
        <v>100000</v>
      </c>
      <c r="P282" s="833">
        <f>'d3'!P282-d3П!P278</f>
        <v>7309100</v>
      </c>
      <c r="Q282" s="22"/>
      <c r="R282" s="53"/>
    </row>
    <row r="283" spans="1:18" ht="184.5" thickTop="1" thickBot="1" x14ac:dyDescent="0.25">
      <c r="A283" s="835" t="s">
        <v>1541</v>
      </c>
      <c r="B283" s="835" t="s">
        <v>1542</v>
      </c>
      <c r="C283" s="835" t="s">
        <v>288</v>
      </c>
      <c r="D283" s="835" t="s">
        <v>1543</v>
      </c>
      <c r="E283" s="833">
        <f>'d3'!E283-0</f>
        <v>3727208</v>
      </c>
      <c r="F283" s="833">
        <f>'d3'!F283-0</f>
        <v>3727208</v>
      </c>
      <c r="G283" s="833">
        <f>'d3'!G283-0</f>
        <v>0</v>
      </c>
      <c r="H283" s="833">
        <f>'d3'!H283-0</f>
        <v>0</v>
      </c>
      <c r="I283" s="833">
        <f>'d3'!I283-0</f>
        <v>0</v>
      </c>
      <c r="J283" s="833">
        <f>'d3'!J283-0</f>
        <v>0</v>
      </c>
      <c r="K283" s="833">
        <f>'d3'!K283-0</f>
        <v>0</v>
      </c>
      <c r="L283" s="833">
        <f>'d3'!L283-0</f>
        <v>0</v>
      </c>
      <c r="M283" s="833">
        <f>'d3'!M283-0</f>
        <v>0</v>
      </c>
      <c r="N283" s="833">
        <f>'d3'!N283-0</f>
        <v>0</v>
      </c>
      <c r="O283" s="833">
        <f>'d3'!O283-0</f>
        <v>0</v>
      </c>
      <c r="P283" s="833">
        <f>'d3'!P283-0</f>
        <v>3727208</v>
      </c>
      <c r="Q283" s="22"/>
      <c r="R283" s="53"/>
    </row>
    <row r="284" spans="1:18" ht="230.25" thickTop="1" thickBot="1" x14ac:dyDescent="0.25">
      <c r="A284" s="835" t="s">
        <v>552</v>
      </c>
      <c r="B284" s="835" t="s">
        <v>302</v>
      </c>
      <c r="C284" s="835" t="s">
        <v>288</v>
      </c>
      <c r="D284" s="835" t="s">
        <v>303</v>
      </c>
      <c r="E284" s="833">
        <f>'d3'!E284-d3П!E279</f>
        <v>0</v>
      </c>
      <c r="F284" s="833">
        <f>'d3'!F284-d3П!F279</f>
        <v>0</v>
      </c>
      <c r="G284" s="833">
        <f>'d3'!G284-d3П!G279</f>
        <v>0</v>
      </c>
      <c r="H284" s="833">
        <f>'d3'!H284-d3П!H279</f>
        <v>0</v>
      </c>
      <c r="I284" s="833">
        <f>'d3'!I284-d3П!I279</f>
        <v>0</v>
      </c>
      <c r="J284" s="833">
        <f>'d3'!J284-d3П!J279</f>
        <v>0</v>
      </c>
      <c r="K284" s="833">
        <f>'d3'!K284-d3П!K279</f>
        <v>0</v>
      </c>
      <c r="L284" s="833">
        <f>'d3'!L284-d3П!L279</f>
        <v>0</v>
      </c>
      <c r="M284" s="833">
        <f>'d3'!M284-d3П!M279</f>
        <v>0</v>
      </c>
      <c r="N284" s="833">
        <f>'d3'!N284-d3П!N279</f>
        <v>0</v>
      </c>
      <c r="O284" s="833">
        <f>'d3'!O284-d3П!O279</f>
        <v>0</v>
      </c>
      <c r="P284" s="833">
        <f>'d3'!P284-d3П!P279</f>
        <v>0</v>
      </c>
      <c r="Q284" s="22"/>
      <c r="R284" s="53"/>
    </row>
    <row r="285" spans="1:18" ht="93" thickTop="1" thickBot="1" x14ac:dyDescent="0.25">
      <c r="A285" s="835" t="s">
        <v>553</v>
      </c>
      <c r="B285" s="835" t="s">
        <v>294</v>
      </c>
      <c r="C285" s="835" t="s">
        <v>288</v>
      </c>
      <c r="D285" s="835" t="s">
        <v>295</v>
      </c>
      <c r="E285" s="833">
        <f>'d3'!E285-d3П!E280</f>
        <v>7802425</v>
      </c>
      <c r="F285" s="833">
        <f>'d3'!F285-d3П!F280</f>
        <v>7802425</v>
      </c>
      <c r="G285" s="833">
        <f>'d3'!G285-d3П!G280</f>
        <v>0</v>
      </c>
      <c r="H285" s="833">
        <f>'d3'!H285-d3П!H280</f>
        <v>0</v>
      </c>
      <c r="I285" s="833">
        <f>'d3'!I285-d3П!I280</f>
        <v>0</v>
      </c>
      <c r="J285" s="833">
        <f>'d3'!J285-d3П!J280</f>
        <v>1890000</v>
      </c>
      <c r="K285" s="833">
        <f>'d3'!K285-d3П!K280</f>
        <v>1890000</v>
      </c>
      <c r="L285" s="833">
        <f>'d3'!L285-d3П!L280</f>
        <v>0</v>
      </c>
      <c r="M285" s="833">
        <f>'d3'!M285-d3П!M280</f>
        <v>0</v>
      </c>
      <c r="N285" s="833">
        <f>'d3'!N285-d3П!N280</f>
        <v>0</v>
      </c>
      <c r="O285" s="833">
        <f>'d3'!O285-d3П!O280</f>
        <v>1890000</v>
      </c>
      <c r="P285" s="833">
        <f>'d3'!P285-d3П!P280</f>
        <v>9692425</v>
      </c>
      <c r="Q285" s="22"/>
      <c r="R285" s="48"/>
    </row>
    <row r="286" spans="1:18" ht="138.75" thickTop="1" thickBot="1" x14ac:dyDescent="0.25">
      <c r="A286" s="835" t="s">
        <v>1192</v>
      </c>
      <c r="B286" s="835" t="s">
        <v>1193</v>
      </c>
      <c r="C286" s="835" t="s">
        <v>1194</v>
      </c>
      <c r="D286" s="835" t="s">
        <v>1191</v>
      </c>
      <c r="E286" s="833">
        <f>'d3'!E286-d3П!E281</f>
        <v>0</v>
      </c>
      <c r="F286" s="833">
        <f>'d3'!F286-d3П!F281</f>
        <v>0</v>
      </c>
      <c r="G286" s="833">
        <f>'d3'!G286-d3П!G281</f>
        <v>0</v>
      </c>
      <c r="H286" s="833">
        <f>'d3'!H286-d3П!H281</f>
        <v>0</v>
      </c>
      <c r="I286" s="833">
        <f>'d3'!I286-d3П!I281</f>
        <v>0</v>
      </c>
      <c r="J286" s="833">
        <f>'d3'!J286-d3П!J281</f>
        <v>0</v>
      </c>
      <c r="K286" s="833">
        <f>'d3'!K286-d3П!K281</f>
        <v>0</v>
      </c>
      <c r="L286" s="833">
        <f>'d3'!L286-d3П!L281</f>
        <v>0</v>
      </c>
      <c r="M286" s="833">
        <f>'d3'!M286-d3П!M281</f>
        <v>0</v>
      </c>
      <c r="N286" s="833">
        <f>'d3'!N286-d3П!N281</f>
        <v>0</v>
      </c>
      <c r="O286" s="833">
        <f>'d3'!O286-d3П!O281</f>
        <v>0</v>
      </c>
      <c r="P286" s="833">
        <f>'d3'!P286-d3П!P281</f>
        <v>0</v>
      </c>
      <c r="Q286" s="22"/>
      <c r="R286" s="48"/>
    </row>
    <row r="287" spans="1:18" ht="47.25" thickTop="1" thickBot="1" x14ac:dyDescent="0.25">
      <c r="A287" s="385" t="s">
        <v>811</v>
      </c>
      <c r="B287" s="385" t="s">
        <v>757</v>
      </c>
      <c r="C287" s="385"/>
      <c r="D287" s="385" t="s">
        <v>758</v>
      </c>
      <c r="E287" s="833">
        <f>'d3'!E287-d3П!E282</f>
        <v>-4642988</v>
      </c>
      <c r="F287" s="833">
        <f>'d3'!F287-d3П!F282</f>
        <v>-4642988</v>
      </c>
      <c r="G287" s="833">
        <f>'d3'!G287-d3П!G282</f>
        <v>0</v>
      </c>
      <c r="H287" s="833">
        <f>'d3'!H287-d3П!H282</f>
        <v>0</v>
      </c>
      <c r="I287" s="833">
        <f>'d3'!I287-d3П!I282</f>
        <v>0</v>
      </c>
      <c r="J287" s="833">
        <f>'d3'!J287-d3П!J282</f>
        <v>119473665</v>
      </c>
      <c r="K287" s="833">
        <f>'d3'!K287-d3П!K282</f>
        <v>118620723</v>
      </c>
      <c r="L287" s="833">
        <f>'d3'!L287-d3П!L282</f>
        <v>852942</v>
      </c>
      <c r="M287" s="833">
        <f>'d3'!M287-d3П!M282</f>
        <v>0</v>
      </c>
      <c r="N287" s="833">
        <f>'d3'!N287-d3П!N282</f>
        <v>0</v>
      </c>
      <c r="O287" s="833">
        <f>'d3'!O287-d3П!O282</f>
        <v>118620723</v>
      </c>
      <c r="P287" s="833">
        <f>'d3'!P287-d3П!P282</f>
        <v>114830677</v>
      </c>
      <c r="Q287" s="22"/>
      <c r="R287" s="53"/>
    </row>
    <row r="288" spans="1:18" ht="91.5" thickTop="1" thickBot="1" x14ac:dyDescent="0.25">
      <c r="A288" s="387" t="s">
        <v>812</v>
      </c>
      <c r="B288" s="387" t="s">
        <v>813</v>
      </c>
      <c r="C288" s="387"/>
      <c r="D288" s="387" t="s">
        <v>814</v>
      </c>
      <c r="E288" s="833">
        <f>'d3'!E288-d3П!E283</f>
        <v>0</v>
      </c>
      <c r="F288" s="833">
        <f>'d3'!F288-d3П!F283</f>
        <v>0</v>
      </c>
      <c r="G288" s="833">
        <f>'d3'!G288-d3П!G283</f>
        <v>0</v>
      </c>
      <c r="H288" s="833">
        <f>'d3'!H288-d3П!H283</f>
        <v>0</v>
      </c>
      <c r="I288" s="833">
        <f>'d3'!I288-d3П!I283</f>
        <v>0</v>
      </c>
      <c r="J288" s="833">
        <f>'d3'!J288-d3П!J283</f>
        <v>6645664</v>
      </c>
      <c r="K288" s="833">
        <f>'d3'!K288-d3П!K283</f>
        <v>6645664</v>
      </c>
      <c r="L288" s="833">
        <f>'d3'!L288-d3П!L283</f>
        <v>0</v>
      </c>
      <c r="M288" s="833">
        <f>'d3'!M288-d3П!M283</f>
        <v>0</v>
      </c>
      <c r="N288" s="833">
        <f>'d3'!N288-d3П!N283</f>
        <v>0</v>
      </c>
      <c r="O288" s="833">
        <f>'d3'!O288-d3П!O283</f>
        <v>6645664</v>
      </c>
      <c r="P288" s="833">
        <f>'d3'!P288-d3П!P283</f>
        <v>6645664</v>
      </c>
      <c r="Q288" s="22"/>
      <c r="R288" s="53"/>
    </row>
    <row r="289" spans="1:18" ht="99.75" thickTop="1" thickBot="1" x14ac:dyDescent="0.25">
      <c r="A289" s="835" t="s">
        <v>554</v>
      </c>
      <c r="B289" s="835" t="s">
        <v>310</v>
      </c>
      <c r="C289" s="835" t="s">
        <v>309</v>
      </c>
      <c r="D289" s="835" t="s">
        <v>1342</v>
      </c>
      <c r="E289" s="833">
        <f>'d3'!E289-d3П!E284</f>
        <v>0</v>
      </c>
      <c r="F289" s="833">
        <f>'d3'!F289-d3П!F284</f>
        <v>0</v>
      </c>
      <c r="G289" s="833">
        <f>'d3'!G289-d3П!G284</f>
        <v>0</v>
      </c>
      <c r="H289" s="833">
        <f>'d3'!H289-d3П!H284</f>
        <v>0</v>
      </c>
      <c r="I289" s="833">
        <f>'d3'!I289-d3П!I284</f>
        <v>0</v>
      </c>
      <c r="J289" s="833">
        <f>'d3'!J289-d3П!J284</f>
        <v>6645664</v>
      </c>
      <c r="K289" s="833">
        <f>'d3'!K289-d3П!K284</f>
        <v>6645664</v>
      </c>
      <c r="L289" s="833">
        <f>'d3'!L289-d3П!L284</f>
        <v>0</v>
      </c>
      <c r="M289" s="833">
        <f>'d3'!M289-d3П!M284</f>
        <v>0</v>
      </c>
      <c r="N289" s="833">
        <f>'d3'!N289-d3П!N284</f>
        <v>0</v>
      </c>
      <c r="O289" s="833">
        <f>'d3'!O289-d3П!O284</f>
        <v>6645664</v>
      </c>
      <c r="P289" s="833">
        <f>'d3'!P289-d3П!P284</f>
        <v>6645664</v>
      </c>
      <c r="Q289" s="22"/>
      <c r="R289" s="48"/>
    </row>
    <row r="290" spans="1:18" ht="136.5" thickTop="1" thickBot="1" x14ac:dyDescent="0.25">
      <c r="A290" s="387" t="s">
        <v>815</v>
      </c>
      <c r="B290" s="387" t="s">
        <v>816</v>
      </c>
      <c r="C290" s="387"/>
      <c r="D290" s="387" t="s">
        <v>817</v>
      </c>
      <c r="E290" s="833">
        <f>'d3'!E290-d3П!E285</f>
        <v>-4642988</v>
      </c>
      <c r="F290" s="833">
        <f>'d3'!F290-d3П!F285</f>
        <v>-4642988</v>
      </c>
      <c r="G290" s="833">
        <f>'d3'!G290-d3П!G285</f>
        <v>0</v>
      </c>
      <c r="H290" s="833">
        <f>'d3'!H290-d3П!H285</f>
        <v>0</v>
      </c>
      <c r="I290" s="833">
        <f>'d3'!I290-d3П!I285</f>
        <v>0</v>
      </c>
      <c r="J290" s="833">
        <f>'d3'!J290-d3П!J285</f>
        <v>18091131</v>
      </c>
      <c r="K290" s="833">
        <f>'d3'!K290-d3П!K285</f>
        <v>18091131</v>
      </c>
      <c r="L290" s="833">
        <f>'d3'!L290-d3П!L285</f>
        <v>0</v>
      </c>
      <c r="M290" s="833">
        <f>'d3'!M290-d3П!M285</f>
        <v>0</v>
      </c>
      <c r="N290" s="833">
        <f>'d3'!N290-d3П!N285</f>
        <v>0</v>
      </c>
      <c r="O290" s="833">
        <f>'d3'!O290-d3П!O285</f>
        <v>18091131</v>
      </c>
      <c r="P290" s="833">
        <f>'d3'!P290-d3П!P285</f>
        <v>13448143</v>
      </c>
      <c r="Q290" s="22"/>
      <c r="R290" s="53"/>
    </row>
    <row r="291" spans="1:18" ht="138.75" thickTop="1" thickBot="1" x14ac:dyDescent="0.25">
      <c r="A291" s="835" t="s">
        <v>975</v>
      </c>
      <c r="B291" s="455" t="s">
        <v>976</v>
      </c>
      <c r="C291" s="387"/>
      <c r="D291" s="455" t="s">
        <v>977</v>
      </c>
      <c r="E291" s="833">
        <f>'d3'!E291-d3П!E286</f>
        <v>-4642988</v>
      </c>
      <c r="F291" s="833">
        <f>'d3'!F291-d3П!F286</f>
        <v>-4642988</v>
      </c>
      <c r="G291" s="833">
        <f>'d3'!G291-d3П!G286</f>
        <v>0</v>
      </c>
      <c r="H291" s="833">
        <f>'d3'!H291-d3П!H286</f>
        <v>0</v>
      </c>
      <c r="I291" s="833">
        <f>'d3'!I291-d3П!I286</f>
        <v>0</v>
      </c>
      <c r="J291" s="833">
        <f>'d3'!J291-d3П!J286</f>
        <v>18091131</v>
      </c>
      <c r="K291" s="833">
        <f>'d3'!K291-d3П!K286</f>
        <v>18091131</v>
      </c>
      <c r="L291" s="833">
        <f>'d3'!L291-d3П!L286</f>
        <v>0</v>
      </c>
      <c r="M291" s="833">
        <f>'d3'!M291-d3П!M286</f>
        <v>0</v>
      </c>
      <c r="N291" s="833">
        <f>'d3'!N291-d3П!N286</f>
        <v>0</v>
      </c>
      <c r="O291" s="833">
        <f>'d3'!O291-d3П!O286</f>
        <v>18091131</v>
      </c>
      <c r="P291" s="833">
        <f>'d3'!P291-d3П!P286</f>
        <v>13448143</v>
      </c>
      <c r="Q291" s="22"/>
      <c r="R291" s="53"/>
    </row>
    <row r="292" spans="1:18" ht="230.25" thickTop="1" thickBot="1" x14ac:dyDescent="0.25">
      <c r="A292" s="835" t="s">
        <v>555</v>
      </c>
      <c r="B292" s="835" t="s">
        <v>298</v>
      </c>
      <c r="C292" s="835" t="s">
        <v>300</v>
      </c>
      <c r="D292" s="835" t="s">
        <v>299</v>
      </c>
      <c r="E292" s="833">
        <f>'d3'!E292-d3П!E287</f>
        <v>-4642988</v>
      </c>
      <c r="F292" s="833">
        <f>'d3'!F292-d3П!F287</f>
        <v>-4642988</v>
      </c>
      <c r="G292" s="833">
        <f>'d3'!G292-d3П!G287</f>
        <v>0</v>
      </c>
      <c r="H292" s="833">
        <f>'d3'!H292-d3П!H287</f>
        <v>0</v>
      </c>
      <c r="I292" s="833">
        <f>'d3'!I292-d3П!I287</f>
        <v>0</v>
      </c>
      <c r="J292" s="833">
        <f>'d3'!J292-d3П!J287</f>
        <v>18091131</v>
      </c>
      <c r="K292" s="833">
        <f>'d3'!K292-d3П!K287</f>
        <v>18091131</v>
      </c>
      <c r="L292" s="833">
        <f>'d3'!L292-d3П!L287</f>
        <v>0</v>
      </c>
      <c r="M292" s="833">
        <f>'d3'!M292-d3П!M287</f>
        <v>0</v>
      </c>
      <c r="N292" s="833">
        <f>'d3'!N292-d3П!N287</f>
        <v>0</v>
      </c>
      <c r="O292" s="833">
        <f>'d3'!O292-d3П!O287</f>
        <v>18091131</v>
      </c>
      <c r="P292" s="833">
        <f>'d3'!P292-d3П!P287</f>
        <v>13448143</v>
      </c>
      <c r="Q292" s="22"/>
      <c r="R292" s="48"/>
    </row>
    <row r="293" spans="1:18" ht="136.5" thickTop="1" thickBot="1" x14ac:dyDescent="0.25">
      <c r="A293" s="387" t="s">
        <v>818</v>
      </c>
      <c r="B293" s="387" t="s">
        <v>700</v>
      </c>
      <c r="C293" s="387"/>
      <c r="D293" s="387" t="s">
        <v>698</v>
      </c>
      <c r="E293" s="833">
        <f>'d3'!E293-d3П!E288</f>
        <v>0</v>
      </c>
      <c r="F293" s="833">
        <f>'d3'!F293-d3П!F288</f>
        <v>0</v>
      </c>
      <c r="G293" s="833">
        <f>'d3'!G293-d3П!G288</f>
        <v>0</v>
      </c>
      <c r="H293" s="833">
        <f>'d3'!H293-d3П!H288</f>
        <v>0</v>
      </c>
      <c r="I293" s="833">
        <f>'d3'!I293-d3П!I288</f>
        <v>0</v>
      </c>
      <c r="J293" s="833">
        <f>'d3'!J293-d3П!J288</f>
        <v>94736870</v>
      </c>
      <c r="K293" s="833">
        <f>'d3'!K293-d3П!K288</f>
        <v>93883928</v>
      </c>
      <c r="L293" s="833">
        <f>'d3'!L293-d3П!L288</f>
        <v>852942</v>
      </c>
      <c r="M293" s="833">
        <f>'d3'!M293-d3П!M288</f>
        <v>0</v>
      </c>
      <c r="N293" s="833">
        <f>'d3'!N293-d3П!N288</f>
        <v>0</v>
      </c>
      <c r="O293" s="833">
        <f>'d3'!O293-d3П!O288</f>
        <v>93883928</v>
      </c>
      <c r="P293" s="833">
        <f>'d3'!P293-d3П!P288</f>
        <v>94736870</v>
      </c>
      <c r="Q293" s="22"/>
      <c r="R293" s="48"/>
    </row>
    <row r="294" spans="1:18" ht="47.25" thickTop="1" thickBot="1" x14ac:dyDescent="0.25">
      <c r="A294" s="835" t="s">
        <v>556</v>
      </c>
      <c r="B294" s="835" t="s">
        <v>217</v>
      </c>
      <c r="C294" s="835" t="s">
        <v>218</v>
      </c>
      <c r="D294" s="835" t="s">
        <v>41</v>
      </c>
      <c r="E294" s="833">
        <f>'d3'!E294-d3П!E289</f>
        <v>0</v>
      </c>
      <c r="F294" s="833">
        <f>'d3'!F294-d3П!F289</f>
        <v>0</v>
      </c>
      <c r="G294" s="833">
        <f>'d3'!G294-d3П!G289</f>
        <v>0</v>
      </c>
      <c r="H294" s="833">
        <f>'d3'!H294-d3П!H289</f>
        <v>0</v>
      </c>
      <c r="I294" s="833">
        <f>'d3'!I294-d3П!I289</f>
        <v>0</v>
      </c>
      <c r="J294" s="833">
        <f>'d3'!J294-d3П!J289</f>
        <v>0</v>
      </c>
      <c r="K294" s="833">
        <f>'d3'!K294-d3П!K289</f>
        <v>0</v>
      </c>
      <c r="L294" s="833">
        <f>'d3'!L294-d3П!L289</f>
        <v>0</v>
      </c>
      <c r="M294" s="833">
        <f>'d3'!M294-d3П!M289</f>
        <v>0</v>
      </c>
      <c r="N294" s="833">
        <f>'d3'!N294-d3П!N289</f>
        <v>0</v>
      </c>
      <c r="O294" s="833">
        <f>'d3'!O294-d3П!O289</f>
        <v>0</v>
      </c>
      <c r="P294" s="833">
        <f>'d3'!P294-d3П!P289</f>
        <v>0</v>
      </c>
      <c r="Q294" s="22"/>
      <c r="R294" s="48"/>
    </row>
    <row r="295" spans="1:18" ht="93" thickTop="1" thickBot="1" x14ac:dyDescent="0.25">
      <c r="A295" s="835" t="s">
        <v>557</v>
      </c>
      <c r="B295" s="835" t="s">
        <v>202</v>
      </c>
      <c r="C295" s="835" t="s">
        <v>171</v>
      </c>
      <c r="D295" s="835" t="s">
        <v>34</v>
      </c>
      <c r="E295" s="833">
        <f>'d3'!E295-d3П!E290</f>
        <v>0</v>
      </c>
      <c r="F295" s="833">
        <f>'d3'!F295-d3П!F290</f>
        <v>0</v>
      </c>
      <c r="G295" s="833">
        <f>'d3'!G295-d3П!G290</f>
        <v>0</v>
      </c>
      <c r="H295" s="833">
        <f>'d3'!H295-d3П!H290</f>
        <v>0</v>
      </c>
      <c r="I295" s="833">
        <f>'d3'!I295-d3П!I290</f>
        <v>0</v>
      </c>
      <c r="J295" s="833">
        <f>'d3'!J295-d3П!J290</f>
        <v>93883928</v>
      </c>
      <c r="K295" s="833">
        <f>'d3'!K295-d3П!K290</f>
        <v>93883928</v>
      </c>
      <c r="L295" s="833">
        <f>'d3'!L295-d3П!L290</f>
        <v>0</v>
      </c>
      <c r="M295" s="833">
        <f>'d3'!M295-d3П!M290</f>
        <v>0</v>
      </c>
      <c r="N295" s="833">
        <f>'d3'!N295-d3П!N290</f>
        <v>0</v>
      </c>
      <c r="O295" s="833">
        <f>'d3'!O295-d3П!O290</f>
        <v>93883928</v>
      </c>
      <c r="P295" s="833">
        <f>'d3'!P295-d3П!P290</f>
        <v>93883928</v>
      </c>
      <c r="Q295" s="22"/>
      <c r="R295" s="48"/>
    </row>
    <row r="296" spans="1:18" ht="47.25" thickTop="1" thickBot="1" x14ac:dyDescent="0.25">
      <c r="A296" s="455" t="s">
        <v>819</v>
      </c>
      <c r="B296" s="455" t="s">
        <v>703</v>
      </c>
      <c r="C296" s="455"/>
      <c r="D296" s="455" t="s">
        <v>807</v>
      </c>
      <c r="E296" s="833">
        <f>'d3'!E296-d3П!E291</f>
        <v>0</v>
      </c>
      <c r="F296" s="833">
        <f>'d3'!F296-d3П!F291</f>
        <v>0</v>
      </c>
      <c r="G296" s="833">
        <f>'d3'!G296-d3П!G291</f>
        <v>0</v>
      </c>
      <c r="H296" s="833">
        <f>'d3'!H296-d3П!H291</f>
        <v>0</v>
      </c>
      <c r="I296" s="833">
        <f>'d3'!I296-d3П!I291</f>
        <v>0</v>
      </c>
      <c r="J296" s="833">
        <f>'d3'!J296-d3П!J291</f>
        <v>852942</v>
      </c>
      <c r="K296" s="833">
        <f>'d3'!K296-d3П!K291</f>
        <v>0</v>
      </c>
      <c r="L296" s="833">
        <f>'d3'!L296-d3П!L291</f>
        <v>852942</v>
      </c>
      <c r="M296" s="833">
        <f>'d3'!M296-d3П!M291</f>
        <v>0</v>
      </c>
      <c r="N296" s="833">
        <f>'d3'!N296-d3П!N291</f>
        <v>0</v>
      </c>
      <c r="O296" s="833">
        <f>'d3'!O296-d3П!O291</f>
        <v>0</v>
      </c>
      <c r="P296" s="833">
        <f>'d3'!P296-d3П!P291</f>
        <v>852942</v>
      </c>
      <c r="Q296" s="22"/>
      <c r="R296" s="53"/>
    </row>
    <row r="297" spans="1:18" ht="382.5" customHeight="1" thickTop="1" thickBot="1" x14ac:dyDescent="0.7">
      <c r="A297" s="895" t="s">
        <v>558</v>
      </c>
      <c r="B297" s="895" t="s">
        <v>343</v>
      </c>
      <c r="C297" s="895" t="s">
        <v>171</v>
      </c>
      <c r="D297" s="729" t="s">
        <v>445</v>
      </c>
      <c r="E297" s="897">
        <f>'d3'!E297-d3П!E292</f>
        <v>0</v>
      </c>
      <c r="F297" s="897">
        <f>'d3'!F297-d3П!F292</f>
        <v>0</v>
      </c>
      <c r="G297" s="897">
        <f>'d3'!G297-d3П!G292</f>
        <v>0</v>
      </c>
      <c r="H297" s="897">
        <f>'d3'!H297-d3П!H292</f>
        <v>0</v>
      </c>
      <c r="I297" s="897">
        <f>'d3'!I297-d3П!I292</f>
        <v>0</v>
      </c>
      <c r="J297" s="897">
        <f>'d3'!J297-d3П!J292</f>
        <v>852942</v>
      </c>
      <c r="K297" s="897">
        <f>'d3'!K297-d3П!K292</f>
        <v>0</v>
      </c>
      <c r="L297" s="897">
        <f>'d3'!L297-d3П!L292</f>
        <v>852942</v>
      </c>
      <c r="M297" s="897">
        <f>'d3'!M297-d3П!M292</f>
        <v>0</v>
      </c>
      <c r="N297" s="897">
        <f>'d3'!N297-d3П!N292</f>
        <v>0</v>
      </c>
      <c r="O297" s="897">
        <f>'d3'!O297-d3П!O292</f>
        <v>0</v>
      </c>
      <c r="P297" s="897">
        <f>'d3'!P297-d3П!P292</f>
        <v>852942</v>
      </c>
      <c r="Q297" s="22"/>
      <c r="R297" s="53"/>
    </row>
    <row r="298" spans="1:18" ht="184.5" thickTop="1" thickBot="1" x14ac:dyDescent="0.25">
      <c r="A298" s="895"/>
      <c r="B298" s="895"/>
      <c r="C298" s="895"/>
      <c r="D298" s="730" t="s">
        <v>446</v>
      </c>
      <c r="E298" s="898"/>
      <c r="F298" s="898"/>
      <c r="G298" s="898"/>
      <c r="H298" s="898"/>
      <c r="I298" s="898"/>
      <c r="J298" s="898"/>
      <c r="K298" s="898"/>
      <c r="L298" s="898"/>
      <c r="M298" s="898"/>
      <c r="N298" s="898"/>
      <c r="O298" s="898"/>
      <c r="P298" s="898"/>
      <c r="Q298" s="22"/>
      <c r="R298" s="53"/>
    </row>
    <row r="299" spans="1:18" ht="93" hidden="1" customHeight="1" thickTop="1" thickBot="1" x14ac:dyDescent="0.25">
      <c r="A299" s="836" t="s">
        <v>1231</v>
      </c>
      <c r="B299" s="836" t="s">
        <v>262</v>
      </c>
      <c r="C299" s="836" t="s">
        <v>171</v>
      </c>
      <c r="D299" s="190" t="s">
        <v>260</v>
      </c>
      <c r="E299" s="833">
        <f>'d3'!E299-d3П!E294</f>
        <v>0</v>
      </c>
      <c r="F299" s="833">
        <f>'d3'!F299-d3П!F294</f>
        <v>0</v>
      </c>
      <c r="G299" s="833">
        <f>'d3'!G299-d3П!G294</f>
        <v>0</v>
      </c>
      <c r="H299" s="833">
        <f>'d3'!H299-d3П!H294</f>
        <v>0</v>
      </c>
      <c r="I299" s="833">
        <f>'d3'!I299-d3П!I294</f>
        <v>0</v>
      </c>
      <c r="J299" s="833">
        <f>'d3'!J299-d3П!J294</f>
        <v>0</v>
      </c>
      <c r="K299" s="833">
        <f>'d3'!K299-d3П!K294</f>
        <v>0</v>
      </c>
      <c r="L299" s="833">
        <f>'d3'!L299-d3П!L294</f>
        <v>0</v>
      </c>
      <c r="M299" s="833">
        <f>'d3'!M299-d3П!M294</f>
        <v>0</v>
      </c>
      <c r="N299" s="833">
        <f>'d3'!N299-d3П!N294</f>
        <v>0</v>
      </c>
      <c r="O299" s="833">
        <f>'d3'!O299-d3П!O294</f>
        <v>0</v>
      </c>
      <c r="P299" s="833">
        <f>'d3'!P299-d3П!P294</f>
        <v>0</v>
      </c>
      <c r="Q299" s="22"/>
      <c r="R299" s="53"/>
    </row>
    <row r="300" spans="1:18" ht="47.25" thickTop="1" thickBot="1" x14ac:dyDescent="0.25">
      <c r="A300" s="385" t="s">
        <v>820</v>
      </c>
      <c r="B300" s="385" t="s">
        <v>705</v>
      </c>
      <c r="C300" s="385"/>
      <c r="D300" s="560" t="s">
        <v>706</v>
      </c>
      <c r="E300" s="833">
        <f>'d3'!E300-d3П!E295</f>
        <v>0</v>
      </c>
      <c r="F300" s="833">
        <f>'d3'!F300-d3П!F295</f>
        <v>0</v>
      </c>
      <c r="G300" s="833">
        <f>'d3'!G300-d3П!G295</f>
        <v>0</v>
      </c>
      <c r="H300" s="833">
        <f>'d3'!H300-d3П!H295</f>
        <v>0</v>
      </c>
      <c r="I300" s="833">
        <f>'d3'!I300-d3П!I295</f>
        <v>0</v>
      </c>
      <c r="J300" s="833">
        <f>'d3'!J300-d3П!J295</f>
        <v>0</v>
      </c>
      <c r="K300" s="833">
        <f>'d3'!K300-d3П!K295</f>
        <v>0</v>
      </c>
      <c r="L300" s="833">
        <f>'d3'!L300-d3П!L295</f>
        <v>0</v>
      </c>
      <c r="M300" s="833">
        <f>'d3'!M300-d3П!M295</f>
        <v>0</v>
      </c>
      <c r="N300" s="833">
        <f>'d3'!N300-d3П!N295</f>
        <v>0</v>
      </c>
      <c r="O300" s="833">
        <f>'d3'!O300-d3П!O295</f>
        <v>0</v>
      </c>
      <c r="P300" s="833">
        <f>'d3'!P300-d3П!P295</f>
        <v>0</v>
      </c>
      <c r="Q300" s="22"/>
      <c r="R300" s="53"/>
    </row>
    <row r="301" spans="1:18" ht="136.5" thickTop="1" thickBot="1" x14ac:dyDescent="0.25">
      <c r="A301" s="387" t="s">
        <v>821</v>
      </c>
      <c r="B301" s="387" t="s">
        <v>822</v>
      </c>
      <c r="C301" s="387"/>
      <c r="D301" s="697" t="s">
        <v>1368</v>
      </c>
      <c r="E301" s="833">
        <f>'d3'!E301-d3П!E296</f>
        <v>0</v>
      </c>
      <c r="F301" s="833">
        <f>'d3'!F301-d3П!F296</f>
        <v>0</v>
      </c>
      <c r="G301" s="833">
        <f>'d3'!G301-d3П!G296</f>
        <v>0</v>
      </c>
      <c r="H301" s="833">
        <f>'d3'!H301-d3П!H296</f>
        <v>0</v>
      </c>
      <c r="I301" s="833">
        <f>'d3'!I301-d3П!I296</f>
        <v>0</v>
      </c>
      <c r="J301" s="833">
        <f>'d3'!J301-d3П!J296</f>
        <v>0</v>
      </c>
      <c r="K301" s="833">
        <f>'d3'!K301-d3П!K296</f>
        <v>0</v>
      </c>
      <c r="L301" s="833">
        <f>'d3'!L301-d3П!L296</f>
        <v>0</v>
      </c>
      <c r="M301" s="833">
        <f>'d3'!M301-d3П!M296</f>
        <v>0</v>
      </c>
      <c r="N301" s="833">
        <f>'d3'!N301-d3П!N296</f>
        <v>0</v>
      </c>
      <c r="O301" s="833">
        <f>'d3'!O301-d3П!O296</f>
        <v>0</v>
      </c>
      <c r="P301" s="833">
        <f>'d3'!P301-d3П!P296</f>
        <v>0</v>
      </c>
      <c r="Q301" s="22"/>
      <c r="R301" s="53"/>
    </row>
    <row r="302" spans="1:18" ht="184.5" thickTop="1" thickBot="1" x14ac:dyDescent="0.25">
      <c r="A302" s="835" t="s">
        <v>559</v>
      </c>
      <c r="B302" s="835" t="s">
        <v>523</v>
      </c>
      <c r="C302" s="835" t="s">
        <v>256</v>
      </c>
      <c r="D302" s="835" t="s">
        <v>524</v>
      </c>
      <c r="E302" s="833">
        <f>'d3'!E302-d3П!E297</f>
        <v>0</v>
      </c>
      <c r="F302" s="833">
        <f>'d3'!F302-d3П!F297</f>
        <v>0</v>
      </c>
      <c r="G302" s="833">
        <f>'d3'!G302-d3П!G297</f>
        <v>0</v>
      </c>
      <c r="H302" s="833">
        <f>'d3'!H302-d3П!H297</f>
        <v>0</v>
      </c>
      <c r="I302" s="833">
        <f>'d3'!I302-d3П!I297</f>
        <v>0</v>
      </c>
      <c r="J302" s="833">
        <f>'d3'!J302-d3П!J297</f>
        <v>0</v>
      </c>
      <c r="K302" s="833">
        <f>'d3'!K302-d3П!K297</f>
        <v>0</v>
      </c>
      <c r="L302" s="833">
        <f>'d3'!L302-d3П!L297</f>
        <v>0</v>
      </c>
      <c r="M302" s="833">
        <f>'d3'!M302-d3П!M297</f>
        <v>0</v>
      </c>
      <c r="N302" s="833">
        <f>'d3'!N302-d3П!N297</f>
        <v>0</v>
      </c>
      <c r="O302" s="833">
        <f>'d3'!O302-d3П!O297</f>
        <v>0</v>
      </c>
      <c r="P302" s="833">
        <f>'d3'!P302-d3П!P297</f>
        <v>0</v>
      </c>
      <c r="Q302" s="22"/>
      <c r="R302" s="53"/>
    </row>
    <row r="303" spans="1:18" ht="93" thickTop="1" thickBot="1" x14ac:dyDescent="0.25">
      <c r="A303" s="835" t="s">
        <v>560</v>
      </c>
      <c r="B303" s="835" t="s">
        <v>255</v>
      </c>
      <c r="C303" s="835" t="s">
        <v>256</v>
      </c>
      <c r="D303" s="835" t="s">
        <v>254</v>
      </c>
      <c r="E303" s="833">
        <f>'d3'!E303-d3П!E298</f>
        <v>0</v>
      </c>
      <c r="F303" s="833">
        <f>'d3'!F303-d3П!F298</f>
        <v>0</v>
      </c>
      <c r="G303" s="833">
        <f>'d3'!G303-d3П!G298</f>
        <v>0</v>
      </c>
      <c r="H303" s="833">
        <f>'d3'!H303-d3П!H298</f>
        <v>0</v>
      </c>
      <c r="I303" s="833">
        <f>'d3'!I303-d3П!I298</f>
        <v>0</v>
      </c>
      <c r="J303" s="833">
        <f>'d3'!J303-d3П!J298</f>
        <v>0</v>
      </c>
      <c r="K303" s="833">
        <f>'d3'!K303-d3П!K298</f>
        <v>0</v>
      </c>
      <c r="L303" s="833">
        <f>'d3'!L303-d3П!L298</f>
        <v>0</v>
      </c>
      <c r="M303" s="833">
        <f>'d3'!M303-d3П!M298</f>
        <v>0</v>
      </c>
      <c r="N303" s="833">
        <f>'d3'!N303-d3П!N298</f>
        <v>0</v>
      </c>
      <c r="O303" s="833">
        <f>'d3'!O303-d3П!O298</f>
        <v>0</v>
      </c>
      <c r="P303" s="833">
        <f>'d3'!P303-d3П!P298</f>
        <v>0</v>
      </c>
      <c r="Q303" s="22"/>
      <c r="R303" s="847"/>
    </row>
    <row r="304" spans="1:18" ht="93" hidden="1" thickTop="1" thickBot="1" x14ac:dyDescent="0.25">
      <c r="A304" s="845" t="s">
        <v>561</v>
      </c>
      <c r="B304" s="845" t="s">
        <v>562</v>
      </c>
      <c r="C304" s="845" t="s">
        <v>256</v>
      </c>
      <c r="D304" s="845" t="s">
        <v>563</v>
      </c>
      <c r="E304" s="194">
        <f t="shared" ref="E304" si="52">F304</f>
        <v>0</v>
      </c>
      <c r="F304" s="195">
        <f>(1219000)-1219000</f>
        <v>0</v>
      </c>
      <c r="G304" s="195">
        <f>(354000+540000)-894000</f>
        <v>0</v>
      </c>
      <c r="H304" s="195">
        <f>(6000+3000)-9000</f>
        <v>0</v>
      </c>
      <c r="I304" s="195"/>
      <c r="J304" s="846">
        <f>L304+O304</f>
        <v>0</v>
      </c>
      <c r="K304" s="46"/>
      <c r="L304" s="195"/>
      <c r="M304" s="195"/>
      <c r="N304" s="195"/>
      <c r="O304" s="844">
        <f>K304</f>
        <v>0</v>
      </c>
      <c r="P304" s="846">
        <f>E304+J304</f>
        <v>0</v>
      </c>
      <c r="Q304" s="22"/>
      <c r="R304" s="53"/>
    </row>
    <row r="305" spans="1:18" ht="181.5" thickTop="1" thickBot="1" x14ac:dyDescent="0.25">
      <c r="A305" s="460" t="s">
        <v>25</v>
      </c>
      <c r="B305" s="460"/>
      <c r="C305" s="460"/>
      <c r="D305" s="461" t="s">
        <v>1466</v>
      </c>
      <c r="E305" s="463">
        <f>E306</f>
        <v>0</v>
      </c>
      <c r="F305" s="462">
        <f t="shared" ref="F305:G305" si="53">F306</f>
        <v>0</v>
      </c>
      <c r="G305" s="462">
        <f t="shared" si="53"/>
        <v>0</v>
      </c>
      <c r="H305" s="462">
        <f>H306</f>
        <v>0</v>
      </c>
      <c r="I305" s="462">
        <f t="shared" ref="I305" si="54">I306</f>
        <v>0</v>
      </c>
      <c r="J305" s="463">
        <f>J306</f>
        <v>31061983</v>
      </c>
      <c r="K305" s="462">
        <f>K306</f>
        <v>31061983</v>
      </c>
      <c r="L305" s="462">
        <f>L306</f>
        <v>0</v>
      </c>
      <c r="M305" s="462">
        <f t="shared" ref="M305" si="55">M306</f>
        <v>0</v>
      </c>
      <c r="N305" s="462">
        <f>N306</f>
        <v>0</v>
      </c>
      <c r="O305" s="463">
        <f>O306</f>
        <v>31061983</v>
      </c>
      <c r="P305" s="462">
        <f t="shared" ref="P305" si="56">P306</f>
        <v>31061983</v>
      </c>
      <c r="Q305" s="22"/>
    </row>
    <row r="306" spans="1:18" ht="181.5" thickTop="1" thickBot="1" x14ac:dyDescent="0.25">
      <c r="A306" s="464" t="s">
        <v>26</v>
      </c>
      <c r="B306" s="464"/>
      <c r="C306" s="464"/>
      <c r="D306" s="465" t="s">
        <v>905</v>
      </c>
      <c r="E306" s="466">
        <f>E307+E313+E316+E311</f>
        <v>0</v>
      </c>
      <c r="F306" s="466">
        <f>F307+F313+F316+F311</f>
        <v>0</v>
      </c>
      <c r="G306" s="466">
        <f>G307+G313+G316+G311</f>
        <v>0</v>
      </c>
      <c r="H306" s="466">
        <f>H307+H313+H316+H311</f>
        <v>0</v>
      </c>
      <c r="I306" s="466">
        <f>I307+I313+I316+I311</f>
        <v>0</v>
      </c>
      <c r="J306" s="466">
        <f>L306+O306</f>
        <v>31061983</v>
      </c>
      <c r="K306" s="466">
        <f>K307+K313+K316+K311</f>
        <v>31061983</v>
      </c>
      <c r="L306" s="466">
        <f>L307+L313+L316+L311</f>
        <v>0</v>
      </c>
      <c r="M306" s="466">
        <f>M307+M313+M316+M311</f>
        <v>0</v>
      </c>
      <c r="N306" s="466">
        <f>N307+N313+N316+N311</f>
        <v>0</v>
      </c>
      <c r="O306" s="466">
        <f>O307+O313+O316+O311</f>
        <v>31061983</v>
      </c>
      <c r="P306" s="466">
        <f>E306+J306</f>
        <v>31061983</v>
      </c>
      <c r="Q306" s="392" t="b">
        <f>P306=P308+P309+P312+P315+P318+P320+P321+P323</f>
        <v>1</v>
      </c>
      <c r="R306" s="847"/>
    </row>
    <row r="307" spans="1:18" ht="47.25" thickTop="1" thickBot="1" x14ac:dyDescent="0.25">
      <c r="A307" s="385" t="s">
        <v>823</v>
      </c>
      <c r="B307" s="385" t="s">
        <v>693</v>
      </c>
      <c r="C307" s="385"/>
      <c r="D307" s="385" t="s">
        <v>694</v>
      </c>
      <c r="E307" s="833">
        <f>'d3'!E307-d3П!E302</f>
        <v>0</v>
      </c>
      <c r="F307" s="833">
        <f>'d3'!F307-d3П!F302</f>
        <v>0</v>
      </c>
      <c r="G307" s="833">
        <f>'d3'!G307-d3П!G302</f>
        <v>0</v>
      </c>
      <c r="H307" s="833">
        <f>'d3'!H307-d3П!H302</f>
        <v>0</v>
      </c>
      <c r="I307" s="833">
        <f>'d3'!I307-d3П!I302</f>
        <v>0</v>
      </c>
      <c r="J307" s="833">
        <f>'d3'!J307-d3П!J302</f>
        <v>0</v>
      </c>
      <c r="K307" s="833">
        <f>'d3'!K307-d3П!K302</f>
        <v>0</v>
      </c>
      <c r="L307" s="833">
        <f>'d3'!L307-d3П!L302</f>
        <v>0</v>
      </c>
      <c r="M307" s="833">
        <f>'d3'!M307-d3П!M302</f>
        <v>0</v>
      </c>
      <c r="N307" s="833">
        <f>'d3'!N307-d3П!N302</f>
        <v>0</v>
      </c>
      <c r="O307" s="833">
        <f>'d3'!O307-d3П!O302</f>
        <v>0</v>
      </c>
      <c r="P307" s="833">
        <f>'d3'!P307-d3П!P302</f>
        <v>0</v>
      </c>
      <c r="Q307" s="50"/>
      <c r="R307" s="847"/>
    </row>
    <row r="308" spans="1:18" ht="230.25" thickTop="1" thickBot="1" x14ac:dyDescent="0.25">
      <c r="A308" s="835" t="s">
        <v>422</v>
      </c>
      <c r="B308" s="835" t="s">
        <v>241</v>
      </c>
      <c r="C308" s="835" t="s">
        <v>239</v>
      </c>
      <c r="D308" s="835" t="s">
        <v>240</v>
      </c>
      <c r="E308" s="833">
        <f>'d3'!E308-d3П!E303</f>
        <v>0</v>
      </c>
      <c r="F308" s="833">
        <f>'d3'!F308-d3П!F303</f>
        <v>0</v>
      </c>
      <c r="G308" s="833">
        <f>'d3'!G308-d3П!G303</f>
        <v>0</v>
      </c>
      <c r="H308" s="833">
        <f>'d3'!H308-d3П!H303</f>
        <v>0</v>
      </c>
      <c r="I308" s="833">
        <f>'d3'!I308-d3П!I303</f>
        <v>0</v>
      </c>
      <c r="J308" s="833">
        <f>'d3'!J308-d3П!J303</f>
        <v>0</v>
      </c>
      <c r="K308" s="833">
        <f>'d3'!K308-d3П!K303</f>
        <v>0</v>
      </c>
      <c r="L308" s="833">
        <f>'d3'!L308-d3П!L303</f>
        <v>0</v>
      </c>
      <c r="M308" s="833">
        <f>'d3'!M308-d3П!M303</f>
        <v>0</v>
      </c>
      <c r="N308" s="833">
        <f>'d3'!N308-d3П!N303</f>
        <v>0</v>
      </c>
      <c r="O308" s="833">
        <f>'d3'!O308-d3П!O303</f>
        <v>0</v>
      </c>
      <c r="P308" s="833">
        <f>'d3'!P308-d3П!P303</f>
        <v>0</v>
      </c>
      <c r="Q308" s="50"/>
      <c r="R308" s="53"/>
    </row>
    <row r="309" spans="1:18" ht="184.5" thickTop="1" thickBot="1" x14ac:dyDescent="0.25">
      <c r="A309" s="835" t="s">
        <v>639</v>
      </c>
      <c r="B309" s="835" t="s">
        <v>367</v>
      </c>
      <c r="C309" s="835" t="s">
        <v>634</v>
      </c>
      <c r="D309" s="835" t="s">
        <v>635</v>
      </c>
      <c r="E309" s="833">
        <f>'d3'!E309-d3П!E304</f>
        <v>0</v>
      </c>
      <c r="F309" s="833">
        <f>'d3'!F309-d3П!F304</f>
        <v>0</v>
      </c>
      <c r="G309" s="833">
        <f>'d3'!G309-d3П!G304</f>
        <v>0</v>
      </c>
      <c r="H309" s="833">
        <f>'d3'!H309-d3П!H304</f>
        <v>0</v>
      </c>
      <c r="I309" s="833">
        <f>'d3'!I309-d3П!I304</f>
        <v>0</v>
      </c>
      <c r="J309" s="833">
        <f>'d3'!J309-d3П!J304</f>
        <v>0</v>
      </c>
      <c r="K309" s="833">
        <f>'d3'!K309-d3П!K304</f>
        <v>0</v>
      </c>
      <c r="L309" s="833">
        <f>'d3'!L309-d3П!L304</f>
        <v>0</v>
      </c>
      <c r="M309" s="833">
        <f>'d3'!M309-d3П!M304</f>
        <v>0</v>
      </c>
      <c r="N309" s="833">
        <f>'d3'!N309-d3П!N304</f>
        <v>0</v>
      </c>
      <c r="O309" s="833">
        <f>'d3'!O309-d3П!O304</f>
        <v>0</v>
      </c>
      <c r="P309" s="833">
        <f>'d3'!P309-d3П!P304</f>
        <v>0</v>
      </c>
      <c r="Q309" s="50"/>
      <c r="R309" s="53"/>
    </row>
    <row r="310" spans="1:18" ht="93" hidden="1" thickTop="1" thickBot="1" x14ac:dyDescent="0.25">
      <c r="A310" s="836" t="s">
        <v>941</v>
      </c>
      <c r="B310" s="836" t="s">
        <v>43</v>
      </c>
      <c r="C310" s="836" t="s">
        <v>42</v>
      </c>
      <c r="D310" s="836" t="s">
        <v>253</v>
      </c>
      <c r="E310" s="833">
        <f>'d3'!E310-d3П!E305</f>
        <v>0</v>
      </c>
      <c r="F310" s="833">
        <f>'d3'!F310-d3П!F305</f>
        <v>0</v>
      </c>
      <c r="G310" s="833">
        <f>'d3'!G310-d3П!G305</f>
        <v>0</v>
      </c>
      <c r="H310" s="833">
        <f>'d3'!H310-d3П!H305</f>
        <v>0</v>
      </c>
      <c r="I310" s="833">
        <f>'d3'!I310-d3П!I305</f>
        <v>0</v>
      </c>
      <c r="J310" s="833">
        <f>'d3'!J310-d3П!J305</f>
        <v>0</v>
      </c>
      <c r="K310" s="833">
        <f>'d3'!K310-d3П!K305</f>
        <v>0</v>
      </c>
      <c r="L310" s="833">
        <f>'d3'!L310-d3П!L305</f>
        <v>0</v>
      </c>
      <c r="M310" s="833">
        <f>'d3'!M310-d3П!M305</f>
        <v>0</v>
      </c>
      <c r="N310" s="833">
        <f>'d3'!N310-d3П!N305</f>
        <v>0</v>
      </c>
      <c r="O310" s="833">
        <f>'d3'!O310-d3П!O305</f>
        <v>0</v>
      </c>
      <c r="P310" s="833">
        <f>'d3'!P310-d3П!P305</f>
        <v>0</v>
      </c>
      <c r="Q310" s="50"/>
      <c r="R310" s="53"/>
    </row>
    <row r="311" spans="1:18" ht="91.5" thickTop="1" thickBot="1" x14ac:dyDescent="0.25">
      <c r="A311" s="385" t="s">
        <v>1285</v>
      </c>
      <c r="B311" s="385" t="s">
        <v>720</v>
      </c>
      <c r="C311" s="385"/>
      <c r="D311" s="385" t="s">
        <v>721</v>
      </c>
      <c r="E311" s="833">
        <f>'d3'!E311-d3П!E306</f>
        <v>0</v>
      </c>
      <c r="F311" s="833">
        <f>'d3'!F311-d3П!F306</f>
        <v>0</v>
      </c>
      <c r="G311" s="833">
        <f>'d3'!G311-d3П!G306</f>
        <v>0</v>
      </c>
      <c r="H311" s="833">
        <f>'d3'!H311-d3П!H306</f>
        <v>0</v>
      </c>
      <c r="I311" s="833">
        <f>'d3'!I311-d3П!I306</f>
        <v>0</v>
      </c>
      <c r="J311" s="833">
        <f>'d3'!J311-d3П!J306</f>
        <v>-952000</v>
      </c>
      <c r="K311" s="833">
        <f>'d3'!K311-d3П!K306</f>
        <v>-952000</v>
      </c>
      <c r="L311" s="833">
        <f>'d3'!L311-d3П!L306</f>
        <v>0</v>
      </c>
      <c r="M311" s="833">
        <f>'d3'!M311-d3П!M306</f>
        <v>0</v>
      </c>
      <c r="N311" s="833">
        <f>'d3'!N311-d3П!N306</f>
        <v>0</v>
      </c>
      <c r="O311" s="833">
        <f>'d3'!O311-d3П!O306</f>
        <v>-952000</v>
      </c>
      <c r="P311" s="833">
        <f>'d3'!P311-d3П!P306</f>
        <v>-952000</v>
      </c>
      <c r="Q311" s="50"/>
      <c r="R311" s="53"/>
    </row>
    <row r="312" spans="1:18" ht="230.25" thickTop="1" thickBot="1" x14ac:dyDescent="0.25">
      <c r="A312" s="835" t="s">
        <v>1286</v>
      </c>
      <c r="B312" s="835" t="s">
        <v>1249</v>
      </c>
      <c r="C312" s="835" t="s">
        <v>211</v>
      </c>
      <c r="D312" s="470" t="s">
        <v>1250</v>
      </c>
      <c r="E312" s="833">
        <f>'d3'!E312-d3П!E307</f>
        <v>0</v>
      </c>
      <c r="F312" s="833">
        <f>'d3'!F312-d3П!F307</f>
        <v>0</v>
      </c>
      <c r="G312" s="833">
        <f>'d3'!G312-d3П!G307</f>
        <v>0</v>
      </c>
      <c r="H312" s="833">
        <f>'d3'!H312-d3П!H307</f>
        <v>0</v>
      </c>
      <c r="I312" s="833">
        <f>'d3'!I312-d3П!I307</f>
        <v>0</v>
      </c>
      <c r="J312" s="833">
        <f>'d3'!J312-d3П!J307</f>
        <v>-952000</v>
      </c>
      <c r="K312" s="833">
        <f>'d3'!K312-d3П!K307</f>
        <v>-952000</v>
      </c>
      <c r="L312" s="833">
        <f>'d3'!L312-d3П!L307</f>
        <v>0</v>
      </c>
      <c r="M312" s="833">
        <f>'d3'!M312-d3П!M307</f>
        <v>0</v>
      </c>
      <c r="N312" s="833">
        <f>'d3'!N312-d3П!N307</f>
        <v>0</v>
      </c>
      <c r="O312" s="833">
        <f>'d3'!O312-d3П!O307</f>
        <v>-952000</v>
      </c>
      <c r="P312" s="833">
        <f>'d3'!P312-d3П!P307</f>
        <v>-952000</v>
      </c>
      <c r="Q312" s="50"/>
      <c r="R312" s="53"/>
    </row>
    <row r="313" spans="1:18" ht="47.25" thickTop="1" thickBot="1" x14ac:dyDescent="0.25">
      <c r="A313" s="385" t="s">
        <v>824</v>
      </c>
      <c r="B313" s="385" t="s">
        <v>780</v>
      </c>
      <c r="C313" s="835"/>
      <c r="D313" s="385" t="s">
        <v>781</v>
      </c>
      <c r="E313" s="833">
        <f>'d3'!E313-d3П!E308</f>
        <v>0</v>
      </c>
      <c r="F313" s="833">
        <f>'d3'!F313-d3П!F308</f>
        <v>0</v>
      </c>
      <c r="G313" s="833">
        <f>'d3'!G313-d3П!G308</f>
        <v>0</v>
      </c>
      <c r="H313" s="833">
        <f>'d3'!H313-d3П!H308</f>
        <v>0</v>
      </c>
      <c r="I313" s="833">
        <f>'d3'!I313-d3П!I308</f>
        <v>0</v>
      </c>
      <c r="J313" s="833">
        <f>'d3'!J313-d3П!J308</f>
        <v>0</v>
      </c>
      <c r="K313" s="833">
        <f>'d3'!K313-d3П!K308</f>
        <v>0</v>
      </c>
      <c r="L313" s="833">
        <f>'d3'!L313-d3П!L308</f>
        <v>0</v>
      </c>
      <c r="M313" s="833">
        <f>'d3'!M313-d3П!M308</f>
        <v>0</v>
      </c>
      <c r="N313" s="833">
        <f>'d3'!N313-d3П!N308</f>
        <v>0</v>
      </c>
      <c r="O313" s="833">
        <f>'d3'!O313-d3П!O308</f>
        <v>0</v>
      </c>
      <c r="P313" s="833">
        <f>'d3'!P313-d3П!P308</f>
        <v>0</v>
      </c>
      <c r="Q313" s="50"/>
      <c r="R313" s="53"/>
    </row>
    <row r="314" spans="1:18" ht="93" thickTop="1" thickBot="1" x14ac:dyDescent="0.25">
      <c r="A314" s="455" t="s">
        <v>825</v>
      </c>
      <c r="B314" s="455" t="s">
        <v>826</v>
      </c>
      <c r="C314" s="455"/>
      <c r="D314" s="455" t="s">
        <v>827</v>
      </c>
      <c r="E314" s="833">
        <f>'d3'!E314-d3П!E309</f>
        <v>0</v>
      </c>
      <c r="F314" s="833">
        <f>'d3'!F314-d3П!F309</f>
        <v>0</v>
      </c>
      <c r="G314" s="833">
        <f>'d3'!G314-d3П!G309</f>
        <v>0</v>
      </c>
      <c r="H314" s="833">
        <f>'d3'!H314-d3П!H309</f>
        <v>0</v>
      </c>
      <c r="I314" s="833">
        <f>'d3'!I314-d3П!I309</f>
        <v>0</v>
      </c>
      <c r="J314" s="833">
        <f>'d3'!J314-d3П!J309</f>
        <v>0</v>
      </c>
      <c r="K314" s="833">
        <f>'d3'!K314-d3П!K309</f>
        <v>0</v>
      </c>
      <c r="L314" s="833">
        <f>'d3'!L314-d3П!L309</f>
        <v>0</v>
      </c>
      <c r="M314" s="833">
        <f>'d3'!M314-d3П!M309</f>
        <v>0</v>
      </c>
      <c r="N314" s="833">
        <f>'d3'!N314-d3П!N309</f>
        <v>0</v>
      </c>
      <c r="O314" s="833">
        <f>'d3'!O314-d3П!O309</f>
        <v>0</v>
      </c>
      <c r="P314" s="833">
        <f>'d3'!P314-d3П!P309</f>
        <v>0</v>
      </c>
      <c r="Q314" s="50"/>
      <c r="R314" s="53"/>
    </row>
    <row r="315" spans="1:18" ht="409.6" thickTop="1" thickBot="1" x14ac:dyDescent="0.25">
      <c r="A315" s="835" t="s">
        <v>438</v>
      </c>
      <c r="B315" s="835" t="s">
        <v>439</v>
      </c>
      <c r="C315" s="835" t="s">
        <v>200</v>
      </c>
      <c r="D315" s="835" t="s">
        <v>1226</v>
      </c>
      <c r="E315" s="833">
        <f>'d3'!E315-d3П!E310</f>
        <v>0</v>
      </c>
      <c r="F315" s="833">
        <f>'d3'!F315-d3П!F310</f>
        <v>0</v>
      </c>
      <c r="G315" s="833">
        <f>'d3'!G315-d3П!G310</f>
        <v>0</v>
      </c>
      <c r="H315" s="833">
        <f>'d3'!H315-d3П!H310</f>
        <v>0</v>
      </c>
      <c r="I315" s="833">
        <f>'d3'!I315-d3П!I310</f>
        <v>0</v>
      </c>
      <c r="J315" s="833">
        <f>'d3'!J315-d3П!J310</f>
        <v>0</v>
      </c>
      <c r="K315" s="833">
        <f>'d3'!K315-d3П!K310</f>
        <v>0</v>
      </c>
      <c r="L315" s="833">
        <f>'d3'!L315-d3П!L310</f>
        <v>0</v>
      </c>
      <c r="M315" s="833">
        <f>'d3'!M315-d3П!M310</f>
        <v>0</v>
      </c>
      <c r="N315" s="833">
        <f>'d3'!N315-d3П!N310</f>
        <v>0</v>
      </c>
      <c r="O315" s="833">
        <f>'d3'!O315-d3П!O310</f>
        <v>0</v>
      </c>
      <c r="P315" s="833">
        <f>'d3'!P315-d3П!P310</f>
        <v>0</v>
      </c>
      <c r="Q315" s="50"/>
      <c r="R315" s="847"/>
    </row>
    <row r="316" spans="1:18" ht="47.25" thickTop="1" thickBot="1" x14ac:dyDescent="0.25">
      <c r="A316" s="385" t="s">
        <v>828</v>
      </c>
      <c r="B316" s="385" t="s">
        <v>757</v>
      </c>
      <c r="C316" s="835"/>
      <c r="D316" s="385" t="s">
        <v>804</v>
      </c>
      <c r="E316" s="833">
        <f>'d3'!E316-d3П!E311</f>
        <v>0</v>
      </c>
      <c r="F316" s="833">
        <f>'d3'!F316-d3П!F311</f>
        <v>0</v>
      </c>
      <c r="G316" s="833">
        <f>'d3'!G316-d3П!G311</f>
        <v>0</v>
      </c>
      <c r="H316" s="833">
        <f>'d3'!H316-d3П!H311</f>
        <v>0</v>
      </c>
      <c r="I316" s="833">
        <f>'d3'!I316-d3П!I311</f>
        <v>0</v>
      </c>
      <c r="J316" s="833">
        <f>'d3'!J316-d3П!J311</f>
        <v>32013983</v>
      </c>
      <c r="K316" s="833">
        <f>'d3'!K316-d3П!K311</f>
        <v>32013983</v>
      </c>
      <c r="L316" s="833">
        <f>'d3'!L316-d3П!L311</f>
        <v>0</v>
      </c>
      <c r="M316" s="833">
        <f>'d3'!M316-d3П!M311</f>
        <v>0</v>
      </c>
      <c r="N316" s="833">
        <f>'d3'!N316-d3П!N311</f>
        <v>0</v>
      </c>
      <c r="O316" s="833">
        <f>'d3'!O316-d3П!O311</f>
        <v>32013983</v>
      </c>
      <c r="P316" s="833">
        <f>'d3'!P316-d3П!P311</f>
        <v>32013983</v>
      </c>
      <c r="Q316" s="50"/>
      <c r="R316" s="53"/>
    </row>
    <row r="317" spans="1:18" ht="91.5" thickTop="1" thickBot="1" x14ac:dyDescent="0.25">
      <c r="A317" s="387" t="s">
        <v>829</v>
      </c>
      <c r="B317" s="387" t="s">
        <v>813</v>
      </c>
      <c r="C317" s="387"/>
      <c r="D317" s="387" t="s">
        <v>814</v>
      </c>
      <c r="E317" s="833">
        <f>'d3'!E317-d3П!E312</f>
        <v>0</v>
      </c>
      <c r="F317" s="833">
        <f>'d3'!F317-d3П!F312</f>
        <v>0</v>
      </c>
      <c r="G317" s="833">
        <f>'d3'!G317-d3П!G312</f>
        <v>0</v>
      </c>
      <c r="H317" s="833">
        <f>'d3'!H317-d3П!H312</f>
        <v>0</v>
      </c>
      <c r="I317" s="833">
        <f>'d3'!I317-d3П!I312</f>
        <v>0</v>
      </c>
      <c r="J317" s="833">
        <f>'d3'!J317-d3П!J312</f>
        <v>32013983</v>
      </c>
      <c r="K317" s="833">
        <f>'d3'!K317-d3П!K312</f>
        <v>32013983</v>
      </c>
      <c r="L317" s="833">
        <f>'d3'!L317-d3П!L312</f>
        <v>0</v>
      </c>
      <c r="M317" s="833">
        <f>'d3'!M317-d3П!M312</f>
        <v>0</v>
      </c>
      <c r="N317" s="833">
        <f>'d3'!N317-d3П!N312</f>
        <v>0</v>
      </c>
      <c r="O317" s="833">
        <f>'d3'!O317-d3П!O312</f>
        <v>32013983</v>
      </c>
      <c r="P317" s="833">
        <f>'d3'!P317-d3П!P312</f>
        <v>32013983</v>
      </c>
      <c r="Q317" s="50"/>
      <c r="R317" s="53"/>
    </row>
    <row r="318" spans="1:18" ht="99.75" thickTop="1" thickBot="1" x14ac:dyDescent="0.25">
      <c r="A318" s="835" t="s">
        <v>940</v>
      </c>
      <c r="B318" s="835" t="s">
        <v>310</v>
      </c>
      <c r="C318" s="835" t="s">
        <v>309</v>
      </c>
      <c r="D318" s="835" t="s">
        <v>1342</v>
      </c>
      <c r="E318" s="833">
        <f>'d3'!E318-d3П!E313</f>
        <v>0</v>
      </c>
      <c r="F318" s="833">
        <f>'d3'!F318-d3П!F313</f>
        <v>0</v>
      </c>
      <c r="G318" s="833">
        <f>'d3'!G318-d3П!G313</f>
        <v>0</v>
      </c>
      <c r="H318" s="833">
        <f>'d3'!H318-d3П!H313</f>
        <v>0</v>
      </c>
      <c r="I318" s="833">
        <f>'d3'!I318-d3П!I313</f>
        <v>0</v>
      </c>
      <c r="J318" s="833">
        <f>'d3'!J318-d3П!J313</f>
        <v>3400000</v>
      </c>
      <c r="K318" s="833">
        <f>'d3'!K318-d3П!K313</f>
        <v>3400000</v>
      </c>
      <c r="L318" s="833">
        <f>'d3'!L318-d3П!L313</f>
        <v>0</v>
      </c>
      <c r="M318" s="833">
        <f>'d3'!M318-d3П!M313</f>
        <v>0</v>
      </c>
      <c r="N318" s="833">
        <f>'d3'!N318-d3П!N313</f>
        <v>0</v>
      </c>
      <c r="O318" s="833">
        <f>'d3'!O318-d3П!O313</f>
        <v>3400000</v>
      </c>
      <c r="P318" s="833">
        <f>'d3'!P318-d3П!P313</f>
        <v>3400000</v>
      </c>
      <c r="Q318" s="50"/>
      <c r="R318" s="847"/>
    </row>
    <row r="319" spans="1:18" ht="146.25" thickTop="1" thickBot="1" x14ac:dyDescent="0.25">
      <c r="A319" s="455" t="s">
        <v>830</v>
      </c>
      <c r="B319" s="455" t="s">
        <v>831</v>
      </c>
      <c r="C319" s="455"/>
      <c r="D319" s="455" t="s">
        <v>1335</v>
      </c>
      <c r="E319" s="833">
        <f>'d3'!E319-d3П!E314</f>
        <v>0</v>
      </c>
      <c r="F319" s="833">
        <f>'d3'!F319-d3П!F314</f>
        <v>0</v>
      </c>
      <c r="G319" s="833">
        <f>'d3'!G319-d3П!G314</f>
        <v>0</v>
      </c>
      <c r="H319" s="833">
        <f>'d3'!H319-d3П!H314</f>
        <v>0</v>
      </c>
      <c r="I319" s="833">
        <f>'d3'!I319-d3П!I314</f>
        <v>0</v>
      </c>
      <c r="J319" s="833">
        <f>'d3'!J319-d3П!J314</f>
        <v>500000</v>
      </c>
      <c r="K319" s="833">
        <f>'d3'!K319-d3П!K314</f>
        <v>500000</v>
      </c>
      <c r="L319" s="833">
        <f>'d3'!L319-d3П!L314</f>
        <v>0</v>
      </c>
      <c r="M319" s="833">
        <f>'d3'!M319-d3П!M314</f>
        <v>0</v>
      </c>
      <c r="N319" s="833">
        <f>'d3'!N319-d3П!N314</f>
        <v>0</v>
      </c>
      <c r="O319" s="833">
        <f>'d3'!O319-d3П!O314</f>
        <v>500000</v>
      </c>
      <c r="P319" s="833">
        <f>'d3'!P319-d3П!P314</f>
        <v>500000</v>
      </c>
      <c r="Q319" s="50"/>
      <c r="R319" s="53"/>
    </row>
    <row r="320" spans="1:18" ht="99.75" thickTop="1" thickBot="1" x14ac:dyDescent="0.25">
      <c r="A320" s="835" t="s">
        <v>315</v>
      </c>
      <c r="B320" s="835" t="s">
        <v>316</v>
      </c>
      <c r="C320" s="835" t="s">
        <v>309</v>
      </c>
      <c r="D320" s="835" t="s">
        <v>1319</v>
      </c>
      <c r="E320" s="833">
        <f>'d3'!E320-d3П!E315</f>
        <v>0</v>
      </c>
      <c r="F320" s="833">
        <f>'d3'!F320-d3П!F315</f>
        <v>0</v>
      </c>
      <c r="G320" s="833">
        <f>'d3'!G320-d3П!G315</f>
        <v>0</v>
      </c>
      <c r="H320" s="833">
        <f>'d3'!H320-d3П!H315</f>
        <v>0</v>
      </c>
      <c r="I320" s="833">
        <f>'d3'!I320-d3П!I315</f>
        <v>0</v>
      </c>
      <c r="J320" s="833">
        <f>'d3'!J320-d3П!J315</f>
        <v>500000</v>
      </c>
      <c r="K320" s="833">
        <f>'d3'!K320-d3П!K315</f>
        <v>500000</v>
      </c>
      <c r="L320" s="833">
        <f>'d3'!L320-d3П!L315</f>
        <v>0</v>
      </c>
      <c r="M320" s="833">
        <f>'d3'!M320-d3П!M315</f>
        <v>0</v>
      </c>
      <c r="N320" s="833">
        <f>'d3'!N320-d3П!N315</f>
        <v>0</v>
      </c>
      <c r="O320" s="833">
        <f>'d3'!O320-d3П!O315</f>
        <v>500000</v>
      </c>
      <c r="P320" s="833">
        <f>'d3'!P320-d3П!P315</f>
        <v>500000</v>
      </c>
      <c r="Q320" s="160"/>
      <c r="R320" s="847"/>
    </row>
    <row r="321" spans="1:18" ht="99.75" thickTop="1" thickBot="1" x14ac:dyDescent="0.25">
      <c r="A321" s="835" t="s">
        <v>521</v>
      </c>
      <c r="B321" s="835" t="s">
        <v>522</v>
      </c>
      <c r="C321" s="835" t="s">
        <v>309</v>
      </c>
      <c r="D321" s="835" t="s">
        <v>1348</v>
      </c>
      <c r="E321" s="833">
        <f>'d3'!E321-d3П!E316</f>
        <v>0</v>
      </c>
      <c r="F321" s="833">
        <f>'d3'!F321-d3П!F316</f>
        <v>0</v>
      </c>
      <c r="G321" s="833">
        <f>'d3'!G321-d3П!G316</f>
        <v>0</v>
      </c>
      <c r="H321" s="833">
        <f>'d3'!H321-d3П!H316</f>
        <v>0</v>
      </c>
      <c r="I321" s="833">
        <f>'d3'!I321-d3П!I316</f>
        <v>0</v>
      </c>
      <c r="J321" s="833">
        <f>'d3'!J321-d3П!J316</f>
        <v>0</v>
      </c>
      <c r="K321" s="833">
        <f>'d3'!K321-d3П!K316</f>
        <v>0</v>
      </c>
      <c r="L321" s="833">
        <f>'d3'!L321-d3П!L316</f>
        <v>0</v>
      </c>
      <c r="M321" s="833">
        <f>'d3'!M321-d3П!M316</f>
        <v>0</v>
      </c>
      <c r="N321" s="833">
        <f>'d3'!N321-d3П!N316</f>
        <v>0</v>
      </c>
      <c r="O321" s="833">
        <f>'d3'!O321-d3П!O316</f>
        <v>0</v>
      </c>
      <c r="P321" s="833">
        <f>'d3'!P321-d3П!P316</f>
        <v>0</v>
      </c>
      <c r="Q321" s="160"/>
      <c r="R321" s="847"/>
    </row>
    <row r="322" spans="1:18" ht="145.5" hidden="1" thickTop="1" thickBot="1" x14ac:dyDescent="0.25">
      <c r="A322" s="836" t="s">
        <v>317</v>
      </c>
      <c r="B322" s="836" t="s">
        <v>318</v>
      </c>
      <c r="C322" s="836" t="s">
        <v>309</v>
      </c>
      <c r="D322" s="836" t="s">
        <v>1289</v>
      </c>
      <c r="E322" s="833">
        <f>'d3'!E322-d3П!E317</f>
        <v>0</v>
      </c>
      <c r="F322" s="833">
        <f>'d3'!F322-d3П!F317</f>
        <v>0</v>
      </c>
      <c r="G322" s="833">
        <f>'d3'!G322-d3П!G317</f>
        <v>0</v>
      </c>
      <c r="H322" s="833">
        <f>'d3'!H322-d3П!H317</f>
        <v>0</v>
      </c>
      <c r="I322" s="833">
        <f>'d3'!I322-d3П!I317</f>
        <v>0</v>
      </c>
      <c r="J322" s="833">
        <f>'d3'!J322-d3П!J317</f>
        <v>0</v>
      </c>
      <c r="K322" s="833">
        <f>'d3'!K322-d3П!K317</f>
        <v>0</v>
      </c>
      <c r="L322" s="833">
        <f>'d3'!L322-d3П!L317</f>
        <v>0</v>
      </c>
      <c r="M322" s="833">
        <f>'d3'!M322-d3П!M317</f>
        <v>0</v>
      </c>
      <c r="N322" s="833">
        <f>'d3'!N322-d3П!N317</f>
        <v>0</v>
      </c>
      <c r="O322" s="833">
        <f>'d3'!O322-d3П!O317</f>
        <v>0</v>
      </c>
      <c r="P322" s="833">
        <f>'d3'!P322-d3П!P317</f>
        <v>0</v>
      </c>
      <c r="Q322" s="160"/>
    </row>
    <row r="323" spans="1:18" ht="99.75" thickTop="1" thickBot="1" x14ac:dyDescent="0.3">
      <c r="A323" s="835" t="s">
        <v>319</v>
      </c>
      <c r="B323" s="835" t="s">
        <v>320</v>
      </c>
      <c r="C323" s="835" t="s">
        <v>309</v>
      </c>
      <c r="D323" s="835" t="s">
        <v>1349</v>
      </c>
      <c r="E323" s="833">
        <f>'d3'!E323-d3П!E318</f>
        <v>0</v>
      </c>
      <c r="F323" s="833">
        <f>'d3'!F323-d3П!F318</f>
        <v>0</v>
      </c>
      <c r="G323" s="833">
        <f>'d3'!G323-d3П!G318</f>
        <v>0</v>
      </c>
      <c r="H323" s="833">
        <f>'d3'!H323-d3П!H318</f>
        <v>0</v>
      </c>
      <c r="I323" s="833">
        <f>'d3'!I323-d3П!I318</f>
        <v>0</v>
      </c>
      <c r="J323" s="833">
        <f>'d3'!J323-d3П!J318</f>
        <v>28113983</v>
      </c>
      <c r="K323" s="833">
        <f>'d3'!K323-d3П!K318</f>
        <v>28113983</v>
      </c>
      <c r="L323" s="833">
        <f>'d3'!L323-d3П!L318</f>
        <v>0</v>
      </c>
      <c r="M323" s="833">
        <f>'d3'!M323-d3П!M318</f>
        <v>0</v>
      </c>
      <c r="N323" s="833">
        <f>'d3'!N323-d3П!N318</f>
        <v>0</v>
      </c>
      <c r="O323" s="833">
        <f>'d3'!O323-d3П!O318</f>
        <v>28113983</v>
      </c>
      <c r="P323" s="833">
        <f>'d3'!P323-d3П!P318</f>
        <v>28113983</v>
      </c>
      <c r="Q323" s="196"/>
      <c r="R323" s="847"/>
    </row>
    <row r="324" spans="1:18" ht="138.75" hidden="1" thickTop="1" thickBot="1" x14ac:dyDescent="0.25">
      <c r="A324" s="845" t="s">
        <v>442</v>
      </c>
      <c r="B324" s="845" t="s">
        <v>355</v>
      </c>
      <c r="C324" s="845" t="s">
        <v>171</v>
      </c>
      <c r="D324" s="845" t="s">
        <v>267</v>
      </c>
      <c r="E324" s="846">
        <f>F324</f>
        <v>0</v>
      </c>
      <c r="F324" s="46"/>
      <c r="G324" s="46"/>
      <c r="H324" s="46"/>
      <c r="I324" s="46"/>
      <c r="J324" s="846">
        <f t="shared" ref="J324" si="57">L324+O324</f>
        <v>0</v>
      </c>
      <c r="K324" s="46">
        <v>0</v>
      </c>
      <c r="L324" s="46"/>
      <c r="M324" s="46"/>
      <c r="N324" s="46"/>
      <c r="O324" s="844">
        <f>K324</f>
        <v>0</v>
      </c>
      <c r="P324" s="846">
        <f t="shared" ref="P324" si="58">E324+J324</f>
        <v>0</v>
      </c>
      <c r="Q324" s="22"/>
      <c r="R324" s="847"/>
    </row>
    <row r="325" spans="1:18" ht="136.5" hidden="1" thickTop="1" thickBot="1" x14ac:dyDescent="0.25">
      <c r="A325" s="170" t="s">
        <v>1007</v>
      </c>
      <c r="B325" s="170" t="s">
        <v>700</v>
      </c>
      <c r="C325" s="170"/>
      <c r="D325" s="170" t="s">
        <v>698</v>
      </c>
      <c r="E325" s="193">
        <f>E326</f>
        <v>0</v>
      </c>
      <c r="F325" s="193">
        <f>F326</f>
        <v>0</v>
      </c>
      <c r="G325" s="193">
        <f>G326</f>
        <v>0</v>
      </c>
      <c r="H325" s="193">
        <f>H326</f>
        <v>0</v>
      </c>
      <c r="I325" s="193">
        <f>I326</f>
        <v>0</v>
      </c>
      <c r="J325" s="193">
        <f t="shared" ref="J325:O325" si="59">J326</f>
        <v>0</v>
      </c>
      <c r="K325" s="193">
        <f t="shared" si="59"/>
        <v>0</v>
      </c>
      <c r="L325" s="193">
        <f t="shared" si="59"/>
        <v>0</v>
      </c>
      <c r="M325" s="193">
        <f t="shared" si="59"/>
        <v>0</v>
      </c>
      <c r="N325" s="193">
        <f t="shared" si="59"/>
        <v>0</v>
      </c>
      <c r="O325" s="193">
        <f t="shared" si="59"/>
        <v>0</v>
      </c>
      <c r="P325" s="193">
        <f>P326</f>
        <v>0</v>
      </c>
      <c r="Q325" s="22"/>
      <c r="R325" s="847"/>
    </row>
    <row r="326" spans="1:18" ht="48" hidden="1" thickTop="1" thickBot="1" x14ac:dyDescent="0.25">
      <c r="A326" s="174" t="s">
        <v>1008</v>
      </c>
      <c r="B326" s="174" t="s">
        <v>703</v>
      </c>
      <c r="C326" s="174"/>
      <c r="D326" s="174" t="s">
        <v>807</v>
      </c>
      <c r="E326" s="192">
        <f>E327+E329</f>
        <v>0</v>
      </c>
      <c r="F326" s="192">
        <f t="shared" ref="F326:P326" si="60">F327+F329</f>
        <v>0</v>
      </c>
      <c r="G326" s="192">
        <f t="shared" si="60"/>
        <v>0</v>
      </c>
      <c r="H326" s="192">
        <f t="shared" si="60"/>
        <v>0</v>
      </c>
      <c r="I326" s="192">
        <f t="shared" si="60"/>
        <v>0</v>
      </c>
      <c r="J326" s="192">
        <f t="shared" si="60"/>
        <v>0</v>
      </c>
      <c r="K326" s="192">
        <f t="shared" si="60"/>
        <v>0</v>
      </c>
      <c r="L326" s="192">
        <f t="shared" si="60"/>
        <v>0</v>
      </c>
      <c r="M326" s="192">
        <f t="shared" si="60"/>
        <v>0</v>
      </c>
      <c r="N326" s="192">
        <f t="shared" si="60"/>
        <v>0</v>
      </c>
      <c r="O326" s="192">
        <f t="shared" si="60"/>
        <v>0</v>
      </c>
      <c r="P326" s="192">
        <f t="shared" si="60"/>
        <v>0</v>
      </c>
      <c r="Q326" s="22"/>
      <c r="R326" s="847"/>
    </row>
    <row r="327" spans="1:18" ht="409.6" hidden="1" thickTop="1" thickBot="1" x14ac:dyDescent="0.7">
      <c r="A327" s="935" t="s">
        <v>1009</v>
      </c>
      <c r="B327" s="935" t="s">
        <v>343</v>
      </c>
      <c r="C327" s="935" t="s">
        <v>171</v>
      </c>
      <c r="D327" s="197" t="s">
        <v>445</v>
      </c>
      <c r="E327" s="936">
        <f t="shared" ref="E327" si="61">F327</f>
        <v>0</v>
      </c>
      <c r="F327" s="930"/>
      <c r="G327" s="930"/>
      <c r="H327" s="930"/>
      <c r="I327" s="930"/>
      <c r="J327" s="936">
        <f t="shared" ref="J327" si="62">L327+O327</f>
        <v>0</v>
      </c>
      <c r="K327" s="930"/>
      <c r="L327" s="930"/>
      <c r="M327" s="930"/>
      <c r="N327" s="930"/>
      <c r="O327" s="931">
        <f>K327</f>
        <v>0</v>
      </c>
      <c r="P327" s="933">
        <f>E327+J327</f>
        <v>0</v>
      </c>
      <c r="Q327" s="22"/>
      <c r="R327" s="847"/>
    </row>
    <row r="328" spans="1:18" ht="184.5" hidden="1" thickTop="1" thickBot="1" x14ac:dyDescent="0.25">
      <c r="A328" s="935"/>
      <c r="B328" s="935"/>
      <c r="C328" s="935"/>
      <c r="D328" s="198" t="s">
        <v>446</v>
      </c>
      <c r="E328" s="936"/>
      <c r="F328" s="930"/>
      <c r="G328" s="930"/>
      <c r="H328" s="930"/>
      <c r="I328" s="930"/>
      <c r="J328" s="936"/>
      <c r="K328" s="930"/>
      <c r="L328" s="930"/>
      <c r="M328" s="930"/>
      <c r="N328" s="930"/>
      <c r="O328" s="931"/>
      <c r="P328" s="933"/>
      <c r="Q328" s="22"/>
      <c r="R328" s="847"/>
    </row>
    <row r="329" spans="1:18" ht="93" hidden="1" thickTop="1" thickBot="1" x14ac:dyDescent="0.25">
      <c r="A329" s="836" t="s">
        <v>1242</v>
      </c>
      <c r="B329" s="836" t="s">
        <v>262</v>
      </c>
      <c r="C329" s="836" t="s">
        <v>171</v>
      </c>
      <c r="D329" s="190" t="s">
        <v>260</v>
      </c>
      <c r="E329" s="842">
        <f>F329</f>
        <v>0</v>
      </c>
      <c r="F329" s="168"/>
      <c r="G329" s="168"/>
      <c r="H329" s="168"/>
      <c r="I329" s="168"/>
      <c r="J329" s="842">
        <f t="shared" ref="J329" si="63">L329+O329</f>
        <v>0</v>
      </c>
      <c r="K329" s="168"/>
      <c r="L329" s="168"/>
      <c r="M329" s="168"/>
      <c r="N329" s="168"/>
      <c r="O329" s="843">
        <f>K329</f>
        <v>0</v>
      </c>
      <c r="P329" s="842">
        <f t="shared" ref="P329" si="64">E329+J329</f>
        <v>0</v>
      </c>
      <c r="Q329" s="22"/>
      <c r="R329" s="847"/>
    </row>
    <row r="330" spans="1:18" ht="181.5" thickTop="1" thickBot="1" x14ac:dyDescent="0.25">
      <c r="A330" s="460" t="s">
        <v>161</v>
      </c>
      <c r="B330" s="460"/>
      <c r="C330" s="460"/>
      <c r="D330" s="461" t="s">
        <v>906</v>
      </c>
      <c r="E330" s="463">
        <f>E331</f>
        <v>1111396.8100000005</v>
      </c>
      <c r="F330" s="462">
        <f t="shared" ref="F330:G330" si="65">F331</f>
        <v>1111396.8100000005</v>
      </c>
      <c r="G330" s="462">
        <f t="shared" si="65"/>
        <v>0</v>
      </c>
      <c r="H330" s="462">
        <f>H331</f>
        <v>0</v>
      </c>
      <c r="I330" s="462">
        <f t="shared" ref="I330" si="66">I331</f>
        <v>0</v>
      </c>
      <c r="J330" s="463">
        <f>J331</f>
        <v>545000</v>
      </c>
      <c r="K330" s="462">
        <f>K331</f>
        <v>545000</v>
      </c>
      <c r="L330" s="462">
        <f>L331</f>
        <v>0</v>
      </c>
      <c r="M330" s="462">
        <f t="shared" ref="M330" si="67">M331</f>
        <v>0</v>
      </c>
      <c r="N330" s="462">
        <f>N331</f>
        <v>0</v>
      </c>
      <c r="O330" s="463">
        <f>O331</f>
        <v>545000</v>
      </c>
      <c r="P330" s="462">
        <f t="shared" ref="P330" si="68">P331</f>
        <v>1656396.8100000005</v>
      </c>
      <c r="Q330" s="22"/>
    </row>
    <row r="331" spans="1:18" ht="181.5" thickTop="1" thickBot="1" x14ac:dyDescent="0.25">
      <c r="A331" s="464" t="s">
        <v>162</v>
      </c>
      <c r="B331" s="464"/>
      <c r="C331" s="464"/>
      <c r="D331" s="465" t="s">
        <v>907</v>
      </c>
      <c r="E331" s="466">
        <f>E332+E336</f>
        <v>1111396.8100000005</v>
      </c>
      <c r="F331" s="466">
        <f>F332+F336</f>
        <v>1111396.8100000005</v>
      </c>
      <c r="G331" s="466">
        <f>G332+G336</f>
        <v>0</v>
      </c>
      <c r="H331" s="466">
        <f>H332+H336</f>
        <v>0</v>
      </c>
      <c r="I331" s="466">
        <f>I332+I336</f>
        <v>0</v>
      </c>
      <c r="J331" s="466">
        <f>L331+O331</f>
        <v>545000</v>
      </c>
      <c r="K331" s="466">
        <f>K332+K336</f>
        <v>545000</v>
      </c>
      <c r="L331" s="466">
        <f>L332+L336</f>
        <v>0</v>
      </c>
      <c r="M331" s="466">
        <f>M332+M336</f>
        <v>0</v>
      </c>
      <c r="N331" s="466">
        <f>N332+N336</f>
        <v>0</v>
      </c>
      <c r="O331" s="466">
        <f>O332+O336</f>
        <v>545000</v>
      </c>
      <c r="P331" s="466">
        <f>E331+J331</f>
        <v>1656396.8100000005</v>
      </c>
      <c r="Q331" s="392" t="b">
        <f>P331=P333+P334+P335+P338</f>
        <v>1</v>
      </c>
      <c r="R331" s="847"/>
    </row>
    <row r="332" spans="1:18" ht="47.25" thickTop="1" thickBot="1" x14ac:dyDescent="0.25">
      <c r="A332" s="385" t="s">
        <v>832</v>
      </c>
      <c r="B332" s="385" t="s">
        <v>693</v>
      </c>
      <c r="C332" s="385"/>
      <c r="D332" s="385" t="s">
        <v>694</v>
      </c>
      <c r="E332" s="833">
        <f>'d3'!E332-d3П!E327</f>
        <v>1111396.8100000005</v>
      </c>
      <c r="F332" s="833">
        <f>'d3'!F332-d3П!F327</f>
        <v>1111396.8100000005</v>
      </c>
      <c r="G332" s="833">
        <f>'d3'!G332-d3П!G327</f>
        <v>0</v>
      </c>
      <c r="H332" s="833">
        <f>'d3'!H332-d3П!H327</f>
        <v>0</v>
      </c>
      <c r="I332" s="833">
        <f>'d3'!I332-d3П!I327</f>
        <v>0</v>
      </c>
      <c r="J332" s="833">
        <f>'d3'!J332-d3П!J327</f>
        <v>95000</v>
      </c>
      <c r="K332" s="833">
        <f>'d3'!K332-d3П!K327</f>
        <v>95000</v>
      </c>
      <c r="L332" s="833">
        <f>'d3'!L332-d3П!L327</f>
        <v>0</v>
      </c>
      <c r="M332" s="833">
        <f>'d3'!M332-d3П!M327</f>
        <v>0</v>
      </c>
      <c r="N332" s="833">
        <f>'d3'!N332-d3П!N327</f>
        <v>0</v>
      </c>
      <c r="O332" s="833">
        <f>'d3'!O332-d3П!O327</f>
        <v>95000</v>
      </c>
      <c r="P332" s="833">
        <f>'d3'!P332-d3П!P327</f>
        <v>1206396.8100000005</v>
      </c>
      <c r="Q332" s="50"/>
      <c r="R332" s="847"/>
    </row>
    <row r="333" spans="1:18" ht="230.25" thickTop="1" thickBot="1" x14ac:dyDescent="0.25">
      <c r="A333" s="835" t="s">
        <v>424</v>
      </c>
      <c r="B333" s="835" t="s">
        <v>241</v>
      </c>
      <c r="C333" s="835" t="s">
        <v>239</v>
      </c>
      <c r="D333" s="835" t="s">
        <v>240</v>
      </c>
      <c r="E333" s="833">
        <f>'d3'!E333-d3П!E328</f>
        <v>195500</v>
      </c>
      <c r="F333" s="833">
        <f>'d3'!F333-d3П!F328</f>
        <v>195500</v>
      </c>
      <c r="G333" s="833">
        <f>'d3'!G333-d3П!G328</f>
        <v>0</v>
      </c>
      <c r="H333" s="833">
        <f>'d3'!H333-d3П!H328</f>
        <v>0</v>
      </c>
      <c r="I333" s="833">
        <f>'d3'!I333-d3П!I328</f>
        <v>0</v>
      </c>
      <c r="J333" s="833">
        <f>'d3'!J333-d3П!J328</f>
        <v>95000</v>
      </c>
      <c r="K333" s="833">
        <f>'d3'!K333-d3П!K328</f>
        <v>95000</v>
      </c>
      <c r="L333" s="833">
        <f>'d3'!L333-d3П!L328</f>
        <v>0</v>
      </c>
      <c r="M333" s="833">
        <f>'d3'!M333-d3П!M328</f>
        <v>0</v>
      </c>
      <c r="N333" s="833">
        <f>'d3'!N333-d3П!N328</f>
        <v>0</v>
      </c>
      <c r="O333" s="833">
        <f>'d3'!O333-d3П!O328</f>
        <v>95000</v>
      </c>
      <c r="P333" s="833">
        <f>'d3'!P333-d3П!P328</f>
        <v>290500</v>
      </c>
      <c r="Q333" s="50"/>
      <c r="R333" s="847"/>
    </row>
    <row r="334" spans="1:18" ht="184.5" thickTop="1" thickBot="1" x14ac:dyDescent="0.25">
      <c r="A334" s="835" t="s">
        <v>640</v>
      </c>
      <c r="B334" s="835" t="s">
        <v>367</v>
      </c>
      <c r="C334" s="835" t="s">
        <v>634</v>
      </c>
      <c r="D334" s="835" t="s">
        <v>635</v>
      </c>
      <c r="E334" s="833">
        <f>'d3'!E334-d3П!E329</f>
        <v>0</v>
      </c>
      <c r="F334" s="833">
        <f>'d3'!F334-d3П!F329</f>
        <v>0</v>
      </c>
      <c r="G334" s="833">
        <f>'d3'!G334-d3П!G329</f>
        <v>0</v>
      </c>
      <c r="H334" s="833">
        <f>'d3'!H334-d3П!H329</f>
        <v>0</v>
      </c>
      <c r="I334" s="833">
        <f>'d3'!I334-d3П!I329</f>
        <v>0</v>
      </c>
      <c r="J334" s="833">
        <f>'d3'!J334-d3П!J329</f>
        <v>0</v>
      </c>
      <c r="K334" s="833">
        <f>'d3'!K334-d3П!K329</f>
        <v>0</v>
      </c>
      <c r="L334" s="833">
        <f>'d3'!L334-d3П!L329</f>
        <v>0</v>
      </c>
      <c r="M334" s="833">
        <f>'d3'!M334-d3П!M329</f>
        <v>0</v>
      </c>
      <c r="N334" s="833">
        <f>'d3'!N334-d3П!N329</f>
        <v>0</v>
      </c>
      <c r="O334" s="833">
        <f>'d3'!O334-d3П!O329</f>
        <v>0</v>
      </c>
      <c r="P334" s="833">
        <f>'d3'!P334-d3П!P329</f>
        <v>0</v>
      </c>
      <c r="Q334" s="50"/>
      <c r="R334" s="847"/>
    </row>
    <row r="335" spans="1:18" ht="93" thickTop="1" thickBot="1" x14ac:dyDescent="0.25">
      <c r="A335" s="835" t="s">
        <v>1339</v>
      </c>
      <c r="B335" s="835" t="s">
        <v>43</v>
      </c>
      <c r="C335" s="835" t="s">
        <v>42</v>
      </c>
      <c r="D335" s="835" t="s">
        <v>253</v>
      </c>
      <c r="E335" s="833">
        <f>'d3'!E335-d3П!E330</f>
        <v>915896.81</v>
      </c>
      <c r="F335" s="833">
        <f>'d3'!F335-d3П!F330</f>
        <v>915896.81</v>
      </c>
      <c r="G335" s="833">
        <f>'d3'!G335-d3П!G330</f>
        <v>0</v>
      </c>
      <c r="H335" s="833">
        <f>'d3'!H335-d3П!H330</f>
        <v>0</v>
      </c>
      <c r="I335" s="833">
        <f>'d3'!I335-d3П!I330</f>
        <v>0</v>
      </c>
      <c r="J335" s="833">
        <f>'d3'!J335-d3П!J330</f>
        <v>0</v>
      </c>
      <c r="K335" s="833">
        <f>'d3'!K335-d3П!K330</f>
        <v>0</v>
      </c>
      <c r="L335" s="833">
        <f>'d3'!L335-d3П!L330</f>
        <v>0</v>
      </c>
      <c r="M335" s="833">
        <f>'d3'!M335-d3П!M330</f>
        <v>0</v>
      </c>
      <c r="N335" s="833">
        <f>'d3'!N335-d3П!N330</f>
        <v>0</v>
      </c>
      <c r="O335" s="833">
        <f>'d3'!O335-d3П!O330</f>
        <v>0</v>
      </c>
      <c r="P335" s="833">
        <f>'d3'!P335-d3П!P330</f>
        <v>915896.81</v>
      </c>
      <c r="Q335" s="50"/>
      <c r="R335" s="847"/>
    </row>
    <row r="336" spans="1:18" ht="47.25" thickTop="1" thickBot="1" x14ac:dyDescent="0.25">
      <c r="A336" s="385" t="s">
        <v>922</v>
      </c>
      <c r="B336" s="385" t="s">
        <v>757</v>
      </c>
      <c r="C336" s="835"/>
      <c r="D336" s="385" t="s">
        <v>804</v>
      </c>
      <c r="E336" s="833">
        <f>'d3'!E336-d3П!E331</f>
        <v>0</v>
      </c>
      <c r="F336" s="833">
        <f>'d3'!F336-d3П!F331</f>
        <v>0</v>
      </c>
      <c r="G336" s="833">
        <f>'d3'!G336-d3П!G331</f>
        <v>0</v>
      </c>
      <c r="H336" s="833">
        <f>'d3'!H336-d3П!H331</f>
        <v>0</v>
      </c>
      <c r="I336" s="833">
        <f>'d3'!I336-d3П!I331</f>
        <v>0</v>
      </c>
      <c r="J336" s="833">
        <f>'d3'!J336-d3П!J331</f>
        <v>450000</v>
      </c>
      <c r="K336" s="833">
        <f>'d3'!K336-d3П!K331</f>
        <v>450000</v>
      </c>
      <c r="L336" s="833">
        <f>'d3'!L336-d3П!L331</f>
        <v>0</v>
      </c>
      <c r="M336" s="833">
        <f>'d3'!M336-d3П!M331</f>
        <v>0</v>
      </c>
      <c r="N336" s="833">
        <f>'d3'!N336-d3П!N331</f>
        <v>0</v>
      </c>
      <c r="O336" s="833">
        <f>'d3'!O336-d3П!O331</f>
        <v>450000</v>
      </c>
      <c r="P336" s="833">
        <f>'d3'!P336-d3П!P331</f>
        <v>450000</v>
      </c>
      <c r="Q336" s="50"/>
      <c r="R336" s="847"/>
    </row>
    <row r="337" spans="1:18" ht="91.5" thickTop="1" thickBot="1" x14ac:dyDescent="0.25">
      <c r="A337" s="387" t="s">
        <v>923</v>
      </c>
      <c r="B337" s="387" t="s">
        <v>813</v>
      </c>
      <c r="C337" s="387"/>
      <c r="D337" s="387" t="s">
        <v>814</v>
      </c>
      <c r="E337" s="833">
        <f>'d3'!E337-d3П!E332</f>
        <v>0</v>
      </c>
      <c r="F337" s="833">
        <f>'d3'!F337-d3П!F332</f>
        <v>0</v>
      </c>
      <c r="G337" s="833">
        <f>'d3'!G337-d3П!G332</f>
        <v>0</v>
      </c>
      <c r="H337" s="833">
        <f>'d3'!H337-d3П!H332</f>
        <v>0</v>
      </c>
      <c r="I337" s="833">
        <f>'d3'!I337-d3П!I332</f>
        <v>0</v>
      </c>
      <c r="J337" s="833">
        <f>'d3'!J337-d3П!J332</f>
        <v>450000</v>
      </c>
      <c r="K337" s="833">
        <f>'d3'!K337-d3П!K332</f>
        <v>450000</v>
      </c>
      <c r="L337" s="833">
        <f>'d3'!L337-d3П!L332</f>
        <v>0</v>
      </c>
      <c r="M337" s="833">
        <f>'d3'!M337-d3П!M332</f>
        <v>0</v>
      </c>
      <c r="N337" s="833">
        <f>'d3'!N337-d3П!N332</f>
        <v>0</v>
      </c>
      <c r="O337" s="833">
        <f>'d3'!O337-d3П!O332</f>
        <v>450000</v>
      </c>
      <c r="P337" s="833">
        <f>'d3'!P337-d3П!P332</f>
        <v>450000</v>
      </c>
      <c r="Q337" s="50"/>
      <c r="R337" s="847"/>
    </row>
    <row r="338" spans="1:18" ht="138.75" thickTop="1" thickBot="1" x14ac:dyDescent="0.25">
      <c r="A338" s="835" t="s">
        <v>924</v>
      </c>
      <c r="B338" s="835" t="s">
        <v>925</v>
      </c>
      <c r="C338" s="835" t="s">
        <v>309</v>
      </c>
      <c r="D338" s="835" t="s">
        <v>926</v>
      </c>
      <c r="E338" s="833">
        <f>'d3'!E338-d3П!E333</f>
        <v>0</v>
      </c>
      <c r="F338" s="833">
        <f>'d3'!F338-d3П!F333</f>
        <v>0</v>
      </c>
      <c r="G338" s="833">
        <f>'d3'!G338-d3П!G333</f>
        <v>0</v>
      </c>
      <c r="H338" s="833">
        <f>'d3'!H338-d3П!H333</f>
        <v>0</v>
      </c>
      <c r="I338" s="833">
        <f>'d3'!I338-d3П!I333</f>
        <v>0</v>
      </c>
      <c r="J338" s="833">
        <f>'d3'!J338-d3П!J333</f>
        <v>450000</v>
      </c>
      <c r="K338" s="833">
        <f>'d3'!K338-d3П!K333</f>
        <v>450000</v>
      </c>
      <c r="L338" s="833">
        <f>'d3'!L338-d3П!L333</f>
        <v>0</v>
      </c>
      <c r="M338" s="833">
        <f>'d3'!M338-d3П!M333</f>
        <v>0</v>
      </c>
      <c r="N338" s="833">
        <f>'d3'!N338-d3П!N333</f>
        <v>0</v>
      </c>
      <c r="O338" s="833">
        <f>'d3'!O338-d3П!O333</f>
        <v>450000</v>
      </c>
      <c r="P338" s="833">
        <f>'d3'!P338-d3П!P333</f>
        <v>450000</v>
      </c>
      <c r="Q338" s="50"/>
      <c r="R338" s="847"/>
    </row>
    <row r="339" spans="1:18" ht="136.5" thickTop="1" thickBot="1" x14ac:dyDescent="0.25">
      <c r="A339" s="460" t="s">
        <v>449</v>
      </c>
      <c r="B339" s="460"/>
      <c r="C339" s="460"/>
      <c r="D339" s="461" t="s">
        <v>451</v>
      </c>
      <c r="E339" s="463">
        <f>E340</f>
        <v>100000</v>
      </c>
      <c r="F339" s="462">
        <f t="shared" ref="F339:G339" si="69">F340</f>
        <v>100000</v>
      </c>
      <c r="G339" s="462">
        <f t="shared" si="69"/>
        <v>0</v>
      </c>
      <c r="H339" s="462">
        <f>H340</f>
        <v>0</v>
      </c>
      <c r="I339" s="462">
        <f t="shared" ref="I339" si="70">I340</f>
        <v>0</v>
      </c>
      <c r="J339" s="463">
        <f>J340</f>
        <v>7117760</v>
      </c>
      <c r="K339" s="462">
        <f>K340</f>
        <v>7117760</v>
      </c>
      <c r="L339" s="462">
        <f>L340</f>
        <v>0</v>
      </c>
      <c r="M339" s="462">
        <f t="shared" ref="M339" si="71">M340</f>
        <v>0</v>
      </c>
      <c r="N339" s="462">
        <f>N340</f>
        <v>0</v>
      </c>
      <c r="O339" s="463">
        <f>O340</f>
        <v>7117760</v>
      </c>
      <c r="P339" s="462">
        <f t="shared" ref="P339" si="72">P340</f>
        <v>7217760</v>
      </c>
      <c r="Q339" s="22"/>
    </row>
    <row r="340" spans="1:18" ht="181.5" thickTop="1" thickBot="1" x14ac:dyDescent="0.25">
      <c r="A340" s="464" t="s">
        <v>450</v>
      </c>
      <c r="B340" s="464"/>
      <c r="C340" s="464"/>
      <c r="D340" s="465" t="s">
        <v>452</v>
      </c>
      <c r="E340" s="466">
        <f t="shared" ref="E340:O340" si="73">E341+E344+E353+E356</f>
        <v>100000</v>
      </c>
      <c r="F340" s="466">
        <f t="shared" si="73"/>
        <v>100000</v>
      </c>
      <c r="G340" s="466">
        <f t="shared" si="73"/>
        <v>0</v>
      </c>
      <c r="H340" s="466">
        <f t="shared" si="73"/>
        <v>0</v>
      </c>
      <c r="I340" s="466">
        <f t="shared" si="73"/>
        <v>0</v>
      </c>
      <c r="J340" s="466">
        <f t="shared" si="73"/>
        <v>7117760</v>
      </c>
      <c r="K340" s="466">
        <f t="shared" si="73"/>
        <v>7117760</v>
      </c>
      <c r="L340" s="466">
        <f t="shared" si="73"/>
        <v>0</v>
      </c>
      <c r="M340" s="466">
        <f t="shared" si="73"/>
        <v>0</v>
      </c>
      <c r="N340" s="466">
        <f t="shared" si="73"/>
        <v>0</v>
      </c>
      <c r="O340" s="466">
        <f t="shared" si="73"/>
        <v>7117760</v>
      </c>
      <c r="P340" s="466">
        <f>E340+J340</f>
        <v>7217760</v>
      </c>
      <c r="Q340" s="392" t="b">
        <f>P340=P342+P349+P355+P352+P357+P347</f>
        <v>1</v>
      </c>
      <c r="R340" s="847"/>
    </row>
    <row r="341" spans="1:18" ht="47.25" thickTop="1" thickBot="1" x14ac:dyDescent="0.25">
      <c r="A341" s="385" t="s">
        <v>833</v>
      </c>
      <c r="B341" s="385" t="s">
        <v>693</v>
      </c>
      <c r="C341" s="385"/>
      <c r="D341" s="385" t="s">
        <v>694</v>
      </c>
      <c r="E341" s="833">
        <f>'d3'!E341-d3П!E336</f>
        <v>0</v>
      </c>
      <c r="F341" s="833">
        <f>'d3'!F341-d3П!F336</f>
        <v>0</v>
      </c>
      <c r="G341" s="833">
        <f>'d3'!G341-d3П!G336</f>
        <v>0</v>
      </c>
      <c r="H341" s="833">
        <f>'d3'!H341-d3П!H336</f>
        <v>0</v>
      </c>
      <c r="I341" s="833">
        <f>'d3'!I341-d3П!I336</f>
        <v>0</v>
      </c>
      <c r="J341" s="833">
        <f>'d3'!J341-d3П!J336</f>
        <v>153760</v>
      </c>
      <c r="K341" s="833">
        <f>'d3'!K341-d3П!K336</f>
        <v>153760</v>
      </c>
      <c r="L341" s="833">
        <f>'d3'!L341-d3П!L336</f>
        <v>0</v>
      </c>
      <c r="M341" s="833">
        <f>'d3'!M341-d3П!M336</f>
        <v>0</v>
      </c>
      <c r="N341" s="833">
        <f>'d3'!N341-d3П!N336</f>
        <v>0</v>
      </c>
      <c r="O341" s="833">
        <f>'d3'!O341-d3П!O336</f>
        <v>153760</v>
      </c>
      <c r="P341" s="833">
        <f>'d3'!P341-d3П!P336</f>
        <v>153760</v>
      </c>
      <c r="Q341" s="50"/>
      <c r="R341" s="847"/>
    </row>
    <row r="342" spans="1:18" ht="230.25" thickTop="1" thickBot="1" x14ac:dyDescent="0.25">
      <c r="A342" s="835" t="s">
        <v>453</v>
      </c>
      <c r="B342" s="835" t="s">
        <v>241</v>
      </c>
      <c r="C342" s="835" t="s">
        <v>239</v>
      </c>
      <c r="D342" s="835" t="s">
        <v>240</v>
      </c>
      <c r="E342" s="833">
        <f>'d3'!E342-d3П!E337</f>
        <v>0</v>
      </c>
      <c r="F342" s="833">
        <f>'d3'!F342-d3П!F337</f>
        <v>0</v>
      </c>
      <c r="G342" s="833">
        <f>'d3'!G342-d3П!G337</f>
        <v>0</v>
      </c>
      <c r="H342" s="833">
        <f>'d3'!H342-d3П!H337</f>
        <v>0</v>
      </c>
      <c r="I342" s="833">
        <f>'d3'!I342-d3П!I337</f>
        <v>0</v>
      </c>
      <c r="J342" s="833">
        <f>'d3'!J342-d3П!J337</f>
        <v>153760</v>
      </c>
      <c r="K342" s="833">
        <f>'d3'!K342-d3П!K337</f>
        <v>153760</v>
      </c>
      <c r="L342" s="833">
        <f>'d3'!L342-d3П!L337</f>
        <v>0</v>
      </c>
      <c r="M342" s="833">
        <f>'d3'!M342-d3П!M337</f>
        <v>0</v>
      </c>
      <c r="N342" s="833">
        <f>'d3'!N342-d3П!N337</f>
        <v>0</v>
      </c>
      <c r="O342" s="833">
        <f>'d3'!O342-d3П!O337</f>
        <v>153760</v>
      </c>
      <c r="P342" s="833">
        <f>'d3'!P342-d3П!P337</f>
        <v>153760</v>
      </c>
      <c r="Q342" s="50"/>
      <c r="R342" s="847"/>
    </row>
    <row r="343" spans="1:18" ht="184.5" hidden="1" thickTop="1" thickBot="1" x14ac:dyDescent="0.25">
      <c r="A343" s="845" t="s">
        <v>641</v>
      </c>
      <c r="B343" s="845" t="s">
        <v>367</v>
      </c>
      <c r="C343" s="845" t="s">
        <v>634</v>
      </c>
      <c r="D343" s="845" t="s">
        <v>635</v>
      </c>
      <c r="E343" s="833">
        <f>'d3'!E343-d3П!E338</f>
        <v>0</v>
      </c>
      <c r="F343" s="833">
        <f>'d3'!F343-d3П!F338</f>
        <v>0</v>
      </c>
      <c r="G343" s="833">
        <f>'d3'!G343-d3П!G338</f>
        <v>0</v>
      </c>
      <c r="H343" s="833">
        <f>'d3'!H343-d3П!H338</f>
        <v>0</v>
      </c>
      <c r="I343" s="833">
        <f>'d3'!I343-d3П!I338</f>
        <v>0</v>
      </c>
      <c r="J343" s="833">
        <f>'d3'!J343-d3П!J338</f>
        <v>0</v>
      </c>
      <c r="K343" s="833">
        <f>'d3'!K343-d3П!K338</f>
        <v>0</v>
      </c>
      <c r="L343" s="833">
        <f>'d3'!L343-d3П!L338</f>
        <v>0</v>
      </c>
      <c r="M343" s="833">
        <f>'d3'!M343-d3П!M338</f>
        <v>0</v>
      </c>
      <c r="N343" s="833">
        <f>'d3'!N343-d3П!N338</f>
        <v>0</v>
      </c>
      <c r="O343" s="833">
        <f>'d3'!O343-d3П!O338</f>
        <v>0</v>
      </c>
      <c r="P343" s="833">
        <f>'d3'!P343-d3П!P338</f>
        <v>0</v>
      </c>
      <c r="Q343" s="50"/>
      <c r="R343" s="847"/>
    </row>
    <row r="344" spans="1:18" ht="47.25" thickTop="1" thickBot="1" x14ac:dyDescent="0.25">
      <c r="A344" s="385" t="s">
        <v>834</v>
      </c>
      <c r="B344" s="385" t="s">
        <v>757</v>
      </c>
      <c r="C344" s="835"/>
      <c r="D344" s="385" t="s">
        <v>804</v>
      </c>
      <c r="E344" s="833">
        <f>'d3'!E344-d3П!E339</f>
        <v>100000</v>
      </c>
      <c r="F344" s="833">
        <f>'d3'!F344-d3П!F339</f>
        <v>100000</v>
      </c>
      <c r="G344" s="833">
        <f>'d3'!G344-d3П!G339</f>
        <v>0</v>
      </c>
      <c r="H344" s="833">
        <f>'d3'!H344-d3П!H339</f>
        <v>0</v>
      </c>
      <c r="I344" s="833">
        <f>'d3'!I344-d3П!I339</f>
        <v>0</v>
      </c>
      <c r="J344" s="833">
        <f>'d3'!J344-d3П!J339</f>
        <v>6964000</v>
      </c>
      <c r="K344" s="833">
        <f>'d3'!K344-d3П!K339</f>
        <v>6964000</v>
      </c>
      <c r="L344" s="833">
        <f>'d3'!L344-d3П!L339</f>
        <v>0</v>
      </c>
      <c r="M344" s="833">
        <f>'d3'!M344-d3П!M339</f>
        <v>0</v>
      </c>
      <c r="N344" s="833">
        <f>'d3'!N344-d3П!N339</f>
        <v>0</v>
      </c>
      <c r="O344" s="833">
        <f>'d3'!O344-d3П!O339</f>
        <v>6964000</v>
      </c>
      <c r="P344" s="833">
        <f>'d3'!P344-d3П!P339</f>
        <v>7064000</v>
      </c>
      <c r="Q344" s="50"/>
      <c r="R344" s="53"/>
    </row>
    <row r="345" spans="1:18" ht="136.5" thickTop="1" thickBot="1" x14ac:dyDescent="0.25">
      <c r="A345" s="387" t="s">
        <v>835</v>
      </c>
      <c r="B345" s="387" t="s">
        <v>816</v>
      </c>
      <c r="C345" s="387"/>
      <c r="D345" s="387" t="s">
        <v>817</v>
      </c>
      <c r="E345" s="833">
        <f>'d3'!E345-d3П!E340</f>
        <v>100000</v>
      </c>
      <c r="F345" s="833">
        <f>'d3'!F345-d3П!F340</f>
        <v>100000</v>
      </c>
      <c r="G345" s="833">
        <f>'d3'!G345-d3П!G340</f>
        <v>0</v>
      </c>
      <c r="H345" s="833">
        <f>'d3'!H345-d3П!H340</f>
        <v>0</v>
      </c>
      <c r="I345" s="833">
        <f>'d3'!I345-d3П!I340</f>
        <v>0</v>
      </c>
      <c r="J345" s="833">
        <f>'d3'!J345-d3П!J340</f>
        <v>0</v>
      </c>
      <c r="K345" s="833">
        <f>'d3'!K345-d3П!K340</f>
        <v>0</v>
      </c>
      <c r="L345" s="833">
        <f>'d3'!L345-d3П!L340</f>
        <v>0</v>
      </c>
      <c r="M345" s="833">
        <f>'d3'!M345-d3П!M340</f>
        <v>0</v>
      </c>
      <c r="N345" s="833">
        <f>'d3'!N345-d3П!N340</f>
        <v>0</v>
      </c>
      <c r="O345" s="833">
        <f>'d3'!O345-d3П!O340</f>
        <v>0</v>
      </c>
      <c r="P345" s="833">
        <f>'d3'!P345-d3П!P340</f>
        <v>100000</v>
      </c>
      <c r="Q345" s="50"/>
      <c r="R345" s="53"/>
    </row>
    <row r="346" spans="1:18" ht="138.75" thickTop="1" thickBot="1" x14ac:dyDescent="0.25">
      <c r="A346" s="455" t="s">
        <v>1034</v>
      </c>
      <c r="B346" s="455" t="s">
        <v>1035</v>
      </c>
      <c r="C346" s="455"/>
      <c r="D346" s="455" t="s">
        <v>1033</v>
      </c>
      <c r="E346" s="833">
        <f>'d3'!E346-d3П!E341</f>
        <v>0</v>
      </c>
      <c r="F346" s="833">
        <f>'d3'!F346-d3П!F341</f>
        <v>0</v>
      </c>
      <c r="G346" s="833">
        <f>'d3'!G346-d3П!G341</f>
        <v>0</v>
      </c>
      <c r="H346" s="833">
        <f>'d3'!H346-d3П!H341</f>
        <v>0</v>
      </c>
      <c r="I346" s="833">
        <f>'d3'!I346-d3П!I341</f>
        <v>0</v>
      </c>
      <c r="J346" s="833">
        <f>'d3'!J346-d3П!J341</f>
        <v>0</v>
      </c>
      <c r="K346" s="833">
        <f>'d3'!K346-d3П!K341</f>
        <v>0</v>
      </c>
      <c r="L346" s="833">
        <f>'d3'!L346-d3П!L341</f>
        <v>0</v>
      </c>
      <c r="M346" s="833">
        <f>'d3'!M346-d3П!M341</f>
        <v>0</v>
      </c>
      <c r="N346" s="833">
        <f>'d3'!N346-d3П!N341</f>
        <v>0</v>
      </c>
      <c r="O346" s="833">
        <f>'d3'!O346-d3П!O341</f>
        <v>0</v>
      </c>
      <c r="P346" s="833">
        <f>'d3'!P346-d3П!P341</f>
        <v>0</v>
      </c>
      <c r="Q346" s="50"/>
      <c r="R346" s="53"/>
    </row>
    <row r="347" spans="1:18" ht="93" thickTop="1" thickBot="1" x14ac:dyDescent="0.25">
      <c r="A347" s="835" t="s">
        <v>472</v>
      </c>
      <c r="B347" s="835" t="s">
        <v>417</v>
      </c>
      <c r="C347" s="835" t="s">
        <v>418</v>
      </c>
      <c r="D347" s="835" t="s">
        <v>419</v>
      </c>
      <c r="E347" s="833">
        <f>'d3'!E347-d3П!E342</f>
        <v>0</v>
      </c>
      <c r="F347" s="833">
        <f>'d3'!F347-d3П!F342</f>
        <v>0</v>
      </c>
      <c r="G347" s="833">
        <f>'d3'!G347-d3П!G342</f>
        <v>0</v>
      </c>
      <c r="H347" s="833">
        <f>'d3'!H347-d3П!H342</f>
        <v>0</v>
      </c>
      <c r="I347" s="833">
        <f>'d3'!I347-d3П!I342</f>
        <v>0</v>
      </c>
      <c r="J347" s="833">
        <f>'d3'!J347-d3П!J342</f>
        <v>0</v>
      </c>
      <c r="K347" s="833">
        <f>'d3'!K347-d3П!K342</f>
        <v>0</v>
      </c>
      <c r="L347" s="833">
        <f>'d3'!L347-d3П!L342</f>
        <v>0</v>
      </c>
      <c r="M347" s="833">
        <f>'d3'!M347-d3П!M342</f>
        <v>0</v>
      </c>
      <c r="N347" s="833">
        <f>'d3'!N347-d3П!N342</f>
        <v>0</v>
      </c>
      <c r="O347" s="833">
        <f>'d3'!O347-d3П!O342</f>
        <v>0</v>
      </c>
      <c r="P347" s="833">
        <f>'d3'!P347-d3П!P342</f>
        <v>0</v>
      </c>
      <c r="Q347" s="50"/>
      <c r="R347" s="53"/>
    </row>
    <row r="348" spans="1:18" ht="138.75" thickTop="1" thickBot="1" x14ac:dyDescent="0.25">
      <c r="A348" s="455" t="s">
        <v>836</v>
      </c>
      <c r="B348" s="455" t="s">
        <v>837</v>
      </c>
      <c r="C348" s="455"/>
      <c r="D348" s="455" t="s">
        <v>838</v>
      </c>
      <c r="E348" s="833">
        <f>'d3'!E348-d3П!E343</f>
        <v>100000</v>
      </c>
      <c r="F348" s="833">
        <f>'d3'!F348-d3П!F343</f>
        <v>100000</v>
      </c>
      <c r="G348" s="833">
        <f>'d3'!G348-d3П!G343</f>
        <v>0</v>
      </c>
      <c r="H348" s="833">
        <f>'d3'!H348-d3П!H343</f>
        <v>0</v>
      </c>
      <c r="I348" s="833">
        <f>'d3'!I348-d3П!I343</f>
        <v>0</v>
      </c>
      <c r="J348" s="833">
        <f>'d3'!J348-d3П!J343</f>
        <v>0</v>
      </c>
      <c r="K348" s="833">
        <f>'d3'!K348-d3П!K343</f>
        <v>0</v>
      </c>
      <c r="L348" s="833">
        <f>'d3'!L348-d3П!L343</f>
        <v>0</v>
      </c>
      <c r="M348" s="833">
        <f>'d3'!M348-d3П!M343</f>
        <v>0</v>
      </c>
      <c r="N348" s="833">
        <f>'d3'!N348-d3П!N343</f>
        <v>0</v>
      </c>
      <c r="O348" s="833">
        <f>'d3'!O348-d3П!O343</f>
        <v>0</v>
      </c>
      <c r="P348" s="833">
        <f>'d3'!P348-d3П!P343</f>
        <v>100000</v>
      </c>
      <c r="Q348" s="50"/>
      <c r="R348" s="53"/>
    </row>
    <row r="349" spans="1:18" ht="93" thickTop="1" thickBot="1" x14ac:dyDescent="0.25">
      <c r="A349" s="835" t="s">
        <v>473</v>
      </c>
      <c r="B349" s="835" t="s">
        <v>296</v>
      </c>
      <c r="C349" s="835" t="s">
        <v>1490</v>
      </c>
      <c r="D349" s="835" t="s">
        <v>297</v>
      </c>
      <c r="E349" s="833">
        <f>'d3'!E349-d3П!E344</f>
        <v>100000</v>
      </c>
      <c r="F349" s="833">
        <f>'d3'!F349-d3П!F344</f>
        <v>100000</v>
      </c>
      <c r="G349" s="833">
        <f>'d3'!G349-d3П!G344</f>
        <v>0</v>
      </c>
      <c r="H349" s="833">
        <f>'d3'!H349-d3П!H344</f>
        <v>0</v>
      </c>
      <c r="I349" s="833">
        <f>'d3'!I349-d3П!I344</f>
        <v>0</v>
      </c>
      <c r="J349" s="833">
        <f>'d3'!J349-d3П!J344</f>
        <v>0</v>
      </c>
      <c r="K349" s="833">
        <f>'d3'!K349-d3П!K344</f>
        <v>0</v>
      </c>
      <c r="L349" s="833">
        <f>'d3'!L349-d3П!L344</f>
        <v>0</v>
      </c>
      <c r="M349" s="833">
        <f>'d3'!M349-d3П!M344</f>
        <v>0</v>
      </c>
      <c r="N349" s="833">
        <f>'d3'!N349-d3П!N344</f>
        <v>0</v>
      </c>
      <c r="O349" s="833">
        <f>'d3'!O349-d3П!O344</f>
        <v>0</v>
      </c>
      <c r="P349" s="833">
        <f>'d3'!P349-d3П!P344</f>
        <v>100000</v>
      </c>
      <c r="Q349" s="50"/>
      <c r="R349" s="53"/>
    </row>
    <row r="350" spans="1:18" ht="93" hidden="1" thickTop="1" thickBot="1" x14ac:dyDescent="0.25">
      <c r="A350" s="836" t="s">
        <v>1138</v>
      </c>
      <c r="B350" s="836" t="s">
        <v>1139</v>
      </c>
      <c r="C350" s="836" t="s">
        <v>300</v>
      </c>
      <c r="D350" s="836" t="s">
        <v>1137</v>
      </c>
      <c r="E350" s="833">
        <f>'d3'!E350-d3П!E345</f>
        <v>0</v>
      </c>
      <c r="F350" s="833">
        <f>'d3'!F350-d3П!F345</f>
        <v>0</v>
      </c>
      <c r="G350" s="833">
        <f>'d3'!G350-d3П!G345</f>
        <v>0</v>
      </c>
      <c r="H350" s="833">
        <f>'d3'!H350-d3П!H345</f>
        <v>0</v>
      </c>
      <c r="I350" s="833">
        <f>'d3'!I350-d3П!I345</f>
        <v>0</v>
      </c>
      <c r="J350" s="833">
        <f>'d3'!J350-d3П!J345</f>
        <v>0</v>
      </c>
      <c r="K350" s="833">
        <f>'d3'!K350-d3П!K345</f>
        <v>0</v>
      </c>
      <c r="L350" s="833">
        <f>'d3'!L350-d3П!L345</f>
        <v>0</v>
      </c>
      <c r="M350" s="833">
        <f>'d3'!M350-d3П!M345</f>
        <v>0</v>
      </c>
      <c r="N350" s="833">
        <f>'d3'!N350-d3П!N345</f>
        <v>0</v>
      </c>
      <c r="O350" s="833">
        <f>'d3'!O350-d3П!O345</f>
        <v>0</v>
      </c>
      <c r="P350" s="833">
        <f>'d3'!P350-d3П!P345</f>
        <v>0</v>
      </c>
      <c r="Q350" s="50"/>
      <c r="R350" s="53"/>
    </row>
    <row r="351" spans="1:18" ht="136.5" thickTop="1" thickBot="1" x14ac:dyDescent="0.25">
      <c r="A351" s="387" t="s">
        <v>1221</v>
      </c>
      <c r="B351" s="387" t="s">
        <v>700</v>
      </c>
      <c r="C351" s="387"/>
      <c r="D351" s="387" t="s">
        <v>698</v>
      </c>
      <c r="E351" s="833">
        <f>'d3'!E351-d3П!E346</f>
        <v>0</v>
      </c>
      <c r="F351" s="833">
        <f>'d3'!F351-d3П!F346</f>
        <v>0</v>
      </c>
      <c r="G351" s="833">
        <f>'d3'!G351-d3П!G346</f>
        <v>0</v>
      </c>
      <c r="H351" s="833">
        <f>'d3'!H351-d3П!H346</f>
        <v>0</v>
      </c>
      <c r="I351" s="833">
        <f>'d3'!I351-d3П!I346</f>
        <v>0</v>
      </c>
      <c r="J351" s="833">
        <f>'d3'!J351-d3П!J346</f>
        <v>6964000</v>
      </c>
      <c r="K351" s="833">
        <f>'d3'!K351-d3П!K346</f>
        <v>6964000</v>
      </c>
      <c r="L351" s="833">
        <f>'d3'!L351-d3П!L346</f>
        <v>0</v>
      </c>
      <c r="M351" s="833">
        <f>'d3'!M351-d3П!M346</f>
        <v>0</v>
      </c>
      <c r="N351" s="833">
        <f>'d3'!N351-d3П!N346</f>
        <v>0</v>
      </c>
      <c r="O351" s="833">
        <f>'d3'!O351-d3П!O346</f>
        <v>6964000</v>
      </c>
      <c r="P351" s="833">
        <f>'d3'!P351-d3П!P346</f>
        <v>6964000</v>
      </c>
      <c r="Q351" s="50"/>
      <c r="R351" s="53"/>
    </row>
    <row r="352" spans="1:18" ht="93" thickTop="1" thickBot="1" x14ac:dyDescent="0.25">
      <c r="A352" s="835" t="s">
        <v>1222</v>
      </c>
      <c r="B352" s="835" t="s">
        <v>202</v>
      </c>
      <c r="C352" s="835" t="s">
        <v>171</v>
      </c>
      <c r="D352" s="835" t="s">
        <v>1223</v>
      </c>
      <c r="E352" s="833">
        <f>'d3'!E352-d3П!E347</f>
        <v>0</v>
      </c>
      <c r="F352" s="833">
        <f>'d3'!F352-d3П!F347</f>
        <v>0</v>
      </c>
      <c r="G352" s="833">
        <f>'d3'!G352-d3П!G347</f>
        <v>0</v>
      </c>
      <c r="H352" s="833">
        <f>'d3'!H352-d3П!H347</f>
        <v>0</v>
      </c>
      <c r="I352" s="833">
        <f>'d3'!I352-d3П!I347</f>
        <v>0</v>
      </c>
      <c r="J352" s="833">
        <f>'d3'!J352-d3П!J347</f>
        <v>6964000</v>
      </c>
      <c r="K352" s="833">
        <f>'d3'!K352-d3П!K347</f>
        <v>6964000</v>
      </c>
      <c r="L352" s="833">
        <f>'d3'!L352-d3П!L347</f>
        <v>0</v>
      </c>
      <c r="M352" s="833">
        <f>'d3'!M352-d3П!M347</f>
        <v>0</v>
      </c>
      <c r="N352" s="833">
        <f>'d3'!N352-d3П!N347</f>
        <v>0</v>
      </c>
      <c r="O352" s="833">
        <f>'d3'!O352-d3П!O347</f>
        <v>6964000</v>
      </c>
      <c r="P352" s="833">
        <f>'d3'!P352-d3П!P347</f>
        <v>6964000</v>
      </c>
      <c r="Q352" s="50"/>
      <c r="R352" s="53"/>
    </row>
    <row r="353" spans="1:18" ht="47.25" thickTop="1" thickBot="1" x14ac:dyDescent="0.25">
      <c r="A353" s="385" t="s">
        <v>1268</v>
      </c>
      <c r="B353" s="385" t="s">
        <v>705</v>
      </c>
      <c r="C353" s="385"/>
      <c r="D353" s="385" t="s">
        <v>706</v>
      </c>
      <c r="E353" s="833">
        <f>'d3'!E353-d3П!E348</f>
        <v>0</v>
      </c>
      <c r="F353" s="833">
        <f>'d3'!F353-d3П!F348</f>
        <v>0</v>
      </c>
      <c r="G353" s="833">
        <f>'d3'!G353-d3П!G348</f>
        <v>0</v>
      </c>
      <c r="H353" s="833">
        <f>'d3'!H353-d3П!H348</f>
        <v>0</v>
      </c>
      <c r="I353" s="833">
        <f>'d3'!I353-d3П!I348</f>
        <v>0</v>
      </c>
      <c r="J353" s="833">
        <f>'d3'!J353-d3П!J348</f>
        <v>0</v>
      </c>
      <c r="K353" s="833">
        <f>'d3'!K353-d3П!K348</f>
        <v>0</v>
      </c>
      <c r="L353" s="833">
        <f>'d3'!L353-d3П!L348</f>
        <v>0</v>
      </c>
      <c r="M353" s="833">
        <f>'d3'!M353-d3П!M348</f>
        <v>0</v>
      </c>
      <c r="N353" s="833">
        <f>'d3'!N353-d3П!N348</f>
        <v>0</v>
      </c>
      <c r="O353" s="833">
        <f>'d3'!O353-d3П!O348</f>
        <v>0</v>
      </c>
      <c r="P353" s="833">
        <f>'d3'!P353-d3П!P348</f>
        <v>0</v>
      </c>
      <c r="Q353" s="50"/>
      <c r="R353" s="53"/>
    </row>
    <row r="354" spans="1:18" ht="91.5" thickTop="1" thickBot="1" x14ac:dyDescent="0.25">
      <c r="A354" s="387" t="s">
        <v>1269</v>
      </c>
      <c r="B354" s="387" t="s">
        <v>1234</v>
      </c>
      <c r="C354" s="387"/>
      <c r="D354" s="387" t="s">
        <v>1232</v>
      </c>
      <c r="E354" s="833">
        <f>'d3'!E354-d3П!E349</f>
        <v>0</v>
      </c>
      <c r="F354" s="833">
        <f>'d3'!F354-d3П!F349</f>
        <v>0</v>
      </c>
      <c r="G354" s="833">
        <f>'d3'!G354-d3П!G349</f>
        <v>0</v>
      </c>
      <c r="H354" s="833">
        <f>'d3'!H354-d3П!H349</f>
        <v>0</v>
      </c>
      <c r="I354" s="833">
        <f>'d3'!I354-d3П!I349</f>
        <v>0</v>
      </c>
      <c r="J354" s="833">
        <f>'d3'!J354-d3П!J349</f>
        <v>0</v>
      </c>
      <c r="K354" s="833">
        <f>'d3'!K354-d3П!K349</f>
        <v>0</v>
      </c>
      <c r="L354" s="833">
        <f>'d3'!L354-d3П!L349</f>
        <v>0</v>
      </c>
      <c r="M354" s="833">
        <f>'d3'!M354-d3П!M349</f>
        <v>0</v>
      </c>
      <c r="N354" s="833">
        <f>'d3'!N354-d3П!N349</f>
        <v>0</v>
      </c>
      <c r="O354" s="833">
        <f>'d3'!O354-d3П!O349</f>
        <v>0</v>
      </c>
      <c r="P354" s="833">
        <f>'d3'!P354-d3П!P349</f>
        <v>0</v>
      </c>
      <c r="Q354" s="50"/>
      <c r="R354" s="53"/>
    </row>
    <row r="355" spans="1:18" ht="138.75" thickTop="1" thickBot="1" x14ac:dyDescent="0.25">
      <c r="A355" s="835" t="s">
        <v>1270</v>
      </c>
      <c r="B355" s="835" t="s">
        <v>1271</v>
      </c>
      <c r="C355" s="835" t="s">
        <v>1236</v>
      </c>
      <c r="D355" s="835" t="s">
        <v>1272</v>
      </c>
      <c r="E355" s="833">
        <f>'d3'!E355-d3П!E350</f>
        <v>0</v>
      </c>
      <c r="F355" s="833">
        <f>'d3'!F355-d3П!F350</f>
        <v>0</v>
      </c>
      <c r="G355" s="833">
        <f>'d3'!G355-d3П!G350</f>
        <v>0</v>
      </c>
      <c r="H355" s="833">
        <f>'d3'!H355-d3П!H350</f>
        <v>0</v>
      </c>
      <c r="I355" s="833">
        <f>'d3'!I355-d3П!I350</f>
        <v>0</v>
      </c>
      <c r="J355" s="833">
        <f>'d3'!J355-d3П!J350</f>
        <v>0</v>
      </c>
      <c r="K355" s="833">
        <f>'d3'!K355-d3П!K350</f>
        <v>0</v>
      </c>
      <c r="L355" s="833">
        <f>'d3'!L355-d3П!L350</f>
        <v>0</v>
      </c>
      <c r="M355" s="833">
        <f>'d3'!M355-d3П!M350</f>
        <v>0</v>
      </c>
      <c r="N355" s="833">
        <f>'d3'!N355-d3П!N350</f>
        <v>0</v>
      </c>
      <c r="O355" s="833">
        <f>'d3'!O355-d3П!O350</f>
        <v>0</v>
      </c>
      <c r="P355" s="833">
        <f>'d3'!P355-d3П!P350</f>
        <v>0</v>
      </c>
      <c r="Q355" s="50"/>
      <c r="R355" s="53"/>
    </row>
    <row r="356" spans="1:18" ht="47.25" thickTop="1" thickBot="1" x14ac:dyDescent="0.25">
      <c r="A356" s="385" t="s">
        <v>1452</v>
      </c>
      <c r="B356" s="385" t="s">
        <v>711</v>
      </c>
      <c r="C356" s="385"/>
      <c r="D356" s="385" t="s">
        <v>712</v>
      </c>
      <c r="E356" s="833">
        <f>'d3'!E356-d3П!E351</f>
        <v>0</v>
      </c>
      <c r="F356" s="833">
        <f>'d3'!F356-d3П!F351</f>
        <v>0</v>
      </c>
      <c r="G356" s="833">
        <f>'d3'!G356-d3П!G351</f>
        <v>0</v>
      </c>
      <c r="H356" s="833">
        <f>'d3'!H356-d3П!H351</f>
        <v>0</v>
      </c>
      <c r="I356" s="833">
        <f>'d3'!I356-d3П!I351</f>
        <v>0</v>
      </c>
      <c r="J356" s="833">
        <f>'d3'!J356-d3П!J351</f>
        <v>0</v>
      </c>
      <c r="K356" s="833">
        <f>'d3'!K356-d3П!K351</f>
        <v>0</v>
      </c>
      <c r="L356" s="833">
        <f>'d3'!L356-d3П!L351</f>
        <v>0</v>
      </c>
      <c r="M356" s="833">
        <f>'d3'!M356-d3П!M351</f>
        <v>0</v>
      </c>
      <c r="N356" s="833">
        <f>'d3'!N356-d3П!N351</f>
        <v>0</v>
      </c>
      <c r="O356" s="833">
        <f>'d3'!O356-d3П!O351</f>
        <v>0</v>
      </c>
      <c r="P356" s="833">
        <f>'d3'!P356-d3П!P351</f>
        <v>0</v>
      </c>
      <c r="Q356" s="50"/>
      <c r="R356" s="53"/>
    </row>
    <row r="357" spans="1:18" ht="271.5" thickTop="1" thickBot="1" x14ac:dyDescent="0.25">
      <c r="A357" s="387" t="s">
        <v>1453</v>
      </c>
      <c r="B357" s="387" t="s">
        <v>519</v>
      </c>
      <c r="C357" s="387" t="s">
        <v>43</v>
      </c>
      <c r="D357" s="387" t="s">
        <v>520</v>
      </c>
      <c r="E357" s="833">
        <f>'d3'!E357-d3П!E352</f>
        <v>0</v>
      </c>
      <c r="F357" s="833">
        <f>'d3'!F357-d3П!F352</f>
        <v>0</v>
      </c>
      <c r="G357" s="833">
        <f>'d3'!G357-d3П!G352</f>
        <v>0</v>
      </c>
      <c r="H357" s="833">
        <f>'d3'!H357-d3П!H352</f>
        <v>0</v>
      </c>
      <c r="I357" s="833">
        <f>'d3'!I357-d3П!I352</f>
        <v>0</v>
      </c>
      <c r="J357" s="833">
        <f>'d3'!J357-d3П!J352</f>
        <v>0</v>
      </c>
      <c r="K357" s="833">
        <f>'d3'!K357-d3П!K352</f>
        <v>0</v>
      </c>
      <c r="L357" s="833">
        <f>'d3'!L357-d3П!L352</f>
        <v>0</v>
      </c>
      <c r="M357" s="833">
        <f>'d3'!M357-d3П!M352</f>
        <v>0</v>
      </c>
      <c r="N357" s="833">
        <f>'d3'!N357-d3П!N352</f>
        <v>0</v>
      </c>
      <c r="O357" s="833">
        <f>'d3'!O357-d3П!O352</f>
        <v>0</v>
      </c>
      <c r="P357" s="833">
        <f>'d3'!P357-d3П!P352</f>
        <v>0</v>
      </c>
      <c r="Q357" s="50"/>
      <c r="R357" s="53"/>
    </row>
    <row r="358" spans="1:18" ht="136.5" thickTop="1" thickBot="1" x14ac:dyDescent="0.25">
      <c r="A358" s="460" t="s">
        <v>167</v>
      </c>
      <c r="B358" s="460"/>
      <c r="C358" s="460"/>
      <c r="D358" s="461" t="s">
        <v>359</v>
      </c>
      <c r="E358" s="463">
        <f>E359</f>
        <v>-80000</v>
      </c>
      <c r="F358" s="462">
        <f t="shared" ref="F358:G358" si="74">F359</f>
        <v>-80000</v>
      </c>
      <c r="G358" s="462">
        <f t="shared" si="74"/>
        <v>0</v>
      </c>
      <c r="H358" s="462">
        <f>H359</f>
        <v>0</v>
      </c>
      <c r="I358" s="462">
        <f t="shared" ref="I358" si="75">I359</f>
        <v>0</v>
      </c>
      <c r="J358" s="463">
        <f>J359</f>
        <v>80000</v>
      </c>
      <c r="K358" s="462">
        <f>K359</f>
        <v>80000</v>
      </c>
      <c r="L358" s="462">
        <f>L359</f>
        <v>0</v>
      </c>
      <c r="M358" s="462">
        <f t="shared" ref="M358" si="76">M359</f>
        <v>0</v>
      </c>
      <c r="N358" s="462">
        <f>N359</f>
        <v>0</v>
      </c>
      <c r="O358" s="463">
        <f>O359</f>
        <v>80000</v>
      </c>
      <c r="P358" s="462">
        <f t="shared" ref="P358" si="77">P359</f>
        <v>0</v>
      </c>
      <c r="Q358" s="22"/>
    </row>
    <row r="359" spans="1:18" ht="136.5" thickTop="1" thickBot="1" x14ac:dyDescent="0.25">
      <c r="A359" s="464" t="s">
        <v>168</v>
      </c>
      <c r="B359" s="464"/>
      <c r="C359" s="464"/>
      <c r="D359" s="465" t="s">
        <v>360</v>
      </c>
      <c r="E359" s="466">
        <f>E362+E374+E371+E360</f>
        <v>-80000</v>
      </c>
      <c r="F359" s="466">
        <f>F362+F374+F371+F360</f>
        <v>-80000</v>
      </c>
      <c r="G359" s="466">
        <f>G362+G374+G371+G360</f>
        <v>0</v>
      </c>
      <c r="H359" s="466">
        <f>H362+H374+H371+H360</f>
        <v>0</v>
      </c>
      <c r="I359" s="466">
        <f>I362+I374+I371+I360</f>
        <v>0</v>
      </c>
      <c r="J359" s="466">
        <f>L359+O359</f>
        <v>80000</v>
      </c>
      <c r="K359" s="466">
        <f>K362+K374+K371+K360</f>
        <v>80000</v>
      </c>
      <c r="L359" s="466">
        <f>L362+L374+L371+L360</f>
        <v>0</v>
      </c>
      <c r="M359" s="466">
        <f>M362+M374+M371+M360</f>
        <v>0</v>
      </c>
      <c r="N359" s="466">
        <f>N362+N374+N371+N360</f>
        <v>0</v>
      </c>
      <c r="O359" s="466">
        <f>O362+O374+O371+O360</f>
        <v>80000</v>
      </c>
      <c r="P359" s="466">
        <f>E359+J359</f>
        <v>0</v>
      </c>
      <c r="Q359" s="392" t="b">
        <f>P359=P364+P366+P367+P368+P361+P370+P373</f>
        <v>1</v>
      </c>
      <c r="R359" s="847"/>
    </row>
    <row r="360" spans="1:18" ht="91.5" thickTop="1" thickBot="1" x14ac:dyDescent="0.25">
      <c r="A360" s="385" t="s">
        <v>1409</v>
      </c>
      <c r="B360" s="385" t="s">
        <v>720</v>
      </c>
      <c r="C360" s="385"/>
      <c r="D360" s="385" t="s">
        <v>721</v>
      </c>
      <c r="E360" s="833">
        <f>'d3'!E360-d3П!E355</f>
        <v>0</v>
      </c>
      <c r="F360" s="833">
        <f>'d3'!F360-d3П!F355</f>
        <v>0</v>
      </c>
      <c r="G360" s="833">
        <f>'d3'!G360-d3П!G355</f>
        <v>0</v>
      </c>
      <c r="H360" s="833">
        <f>'d3'!H360-d3П!H355</f>
        <v>0</v>
      </c>
      <c r="I360" s="833">
        <f>'d3'!I360-d3П!I355</f>
        <v>0</v>
      </c>
      <c r="J360" s="833">
        <f>'d3'!J360-d3П!J355</f>
        <v>0</v>
      </c>
      <c r="K360" s="833">
        <f>'d3'!K360-d3П!K355</f>
        <v>0</v>
      </c>
      <c r="L360" s="833">
        <f>'d3'!L360-d3П!L355</f>
        <v>0</v>
      </c>
      <c r="M360" s="833">
        <f>'d3'!M360-d3П!M355</f>
        <v>0</v>
      </c>
      <c r="N360" s="833">
        <f>'d3'!N360-d3П!N355</f>
        <v>0</v>
      </c>
      <c r="O360" s="833">
        <f>'d3'!O360-d3П!O355</f>
        <v>0</v>
      </c>
      <c r="P360" s="833">
        <f>'d3'!P360-d3П!P355</f>
        <v>0</v>
      </c>
      <c r="Q360" s="392"/>
      <c r="R360" s="847"/>
    </row>
    <row r="361" spans="1:18" ht="230.25" thickTop="1" thickBot="1" x14ac:dyDescent="0.25">
      <c r="A361" s="835" t="s">
        <v>1410</v>
      </c>
      <c r="B361" s="835" t="s">
        <v>1249</v>
      </c>
      <c r="C361" s="835" t="s">
        <v>211</v>
      </c>
      <c r="D361" s="470" t="s">
        <v>1250</v>
      </c>
      <c r="E361" s="833">
        <f>'d3'!E361-d3П!E356</f>
        <v>0</v>
      </c>
      <c r="F361" s="833">
        <f>'d3'!F361-d3П!F356</f>
        <v>0</v>
      </c>
      <c r="G361" s="833">
        <f>'d3'!G361-d3П!G356</f>
        <v>0</v>
      </c>
      <c r="H361" s="833">
        <f>'d3'!H361-d3П!H356</f>
        <v>0</v>
      </c>
      <c r="I361" s="833">
        <f>'d3'!I361-d3П!I356</f>
        <v>0</v>
      </c>
      <c r="J361" s="833">
        <f>'d3'!J361-d3П!J356</f>
        <v>0</v>
      </c>
      <c r="K361" s="833">
        <f>'d3'!K361-d3П!K356</f>
        <v>0</v>
      </c>
      <c r="L361" s="833">
        <f>'d3'!L361-d3П!L356</f>
        <v>0</v>
      </c>
      <c r="M361" s="833">
        <f>'d3'!M361-d3П!M356</f>
        <v>0</v>
      </c>
      <c r="N361" s="833">
        <f>'d3'!N361-d3П!N356</f>
        <v>0</v>
      </c>
      <c r="O361" s="833">
        <f>'d3'!O361-d3П!O356</f>
        <v>0</v>
      </c>
      <c r="P361" s="833">
        <f>'d3'!P361-d3П!P356</f>
        <v>0</v>
      </c>
      <c r="Q361" s="392"/>
      <c r="R361" s="847"/>
    </row>
    <row r="362" spans="1:18" ht="44.25" customHeight="1" thickTop="1" thickBot="1" x14ac:dyDescent="0.25">
      <c r="A362" s="385" t="s">
        <v>839</v>
      </c>
      <c r="B362" s="385" t="s">
        <v>757</v>
      </c>
      <c r="C362" s="835"/>
      <c r="D362" s="385" t="s">
        <v>804</v>
      </c>
      <c r="E362" s="833">
        <f>'d3'!E362-d3П!E357</f>
        <v>-80000</v>
      </c>
      <c r="F362" s="833">
        <f>'d3'!F362-d3П!F357</f>
        <v>-80000</v>
      </c>
      <c r="G362" s="833">
        <f>'d3'!G362-d3П!G357</f>
        <v>0</v>
      </c>
      <c r="H362" s="833">
        <f>'d3'!H362-d3П!H357</f>
        <v>0</v>
      </c>
      <c r="I362" s="833">
        <f>'d3'!I362-d3П!I357</f>
        <v>0</v>
      </c>
      <c r="J362" s="833">
        <f>'d3'!J362-d3П!J357</f>
        <v>80000</v>
      </c>
      <c r="K362" s="833">
        <f>'d3'!K362-d3П!K357</f>
        <v>80000</v>
      </c>
      <c r="L362" s="833">
        <f>'d3'!L362-d3П!L357</f>
        <v>0</v>
      </c>
      <c r="M362" s="833">
        <f>'d3'!M362-d3П!M357</f>
        <v>0</v>
      </c>
      <c r="N362" s="833">
        <f>'d3'!N362-d3П!N357</f>
        <v>0</v>
      </c>
      <c r="O362" s="833">
        <f>'d3'!O362-d3П!O357</f>
        <v>80000</v>
      </c>
      <c r="P362" s="833">
        <f>'d3'!P362-d3П!P357</f>
        <v>0</v>
      </c>
      <c r="Q362" s="50"/>
      <c r="R362" s="847"/>
    </row>
    <row r="363" spans="1:18" s="37" customFormat="1" ht="91.5" thickTop="1" thickBot="1" x14ac:dyDescent="0.25">
      <c r="A363" s="387" t="s">
        <v>1031</v>
      </c>
      <c r="B363" s="387" t="s">
        <v>813</v>
      </c>
      <c r="C363" s="387"/>
      <c r="D363" s="387" t="s">
        <v>814</v>
      </c>
      <c r="E363" s="833">
        <f>'d3'!E363-d3П!E358</f>
        <v>0</v>
      </c>
      <c r="F363" s="833">
        <f>'d3'!F363-d3П!F358</f>
        <v>0</v>
      </c>
      <c r="G363" s="833">
        <f>'d3'!G363-d3П!G358</f>
        <v>0</v>
      </c>
      <c r="H363" s="833">
        <f>'d3'!H363-d3П!H358</f>
        <v>0</v>
      </c>
      <c r="I363" s="833">
        <f>'d3'!I363-d3П!I358</f>
        <v>0</v>
      </c>
      <c r="J363" s="833">
        <f>'d3'!J363-d3П!J358</f>
        <v>0</v>
      </c>
      <c r="K363" s="833">
        <f>'d3'!K363-d3П!K358</f>
        <v>0</v>
      </c>
      <c r="L363" s="833">
        <f>'d3'!L363-d3П!L358</f>
        <v>0</v>
      </c>
      <c r="M363" s="833">
        <f>'d3'!M363-d3П!M358</f>
        <v>0</v>
      </c>
      <c r="N363" s="833">
        <f>'d3'!N363-d3П!N358</f>
        <v>0</v>
      </c>
      <c r="O363" s="833">
        <f>'d3'!O363-d3П!O358</f>
        <v>0</v>
      </c>
      <c r="P363" s="833">
        <f>'d3'!P363-d3П!P358</f>
        <v>0</v>
      </c>
      <c r="Q363" s="48"/>
      <c r="R363" s="847"/>
    </row>
    <row r="364" spans="1:18" s="37" customFormat="1" ht="138.75" thickTop="1" thickBot="1" x14ac:dyDescent="0.25">
      <c r="A364" s="835" t="s">
        <v>1032</v>
      </c>
      <c r="B364" s="835" t="s">
        <v>355</v>
      </c>
      <c r="C364" s="835" t="s">
        <v>171</v>
      </c>
      <c r="D364" s="835" t="s">
        <v>267</v>
      </c>
      <c r="E364" s="833">
        <f>'d3'!E364-d3П!E359</f>
        <v>0</v>
      </c>
      <c r="F364" s="833">
        <f>'d3'!F364-d3П!F359</f>
        <v>0</v>
      </c>
      <c r="G364" s="833">
        <f>'d3'!G364-d3П!G359</f>
        <v>0</v>
      </c>
      <c r="H364" s="833">
        <f>'d3'!H364-d3П!H359</f>
        <v>0</v>
      </c>
      <c r="I364" s="833">
        <f>'d3'!I364-d3П!I359</f>
        <v>0</v>
      </c>
      <c r="J364" s="833">
        <f>'d3'!J364-d3П!J359</f>
        <v>0</v>
      </c>
      <c r="K364" s="833">
        <f>'d3'!K364-d3П!K359</f>
        <v>0</v>
      </c>
      <c r="L364" s="833">
        <f>'d3'!L364-d3П!L359</f>
        <v>0</v>
      </c>
      <c r="M364" s="833">
        <f>'d3'!M364-d3П!M359</f>
        <v>0</v>
      </c>
      <c r="N364" s="833">
        <f>'d3'!N364-d3П!N359</f>
        <v>0</v>
      </c>
      <c r="O364" s="833">
        <f>'d3'!O364-d3П!O359</f>
        <v>0</v>
      </c>
      <c r="P364" s="833">
        <f>'d3'!P364-d3П!P359</f>
        <v>0</v>
      </c>
      <c r="Q364" s="48"/>
      <c r="R364" s="847"/>
    </row>
    <row r="365" spans="1:18" ht="136.5" thickTop="1" thickBot="1" x14ac:dyDescent="0.25">
      <c r="A365" s="387" t="s">
        <v>840</v>
      </c>
      <c r="B365" s="387" t="s">
        <v>700</v>
      </c>
      <c r="C365" s="387"/>
      <c r="D365" s="387" t="s">
        <v>698</v>
      </c>
      <c r="E365" s="833">
        <f>'d3'!E365-d3П!E360</f>
        <v>-80000</v>
      </c>
      <c r="F365" s="833">
        <f>'d3'!F365-d3П!F360</f>
        <v>-80000</v>
      </c>
      <c r="G365" s="833">
        <f>'d3'!G365-d3П!G360</f>
        <v>0</v>
      </c>
      <c r="H365" s="833">
        <f>'d3'!H365-d3П!H360</f>
        <v>0</v>
      </c>
      <c r="I365" s="833">
        <f>'d3'!I365-d3П!I360</f>
        <v>0</v>
      </c>
      <c r="J365" s="833">
        <f>'d3'!J365-d3П!J360</f>
        <v>80000</v>
      </c>
      <c r="K365" s="833">
        <f>'d3'!K365-d3П!K360</f>
        <v>80000</v>
      </c>
      <c r="L365" s="833">
        <f>'d3'!L365-d3П!L360</f>
        <v>0</v>
      </c>
      <c r="M365" s="833">
        <f>'d3'!M365-d3П!M360</f>
        <v>0</v>
      </c>
      <c r="N365" s="833">
        <f>'d3'!N365-d3П!N360</f>
        <v>0</v>
      </c>
      <c r="O365" s="833">
        <f>'d3'!O365-d3П!O360</f>
        <v>80000</v>
      </c>
      <c r="P365" s="833">
        <f>'d3'!P365-d3П!P360</f>
        <v>0</v>
      </c>
      <c r="Q365" s="50"/>
      <c r="R365" s="847"/>
    </row>
    <row r="366" spans="1:18" ht="93" thickTop="1" thickBot="1" x14ac:dyDescent="0.25">
      <c r="A366" s="835" t="s">
        <v>265</v>
      </c>
      <c r="B366" s="835" t="s">
        <v>266</v>
      </c>
      <c r="C366" s="835" t="s">
        <v>264</v>
      </c>
      <c r="D366" s="835" t="s">
        <v>263</v>
      </c>
      <c r="E366" s="833">
        <f>'d3'!E366-d3П!E361</f>
        <v>-340000</v>
      </c>
      <c r="F366" s="833">
        <f>'d3'!F366-d3П!F361</f>
        <v>-340000</v>
      </c>
      <c r="G366" s="833">
        <f>'d3'!G366-d3П!G361</f>
        <v>0</v>
      </c>
      <c r="H366" s="833">
        <f>'d3'!H366-d3П!H361</f>
        <v>0</v>
      </c>
      <c r="I366" s="833">
        <f>'d3'!I366-d3П!I361</f>
        <v>0</v>
      </c>
      <c r="J366" s="833">
        <f>'d3'!J366-d3П!J361</f>
        <v>0</v>
      </c>
      <c r="K366" s="833">
        <f>'d3'!K366-d3П!K361</f>
        <v>0</v>
      </c>
      <c r="L366" s="833">
        <f>'d3'!L366-d3П!L361</f>
        <v>0</v>
      </c>
      <c r="M366" s="833">
        <f>'d3'!M366-d3П!M361</f>
        <v>0</v>
      </c>
      <c r="N366" s="833">
        <f>'d3'!N366-d3П!N361</f>
        <v>0</v>
      </c>
      <c r="O366" s="833">
        <f>'d3'!O366-d3П!O361</f>
        <v>0</v>
      </c>
      <c r="P366" s="833">
        <f>'d3'!P366-d3П!P361</f>
        <v>-340000</v>
      </c>
      <c r="Q366" s="22"/>
      <c r="R366" s="847"/>
    </row>
    <row r="367" spans="1:18" ht="138.75" thickTop="1" thickBot="1" x14ac:dyDescent="0.25">
      <c r="A367" s="835" t="s">
        <v>257</v>
      </c>
      <c r="B367" s="835" t="s">
        <v>259</v>
      </c>
      <c r="C367" s="835" t="s">
        <v>218</v>
      </c>
      <c r="D367" s="835" t="s">
        <v>258</v>
      </c>
      <c r="E367" s="833">
        <f>'d3'!E367-d3П!E362</f>
        <v>340000</v>
      </c>
      <c r="F367" s="833">
        <f>'d3'!F367-d3П!F362</f>
        <v>340000</v>
      </c>
      <c r="G367" s="833">
        <f>'d3'!G367-d3П!G362</f>
        <v>0</v>
      </c>
      <c r="H367" s="833">
        <f>'d3'!H367-d3П!H362</f>
        <v>0</v>
      </c>
      <c r="I367" s="833">
        <f>'d3'!I367-d3П!I362</f>
        <v>0</v>
      </c>
      <c r="J367" s="833">
        <f>'d3'!J367-d3П!J362</f>
        <v>0</v>
      </c>
      <c r="K367" s="833">
        <f>'d3'!K367-d3П!K362</f>
        <v>0</v>
      </c>
      <c r="L367" s="833">
        <f>'d3'!L367-d3П!L362</f>
        <v>0</v>
      </c>
      <c r="M367" s="833">
        <f>'d3'!M367-d3П!M362</f>
        <v>0</v>
      </c>
      <c r="N367" s="833">
        <f>'d3'!N367-d3П!N362</f>
        <v>0</v>
      </c>
      <c r="O367" s="833">
        <f>'d3'!O367-d3П!O362</f>
        <v>0</v>
      </c>
      <c r="P367" s="833">
        <f>'d3'!P367-d3П!P362</f>
        <v>340000</v>
      </c>
      <c r="Q367" s="22"/>
      <c r="R367" s="847"/>
    </row>
    <row r="368" spans="1:18" ht="47.25" thickTop="1" thickBot="1" x14ac:dyDescent="0.25">
      <c r="A368" s="835" t="s">
        <v>1404</v>
      </c>
      <c r="B368" s="835" t="s">
        <v>217</v>
      </c>
      <c r="C368" s="835" t="s">
        <v>218</v>
      </c>
      <c r="D368" s="835" t="s">
        <v>41</v>
      </c>
      <c r="E368" s="833">
        <f>'d3'!E368-d3П!E363</f>
        <v>0</v>
      </c>
      <c r="F368" s="833">
        <f>'d3'!F368-d3П!F363</f>
        <v>0</v>
      </c>
      <c r="G368" s="833">
        <f>'d3'!G368-d3П!G363</f>
        <v>0</v>
      </c>
      <c r="H368" s="833">
        <f>'d3'!H368-d3П!H363</f>
        <v>0</v>
      </c>
      <c r="I368" s="833">
        <f>'d3'!I368-d3П!I363</f>
        <v>0</v>
      </c>
      <c r="J368" s="833">
        <f>'d3'!J368-d3П!J363</f>
        <v>0</v>
      </c>
      <c r="K368" s="833">
        <f>'d3'!K368-d3П!K363</f>
        <v>0</v>
      </c>
      <c r="L368" s="833">
        <f>'d3'!L368-d3П!L363</f>
        <v>0</v>
      </c>
      <c r="M368" s="833">
        <f>'d3'!M368-d3П!M363</f>
        <v>0</v>
      </c>
      <c r="N368" s="833">
        <f>'d3'!N368-d3П!N363</f>
        <v>0</v>
      </c>
      <c r="O368" s="833">
        <f>'d3'!O368-d3П!O363</f>
        <v>0</v>
      </c>
      <c r="P368" s="833">
        <f>'d3'!P368-d3П!P363</f>
        <v>0</v>
      </c>
      <c r="Q368" s="22"/>
      <c r="R368" s="847"/>
    </row>
    <row r="369" spans="1:18" ht="47.25" thickTop="1" thickBot="1" x14ac:dyDescent="0.25">
      <c r="A369" s="455" t="s">
        <v>841</v>
      </c>
      <c r="B369" s="455" t="s">
        <v>703</v>
      </c>
      <c r="C369" s="455"/>
      <c r="D369" s="455" t="s">
        <v>701</v>
      </c>
      <c r="E369" s="833">
        <f>'d3'!E369-d3П!E364</f>
        <v>-80000</v>
      </c>
      <c r="F369" s="833">
        <f>'d3'!F369-d3П!F364</f>
        <v>-80000</v>
      </c>
      <c r="G369" s="833">
        <f>'d3'!G369-d3П!G364</f>
        <v>0</v>
      </c>
      <c r="H369" s="833">
        <f>'d3'!H369-d3П!H364</f>
        <v>0</v>
      </c>
      <c r="I369" s="833">
        <f>'d3'!I369-d3П!I364</f>
        <v>0</v>
      </c>
      <c r="J369" s="833">
        <f>'d3'!J369-d3П!J364</f>
        <v>80000</v>
      </c>
      <c r="K369" s="833">
        <f>'d3'!K369-d3П!K364</f>
        <v>80000</v>
      </c>
      <c r="L369" s="833">
        <f>'d3'!L369-d3П!L364</f>
        <v>0</v>
      </c>
      <c r="M369" s="833">
        <f>'d3'!M369-d3П!M364</f>
        <v>0</v>
      </c>
      <c r="N369" s="833">
        <f>'d3'!N369-d3П!N364</f>
        <v>0</v>
      </c>
      <c r="O369" s="833">
        <f>'d3'!O369-d3П!O364</f>
        <v>80000</v>
      </c>
      <c r="P369" s="833">
        <f>'d3'!P369-d3П!P364</f>
        <v>0</v>
      </c>
      <c r="Q369" s="22"/>
      <c r="R369" s="847"/>
    </row>
    <row r="370" spans="1:18" ht="93" thickTop="1" thickBot="1" x14ac:dyDescent="0.25">
      <c r="A370" s="835" t="s">
        <v>261</v>
      </c>
      <c r="B370" s="835" t="s">
        <v>262</v>
      </c>
      <c r="C370" s="835" t="s">
        <v>171</v>
      </c>
      <c r="D370" s="835" t="s">
        <v>260</v>
      </c>
      <c r="E370" s="833">
        <f>'d3'!E370-d3П!E365</f>
        <v>-80000</v>
      </c>
      <c r="F370" s="833">
        <f>'d3'!F370-d3П!F365</f>
        <v>-80000</v>
      </c>
      <c r="G370" s="833">
        <f>'d3'!G370-d3П!G365</f>
        <v>0</v>
      </c>
      <c r="H370" s="833">
        <f>'d3'!H370-d3П!H365</f>
        <v>0</v>
      </c>
      <c r="I370" s="833">
        <f>'d3'!I370-d3П!I365</f>
        <v>0</v>
      </c>
      <c r="J370" s="833">
        <f>'d3'!J370-d3П!J365</f>
        <v>80000</v>
      </c>
      <c r="K370" s="833">
        <f>'d3'!K370-d3П!K365</f>
        <v>80000</v>
      </c>
      <c r="L370" s="833">
        <f>'d3'!L370-d3П!L365</f>
        <v>0</v>
      </c>
      <c r="M370" s="833">
        <f>'d3'!M370-d3П!M365</f>
        <v>0</v>
      </c>
      <c r="N370" s="833">
        <f>'d3'!N370-d3П!N365</f>
        <v>0</v>
      </c>
      <c r="O370" s="833">
        <f>'d3'!O370-d3П!O365</f>
        <v>80000</v>
      </c>
      <c r="P370" s="833">
        <f>'d3'!P370-d3П!P365</f>
        <v>0</v>
      </c>
      <c r="Q370" s="22"/>
      <c r="R370" s="847"/>
    </row>
    <row r="371" spans="1:18" ht="47.25" thickTop="1" thickBot="1" x14ac:dyDescent="0.25">
      <c r="A371" s="385" t="s">
        <v>1406</v>
      </c>
      <c r="B371" s="385" t="s">
        <v>705</v>
      </c>
      <c r="C371" s="385"/>
      <c r="D371" s="385" t="s">
        <v>706</v>
      </c>
      <c r="E371" s="833">
        <f>'d3'!E371-d3П!E366</f>
        <v>0</v>
      </c>
      <c r="F371" s="833">
        <f>'d3'!F371-d3П!F366</f>
        <v>0</v>
      </c>
      <c r="G371" s="833">
        <f>'d3'!G371-d3П!G366</f>
        <v>0</v>
      </c>
      <c r="H371" s="833">
        <f>'d3'!H371-d3П!H366</f>
        <v>0</v>
      </c>
      <c r="I371" s="833">
        <f>'d3'!I371-d3П!I366</f>
        <v>0</v>
      </c>
      <c r="J371" s="833">
        <f>'d3'!J371-d3П!J366</f>
        <v>0</v>
      </c>
      <c r="K371" s="833">
        <f>'d3'!K371-d3П!K366</f>
        <v>0</v>
      </c>
      <c r="L371" s="833">
        <f>'d3'!L371-d3П!L366</f>
        <v>0</v>
      </c>
      <c r="M371" s="833">
        <f>'d3'!M371-d3П!M366</f>
        <v>0</v>
      </c>
      <c r="N371" s="833">
        <f>'d3'!N371-d3П!N366</f>
        <v>0</v>
      </c>
      <c r="O371" s="833">
        <f>'d3'!O371-d3П!O366</f>
        <v>0</v>
      </c>
      <c r="P371" s="833">
        <f>'d3'!P371-d3П!P366</f>
        <v>0</v>
      </c>
      <c r="Q371" s="22"/>
      <c r="R371" s="847"/>
    </row>
    <row r="372" spans="1:18" ht="91.5" thickTop="1" thickBot="1" x14ac:dyDescent="0.25">
      <c r="A372" s="387" t="s">
        <v>1407</v>
      </c>
      <c r="B372" s="387" t="s">
        <v>1234</v>
      </c>
      <c r="C372" s="387"/>
      <c r="D372" s="387" t="s">
        <v>1232</v>
      </c>
      <c r="E372" s="833">
        <f>'d3'!E372-d3П!E367</f>
        <v>0</v>
      </c>
      <c r="F372" s="833">
        <f>'d3'!F372-d3П!F367</f>
        <v>0</v>
      </c>
      <c r="G372" s="833">
        <f>'d3'!G372-d3П!G367</f>
        <v>0</v>
      </c>
      <c r="H372" s="833">
        <f>'d3'!H372-d3П!H367</f>
        <v>0</v>
      </c>
      <c r="I372" s="833">
        <f>'d3'!I372-d3П!I367</f>
        <v>0</v>
      </c>
      <c r="J372" s="833">
        <f>'d3'!J372-d3П!J367</f>
        <v>0</v>
      </c>
      <c r="K372" s="833">
        <f>'d3'!K372-d3П!K367</f>
        <v>0</v>
      </c>
      <c r="L372" s="833">
        <f>'d3'!L372-d3П!L367</f>
        <v>0</v>
      </c>
      <c r="M372" s="833">
        <f>'d3'!M372-d3П!M367</f>
        <v>0</v>
      </c>
      <c r="N372" s="833">
        <f>'d3'!N372-d3П!N367</f>
        <v>0</v>
      </c>
      <c r="O372" s="833">
        <f>'d3'!O372-d3П!O367</f>
        <v>0</v>
      </c>
      <c r="P372" s="833">
        <f>'d3'!P372-d3П!P367</f>
        <v>0</v>
      </c>
      <c r="Q372" s="22"/>
      <c r="R372" s="847"/>
    </row>
    <row r="373" spans="1:18" ht="93" thickTop="1" thickBot="1" x14ac:dyDescent="0.25">
      <c r="A373" s="835" t="s">
        <v>1408</v>
      </c>
      <c r="B373" s="835" t="s">
        <v>1238</v>
      </c>
      <c r="C373" s="835" t="s">
        <v>1236</v>
      </c>
      <c r="D373" s="835" t="s">
        <v>1235</v>
      </c>
      <c r="E373" s="833">
        <f>'d3'!E373-d3П!E368</f>
        <v>0</v>
      </c>
      <c r="F373" s="833">
        <f>'d3'!F373-d3П!F368</f>
        <v>0</v>
      </c>
      <c r="G373" s="833">
        <f>'d3'!G373-d3П!G368</f>
        <v>0</v>
      </c>
      <c r="H373" s="833">
        <f>'d3'!H373-d3П!H368</f>
        <v>0</v>
      </c>
      <c r="I373" s="833">
        <f>'d3'!I373-d3П!I368</f>
        <v>0</v>
      </c>
      <c r="J373" s="833">
        <f>'d3'!J373-d3П!J368</f>
        <v>0</v>
      </c>
      <c r="K373" s="833">
        <f>'d3'!K373-d3П!K368</f>
        <v>0</v>
      </c>
      <c r="L373" s="833">
        <f>'d3'!L373-d3П!L368</f>
        <v>0</v>
      </c>
      <c r="M373" s="833">
        <f>'d3'!M373-d3П!M368</f>
        <v>0</v>
      </c>
      <c r="N373" s="833">
        <f>'d3'!N373-d3П!N368</f>
        <v>0</v>
      </c>
      <c r="O373" s="833">
        <f>'d3'!O373-d3П!O368</f>
        <v>0</v>
      </c>
      <c r="P373" s="833">
        <f>'d3'!P373-d3П!P368</f>
        <v>0</v>
      </c>
      <c r="Q373" s="22"/>
      <c r="R373" s="847"/>
    </row>
    <row r="374" spans="1:18" ht="47.25" hidden="1" thickTop="1" thickBot="1" x14ac:dyDescent="0.25">
      <c r="A374" s="180" t="s">
        <v>919</v>
      </c>
      <c r="B374" s="180" t="s">
        <v>711</v>
      </c>
      <c r="C374" s="180"/>
      <c r="D374" s="180" t="s">
        <v>712</v>
      </c>
      <c r="E374" s="846">
        <f>E375</f>
        <v>0</v>
      </c>
      <c r="F374" s="846">
        <f t="shared" ref="F374:P375" si="78">F375</f>
        <v>0</v>
      </c>
      <c r="G374" s="846">
        <f t="shared" si="78"/>
        <v>0</v>
      </c>
      <c r="H374" s="846">
        <f t="shared" si="78"/>
        <v>0</v>
      </c>
      <c r="I374" s="846">
        <f t="shared" si="78"/>
        <v>0</v>
      </c>
      <c r="J374" s="846">
        <f t="shared" si="78"/>
        <v>0</v>
      </c>
      <c r="K374" s="846">
        <f t="shared" si="78"/>
        <v>0</v>
      </c>
      <c r="L374" s="846">
        <f t="shared" si="78"/>
        <v>0</v>
      </c>
      <c r="M374" s="846">
        <f t="shared" si="78"/>
        <v>0</v>
      </c>
      <c r="N374" s="846">
        <f t="shared" si="78"/>
        <v>0</v>
      </c>
      <c r="O374" s="846">
        <f t="shared" si="78"/>
        <v>0</v>
      </c>
      <c r="P374" s="846">
        <f t="shared" si="78"/>
        <v>0</v>
      </c>
      <c r="Q374" s="22"/>
      <c r="R374" s="847"/>
    </row>
    <row r="375" spans="1:18" ht="271.5" hidden="1" thickTop="1" thickBot="1" x14ac:dyDescent="0.25">
      <c r="A375" s="181" t="s">
        <v>920</v>
      </c>
      <c r="B375" s="181" t="s">
        <v>714</v>
      </c>
      <c r="C375" s="181"/>
      <c r="D375" s="181" t="s">
        <v>715</v>
      </c>
      <c r="E375" s="182">
        <f>E376</f>
        <v>0</v>
      </c>
      <c r="F375" s="182">
        <f t="shared" si="78"/>
        <v>0</v>
      </c>
      <c r="G375" s="182">
        <f t="shared" si="78"/>
        <v>0</v>
      </c>
      <c r="H375" s="182">
        <f t="shared" si="78"/>
        <v>0</v>
      </c>
      <c r="I375" s="182">
        <f t="shared" si="78"/>
        <v>0</v>
      </c>
      <c r="J375" s="182">
        <f t="shared" si="78"/>
        <v>0</v>
      </c>
      <c r="K375" s="182">
        <f t="shared" si="78"/>
        <v>0</v>
      </c>
      <c r="L375" s="182">
        <f t="shared" si="78"/>
        <v>0</v>
      </c>
      <c r="M375" s="182">
        <f t="shared" si="78"/>
        <v>0</v>
      </c>
      <c r="N375" s="182">
        <f t="shared" si="78"/>
        <v>0</v>
      </c>
      <c r="O375" s="182">
        <f t="shared" si="78"/>
        <v>0</v>
      </c>
      <c r="P375" s="182">
        <f t="shared" si="78"/>
        <v>0</v>
      </c>
      <c r="Q375" s="22"/>
      <c r="R375" s="847"/>
    </row>
    <row r="376" spans="1:18" ht="93" hidden="1" thickTop="1" thickBot="1" x14ac:dyDescent="0.25">
      <c r="A376" s="845" t="s">
        <v>921</v>
      </c>
      <c r="B376" s="845" t="s">
        <v>368</v>
      </c>
      <c r="C376" s="845" t="s">
        <v>43</v>
      </c>
      <c r="D376" s="845" t="s">
        <v>369</v>
      </c>
      <c r="E376" s="846">
        <f t="shared" ref="E376" si="79">F376</f>
        <v>0</v>
      </c>
      <c r="F376" s="46">
        <v>0</v>
      </c>
      <c r="G376" s="46"/>
      <c r="H376" s="46"/>
      <c r="I376" s="46"/>
      <c r="J376" s="846">
        <f>L376+O376</f>
        <v>0</v>
      </c>
      <c r="K376" s="46">
        <v>0</v>
      </c>
      <c r="L376" s="46"/>
      <c r="M376" s="46"/>
      <c r="N376" s="46"/>
      <c r="O376" s="844">
        <f>K376</f>
        <v>0</v>
      </c>
      <c r="P376" s="846">
        <f>E376+J376</f>
        <v>0</v>
      </c>
      <c r="Q376" s="22"/>
      <c r="R376" s="847"/>
    </row>
    <row r="377" spans="1:18" ht="226.5" thickTop="1" thickBot="1" x14ac:dyDescent="0.25">
      <c r="A377" s="460" t="s">
        <v>165</v>
      </c>
      <c r="B377" s="460"/>
      <c r="C377" s="460"/>
      <c r="D377" s="461" t="s">
        <v>898</v>
      </c>
      <c r="E377" s="463">
        <f>E378</f>
        <v>0</v>
      </c>
      <c r="F377" s="462">
        <f t="shared" ref="F377:G377" si="80">F378</f>
        <v>0</v>
      </c>
      <c r="G377" s="462">
        <f t="shared" si="80"/>
        <v>0</v>
      </c>
      <c r="H377" s="462">
        <f>H378</f>
        <v>0</v>
      </c>
      <c r="I377" s="462">
        <f t="shared" ref="I377" si="81">I378</f>
        <v>0</v>
      </c>
      <c r="J377" s="463">
        <f>J378</f>
        <v>0</v>
      </c>
      <c r="K377" s="462">
        <f>K378</f>
        <v>0</v>
      </c>
      <c r="L377" s="462">
        <f>L378</f>
        <v>700000</v>
      </c>
      <c r="M377" s="462">
        <f t="shared" ref="M377" si="82">M378</f>
        <v>0</v>
      </c>
      <c r="N377" s="462">
        <f>N378</f>
        <v>0</v>
      </c>
      <c r="O377" s="463">
        <f>O378</f>
        <v>-700000</v>
      </c>
      <c r="P377" s="462">
        <f t="shared" ref="P377" si="83">P378</f>
        <v>0</v>
      </c>
      <c r="Q377" s="22"/>
    </row>
    <row r="378" spans="1:18" ht="226.5" thickTop="1" thickBot="1" x14ac:dyDescent="0.25">
      <c r="A378" s="464" t="s">
        <v>166</v>
      </c>
      <c r="B378" s="464"/>
      <c r="C378" s="464"/>
      <c r="D378" s="465" t="s">
        <v>897</v>
      </c>
      <c r="E378" s="466">
        <f>E379+E382+E385</f>
        <v>0</v>
      </c>
      <c r="F378" s="466">
        <f t="shared" ref="F378:P378" si="84">F379+F382+F385</f>
        <v>0</v>
      </c>
      <c r="G378" s="466">
        <f>G379+G382+G385</f>
        <v>0</v>
      </c>
      <c r="H378" s="466">
        <f t="shared" si="84"/>
        <v>0</v>
      </c>
      <c r="I378" s="466">
        <f t="shared" si="84"/>
        <v>0</v>
      </c>
      <c r="J378" s="466">
        <f>J379+J382+J385</f>
        <v>0</v>
      </c>
      <c r="K378" s="466">
        <f t="shared" si="84"/>
        <v>0</v>
      </c>
      <c r="L378" s="466">
        <f>L379+L382+L385</f>
        <v>700000</v>
      </c>
      <c r="M378" s="466">
        <f t="shared" si="84"/>
        <v>0</v>
      </c>
      <c r="N378" s="466">
        <f t="shared" si="84"/>
        <v>0</v>
      </c>
      <c r="O378" s="466">
        <f t="shared" si="84"/>
        <v>-700000</v>
      </c>
      <c r="P378" s="466">
        <f t="shared" si="84"/>
        <v>0</v>
      </c>
      <c r="Q378" s="392" t="b">
        <f>P378=P380+P384+P386</f>
        <v>1</v>
      </c>
      <c r="R378" s="847"/>
    </row>
    <row r="379" spans="1:18" ht="47.25" thickTop="1" thickBot="1" x14ac:dyDescent="0.25">
      <c r="A379" s="385" t="s">
        <v>842</v>
      </c>
      <c r="B379" s="385" t="s">
        <v>693</v>
      </c>
      <c r="C379" s="385"/>
      <c r="D379" s="385" t="s">
        <v>694</v>
      </c>
      <c r="E379" s="833">
        <f>'d3'!E379-d3П!E374</f>
        <v>0</v>
      </c>
      <c r="F379" s="833">
        <f>'d3'!F379-d3П!F374</f>
        <v>0</v>
      </c>
      <c r="G379" s="833">
        <f>'d3'!G379-d3П!G374</f>
        <v>0</v>
      </c>
      <c r="H379" s="833">
        <f>'d3'!H379-d3П!H374</f>
        <v>0</v>
      </c>
      <c r="I379" s="833">
        <f>'d3'!I379-d3П!I374</f>
        <v>0</v>
      </c>
      <c r="J379" s="833">
        <f>'d3'!J379-d3П!J374</f>
        <v>0</v>
      </c>
      <c r="K379" s="833">
        <f>'d3'!K379-d3П!K374</f>
        <v>0</v>
      </c>
      <c r="L379" s="833">
        <f>'d3'!L379-d3П!L374</f>
        <v>0</v>
      </c>
      <c r="M379" s="833">
        <f>'d3'!M379-d3П!M374</f>
        <v>0</v>
      </c>
      <c r="N379" s="833">
        <f>'d3'!N379-d3П!N374</f>
        <v>0</v>
      </c>
      <c r="O379" s="833">
        <f>'d3'!O379-d3П!O374</f>
        <v>0</v>
      </c>
      <c r="P379" s="833">
        <f>'d3'!P379-d3П!P374</f>
        <v>0</v>
      </c>
      <c r="Q379" s="50"/>
      <c r="R379" s="847"/>
    </row>
    <row r="380" spans="1:18" ht="230.25" thickTop="1" thickBot="1" x14ac:dyDescent="0.25">
      <c r="A380" s="835" t="s">
        <v>427</v>
      </c>
      <c r="B380" s="835" t="s">
        <v>241</v>
      </c>
      <c r="C380" s="835" t="s">
        <v>239</v>
      </c>
      <c r="D380" s="835" t="s">
        <v>240</v>
      </c>
      <c r="E380" s="833">
        <f>'d3'!E380-d3П!E375</f>
        <v>0</v>
      </c>
      <c r="F380" s="833">
        <f>'d3'!F380-d3П!F375</f>
        <v>0</v>
      </c>
      <c r="G380" s="833">
        <f>'d3'!G380-d3П!G375</f>
        <v>0</v>
      </c>
      <c r="H380" s="833">
        <f>'d3'!H380-d3П!H375</f>
        <v>0</v>
      </c>
      <c r="I380" s="833">
        <f>'d3'!I380-d3П!I375</f>
        <v>0</v>
      </c>
      <c r="J380" s="833">
        <f>'d3'!J380-d3П!J375</f>
        <v>0</v>
      </c>
      <c r="K380" s="833">
        <f>'d3'!K380-d3П!K375</f>
        <v>0</v>
      </c>
      <c r="L380" s="833">
        <f>'d3'!L380-d3П!L375</f>
        <v>0</v>
      </c>
      <c r="M380" s="833">
        <f>'d3'!M380-d3П!M375</f>
        <v>0</v>
      </c>
      <c r="N380" s="833">
        <f>'d3'!N380-d3П!N375</f>
        <v>0</v>
      </c>
      <c r="O380" s="833">
        <f>'d3'!O380-d3П!O375</f>
        <v>0</v>
      </c>
      <c r="P380" s="833">
        <f>'d3'!P380-d3П!P375</f>
        <v>0</v>
      </c>
      <c r="Q380" s="50"/>
      <c r="R380" s="847"/>
    </row>
    <row r="381" spans="1:18" ht="184.5" hidden="1" thickTop="1" thickBot="1" x14ac:dyDescent="0.25">
      <c r="A381" s="845" t="s">
        <v>642</v>
      </c>
      <c r="B381" s="845" t="s">
        <v>367</v>
      </c>
      <c r="C381" s="845" t="s">
        <v>634</v>
      </c>
      <c r="D381" s="845" t="s">
        <v>635</v>
      </c>
      <c r="E381" s="833">
        <f>'d3'!E381-d3П!E376</f>
        <v>0</v>
      </c>
      <c r="F381" s="833">
        <f>'d3'!F381-d3П!F376</f>
        <v>0</v>
      </c>
      <c r="G381" s="833">
        <f>'d3'!G381-d3П!G376</f>
        <v>0</v>
      </c>
      <c r="H381" s="833">
        <f>'d3'!H381-d3П!H376</f>
        <v>0</v>
      </c>
      <c r="I381" s="833">
        <f>'d3'!I381-d3П!I376</f>
        <v>0</v>
      </c>
      <c r="J381" s="833">
        <f>'d3'!J381-d3П!J376</f>
        <v>0</v>
      </c>
      <c r="K381" s="833">
        <f>'d3'!K381-d3П!K376</f>
        <v>0</v>
      </c>
      <c r="L381" s="833">
        <f>'d3'!L381-d3П!L376</f>
        <v>0</v>
      </c>
      <c r="M381" s="833">
        <f>'d3'!M381-d3П!M376</f>
        <v>0</v>
      </c>
      <c r="N381" s="833">
        <f>'d3'!N381-d3П!N376</f>
        <v>0</v>
      </c>
      <c r="O381" s="833">
        <f>'d3'!O381-d3П!O376</f>
        <v>0</v>
      </c>
      <c r="P381" s="833">
        <f>'d3'!P381-d3П!P376</f>
        <v>0</v>
      </c>
      <c r="Q381" s="50"/>
      <c r="R381" s="847"/>
    </row>
    <row r="382" spans="1:18" ht="47.25" thickTop="1" thickBot="1" x14ac:dyDescent="0.25">
      <c r="A382" s="385" t="s">
        <v>843</v>
      </c>
      <c r="B382" s="385" t="s">
        <v>705</v>
      </c>
      <c r="C382" s="385"/>
      <c r="D382" s="385" t="s">
        <v>706</v>
      </c>
      <c r="E382" s="833">
        <f>'d3'!E382-d3П!E377</f>
        <v>0</v>
      </c>
      <c r="F382" s="833">
        <f>'d3'!F382-d3П!F377</f>
        <v>0</v>
      </c>
      <c r="G382" s="833">
        <f>'d3'!G382-d3П!G377</f>
        <v>0</v>
      </c>
      <c r="H382" s="833">
        <f>'d3'!H382-d3П!H377</f>
        <v>0</v>
      </c>
      <c r="I382" s="833">
        <f>'d3'!I382-d3П!I377</f>
        <v>0</v>
      </c>
      <c r="J382" s="833">
        <f>'d3'!J382-d3П!J377</f>
        <v>0</v>
      </c>
      <c r="K382" s="833">
        <f>'d3'!K382-d3П!K377</f>
        <v>0</v>
      </c>
      <c r="L382" s="833">
        <f>'d3'!L382-d3П!L377</f>
        <v>700000</v>
      </c>
      <c r="M382" s="833">
        <f>'d3'!M382-d3П!M377</f>
        <v>0</v>
      </c>
      <c r="N382" s="833">
        <f>'d3'!N382-d3П!N377</f>
        <v>0</v>
      </c>
      <c r="O382" s="833">
        <f>'d3'!O382-d3П!O377</f>
        <v>-700000</v>
      </c>
      <c r="P382" s="833">
        <f>'d3'!P382-d3П!P377</f>
        <v>0</v>
      </c>
      <c r="Q382" s="50"/>
      <c r="R382" s="847"/>
    </row>
    <row r="383" spans="1:18" ht="91.5" thickTop="1" thickBot="1" x14ac:dyDescent="0.25">
      <c r="A383" s="387" t="s">
        <v>844</v>
      </c>
      <c r="B383" s="387" t="s">
        <v>845</v>
      </c>
      <c r="C383" s="387"/>
      <c r="D383" s="387" t="s">
        <v>846</v>
      </c>
      <c r="E383" s="833">
        <f>'d3'!E383-d3П!E378</f>
        <v>0</v>
      </c>
      <c r="F383" s="833">
        <f>'d3'!F383-d3П!F378</f>
        <v>0</v>
      </c>
      <c r="G383" s="833">
        <f>'d3'!G383-d3П!G378</f>
        <v>0</v>
      </c>
      <c r="H383" s="833">
        <f>'d3'!H383-d3П!H378</f>
        <v>0</v>
      </c>
      <c r="I383" s="833">
        <f>'d3'!I383-d3П!I378</f>
        <v>0</v>
      </c>
      <c r="J383" s="833">
        <f>'d3'!J383-d3П!J378</f>
        <v>0</v>
      </c>
      <c r="K383" s="833">
        <f>'d3'!K383-d3П!K378</f>
        <v>0</v>
      </c>
      <c r="L383" s="833">
        <f>'d3'!L383-d3П!L378</f>
        <v>700000</v>
      </c>
      <c r="M383" s="833">
        <f>'d3'!M383-d3П!M378</f>
        <v>0</v>
      </c>
      <c r="N383" s="833">
        <f>'d3'!N383-d3П!N378</f>
        <v>0</v>
      </c>
      <c r="O383" s="833">
        <f>'d3'!O383-d3П!O378</f>
        <v>-700000</v>
      </c>
      <c r="P383" s="833">
        <f>'d3'!P383-d3П!P378</f>
        <v>0</v>
      </c>
      <c r="Q383" s="50"/>
      <c r="R383" s="847"/>
    </row>
    <row r="384" spans="1:18" ht="93" thickTop="1" thickBot="1" x14ac:dyDescent="0.25">
      <c r="A384" s="835" t="s">
        <v>1170</v>
      </c>
      <c r="B384" s="835" t="s">
        <v>1171</v>
      </c>
      <c r="C384" s="835" t="s">
        <v>51</v>
      </c>
      <c r="D384" s="835" t="s">
        <v>1172</v>
      </c>
      <c r="E384" s="833">
        <f>'d3'!E384-d3П!E379</f>
        <v>0</v>
      </c>
      <c r="F384" s="833">
        <f>'d3'!F384-d3П!F379</f>
        <v>0</v>
      </c>
      <c r="G384" s="833">
        <f>'d3'!G384-d3П!G379</f>
        <v>0</v>
      </c>
      <c r="H384" s="833">
        <f>'d3'!H384-d3П!H379</f>
        <v>0</v>
      </c>
      <c r="I384" s="833">
        <f>'d3'!I384-d3П!I379</f>
        <v>0</v>
      </c>
      <c r="J384" s="833">
        <f>'d3'!J384-d3П!J379</f>
        <v>0</v>
      </c>
      <c r="K384" s="833">
        <f>'d3'!K384-d3П!K379</f>
        <v>0</v>
      </c>
      <c r="L384" s="833">
        <f>'d3'!L384-d3П!L379</f>
        <v>700000</v>
      </c>
      <c r="M384" s="833">
        <f>'d3'!M384-d3П!M379</f>
        <v>0</v>
      </c>
      <c r="N384" s="833">
        <f>'d3'!N384-d3П!N379</f>
        <v>0</v>
      </c>
      <c r="O384" s="833">
        <f>'d3'!O384-d3П!O379</f>
        <v>-700000</v>
      </c>
      <c r="P384" s="833">
        <f>'d3'!P384-d3П!P379</f>
        <v>0</v>
      </c>
      <c r="Q384" s="392" t="b">
        <f>J384='d9'!F27</f>
        <v>0</v>
      </c>
    </row>
    <row r="385" spans="1:19" ht="47.25" thickTop="1" thickBot="1" x14ac:dyDescent="0.25">
      <c r="A385" s="385" t="s">
        <v>1306</v>
      </c>
      <c r="B385" s="385" t="s">
        <v>711</v>
      </c>
      <c r="C385" s="385"/>
      <c r="D385" s="385" t="s">
        <v>712</v>
      </c>
      <c r="E385" s="833">
        <f>'d3'!E385-d3П!E380</f>
        <v>0</v>
      </c>
      <c r="F385" s="833">
        <f>'d3'!F385-d3П!F380</f>
        <v>0</v>
      </c>
      <c r="G385" s="833">
        <f>'d3'!G385-d3П!G380</f>
        <v>0</v>
      </c>
      <c r="H385" s="833">
        <f>'d3'!H385-d3П!H380</f>
        <v>0</v>
      </c>
      <c r="I385" s="833">
        <f>'d3'!I385-d3П!I380</f>
        <v>0</v>
      </c>
      <c r="J385" s="833">
        <f>'d3'!J385-d3П!J380</f>
        <v>0</v>
      </c>
      <c r="K385" s="833">
        <f>'d3'!K385-d3П!K380</f>
        <v>0</v>
      </c>
      <c r="L385" s="833">
        <f>'d3'!L385-d3П!L380</f>
        <v>0</v>
      </c>
      <c r="M385" s="833">
        <f>'d3'!M385-d3П!M380</f>
        <v>0</v>
      </c>
      <c r="N385" s="833">
        <f>'d3'!N385-d3П!N380</f>
        <v>0</v>
      </c>
      <c r="O385" s="833">
        <f>'d3'!O385-d3П!O380</f>
        <v>0</v>
      </c>
      <c r="P385" s="833">
        <f>'d3'!P385-d3П!P380</f>
        <v>0</v>
      </c>
      <c r="Q385" s="50"/>
    </row>
    <row r="386" spans="1:19" ht="271.5" thickTop="1" thickBot="1" x14ac:dyDescent="0.25">
      <c r="A386" s="387" t="s">
        <v>1305</v>
      </c>
      <c r="B386" s="387" t="s">
        <v>519</v>
      </c>
      <c r="C386" s="387" t="s">
        <v>43</v>
      </c>
      <c r="D386" s="387" t="s">
        <v>520</v>
      </c>
      <c r="E386" s="833">
        <f>'d3'!E386-d3П!E381</f>
        <v>0</v>
      </c>
      <c r="F386" s="833">
        <f>'d3'!F386-d3П!F381</f>
        <v>0</v>
      </c>
      <c r="G386" s="833">
        <f>'d3'!G386-d3П!G381</f>
        <v>0</v>
      </c>
      <c r="H386" s="833">
        <f>'d3'!H386-d3П!H381</f>
        <v>0</v>
      </c>
      <c r="I386" s="833">
        <f>'d3'!I386-d3П!I381</f>
        <v>0</v>
      </c>
      <c r="J386" s="833">
        <f>'d3'!J386-d3П!J381</f>
        <v>0</v>
      </c>
      <c r="K386" s="833">
        <f>'d3'!K386-d3П!K381</f>
        <v>0</v>
      </c>
      <c r="L386" s="833">
        <f>'d3'!L386-d3П!L381</f>
        <v>0</v>
      </c>
      <c r="M386" s="833">
        <f>'d3'!M386-d3П!M381</f>
        <v>0</v>
      </c>
      <c r="N386" s="833">
        <f>'d3'!N386-d3П!N381</f>
        <v>0</v>
      </c>
      <c r="O386" s="833">
        <f>'d3'!O386-d3П!O381</f>
        <v>0</v>
      </c>
      <c r="P386" s="833">
        <f>'d3'!P386-d3П!P381</f>
        <v>0</v>
      </c>
      <c r="Q386" s="50"/>
    </row>
    <row r="387" spans="1:19" ht="181.5" thickTop="1" thickBot="1" x14ac:dyDescent="0.25">
      <c r="A387" s="460" t="s">
        <v>163</v>
      </c>
      <c r="B387" s="460"/>
      <c r="C387" s="460"/>
      <c r="D387" s="461" t="s">
        <v>909</v>
      </c>
      <c r="E387" s="463">
        <f>E388</f>
        <v>33980</v>
      </c>
      <c r="F387" s="462">
        <f t="shared" ref="F387:G387" si="85">F388</f>
        <v>33980</v>
      </c>
      <c r="G387" s="462">
        <f t="shared" si="85"/>
        <v>0</v>
      </c>
      <c r="H387" s="462">
        <f>H388</f>
        <v>0</v>
      </c>
      <c r="I387" s="462">
        <f t="shared" ref="I387" si="86">I388</f>
        <v>0</v>
      </c>
      <c r="J387" s="463">
        <f>J388</f>
        <v>1022500</v>
      </c>
      <c r="K387" s="462">
        <f>K388</f>
        <v>1022500</v>
      </c>
      <c r="L387" s="462">
        <f>L388</f>
        <v>0</v>
      </c>
      <c r="M387" s="462">
        <f t="shared" ref="M387" si="87">M388</f>
        <v>0</v>
      </c>
      <c r="N387" s="462">
        <f>N388</f>
        <v>0</v>
      </c>
      <c r="O387" s="463">
        <f>O388</f>
        <v>1022500</v>
      </c>
      <c r="P387" s="462">
        <f t="shared" ref="P387" si="88">P388</f>
        <v>1056480</v>
      </c>
      <c r="Q387" s="22"/>
    </row>
    <row r="388" spans="1:19" ht="181.5" thickTop="1" thickBot="1" x14ac:dyDescent="0.25">
      <c r="A388" s="464" t="s">
        <v>164</v>
      </c>
      <c r="B388" s="464"/>
      <c r="C388" s="464"/>
      <c r="D388" s="465" t="s">
        <v>908</v>
      </c>
      <c r="E388" s="466">
        <f>E389+E391</f>
        <v>33980</v>
      </c>
      <c r="F388" s="466">
        <f t="shared" ref="F388:I388" si="89">F389+F391</f>
        <v>33980</v>
      </c>
      <c r="G388" s="466">
        <f t="shared" si="89"/>
        <v>0</v>
      </c>
      <c r="H388" s="466">
        <f t="shared" si="89"/>
        <v>0</v>
      </c>
      <c r="I388" s="466">
        <f t="shared" si="89"/>
        <v>0</v>
      </c>
      <c r="J388" s="466">
        <f>L388+O388</f>
        <v>1022500</v>
      </c>
      <c r="K388" s="466">
        <f t="shared" ref="K388:O388" si="90">K389+K391</f>
        <v>1022500</v>
      </c>
      <c r="L388" s="466">
        <f t="shared" si="90"/>
        <v>0</v>
      </c>
      <c r="M388" s="466">
        <f t="shared" si="90"/>
        <v>0</v>
      </c>
      <c r="N388" s="466">
        <f t="shared" si="90"/>
        <v>0</v>
      </c>
      <c r="O388" s="466">
        <f t="shared" si="90"/>
        <v>1022500</v>
      </c>
      <c r="P388" s="466">
        <f>E388+J388</f>
        <v>1056480</v>
      </c>
      <c r="Q388" s="392" t="b">
        <f>P388=P393+P395+P390</f>
        <v>1</v>
      </c>
      <c r="R388" s="48"/>
    </row>
    <row r="389" spans="1:19" ht="47.25" thickTop="1" thickBot="1" x14ac:dyDescent="0.25">
      <c r="A389" s="385" t="s">
        <v>847</v>
      </c>
      <c r="B389" s="385" t="s">
        <v>693</v>
      </c>
      <c r="C389" s="385"/>
      <c r="D389" s="385" t="s">
        <v>694</v>
      </c>
      <c r="E389" s="833">
        <f>'d3'!E389-d3П!E384</f>
        <v>33980</v>
      </c>
      <c r="F389" s="833">
        <f>'d3'!F389-d3П!F384</f>
        <v>33980</v>
      </c>
      <c r="G389" s="833">
        <f>'d3'!G389-d3П!G384</f>
        <v>0</v>
      </c>
      <c r="H389" s="833">
        <f>'d3'!H389-d3П!H384</f>
        <v>0</v>
      </c>
      <c r="I389" s="833">
        <f>'d3'!I389-d3П!I384</f>
        <v>0</v>
      </c>
      <c r="J389" s="833">
        <f>'d3'!J389-d3П!J384</f>
        <v>22500</v>
      </c>
      <c r="K389" s="833">
        <f>'d3'!K389-d3П!K384</f>
        <v>22500</v>
      </c>
      <c r="L389" s="833">
        <f>'d3'!L389-d3П!L384</f>
        <v>0</v>
      </c>
      <c r="M389" s="833">
        <f>'d3'!M389-d3П!M384</f>
        <v>0</v>
      </c>
      <c r="N389" s="833">
        <f>'d3'!N389-d3П!N384</f>
        <v>0</v>
      </c>
      <c r="O389" s="833">
        <f>'d3'!O389-d3П!O384</f>
        <v>22500</v>
      </c>
      <c r="P389" s="833">
        <f>'d3'!P389-d3П!P384</f>
        <v>56480</v>
      </c>
      <c r="Q389" s="50"/>
      <c r="R389" s="48"/>
    </row>
    <row r="390" spans="1:19" ht="230.25" thickTop="1" thickBot="1" x14ac:dyDescent="0.25">
      <c r="A390" s="835" t="s">
        <v>423</v>
      </c>
      <c r="B390" s="835" t="s">
        <v>241</v>
      </c>
      <c r="C390" s="835" t="s">
        <v>239</v>
      </c>
      <c r="D390" s="835" t="s">
        <v>240</v>
      </c>
      <c r="E390" s="833">
        <f>'d3'!E390-d3П!E385</f>
        <v>33980</v>
      </c>
      <c r="F390" s="833">
        <f>'d3'!F390-d3П!F385</f>
        <v>33980</v>
      </c>
      <c r="G390" s="833">
        <f>'d3'!G390-d3П!G385</f>
        <v>0</v>
      </c>
      <c r="H390" s="833">
        <f>'d3'!H390-d3П!H385</f>
        <v>0</v>
      </c>
      <c r="I390" s="833">
        <f>'d3'!I390-d3П!I385</f>
        <v>0</v>
      </c>
      <c r="J390" s="833">
        <f>'d3'!J390-d3П!J385</f>
        <v>22500</v>
      </c>
      <c r="K390" s="833">
        <f>'d3'!K390-d3П!K385</f>
        <v>22500</v>
      </c>
      <c r="L390" s="833">
        <f>'d3'!L390-d3П!L385</f>
        <v>0</v>
      </c>
      <c r="M390" s="833">
        <f>'d3'!M390-d3П!M385</f>
        <v>0</v>
      </c>
      <c r="N390" s="833">
        <f>'d3'!N390-d3П!N385</f>
        <v>0</v>
      </c>
      <c r="O390" s="833">
        <f>'d3'!O390-d3П!O385</f>
        <v>22500</v>
      </c>
      <c r="P390" s="833">
        <f>'d3'!P390-d3П!P385</f>
        <v>56480</v>
      </c>
      <c r="Q390" s="22"/>
      <c r="R390" s="48"/>
    </row>
    <row r="391" spans="1:19" ht="47.25" thickTop="1" thickBot="1" x14ac:dyDescent="0.25">
      <c r="A391" s="385" t="s">
        <v>848</v>
      </c>
      <c r="B391" s="385" t="s">
        <v>757</v>
      </c>
      <c r="C391" s="835"/>
      <c r="D391" s="385" t="s">
        <v>804</v>
      </c>
      <c r="E391" s="833">
        <f>'d3'!E391-d3П!E386</f>
        <v>0</v>
      </c>
      <c r="F391" s="833">
        <f>'d3'!F391-d3П!F386</f>
        <v>0</v>
      </c>
      <c r="G391" s="833">
        <f>'d3'!G391-d3П!G386</f>
        <v>0</v>
      </c>
      <c r="H391" s="833">
        <f>'d3'!H391-d3П!H386</f>
        <v>0</v>
      </c>
      <c r="I391" s="833">
        <f>'d3'!I391-d3П!I386</f>
        <v>0</v>
      </c>
      <c r="J391" s="833">
        <f>'d3'!J391-d3П!J386</f>
        <v>1000000</v>
      </c>
      <c r="K391" s="833">
        <f>'d3'!K391-d3П!K386</f>
        <v>1000000</v>
      </c>
      <c r="L391" s="833">
        <f>'d3'!L391-d3П!L386</f>
        <v>0</v>
      </c>
      <c r="M391" s="833">
        <f>'d3'!M391-d3П!M386</f>
        <v>0</v>
      </c>
      <c r="N391" s="833">
        <f>'d3'!N391-d3П!N386</f>
        <v>0</v>
      </c>
      <c r="O391" s="833">
        <f>'d3'!O391-d3П!O386</f>
        <v>1000000</v>
      </c>
      <c r="P391" s="833">
        <f>'d3'!P391-d3П!P386</f>
        <v>1000000</v>
      </c>
      <c r="Q391" s="22"/>
      <c r="R391" s="50"/>
    </row>
    <row r="392" spans="1:19" ht="91.5" thickTop="1" thickBot="1" x14ac:dyDescent="0.25">
      <c r="A392" s="387" t="s">
        <v>849</v>
      </c>
      <c r="B392" s="387" t="s">
        <v>850</v>
      </c>
      <c r="C392" s="387"/>
      <c r="D392" s="387" t="s">
        <v>851</v>
      </c>
      <c r="E392" s="833">
        <f>'d3'!E392-d3П!E387</f>
        <v>0</v>
      </c>
      <c r="F392" s="833">
        <f>'d3'!F392-d3П!F387</f>
        <v>0</v>
      </c>
      <c r="G392" s="833">
        <f>'d3'!G392-d3П!G387</f>
        <v>0</v>
      </c>
      <c r="H392" s="833">
        <f>'d3'!H392-d3П!H387</f>
        <v>0</v>
      </c>
      <c r="I392" s="833">
        <f>'d3'!I392-d3П!I387</f>
        <v>0</v>
      </c>
      <c r="J392" s="833">
        <f>'d3'!J392-d3П!J387</f>
        <v>1000000</v>
      </c>
      <c r="K392" s="833">
        <f>'d3'!K392-d3П!K387</f>
        <v>1000000</v>
      </c>
      <c r="L392" s="833">
        <f>'d3'!L392-d3П!L387</f>
        <v>0</v>
      </c>
      <c r="M392" s="833">
        <f>'d3'!M392-d3П!M387</f>
        <v>0</v>
      </c>
      <c r="N392" s="833">
        <f>'d3'!N392-d3П!N387</f>
        <v>0</v>
      </c>
      <c r="O392" s="833">
        <f>'d3'!O392-d3П!O387</f>
        <v>1000000</v>
      </c>
      <c r="P392" s="833">
        <f>'d3'!P392-d3П!P387</f>
        <v>1000000</v>
      </c>
      <c r="Q392" s="22"/>
      <c r="R392" s="50"/>
    </row>
    <row r="393" spans="1:19" ht="93" thickTop="1" thickBot="1" x14ac:dyDescent="0.25">
      <c r="A393" s="835" t="s">
        <v>311</v>
      </c>
      <c r="B393" s="835" t="s">
        <v>312</v>
      </c>
      <c r="C393" s="835" t="s">
        <v>313</v>
      </c>
      <c r="D393" s="835" t="s">
        <v>466</v>
      </c>
      <c r="E393" s="833">
        <f>'d3'!E393-d3П!E388</f>
        <v>0</v>
      </c>
      <c r="F393" s="833">
        <f>'d3'!F393-d3П!F388</f>
        <v>0</v>
      </c>
      <c r="G393" s="833">
        <f>'d3'!G393-d3П!G388</f>
        <v>0</v>
      </c>
      <c r="H393" s="833">
        <f>'d3'!H393-d3П!H388</f>
        <v>0</v>
      </c>
      <c r="I393" s="833">
        <f>'d3'!I393-d3П!I388</f>
        <v>0</v>
      </c>
      <c r="J393" s="833">
        <f>'d3'!J393-d3П!J388</f>
        <v>1000000</v>
      </c>
      <c r="K393" s="833">
        <f>'d3'!K393-d3П!K388</f>
        <v>1000000</v>
      </c>
      <c r="L393" s="833">
        <f>'d3'!L393-d3П!L388</f>
        <v>0</v>
      </c>
      <c r="M393" s="833">
        <f>'d3'!M393-d3П!M388</f>
        <v>0</v>
      </c>
      <c r="N393" s="833">
        <f>'d3'!N393-d3П!N388</f>
        <v>0</v>
      </c>
      <c r="O393" s="833">
        <f>'d3'!O393-d3П!O388</f>
        <v>1000000</v>
      </c>
      <c r="P393" s="833">
        <f>'d3'!P393-d3П!P388</f>
        <v>1000000</v>
      </c>
      <c r="Q393" s="22"/>
      <c r="R393" s="48"/>
    </row>
    <row r="394" spans="1:19" ht="136.5" thickTop="1" thickBot="1" x14ac:dyDescent="0.25">
      <c r="A394" s="387" t="s">
        <v>852</v>
      </c>
      <c r="B394" s="387" t="s">
        <v>700</v>
      </c>
      <c r="C394" s="835"/>
      <c r="D394" s="387" t="s">
        <v>853</v>
      </c>
      <c r="E394" s="833">
        <f>'d3'!E394-d3П!E389</f>
        <v>0</v>
      </c>
      <c r="F394" s="833">
        <f>'d3'!F394-d3П!F389</f>
        <v>0</v>
      </c>
      <c r="G394" s="833">
        <f>'d3'!G394-d3П!G389</f>
        <v>0</v>
      </c>
      <c r="H394" s="833">
        <f>'d3'!H394-d3П!H389</f>
        <v>0</v>
      </c>
      <c r="I394" s="833">
        <f>'d3'!I394-d3П!I389</f>
        <v>0</v>
      </c>
      <c r="J394" s="833">
        <f>'d3'!J394-d3П!J389</f>
        <v>0</v>
      </c>
      <c r="K394" s="833">
        <f>'d3'!K394-d3П!K389</f>
        <v>0</v>
      </c>
      <c r="L394" s="833">
        <f>'d3'!L394-d3П!L389</f>
        <v>0</v>
      </c>
      <c r="M394" s="833">
        <f>'d3'!M394-d3П!M389</f>
        <v>0</v>
      </c>
      <c r="N394" s="833">
        <f>'d3'!N394-d3П!N389</f>
        <v>0</v>
      </c>
      <c r="O394" s="833">
        <f>'d3'!O394-d3П!O389</f>
        <v>0</v>
      </c>
      <c r="P394" s="833">
        <f>'d3'!P394-d3П!P389</f>
        <v>0</v>
      </c>
      <c r="Q394" s="22"/>
    </row>
    <row r="395" spans="1:19" ht="138.75" thickTop="1" thickBot="1" x14ac:dyDescent="0.25">
      <c r="A395" s="835" t="s">
        <v>373</v>
      </c>
      <c r="B395" s="835" t="s">
        <v>374</v>
      </c>
      <c r="C395" s="835" t="s">
        <v>171</v>
      </c>
      <c r="D395" s="835" t="s">
        <v>375</v>
      </c>
      <c r="E395" s="833">
        <f>'d3'!E395-d3П!E390</f>
        <v>0</v>
      </c>
      <c r="F395" s="833">
        <f>'d3'!F395-d3П!F390</f>
        <v>0</v>
      </c>
      <c r="G395" s="833">
        <f>'d3'!G395-d3П!G390</f>
        <v>0</v>
      </c>
      <c r="H395" s="833">
        <f>'d3'!H395-d3П!H390</f>
        <v>0</v>
      </c>
      <c r="I395" s="833">
        <f>'d3'!I395-d3П!I390</f>
        <v>0</v>
      </c>
      <c r="J395" s="833">
        <f>'d3'!J395-d3П!J390</f>
        <v>0</v>
      </c>
      <c r="K395" s="833">
        <f>'d3'!K395-d3П!K390</f>
        <v>0</v>
      </c>
      <c r="L395" s="833">
        <f>'d3'!L395-d3П!L390</f>
        <v>0</v>
      </c>
      <c r="M395" s="833">
        <f>'d3'!M395-d3П!M390</f>
        <v>0</v>
      </c>
      <c r="N395" s="833">
        <f>'d3'!N395-d3П!N390</f>
        <v>0</v>
      </c>
      <c r="O395" s="833">
        <f>'d3'!O395-d3П!O390</f>
        <v>0</v>
      </c>
      <c r="P395" s="833">
        <f>'d3'!P395-d3П!P390</f>
        <v>0</v>
      </c>
      <c r="Q395" s="22"/>
      <c r="R395" s="48"/>
    </row>
    <row r="396" spans="1:19" ht="136.5" thickTop="1" thickBot="1" x14ac:dyDescent="0.25">
      <c r="A396" s="460" t="s">
        <v>169</v>
      </c>
      <c r="B396" s="460"/>
      <c r="C396" s="460"/>
      <c r="D396" s="461" t="s">
        <v>27</v>
      </c>
      <c r="E396" s="463">
        <f>E397</f>
        <v>4009078</v>
      </c>
      <c r="F396" s="462">
        <f t="shared" ref="F396:G396" si="91">F397</f>
        <v>4009078</v>
      </c>
      <c r="G396" s="462">
        <f t="shared" si="91"/>
        <v>0</v>
      </c>
      <c r="H396" s="462">
        <f>H397</f>
        <v>0</v>
      </c>
      <c r="I396" s="462">
        <f t="shared" ref="I396" si="92">I397</f>
        <v>0</v>
      </c>
      <c r="J396" s="463">
        <f>J397</f>
        <v>45000</v>
      </c>
      <c r="K396" s="462">
        <f>K397</f>
        <v>45000</v>
      </c>
      <c r="L396" s="462">
        <f>L397</f>
        <v>0</v>
      </c>
      <c r="M396" s="462">
        <f t="shared" ref="M396" si="93">M397</f>
        <v>0</v>
      </c>
      <c r="N396" s="462">
        <f>N397</f>
        <v>0</v>
      </c>
      <c r="O396" s="463">
        <f>O397</f>
        <v>45000</v>
      </c>
      <c r="P396" s="462">
        <f t="shared" ref="P396" si="94">P397</f>
        <v>4054078</v>
      </c>
      <c r="Q396" s="22"/>
    </row>
    <row r="397" spans="1:19" ht="136.5" thickTop="1" thickBot="1" x14ac:dyDescent="0.25">
      <c r="A397" s="464" t="s">
        <v>170</v>
      </c>
      <c r="B397" s="464"/>
      <c r="C397" s="464"/>
      <c r="D397" s="465" t="s">
        <v>40</v>
      </c>
      <c r="E397" s="466">
        <f>E398+E404+E411+E401</f>
        <v>4009078</v>
      </c>
      <c r="F397" s="466">
        <f t="shared" ref="F397:P397" si="95">F398+F404+F411+F401</f>
        <v>4009078</v>
      </c>
      <c r="G397" s="466">
        <f t="shared" si="95"/>
        <v>0</v>
      </c>
      <c r="H397" s="466">
        <f t="shared" si="95"/>
        <v>0</v>
      </c>
      <c r="I397" s="466">
        <f t="shared" si="95"/>
        <v>0</v>
      </c>
      <c r="J397" s="466">
        <f t="shared" si="95"/>
        <v>45000</v>
      </c>
      <c r="K397" s="466">
        <f t="shared" si="95"/>
        <v>45000</v>
      </c>
      <c r="L397" s="466">
        <f t="shared" si="95"/>
        <v>0</v>
      </c>
      <c r="M397" s="466">
        <f t="shared" si="95"/>
        <v>0</v>
      </c>
      <c r="N397" s="466">
        <f t="shared" si="95"/>
        <v>0</v>
      </c>
      <c r="O397" s="466">
        <f t="shared" si="95"/>
        <v>45000</v>
      </c>
      <c r="P397" s="466">
        <f t="shared" si="95"/>
        <v>4054078</v>
      </c>
      <c r="Q397" s="392" t="b">
        <f>P397=P399+P405+P407+P413</f>
        <v>1</v>
      </c>
      <c r="R397" s="48"/>
    </row>
    <row r="398" spans="1:19" ht="47.25" thickTop="1" thickBot="1" x14ac:dyDescent="0.25">
      <c r="A398" s="385" t="s">
        <v>854</v>
      </c>
      <c r="B398" s="385" t="s">
        <v>693</v>
      </c>
      <c r="C398" s="385"/>
      <c r="D398" s="385" t="s">
        <v>694</v>
      </c>
      <c r="E398" s="833">
        <f>'d3'!E398-d3П!E393</f>
        <v>-45000</v>
      </c>
      <c r="F398" s="833">
        <f>'d3'!F398-d3П!F393</f>
        <v>-45000</v>
      </c>
      <c r="G398" s="833">
        <f>'d3'!G398-d3П!G393</f>
        <v>0</v>
      </c>
      <c r="H398" s="833">
        <f>'d3'!H398-d3П!H393</f>
        <v>0</v>
      </c>
      <c r="I398" s="833">
        <f>'d3'!I398-d3П!I393</f>
        <v>0</v>
      </c>
      <c r="J398" s="833">
        <f>'d3'!J398-d3П!J393</f>
        <v>45000</v>
      </c>
      <c r="K398" s="833">
        <f>'d3'!K398-d3П!K393</f>
        <v>45000</v>
      </c>
      <c r="L398" s="833">
        <f>'d3'!L398-d3П!L393</f>
        <v>0</v>
      </c>
      <c r="M398" s="833">
        <f>'d3'!M398-d3П!M393</f>
        <v>0</v>
      </c>
      <c r="N398" s="833">
        <f>'d3'!N398-d3П!N393</f>
        <v>0</v>
      </c>
      <c r="O398" s="833">
        <f>'d3'!O398-d3П!O393</f>
        <v>45000</v>
      </c>
      <c r="P398" s="833">
        <f>'d3'!P398-d3П!P393</f>
        <v>0</v>
      </c>
      <c r="Q398" s="50"/>
      <c r="R398" s="53"/>
    </row>
    <row r="399" spans="1:19" ht="230.25" thickTop="1" thickBot="1" x14ac:dyDescent="0.25">
      <c r="A399" s="835" t="s">
        <v>425</v>
      </c>
      <c r="B399" s="835" t="s">
        <v>241</v>
      </c>
      <c r="C399" s="835" t="s">
        <v>239</v>
      </c>
      <c r="D399" s="835" t="s">
        <v>240</v>
      </c>
      <c r="E399" s="833">
        <f>'d3'!E399-d3П!E394</f>
        <v>-45000</v>
      </c>
      <c r="F399" s="833">
        <f>'d3'!F399-d3П!F394</f>
        <v>-45000</v>
      </c>
      <c r="G399" s="833">
        <f>'d3'!G399-d3П!G394</f>
        <v>0</v>
      </c>
      <c r="H399" s="833">
        <f>'d3'!H399-d3П!H394</f>
        <v>0</v>
      </c>
      <c r="I399" s="833">
        <f>'d3'!I399-d3П!I394</f>
        <v>0</v>
      </c>
      <c r="J399" s="833">
        <f>'d3'!J399-d3П!J394</f>
        <v>45000</v>
      </c>
      <c r="K399" s="833">
        <f>'d3'!K399-d3П!K394</f>
        <v>45000</v>
      </c>
      <c r="L399" s="833">
        <f>'d3'!L399-d3П!L394</f>
        <v>0</v>
      </c>
      <c r="M399" s="833">
        <f>'d3'!M399-d3П!M394</f>
        <v>0</v>
      </c>
      <c r="N399" s="833">
        <f>'d3'!N399-d3П!N394</f>
        <v>0</v>
      </c>
      <c r="O399" s="833">
        <f>'d3'!O399-d3П!O394</f>
        <v>45000</v>
      </c>
      <c r="P399" s="833">
        <f>'d3'!P399-d3П!P394</f>
        <v>0</v>
      </c>
      <c r="Q399" s="50"/>
      <c r="R399" s="53"/>
      <c r="S399" s="50"/>
    </row>
    <row r="400" spans="1:19" ht="184.5" hidden="1" thickTop="1" thickBot="1" x14ac:dyDescent="0.25">
      <c r="A400" s="836" t="s">
        <v>643</v>
      </c>
      <c r="B400" s="836" t="s">
        <v>367</v>
      </c>
      <c r="C400" s="836" t="s">
        <v>634</v>
      </c>
      <c r="D400" s="836" t="s">
        <v>635</v>
      </c>
      <c r="E400" s="833">
        <f>'d3'!E400-d3П!E395</f>
        <v>0</v>
      </c>
      <c r="F400" s="833">
        <f>'d3'!F400-d3П!F395</f>
        <v>0</v>
      </c>
      <c r="G400" s="833">
        <f>'d3'!G400-d3П!G395</f>
        <v>0</v>
      </c>
      <c r="H400" s="833">
        <f>'d3'!H400-d3П!H395</f>
        <v>0</v>
      </c>
      <c r="I400" s="833">
        <f>'d3'!I400-d3П!I395</f>
        <v>0</v>
      </c>
      <c r="J400" s="833">
        <f>'d3'!J400-d3П!J395</f>
        <v>0</v>
      </c>
      <c r="K400" s="833">
        <f>'d3'!K400-d3П!K395</f>
        <v>0</v>
      </c>
      <c r="L400" s="833">
        <f>'d3'!L400-d3П!L395</f>
        <v>0</v>
      </c>
      <c r="M400" s="833">
        <f>'d3'!M400-d3П!M395</f>
        <v>0</v>
      </c>
      <c r="N400" s="833">
        <f>'d3'!N400-d3П!N395</f>
        <v>0</v>
      </c>
      <c r="O400" s="833">
        <f>'d3'!O400-d3П!O395</f>
        <v>0</v>
      </c>
      <c r="P400" s="833">
        <f>'d3'!P400-d3П!P395</f>
        <v>0</v>
      </c>
      <c r="Q400" s="50"/>
      <c r="R400" s="53"/>
    </row>
    <row r="401" spans="1:18" ht="136.5" hidden="1" thickTop="1" thickBot="1" x14ac:dyDescent="0.25">
      <c r="A401" s="170" t="s">
        <v>1253</v>
      </c>
      <c r="B401" s="170" t="s">
        <v>700</v>
      </c>
      <c r="C401" s="170"/>
      <c r="D401" s="170" t="s">
        <v>698</v>
      </c>
      <c r="E401" s="833">
        <f>'d3'!E401-d3П!E396</f>
        <v>0</v>
      </c>
      <c r="F401" s="833">
        <f>'d3'!F401-d3П!F396</f>
        <v>0</v>
      </c>
      <c r="G401" s="833">
        <f>'d3'!G401-d3П!G396</f>
        <v>0</v>
      </c>
      <c r="H401" s="833">
        <f>'d3'!H401-d3П!H396</f>
        <v>0</v>
      </c>
      <c r="I401" s="833">
        <f>'d3'!I401-d3П!I396</f>
        <v>0</v>
      </c>
      <c r="J401" s="833">
        <f>'d3'!J401-d3П!J396</f>
        <v>0</v>
      </c>
      <c r="K401" s="833">
        <f>'d3'!K401-d3П!K396</f>
        <v>0</v>
      </c>
      <c r="L401" s="833">
        <f>'d3'!L401-d3П!L396</f>
        <v>0</v>
      </c>
      <c r="M401" s="833">
        <f>'d3'!M401-d3П!M396</f>
        <v>0</v>
      </c>
      <c r="N401" s="833">
        <f>'d3'!N401-d3П!N396</f>
        <v>0</v>
      </c>
      <c r="O401" s="833">
        <f>'d3'!O401-d3П!O396</f>
        <v>0</v>
      </c>
      <c r="P401" s="833">
        <f>'d3'!P401-d3П!P396</f>
        <v>0</v>
      </c>
      <c r="Q401" s="50"/>
      <c r="R401" s="53"/>
    </row>
    <row r="402" spans="1:18" ht="47.25" hidden="1" thickTop="1" thickBot="1" x14ac:dyDescent="0.25">
      <c r="A402" s="174" t="s">
        <v>1254</v>
      </c>
      <c r="B402" s="174" t="s">
        <v>703</v>
      </c>
      <c r="C402" s="174"/>
      <c r="D402" s="174" t="s">
        <v>701</v>
      </c>
      <c r="E402" s="833">
        <f>'d3'!E402-d3П!E397</f>
        <v>0</v>
      </c>
      <c r="F402" s="833">
        <f>'d3'!F402-d3П!F397</f>
        <v>0</v>
      </c>
      <c r="G402" s="833">
        <f>'d3'!G402-d3П!G397</f>
        <v>0</v>
      </c>
      <c r="H402" s="833">
        <f>'d3'!H402-d3П!H397</f>
        <v>0</v>
      </c>
      <c r="I402" s="833">
        <f>'d3'!I402-d3П!I397</f>
        <v>0</v>
      </c>
      <c r="J402" s="833">
        <f>'d3'!J402-d3П!J397</f>
        <v>0</v>
      </c>
      <c r="K402" s="833">
        <f>'d3'!K402-d3П!K397</f>
        <v>0</v>
      </c>
      <c r="L402" s="833">
        <f>'d3'!L402-d3П!L397</f>
        <v>0</v>
      </c>
      <c r="M402" s="833">
        <f>'d3'!M402-d3П!M397</f>
        <v>0</v>
      </c>
      <c r="N402" s="833">
        <f>'d3'!N402-d3П!N397</f>
        <v>0</v>
      </c>
      <c r="O402" s="833">
        <f>'d3'!O402-d3П!O397</f>
        <v>0</v>
      </c>
      <c r="P402" s="833">
        <f>'d3'!P402-d3П!P397</f>
        <v>0</v>
      </c>
      <c r="Q402" s="50"/>
      <c r="R402" s="53"/>
    </row>
    <row r="403" spans="1:18" ht="93" hidden="1" thickTop="1" thickBot="1" x14ac:dyDescent="0.25">
      <c r="A403" s="836" t="s">
        <v>1255</v>
      </c>
      <c r="B403" s="836" t="s">
        <v>262</v>
      </c>
      <c r="C403" s="836" t="s">
        <v>171</v>
      </c>
      <c r="D403" s="836" t="s">
        <v>260</v>
      </c>
      <c r="E403" s="833">
        <f>'d3'!E403-d3П!E398</f>
        <v>0</v>
      </c>
      <c r="F403" s="833">
        <f>'d3'!F403-d3П!F398</f>
        <v>0</v>
      </c>
      <c r="G403" s="833">
        <f>'d3'!G403-d3П!G398</f>
        <v>0</v>
      </c>
      <c r="H403" s="833">
        <f>'d3'!H403-d3П!H398</f>
        <v>0</v>
      </c>
      <c r="I403" s="833">
        <f>'d3'!I403-d3П!I398</f>
        <v>0</v>
      </c>
      <c r="J403" s="833">
        <f>'d3'!J403-d3П!J398</f>
        <v>0</v>
      </c>
      <c r="K403" s="833">
        <f>'d3'!K403-d3П!K398</f>
        <v>0</v>
      </c>
      <c r="L403" s="833">
        <f>'d3'!L403-d3П!L398</f>
        <v>0</v>
      </c>
      <c r="M403" s="833">
        <f>'d3'!M403-d3П!M398</f>
        <v>0</v>
      </c>
      <c r="N403" s="833">
        <f>'d3'!N403-d3П!N398</f>
        <v>0</v>
      </c>
      <c r="O403" s="833">
        <f>'d3'!O403-d3П!O398</f>
        <v>0</v>
      </c>
      <c r="P403" s="833">
        <f>'d3'!P403-d3П!P398</f>
        <v>0</v>
      </c>
      <c r="Q403" s="50"/>
      <c r="R403" s="53"/>
    </row>
    <row r="404" spans="1:18" ht="47.25" thickTop="1" thickBot="1" x14ac:dyDescent="0.25">
      <c r="A404" s="385" t="s">
        <v>855</v>
      </c>
      <c r="B404" s="385" t="s">
        <v>705</v>
      </c>
      <c r="C404" s="385"/>
      <c r="D404" s="385" t="s">
        <v>706</v>
      </c>
      <c r="E404" s="833">
        <f>'d3'!E404-d3П!E399</f>
        <v>4054078</v>
      </c>
      <c r="F404" s="833">
        <f>'d3'!F404-d3П!F399</f>
        <v>4054078</v>
      </c>
      <c r="G404" s="833">
        <f>'d3'!G404-d3П!G399</f>
        <v>0</v>
      </c>
      <c r="H404" s="833">
        <f>'d3'!H404-d3П!H399</f>
        <v>0</v>
      </c>
      <c r="I404" s="833">
        <f>'d3'!I404-d3П!I399</f>
        <v>0</v>
      </c>
      <c r="J404" s="833">
        <f>'d3'!J404-d3П!J399</f>
        <v>0</v>
      </c>
      <c r="K404" s="833">
        <f>'d3'!K404-d3П!K399</f>
        <v>0</v>
      </c>
      <c r="L404" s="833">
        <f>'d3'!L404-d3П!L399</f>
        <v>0</v>
      </c>
      <c r="M404" s="833">
        <f>'d3'!M404-d3П!M399</f>
        <v>0</v>
      </c>
      <c r="N404" s="833">
        <f>'d3'!N404-d3П!N399</f>
        <v>0</v>
      </c>
      <c r="O404" s="833">
        <f>'d3'!O404-d3П!O399</f>
        <v>0</v>
      </c>
      <c r="P404" s="833">
        <f>'d3'!P404-d3П!P399</f>
        <v>4054078</v>
      </c>
      <c r="Q404" s="50"/>
      <c r="R404" s="53"/>
    </row>
    <row r="405" spans="1:18" ht="91.5" thickTop="1" thickBot="1" x14ac:dyDescent="0.25">
      <c r="A405" s="576">
        <v>3718600</v>
      </c>
      <c r="B405" s="576">
        <v>8600</v>
      </c>
      <c r="C405" s="387" t="s">
        <v>367</v>
      </c>
      <c r="D405" s="576" t="s">
        <v>457</v>
      </c>
      <c r="E405" s="833">
        <f>'d3'!E405-d3П!E400</f>
        <v>0</v>
      </c>
      <c r="F405" s="833">
        <f>'d3'!F405-d3П!F400</f>
        <v>0</v>
      </c>
      <c r="G405" s="833">
        <f>'d3'!G405-d3П!G400</f>
        <v>0</v>
      </c>
      <c r="H405" s="833">
        <f>'d3'!H405-d3П!H400</f>
        <v>0</v>
      </c>
      <c r="I405" s="833">
        <f>'d3'!I405-d3П!I400</f>
        <v>0</v>
      </c>
      <c r="J405" s="833">
        <f>'d3'!J405-d3П!J400</f>
        <v>0</v>
      </c>
      <c r="K405" s="833">
        <f>'d3'!K405-d3П!K400</f>
        <v>0</v>
      </c>
      <c r="L405" s="833">
        <f>'d3'!L405-d3П!L400</f>
        <v>0</v>
      </c>
      <c r="M405" s="833">
        <f>'d3'!M405-d3П!M400</f>
        <v>0</v>
      </c>
      <c r="N405" s="833">
        <f>'d3'!N405-d3П!N400</f>
        <v>0</v>
      </c>
      <c r="O405" s="833">
        <f>'d3'!O405-d3П!O400</f>
        <v>0</v>
      </c>
      <c r="P405" s="833">
        <f>'d3'!P405-d3П!P400</f>
        <v>0</v>
      </c>
      <c r="Q405" s="22"/>
    </row>
    <row r="406" spans="1:18" ht="47.25" thickTop="1" thickBot="1" x14ac:dyDescent="0.25">
      <c r="A406" s="576">
        <v>3718700</v>
      </c>
      <c r="B406" s="576">
        <v>8700</v>
      </c>
      <c r="C406" s="387"/>
      <c r="D406" s="576" t="s">
        <v>856</v>
      </c>
      <c r="E406" s="833">
        <f>'d3'!E406-d3П!E401</f>
        <v>4054078</v>
      </c>
      <c r="F406" s="833">
        <f>'d3'!F406-d3П!F401</f>
        <v>4054078</v>
      </c>
      <c r="G406" s="833">
        <f>'d3'!G406-d3П!G401</f>
        <v>0</v>
      </c>
      <c r="H406" s="833">
        <f>'d3'!H406-d3П!H401</f>
        <v>0</v>
      </c>
      <c r="I406" s="833">
        <f>'d3'!I406-d3П!I401</f>
        <v>0</v>
      </c>
      <c r="J406" s="833">
        <f>'d3'!J406-d3П!J401</f>
        <v>0</v>
      </c>
      <c r="K406" s="833">
        <f>'d3'!K406-d3П!K401</f>
        <v>0</v>
      </c>
      <c r="L406" s="833">
        <f>'d3'!L406-d3П!L401</f>
        <v>0</v>
      </c>
      <c r="M406" s="833">
        <f>'d3'!M406-d3П!M401</f>
        <v>0</v>
      </c>
      <c r="N406" s="833">
        <f>'d3'!N406-d3П!N401</f>
        <v>0</v>
      </c>
      <c r="O406" s="833">
        <f>'d3'!O406-d3П!O401</f>
        <v>0</v>
      </c>
      <c r="P406" s="833">
        <f>'d3'!P406-d3П!P401</f>
        <v>4054078</v>
      </c>
      <c r="Q406" s="22"/>
    </row>
    <row r="407" spans="1:18" ht="93" thickTop="1" thickBot="1" x14ac:dyDescent="0.25">
      <c r="A407" s="457">
        <v>3718710</v>
      </c>
      <c r="B407" s="457">
        <v>8710</v>
      </c>
      <c r="C407" s="835" t="s">
        <v>42</v>
      </c>
      <c r="D407" s="470" t="s">
        <v>649</v>
      </c>
      <c r="E407" s="833">
        <f>'d3'!E407-d3П!E402</f>
        <v>4054078</v>
      </c>
      <c r="F407" s="833">
        <f>'d3'!F407-d3П!F402</f>
        <v>4054078</v>
      </c>
      <c r="G407" s="833">
        <f>'d3'!G407-d3П!G402</f>
        <v>0</v>
      </c>
      <c r="H407" s="833">
        <f>'d3'!H407-d3П!H402</f>
        <v>0</v>
      </c>
      <c r="I407" s="833">
        <f>'d3'!I407-d3П!I402</f>
        <v>0</v>
      </c>
      <c r="J407" s="833">
        <f>'d3'!J407-d3П!J402</f>
        <v>0</v>
      </c>
      <c r="K407" s="833">
        <f>'d3'!K407-d3П!K402</f>
        <v>0</v>
      </c>
      <c r="L407" s="833">
        <f>'d3'!L407-d3П!L402</f>
        <v>0</v>
      </c>
      <c r="M407" s="833">
        <f>'d3'!M407-d3П!M402</f>
        <v>0</v>
      </c>
      <c r="N407" s="833">
        <f>'d3'!N407-d3П!N402</f>
        <v>0</v>
      </c>
      <c r="O407" s="833">
        <f>'d3'!O407-d3П!O402</f>
        <v>0</v>
      </c>
      <c r="P407" s="833">
        <f>'d3'!P407-d3П!P402</f>
        <v>4054078</v>
      </c>
      <c r="Q407" s="22"/>
    </row>
    <row r="408" spans="1:18" ht="47.25" hidden="1" thickTop="1" thickBot="1" x14ac:dyDescent="0.25">
      <c r="A408" s="201">
        <v>3718800</v>
      </c>
      <c r="B408" s="201">
        <v>8800</v>
      </c>
      <c r="C408" s="170"/>
      <c r="D408" s="201" t="s">
        <v>864</v>
      </c>
      <c r="E408" s="833">
        <f>'d3'!E408-d3П!E403</f>
        <v>0</v>
      </c>
      <c r="F408" s="833">
        <f>'d3'!F408-d3П!F403</f>
        <v>0</v>
      </c>
      <c r="G408" s="833">
        <f>'d3'!G408-d3П!G403</f>
        <v>0</v>
      </c>
      <c r="H408" s="833">
        <f>'d3'!H408-d3П!H403</f>
        <v>0</v>
      </c>
      <c r="I408" s="833">
        <f>'d3'!I408-d3П!I403</f>
        <v>0</v>
      </c>
      <c r="J408" s="833">
        <f>'d3'!J408-d3П!J403</f>
        <v>0</v>
      </c>
      <c r="K408" s="833">
        <f>'d3'!K408-d3П!K403</f>
        <v>0</v>
      </c>
      <c r="L408" s="833">
        <f>'d3'!L408-d3П!L403</f>
        <v>0</v>
      </c>
      <c r="M408" s="833">
        <f>'d3'!M408-d3П!M403</f>
        <v>0</v>
      </c>
      <c r="N408" s="833">
        <f>'d3'!N408-d3П!N403</f>
        <v>0</v>
      </c>
      <c r="O408" s="833">
        <f>'d3'!O408-d3П!O403</f>
        <v>0</v>
      </c>
      <c r="P408" s="833">
        <f>'d3'!P408-d3П!P403</f>
        <v>0</v>
      </c>
      <c r="Q408" s="22"/>
    </row>
    <row r="409" spans="1:18" ht="184.5" hidden="1" thickTop="1" thickBot="1" x14ac:dyDescent="0.25">
      <c r="A409" s="202">
        <v>3718880</v>
      </c>
      <c r="B409" s="202">
        <v>8880</v>
      </c>
      <c r="C409" s="174"/>
      <c r="D409" s="187" t="s">
        <v>1199</v>
      </c>
      <c r="E409" s="833">
        <f>'d3'!E409-d3П!E404</f>
        <v>0</v>
      </c>
      <c r="F409" s="833">
        <f>'d3'!F409-d3П!F404</f>
        <v>0</v>
      </c>
      <c r="G409" s="833">
        <f>'d3'!G409-d3П!G404</f>
        <v>0</v>
      </c>
      <c r="H409" s="833">
        <f>'d3'!H409-d3П!H404</f>
        <v>0</v>
      </c>
      <c r="I409" s="833">
        <f>'d3'!I409-d3П!I404</f>
        <v>0</v>
      </c>
      <c r="J409" s="833">
        <f>'d3'!J409-d3П!J404</f>
        <v>0</v>
      </c>
      <c r="K409" s="833">
        <f>'d3'!K409-d3П!K404</f>
        <v>0</v>
      </c>
      <c r="L409" s="833">
        <f>'d3'!L409-d3П!L404</f>
        <v>0</v>
      </c>
      <c r="M409" s="833">
        <f>'d3'!M409-d3П!M404</f>
        <v>0</v>
      </c>
      <c r="N409" s="833">
        <f>'d3'!N409-d3П!N404</f>
        <v>0</v>
      </c>
      <c r="O409" s="833">
        <f>'d3'!O409-d3П!O404</f>
        <v>0</v>
      </c>
      <c r="P409" s="833">
        <f>'d3'!P409-d3П!P404</f>
        <v>0</v>
      </c>
      <c r="Q409" s="22"/>
    </row>
    <row r="410" spans="1:18" ht="230.25" hidden="1" thickTop="1" thickBot="1" x14ac:dyDescent="0.25">
      <c r="A410" s="836">
        <v>3718881</v>
      </c>
      <c r="B410" s="836">
        <v>8881</v>
      </c>
      <c r="C410" s="836" t="s">
        <v>171</v>
      </c>
      <c r="D410" s="836" t="s">
        <v>1200</v>
      </c>
      <c r="E410" s="833">
        <f>'d3'!E410-d3П!E405</f>
        <v>0</v>
      </c>
      <c r="F410" s="833">
        <f>'d3'!F410-d3П!F405</f>
        <v>0</v>
      </c>
      <c r="G410" s="833">
        <f>'d3'!G410-d3П!G405</f>
        <v>0</v>
      </c>
      <c r="H410" s="833">
        <f>'d3'!H410-d3П!H405</f>
        <v>0</v>
      </c>
      <c r="I410" s="833">
        <f>'d3'!I410-d3П!I405</f>
        <v>0</v>
      </c>
      <c r="J410" s="833">
        <f>'d3'!J410-d3П!J405</f>
        <v>0</v>
      </c>
      <c r="K410" s="833">
        <f>'d3'!K410-d3П!K405</f>
        <v>0</v>
      </c>
      <c r="L410" s="833">
        <f>'d3'!L410-d3П!L405</f>
        <v>0</v>
      </c>
      <c r="M410" s="833">
        <f>'d3'!M410-d3П!M405</f>
        <v>0</v>
      </c>
      <c r="N410" s="833">
        <f>'d3'!N410-d3П!N405</f>
        <v>0</v>
      </c>
      <c r="O410" s="833">
        <f>'d3'!O410-d3П!O405</f>
        <v>0</v>
      </c>
      <c r="P410" s="833">
        <f>'d3'!P410-d3П!P405</f>
        <v>0</v>
      </c>
      <c r="Q410" s="22"/>
    </row>
    <row r="411" spans="1:18" ht="47.25" thickTop="1" thickBot="1" x14ac:dyDescent="0.25">
      <c r="A411" s="385" t="s">
        <v>857</v>
      </c>
      <c r="B411" s="385" t="s">
        <v>711</v>
      </c>
      <c r="C411" s="385"/>
      <c r="D411" s="385" t="s">
        <v>712</v>
      </c>
      <c r="E411" s="833">
        <f>'d3'!E411-d3П!E406</f>
        <v>0</v>
      </c>
      <c r="F411" s="833">
        <f>'d3'!F411-d3П!F406</f>
        <v>0</v>
      </c>
      <c r="G411" s="833">
        <f>'d3'!G411-d3П!G406</f>
        <v>0</v>
      </c>
      <c r="H411" s="833">
        <f>'d3'!H411-d3П!H406</f>
        <v>0</v>
      </c>
      <c r="I411" s="833">
        <f>'d3'!I411-d3П!I406</f>
        <v>0</v>
      </c>
      <c r="J411" s="833">
        <f>'d3'!J411-d3П!J406</f>
        <v>0</v>
      </c>
      <c r="K411" s="833">
        <f>'d3'!K411-d3П!K406</f>
        <v>0</v>
      </c>
      <c r="L411" s="833">
        <f>'d3'!L411-d3П!L406</f>
        <v>0</v>
      </c>
      <c r="M411" s="833">
        <f>'d3'!M411-d3П!M406</f>
        <v>0</v>
      </c>
      <c r="N411" s="833">
        <f>'d3'!N411-d3П!N406</f>
        <v>0</v>
      </c>
      <c r="O411" s="833">
        <f>'d3'!O411-d3П!O406</f>
        <v>0</v>
      </c>
      <c r="P411" s="833">
        <f>'d3'!P411-d3П!P406</f>
        <v>0</v>
      </c>
      <c r="Q411" s="22"/>
    </row>
    <row r="412" spans="1:18" ht="91.5" thickTop="1" thickBot="1" x14ac:dyDescent="0.25">
      <c r="A412" s="576">
        <v>3719100</v>
      </c>
      <c r="B412" s="387" t="s">
        <v>859</v>
      </c>
      <c r="C412" s="387"/>
      <c r="D412" s="387" t="s">
        <v>858</v>
      </c>
      <c r="E412" s="833">
        <f>'d3'!E412-d3П!E407</f>
        <v>0</v>
      </c>
      <c r="F412" s="833">
        <f>'d3'!F412-d3П!F407</f>
        <v>0</v>
      </c>
      <c r="G412" s="833">
        <f>'d3'!G412-d3П!G407</f>
        <v>0</v>
      </c>
      <c r="H412" s="833">
        <f>'d3'!H412-d3П!H407</f>
        <v>0</v>
      </c>
      <c r="I412" s="833">
        <f>'d3'!I412-d3П!I407</f>
        <v>0</v>
      </c>
      <c r="J412" s="833">
        <f>'d3'!J412-d3П!J407</f>
        <v>0</v>
      </c>
      <c r="K412" s="833">
        <f>'d3'!K412-d3П!K407</f>
        <v>0</v>
      </c>
      <c r="L412" s="833">
        <f>'d3'!L412-d3П!L407</f>
        <v>0</v>
      </c>
      <c r="M412" s="833">
        <f>'d3'!M412-d3П!M407</f>
        <v>0</v>
      </c>
      <c r="N412" s="833">
        <f>'d3'!N412-d3П!N407</f>
        <v>0</v>
      </c>
      <c r="O412" s="833">
        <f>'d3'!O412-d3П!O407</f>
        <v>0</v>
      </c>
      <c r="P412" s="833">
        <f>'d3'!P412-d3П!P407</f>
        <v>0</v>
      </c>
      <c r="Q412" s="22"/>
    </row>
    <row r="413" spans="1:18" ht="51" customHeight="1" thickTop="1" thickBot="1" x14ac:dyDescent="0.25">
      <c r="A413" s="457">
        <v>3719110</v>
      </c>
      <c r="B413" s="457">
        <v>9110</v>
      </c>
      <c r="C413" s="835" t="s">
        <v>43</v>
      </c>
      <c r="D413" s="470" t="s">
        <v>456</v>
      </c>
      <c r="E413" s="833">
        <f>'d3'!E413-d3П!E408</f>
        <v>0</v>
      </c>
      <c r="F413" s="833">
        <f>'d3'!F413-d3П!F408</f>
        <v>0</v>
      </c>
      <c r="G413" s="833">
        <f>'d3'!G413-d3П!G408</f>
        <v>0</v>
      </c>
      <c r="H413" s="833">
        <f>'d3'!H413-d3П!H408</f>
        <v>0</v>
      </c>
      <c r="I413" s="833">
        <f>'d3'!I413-d3П!I408</f>
        <v>0</v>
      </c>
      <c r="J413" s="833">
        <f>'d3'!J413-d3П!J408</f>
        <v>0</v>
      </c>
      <c r="K413" s="833">
        <f>'d3'!K413-d3П!K408</f>
        <v>0</v>
      </c>
      <c r="L413" s="833">
        <f>'d3'!L413-d3П!L408</f>
        <v>0</v>
      </c>
      <c r="M413" s="833">
        <f>'d3'!M413-d3П!M408</f>
        <v>0</v>
      </c>
      <c r="N413" s="833">
        <f>'d3'!N413-d3П!N408</f>
        <v>0</v>
      </c>
      <c r="O413" s="833">
        <f>'d3'!O413-d3П!O408</f>
        <v>0</v>
      </c>
      <c r="P413" s="833">
        <f>'d3'!P413-d3П!P408</f>
        <v>0</v>
      </c>
      <c r="Q413" s="22"/>
    </row>
    <row r="414" spans="1:18" ht="159.75" customHeight="1" thickTop="1" thickBot="1" x14ac:dyDescent="0.25">
      <c r="A414" s="648" t="s">
        <v>386</v>
      </c>
      <c r="B414" s="648" t="s">
        <v>386</v>
      </c>
      <c r="C414" s="648" t="s">
        <v>386</v>
      </c>
      <c r="D414" s="648" t="s">
        <v>396</v>
      </c>
      <c r="E414" s="649">
        <f t="shared" ref="E414:P414" si="96">E16+E46+E212+E101+E131+E190++E306+E331+E397+E359+E378+E388+E340+E274+E248</f>
        <v>166679104.82999983</v>
      </c>
      <c r="F414" s="649">
        <f t="shared" si="96"/>
        <v>166679104.82999983</v>
      </c>
      <c r="G414" s="649">
        <f t="shared" si="96"/>
        <v>570260.46999999881</v>
      </c>
      <c r="H414" s="649">
        <f t="shared" si="96"/>
        <v>623644.63999998476</v>
      </c>
      <c r="I414" s="649">
        <f t="shared" si="96"/>
        <v>0</v>
      </c>
      <c r="J414" s="649">
        <f t="shared" si="96"/>
        <v>384285364.81</v>
      </c>
      <c r="K414" s="649">
        <f t="shared" si="96"/>
        <v>383035364.81</v>
      </c>
      <c r="L414" s="649">
        <f t="shared" si="96"/>
        <v>1632942</v>
      </c>
      <c r="M414" s="649">
        <f t="shared" si="96"/>
        <v>509980</v>
      </c>
      <c r="N414" s="649">
        <f t="shared" si="96"/>
        <v>20000</v>
      </c>
      <c r="O414" s="649">
        <f t="shared" si="96"/>
        <v>382652422.81</v>
      </c>
      <c r="P414" s="649">
        <f t="shared" si="96"/>
        <v>550964469.63999987</v>
      </c>
      <c r="Q414" s="94" t="b">
        <f>P414=J414+E414</f>
        <v>1</v>
      </c>
    </row>
    <row r="415" spans="1:18" ht="47.25" thickTop="1" thickBot="1" x14ac:dyDescent="0.25">
      <c r="A415" s="884" t="s">
        <v>1359</v>
      </c>
      <c r="B415" s="885"/>
      <c r="C415" s="885"/>
      <c r="D415" s="885"/>
      <c r="E415" s="885"/>
      <c r="F415" s="885"/>
      <c r="G415" s="885"/>
      <c r="H415" s="885"/>
      <c r="I415" s="885"/>
      <c r="J415" s="885"/>
      <c r="K415" s="885"/>
      <c r="L415" s="885"/>
      <c r="M415" s="885"/>
      <c r="N415" s="885"/>
      <c r="O415" s="885"/>
      <c r="P415" s="885"/>
      <c r="Q415" s="98"/>
    </row>
    <row r="416" spans="1:18" ht="60.75" hidden="1" x14ac:dyDescent="0.2">
      <c r="A416" s="203"/>
      <c r="B416" s="204"/>
      <c r="C416" s="204"/>
      <c r="D416" s="204"/>
      <c r="E416" s="450">
        <f>F416</f>
        <v>4033218208.8000002</v>
      </c>
      <c r="F416" s="450">
        <f>(((((3042022336.28+630802893+8260086)-9359911-150000-4895000)+408547246.84-3366523)-1013222.5)+88281-36901152.46-451590-500000)+134764.64</f>
        <v>4033218208.8000002</v>
      </c>
      <c r="G416" s="450">
        <f>(((97820900+700442852+88293048+2636610+43398010+109636660+47666561+1669391+510343880+3045420)+13450+3532532)+840600)+72361.47</f>
        <v>1609412275.47</v>
      </c>
      <c r="H416" s="450">
        <f>((7110100+195613308+216098+5150735+74329+8494910+3165886+4570553+4601586)+142020.09+148400+52329.48)+134764.64</f>
        <v>229475019.20999998</v>
      </c>
      <c r="I416" s="450">
        <v>0</v>
      </c>
      <c r="J416" s="450">
        <f>((((411784702.72+'d2'!E37-'d4'!N17)+13686000+150000+4895000)+715534375.97+3366523)+36901152.46+451590+500000)+7200000</f>
        <v>1191379344.1500001</v>
      </c>
      <c r="K416" s="450">
        <f>((((411784702.72+'d2'!F37-'d4'!N17-2950700-1350000-188624447)+13686000+150000+4895000)+715534375.97-6350319-2606434-1286664.08+3366523)+36901152.46+451590+500000)+7200000</f>
        <v>988210780.07000005</v>
      </c>
      <c r="L416" s="450">
        <f>((3326700+171685130+2118642+1000000+640000+211210+9125775)+784434+6275319+506938.21+479725.87-50000)+127001</f>
        <v>196230875.08000001</v>
      </c>
      <c r="M416" s="450">
        <f>(39544820+350000+361000+5000+1072780+6635445)+1468040</f>
        <v>49437085</v>
      </c>
      <c r="N416" s="450">
        <f>(15551110+158000+55000+195110+383875+290560)+350000</f>
        <v>16983655</v>
      </c>
      <c r="O416" s="450">
        <f>((((411784702.72+'d2'!F37-'d4'!N17-188624447-2950700-1350000+(90000+122380+3445630+185680)+974000)+13686000+150000+4895000)+(715534375.97-6350319-2606434-1286664.08)+1822000+75000+300000+50000+3366523)+36901152.46-127001+451590+500000)+7200000</f>
        <v>995148469.07000005</v>
      </c>
      <c r="P416" s="450">
        <f>((((3453807039+'d2'!E37-'d4'!Q28+630802893+8260086)+16400+4309689)+1124081622.81)+88281)+7200000+134764.64</f>
        <v>5216669692.9499998</v>
      </c>
      <c r="Q416" s="94" t="b">
        <f>E416+J416=P416</f>
        <v>0</v>
      </c>
      <c r="R416" s="59"/>
    </row>
    <row r="417" spans="1:18" ht="75.75" hidden="1" customHeight="1" x14ac:dyDescent="0.65">
      <c r="A417" s="851"/>
      <c r="B417" s="852"/>
      <c r="C417" s="852"/>
      <c r="D417" s="3" t="s">
        <v>1388</v>
      </c>
      <c r="E417" s="400"/>
      <c r="F417" s="400"/>
      <c r="G417" s="756"/>
      <c r="H417" s="3"/>
      <c r="I417" s="2"/>
      <c r="J417" s="3"/>
      <c r="K417" s="3" t="s">
        <v>1467</v>
      </c>
      <c r="L417" s="85"/>
      <c r="M417" s="85"/>
      <c r="N417" s="85"/>
      <c r="O417" s="85"/>
      <c r="P417" s="85"/>
      <c r="Q417" s="98"/>
    </row>
    <row r="418" spans="1:18" ht="45.75" hidden="1" x14ac:dyDescent="0.65">
      <c r="A418" s="851"/>
      <c r="B418" s="852"/>
      <c r="C418" s="852"/>
      <c r="D418" s="928"/>
      <c r="E418" s="928"/>
      <c r="F418" s="928"/>
      <c r="G418" s="928"/>
      <c r="H418" s="928"/>
      <c r="I418" s="928"/>
      <c r="J418" s="928"/>
      <c r="K418" s="928"/>
      <c r="L418" s="928"/>
      <c r="M418" s="928"/>
      <c r="N418" s="928"/>
      <c r="O418" s="928"/>
      <c r="P418" s="928"/>
      <c r="Q418" s="98"/>
    </row>
    <row r="419" spans="1:18" ht="46.5" hidden="1" thickBot="1" x14ac:dyDescent="0.7">
      <c r="A419" s="851"/>
      <c r="B419" s="852"/>
      <c r="C419" s="852"/>
      <c r="D419" s="941" t="s">
        <v>529</v>
      </c>
      <c r="E419" s="942"/>
      <c r="F419" s="942"/>
      <c r="G419" s="757"/>
      <c r="H419" s="757"/>
      <c r="I419" s="85"/>
      <c r="J419" s="85"/>
      <c r="K419" s="3" t="s">
        <v>1465</v>
      </c>
      <c r="L419" s="85"/>
      <c r="M419" s="85"/>
      <c r="N419" s="85"/>
      <c r="O419" s="85"/>
      <c r="P419" s="85"/>
      <c r="Q419" s="98"/>
    </row>
    <row r="420" spans="1:18" ht="47.25" thickTop="1" thickBot="1" x14ac:dyDescent="0.7">
      <c r="A420" s="21"/>
      <c r="B420" s="21"/>
      <c r="C420" s="21"/>
      <c r="D420" s="886"/>
      <c r="E420" s="886"/>
      <c r="F420" s="886"/>
      <c r="G420" s="886"/>
      <c r="H420" s="886"/>
      <c r="I420" s="886"/>
      <c r="J420" s="886"/>
      <c r="K420" s="886"/>
      <c r="L420" s="886"/>
      <c r="M420" s="886"/>
      <c r="N420" s="886"/>
      <c r="O420" s="886"/>
      <c r="P420" s="886"/>
      <c r="Q420" s="99"/>
    </row>
    <row r="421" spans="1:18" ht="95.25" customHeight="1" thickTop="1" x14ac:dyDescent="0.55000000000000004">
      <c r="G421" s="61"/>
      <c r="H421" s="61"/>
      <c r="I421" s="107"/>
      <c r="J421" s="108"/>
      <c r="K421" s="108"/>
      <c r="L421" s="107"/>
      <c r="M421" s="107"/>
      <c r="N421" s="107"/>
      <c r="O421" s="107"/>
      <c r="P421" s="108"/>
      <c r="Q421" s="97"/>
    </row>
    <row r="422" spans="1:18" hidden="1" x14ac:dyDescent="0.2">
      <c r="E422" s="62"/>
      <c r="F422" s="63"/>
      <c r="G422" s="61"/>
      <c r="H422" s="61"/>
      <c r="I422" s="107"/>
      <c r="J422" s="109"/>
      <c r="K422" s="109"/>
      <c r="L422" s="107"/>
      <c r="M422" s="107"/>
      <c r="N422" s="107"/>
      <c r="O422" s="107"/>
      <c r="P422" s="108"/>
    </row>
    <row r="423" spans="1:18" hidden="1" x14ac:dyDescent="0.2">
      <c r="E423" s="62"/>
      <c r="F423" s="63"/>
      <c r="G423" s="61"/>
      <c r="H423" s="61"/>
      <c r="I423" s="107"/>
      <c r="J423" s="109"/>
      <c r="K423" s="109"/>
      <c r="L423" s="107"/>
      <c r="M423" s="107"/>
      <c r="N423" s="107"/>
      <c r="O423" s="107"/>
      <c r="P423" s="108"/>
    </row>
    <row r="424" spans="1:18" ht="60.75" x14ac:dyDescent="0.2">
      <c r="E424" s="94" t="b">
        <f>E416=E414</f>
        <v>0</v>
      </c>
      <c r="F424" s="94" t="b">
        <f>F416=F414</f>
        <v>0</v>
      </c>
      <c r="G424" s="94" t="b">
        <f>G416=G414</f>
        <v>0</v>
      </c>
      <c r="H424" s="94" t="b">
        <f t="shared" ref="H424:O424" si="97">H416=H414</f>
        <v>0</v>
      </c>
      <c r="I424" s="94" t="b">
        <f>I416=I414</f>
        <v>1</v>
      </c>
      <c r="J424" s="94" t="b">
        <f>J414=J416</f>
        <v>0</v>
      </c>
      <c r="K424" s="94" t="b">
        <f>K416=K414</f>
        <v>0</v>
      </c>
      <c r="L424" s="94" t="b">
        <f t="shared" si="97"/>
        <v>0</v>
      </c>
      <c r="M424" s="94" t="b">
        <f t="shared" si="97"/>
        <v>0</v>
      </c>
      <c r="N424" s="94" t="b">
        <f>N416=N414</f>
        <v>0</v>
      </c>
      <c r="O424" s="94" t="b">
        <f t="shared" si="97"/>
        <v>0</v>
      </c>
      <c r="P424" s="94" t="b">
        <f>P416=P414</f>
        <v>0</v>
      </c>
    </row>
    <row r="425" spans="1:18" ht="61.5" x14ac:dyDescent="0.2">
      <c r="E425" s="94" t="b">
        <f>E414=F414</f>
        <v>1</v>
      </c>
      <c r="F425" s="122">
        <f>F407/E414</f>
        <v>2.4322652825228785E-2</v>
      </c>
      <c r="G425" s="101"/>
      <c r="H425" s="102"/>
      <c r="I425" s="103"/>
      <c r="J425" s="94" t="b">
        <f>J416=L416+O416</f>
        <v>1</v>
      </c>
      <c r="K425" s="110"/>
      <c r="L425" s="94"/>
      <c r="M425" s="103"/>
      <c r="N425" s="103"/>
      <c r="O425" s="94"/>
      <c r="P425" s="94" t="b">
        <f>E414+J414=P414</f>
        <v>1</v>
      </c>
    </row>
    <row r="426" spans="1:18" ht="60.75" x14ac:dyDescent="0.2">
      <c r="E426" s="104"/>
      <c r="F426" s="105"/>
      <c r="G426" s="104"/>
      <c r="H426" s="106"/>
      <c r="I426" s="104"/>
      <c r="J426" s="62"/>
      <c r="K426" s="62"/>
    </row>
    <row r="427" spans="1:18" ht="61.5" x14ac:dyDescent="0.2">
      <c r="A427" s="118"/>
      <c r="B427" s="118"/>
      <c r="C427" s="118"/>
      <c r="D427" s="24"/>
      <c r="E427" s="40">
        <f>E414-E416</f>
        <v>-3866539103.9700003</v>
      </c>
      <c r="F427" s="122">
        <f>400000/E414</f>
        <v>2.3998209038137682E-3</v>
      </c>
      <c r="G427" s="101"/>
      <c r="H427" s="64"/>
      <c r="I427" s="24"/>
      <c r="J427" s="40">
        <f>J414-J416</f>
        <v>-807093979.34000015</v>
      </c>
      <c r="K427" s="40">
        <f>K414-K416</f>
        <v>-605175415.25999999</v>
      </c>
      <c r="L427" s="40"/>
      <c r="M427" s="40"/>
      <c r="N427" s="40"/>
      <c r="O427" s="40">
        <f>O414-O416</f>
        <v>-612496046.25999999</v>
      </c>
      <c r="P427" s="40"/>
    </row>
    <row r="428" spans="1:18" ht="61.5" x14ac:dyDescent="0.2">
      <c r="D428" s="24"/>
      <c r="E428" s="40"/>
      <c r="F428" s="66"/>
      <c r="G428" s="58"/>
      <c r="H428" s="64"/>
      <c r="I428" s="24"/>
      <c r="J428" s="40"/>
      <c r="K428" s="40"/>
      <c r="L428" s="67"/>
      <c r="P428" s="58"/>
      <c r="Q428" s="100"/>
      <c r="R428" s="68"/>
    </row>
    <row r="429" spans="1:18" ht="60.75" x14ac:dyDescent="0.2">
      <c r="A429" s="118"/>
      <c r="B429" s="118"/>
      <c r="C429" s="118"/>
      <c r="D429" s="24"/>
      <c r="E429" s="28"/>
      <c r="F429" s="28"/>
      <c r="G429" s="28"/>
      <c r="H429" s="28"/>
      <c r="I429" s="69"/>
      <c r="J429" s="28"/>
      <c r="K429" s="28"/>
      <c r="L429" s="28"/>
      <c r="M429" s="28"/>
      <c r="N429" s="28"/>
      <c r="O429" s="28"/>
      <c r="P429" s="28"/>
      <c r="Q429" s="100"/>
      <c r="R429" s="68"/>
    </row>
    <row r="430" spans="1:18" ht="60.75" x14ac:dyDescent="0.2">
      <c r="D430" s="24"/>
      <c r="E430" s="40"/>
      <c r="F430" s="70"/>
      <c r="G430" s="71"/>
      <c r="O430" s="58"/>
      <c r="P430" s="58"/>
    </row>
    <row r="431" spans="1:18" ht="60.75" x14ac:dyDescent="0.2">
      <c r="A431" s="118"/>
      <c r="B431" s="118"/>
      <c r="C431" s="118"/>
      <c r="D431" s="24"/>
      <c r="E431" s="40"/>
      <c r="F431" s="65"/>
      <c r="G431" s="67"/>
      <c r="I431" s="72"/>
      <c r="J431" s="62"/>
      <c r="K431" s="62"/>
      <c r="L431" s="118"/>
      <c r="M431" s="118"/>
      <c r="N431" s="118"/>
      <c r="O431" s="118"/>
      <c r="P431" s="58"/>
    </row>
    <row r="432" spans="1:18" ht="62.25" x14ac:dyDescent="0.8">
      <c r="A432" s="118"/>
      <c r="B432" s="118"/>
      <c r="C432" s="118"/>
      <c r="D432" s="118"/>
      <c r="E432" s="73"/>
      <c r="F432" s="65"/>
      <c r="J432" s="62"/>
      <c r="K432" s="62"/>
      <c r="L432" s="118"/>
      <c r="M432" s="118"/>
      <c r="N432" s="118"/>
      <c r="O432" s="118"/>
      <c r="P432" s="74"/>
    </row>
    <row r="433" spans="1:16" ht="45.75" x14ac:dyDescent="0.2">
      <c r="E433" s="75"/>
      <c r="F433" s="70"/>
    </row>
    <row r="434" spans="1:16" ht="45.75" x14ac:dyDescent="0.2">
      <c r="A434" s="118"/>
      <c r="B434" s="118"/>
      <c r="C434" s="118"/>
      <c r="D434" s="118"/>
      <c r="E434" s="73"/>
      <c r="F434" s="65"/>
      <c r="L434" s="118"/>
      <c r="M434" s="118"/>
      <c r="N434" s="118"/>
      <c r="O434" s="118"/>
      <c r="P434" s="118"/>
    </row>
    <row r="435" spans="1:16" ht="45.75" x14ac:dyDescent="0.2">
      <c r="E435" s="76"/>
      <c r="F435" s="70"/>
    </row>
    <row r="436" spans="1:16" ht="45.75" x14ac:dyDescent="0.2">
      <c r="E436" s="76"/>
      <c r="F436" s="70"/>
    </row>
    <row r="437" spans="1:16" ht="45.75" x14ac:dyDescent="0.2">
      <c r="E437" s="76"/>
      <c r="F437" s="70"/>
    </row>
    <row r="438" spans="1:16" ht="45.75" x14ac:dyDescent="0.2">
      <c r="A438" s="118"/>
      <c r="B438" s="118"/>
      <c r="C438" s="118"/>
      <c r="D438" s="118"/>
      <c r="E438" s="76"/>
      <c r="F438" s="70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</row>
    <row r="439" spans="1:16" ht="45.75" x14ac:dyDescent="0.2">
      <c r="A439" s="118"/>
      <c r="B439" s="118"/>
      <c r="C439" s="118"/>
      <c r="D439" s="118"/>
      <c r="E439" s="76"/>
      <c r="F439" s="70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</row>
    <row r="440" spans="1:16" ht="45.75" x14ac:dyDescent="0.2">
      <c r="A440" s="118"/>
      <c r="B440" s="118"/>
      <c r="C440" s="118"/>
      <c r="D440" s="118"/>
      <c r="E440" s="76"/>
      <c r="F440" s="70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</row>
    <row r="441" spans="1:16" ht="45.75" x14ac:dyDescent="0.2">
      <c r="A441" s="118"/>
      <c r="B441" s="118"/>
      <c r="C441" s="118"/>
      <c r="D441" s="118"/>
      <c r="E441" s="76"/>
      <c r="F441" s="70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</row>
  </sheetData>
  <mergeCells count="126"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M30:M31"/>
    <mergeCell ref="N30:N31"/>
    <mergeCell ref="O30:O31"/>
    <mergeCell ref="P30:P31"/>
    <mergeCell ref="O12:O13"/>
    <mergeCell ref="A30:A31"/>
    <mergeCell ref="B30:B31"/>
    <mergeCell ref="C30:C31"/>
    <mergeCell ref="E30:E31"/>
    <mergeCell ref="F30:F31"/>
    <mergeCell ref="G30:G31"/>
    <mergeCell ref="H30:H31"/>
    <mergeCell ref="I30:I31"/>
    <mergeCell ref="J30:J31"/>
    <mergeCell ref="A75:A76"/>
    <mergeCell ref="B75:B76"/>
    <mergeCell ref="C75:C76"/>
    <mergeCell ref="D75:D76"/>
    <mergeCell ref="A56:A57"/>
    <mergeCell ref="B56:B57"/>
    <mergeCell ref="C56:C57"/>
    <mergeCell ref="K30:K31"/>
    <mergeCell ref="L30:L31"/>
    <mergeCell ref="R162:R165"/>
    <mergeCell ref="A166:A168"/>
    <mergeCell ref="B166:B168"/>
    <mergeCell ref="C166:C168"/>
    <mergeCell ref="Q159:Q161"/>
    <mergeCell ref="R159:R161"/>
    <mergeCell ref="A162:A165"/>
    <mergeCell ref="B162:B165"/>
    <mergeCell ref="C162:C165"/>
    <mergeCell ref="A159:A161"/>
    <mergeCell ref="B159:B161"/>
    <mergeCell ref="C159:C161"/>
    <mergeCell ref="R169:R171"/>
    <mergeCell ref="A187:A188"/>
    <mergeCell ref="B187:B188"/>
    <mergeCell ref="C187:C188"/>
    <mergeCell ref="E187:E188"/>
    <mergeCell ref="F187:F188"/>
    <mergeCell ref="G187:G188"/>
    <mergeCell ref="R166:R168"/>
    <mergeCell ref="A169:A171"/>
    <mergeCell ref="B169:B171"/>
    <mergeCell ref="C169:C171"/>
    <mergeCell ref="N187:N188"/>
    <mergeCell ref="O187:O188"/>
    <mergeCell ref="P187:P188"/>
    <mergeCell ref="A268:A269"/>
    <mergeCell ref="B268:B269"/>
    <mergeCell ref="C268:C269"/>
    <mergeCell ref="E268:E269"/>
    <mergeCell ref="F268:F269"/>
    <mergeCell ref="G268:G269"/>
    <mergeCell ref="H268:H269"/>
    <mergeCell ref="H187:H188"/>
    <mergeCell ref="I187:I188"/>
    <mergeCell ref="J187:J188"/>
    <mergeCell ref="K187:K188"/>
    <mergeCell ref="L187:L188"/>
    <mergeCell ref="M187:M188"/>
    <mergeCell ref="O268:O269"/>
    <mergeCell ref="P268:P269"/>
    <mergeCell ref="A297:A298"/>
    <mergeCell ref="B297:B298"/>
    <mergeCell ref="C297:C298"/>
    <mergeCell ref="E297:E298"/>
    <mergeCell ref="F297:F298"/>
    <mergeCell ref="G297:G298"/>
    <mergeCell ref="H297:H298"/>
    <mergeCell ref="I297:I298"/>
    <mergeCell ref="I268:I269"/>
    <mergeCell ref="J268:J269"/>
    <mergeCell ref="K268:K269"/>
    <mergeCell ref="L268:L269"/>
    <mergeCell ref="M268:M269"/>
    <mergeCell ref="N268:N269"/>
    <mergeCell ref="P297:P298"/>
    <mergeCell ref="A327:A328"/>
    <mergeCell ref="B327:B328"/>
    <mergeCell ref="C327:C328"/>
    <mergeCell ref="E327:E328"/>
    <mergeCell ref="F327:F328"/>
    <mergeCell ref="G327:G328"/>
    <mergeCell ref="H327:H328"/>
    <mergeCell ref="I327:I328"/>
    <mergeCell ref="J327:J328"/>
    <mergeCell ref="J297:J298"/>
    <mergeCell ref="K297:K298"/>
    <mergeCell ref="L297:L298"/>
    <mergeCell ref="M297:M298"/>
    <mergeCell ref="N297:N298"/>
    <mergeCell ref="O297:O298"/>
    <mergeCell ref="A415:P415"/>
    <mergeCell ref="D418:P418"/>
    <mergeCell ref="D419:F419"/>
    <mergeCell ref="D420:P420"/>
    <mergeCell ref="K327:K328"/>
    <mergeCell ref="L327:L328"/>
    <mergeCell ref="M327:M328"/>
    <mergeCell ref="N327:N328"/>
    <mergeCell ref="O327:O328"/>
    <mergeCell ref="P327:P328"/>
  </mergeCells>
  <conditionalFormatting sqref="Q397:Q398 Q400:R404 R399:S399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90:R392 Q388:R389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98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40:Q341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40:R341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31:R332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31:Q338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R333:R33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78:R379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66:R376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Q384:Q386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9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9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9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95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80:R383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78:Q383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42:Q357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R342:R357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59:R365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topLeftCell="A35" zoomScale="115" zoomScaleSheetLayoutView="115" workbookViewId="0">
      <selection activeCell="B52" sqref="B52:E52"/>
    </sheetView>
  </sheetViews>
  <sheetFormatPr defaultColWidth="9.140625" defaultRowHeight="12.75" x14ac:dyDescent="0.2"/>
  <cols>
    <col min="1" max="1" width="9.7109375" style="125" customWidth="1"/>
    <col min="2" max="3" width="22.140625" style="125" customWidth="1"/>
    <col min="4" max="4" width="15.5703125" style="125" customWidth="1"/>
    <col min="5" max="5" width="15.28515625" style="125" customWidth="1"/>
    <col min="6" max="6" width="15.42578125" style="125" customWidth="1"/>
    <col min="7" max="7" width="15.140625" style="125" customWidth="1"/>
    <col min="8" max="8" width="16.42578125" style="125" customWidth="1"/>
    <col min="9" max="9" width="8.28515625" style="125" customWidth="1"/>
    <col min="10" max="10" width="9.140625" style="125"/>
    <col min="11" max="11" width="9.7109375" style="125" customWidth="1"/>
    <col min="12" max="12" width="9.140625" style="125"/>
    <col min="13" max="13" width="8.140625" style="125" customWidth="1"/>
    <col min="14" max="16384" width="9.140625" style="125"/>
  </cols>
  <sheetData>
    <row r="1" spans="1:17" x14ac:dyDescent="0.2">
      <c r="A1" s="376"/>
      <c r="B1" s="376"/>
      <c r="C1" s="376"/>
      <c r="D1" s="376"/>
      <c r="E1" s="376"/>
      <c r="F1" s="421" t="s">
        <v>115</v>
      </c>
    </row>
    <row r="2" spans="1:17" x14ac:dyDescent="0.2">
      <c r="A2" s="376"/>
      <c r="B2" s="376"/>
      <c r="C2" s="376"/>
      <c r="D2" s="376"/>
      <c r="E2" s="376"/>
      <c r="F2" s="421" t="s">
        <v>978</v>
      </c>
    </row>
    <row r="3" spans="1:17" x14ac:dyDescent="0.2">
      <c r="A3" s="376"/>
      <c r="B3" s="376"/>
      <c r="C3" s="376"/>
      <c r="D3" s="376"/>
      <c r="E3" s="376"/>
      <c r="F3" s="421" t="s">
        <v>1392</v>
      </c>
    </row>
    <row r="4" spans="1:17" x14ac:dyDescent="0.2">
      <c r="A4" s="376"/>
      <c r="B4" s="376"/>
      <c r="C4" s="376"/>
      <c r="D4" s="376"/>
      <c r="E4" s="376"/>
      <c r="F4" s="376"/>
    </row>
    <row r="5" spans="1:17" ht="18.75" x14ac:dyDescent="0.2">
      <c r="A5" s="874" t="s">
        <v>578</v>
      </c>
      <c r="B5" s="874"/>
      <c r="C5" s="874"/>
      <c r="D5" s="874"/>
      <c r="E5" s="874"/>
      <c r="F5" s="874"/>
    </row>
    <row r="6" spans="1:17" ht="18.75" x14ac:dyDescent="0.2">
      <c r="A6" s="874" t="s">
        <v>1314</v>
      </c>
      <c r="B6" s="874"/>
      <c r="C6" s="874"/>
      <c r="D6" s="874"/>
      <c r="E6" s="874"/>
      <c r="F6" s="874"/>
    </row>
    <row r="7" spans="1:17" ht="18.75" x14ac:dyDescent="0.2">
      <c r="A7" s="422"/>
      <c r="B7" s="422"/>
      <c r="C7" s="422"/>
      <c r="D7" s="422"/>
      <c r="E7" s="422"/>
      <c r="F7" s="422"/>
    </row>
    <row r="8" spans="1:17" x14ac:dyDescent="0.2">
      <c r="A8" s="875">
        <v>2256400000</v>
      </c>
      <c r="B8" s="876"/>
      <c r="C8" s="877"/>
      <c r="D8" s="877"/>
      <c r="E8" s="877"/>
      <c r="F8" s="877"/>
      <c r="G8" s="22"/>
    </row>
    <row r="9" spans="1:17" ht="15" customHeight="1" x14ac:dyDescent="0.2">
      <c r="A9" s="878" t="s">
        <v>495</v>
      </c>
      <c r="B9" s="879"/>
      <c r="C9" s="877"/>
      <c r="D9" s="877"/>
      <c r="E9" s="877"/>
      <c r="F9" s="877"/>
      <c r="G9" s="22"/>
    </row>
    <row r="10" spans="1:17" ht="13.5" thickBot="1" x14ac:dyDescent="0.25">
      <c r="A10" s="423"/>
      <c r="B10" s="423"/>
      <c r="C10" s="424"/>
      <c r="D10" s="424"/>
      <c r="E10" s="424"/>
      <c r="F10" s="425" t="s">
        <v>409</v>
      </c>
      <c r="G10" s="22"/>
    </row>
    <row r="11" spans="1:17" ht="14.25" thickTop="1" thickBot="1" x14ac:dyDescent="0.25">
      <c r="A11" s="880" t="s">
        <v>57</v>
      </c>
      <c r="B11" s="880" t="s">
        <v>383</v>
      </c>
      <c r="C11" s="880" t="s">
        <v>388</v>
      </c>
      <c r="D11" s="880" t="s">
        <v>12</v>
      </c>
      <c r="E11" s="880" t="s">
        <v>52</v>
      </c>
      <c r="F11" s="880"/>
      <c r="G11" s="22"/>
    </row>
    <row r="12" spans="1:17" ht="35.450000000000003" customHeight="1" thickTop="1" thickBot="1" x14ac:dyDescent="0.25">
      <c r="A12" s="880"/>
      <c r="B12" s="880"/>
      <c r="C12" s="880"/>
      <c r="D12" s="881"/>
      <c r="E12" s="426" t="s">
        <v>389</v>
      </c>
      <c r="F12" s="426" t="s">
        <v>390</v>
      </c>
      <c r="G12" s="22"/>
    </row>
    <row r="13" spans="1:17" ht="14.25" thickTop="1" thickBot="1" x14ac:dyDescent="0.25">
      <c r="A13" s="427">
        <v>1</v>
      </c>
      <c r="B13" s="427">
        <v>2</v>
      </c>
      <c r="C13" s="427">
        <v>3</v>
      </c>
      <c r="D13" s="427">
        <v>4</v>
      </c>
      <c r="E13" s="427">
        <v>5</v>
      </c>
      <c r="F13" s="427">
        <v>6</v>
      </c>
      <c r="G13" s="22"/>
    </row>
    <row r="14" spans="1:17" ht="30.75" customHeight="1" thickTop="1" thickBot="1" x14ac:dyDescent="0.25">
      <c r="A14" s="882" t="s">
        <v>384</v>
      </c>
      <c r="B14" s="882"/>
      <c r="C14" s="883"/>
      <c r="D14" s="883"/>
      <c r="E14" s="883"/>
      <c r="F14" s="883"/>
      <c r="G14" s="22"/>
    </row>
    <row r="15" spans="1:17" ht="14.25" thickTop="1" thickBot="1" x14ac:dyDescent="0.25">
      <c r="A15" s="591" t="s">
        <v>116</v>
      </c>
      <c r="B15" s="631" t="s">
        <v>117</v>
      </c>
      <c r="C15" s="591">
        <f>C16+C20</f>
        <v>1102151603.8099999</v>
      </c>
      <c r="D15" s="591">
        <f>D16+D20</f>
        <v>-239465929.65000057</v>
      </c>
      <c r="E15" s="591">
        <f>E16+E20</f>
        <v>1341617533.4600005</v>
      </c>
      <c r="F15" s="591">
        <f>F16+F20</f>
        <v>1336724435.3800006</v>
      </c>
      <c r="G15" s="769">
        <f>E15-F15</f>
        <v>4893098.0799999237</v>
      </c>
      <c r="H15" s="151"/>
      <c r="I15" s="151"/>
      <c r="J15" s="151"/>
      <c r="K15" s="151"/>
      <c r="L15" s="151"/>
      <c r="M15" s="151"/>
      <c r="N15" s="151"/>
      <c r="O15" s="151"/>
      <c r="P15" s="151"/>
      <c r="Q15" s="151"/>
    </row>
    <row r="16" spans="1:17" ht="42" hidden="1" thickTop="1" thickBot="1" x14ac:dyDescent="0.25">
      <c r="A16" s="595">
        <v>202000</v>
      </c>
      <c r="B16" s="596" t="s">
        <v>984</v>
      </c>
      <c r="C16" s="597">
        <f t="shared" ref="C16:C17" si="0">SUM(D16,E16)</f>
        <v>0</v>
      </c>
      <c r="D16" s="597">
        <f t="shared" ref="D16" si="1">D17</f>
        <v>0</v>
      </c>
      <c r="E16" s="597">
        <f>E17</f>
        <v>0</v>
      </c>
      <c r="F16" s="597">
        <f t="shared" ref="F16" si="2">F17</f>
        <v>0</v>
      </c>
      <c r="G16" s="769"/>
      <c r="H16" s="151"/>
      <c r="I16" s="151"/>
      <c r="J16" s="151"/>
      <c r="K16" s="151"/>
      <c r="L16" s="151"/>
      <c r="M16" s="151"/>
      <c r="N16" s="151"/>
      <c r="O16" s="151"/>
      <c r="P16" s="151"/>
      <c r="Q16" s="151"/>
    </row>
    <row r="17" spans="1:17" ht="27" hidden="1" thickTop="1" thickBot="1" x14ac:dyDescent="0.25">
      <c r="A17" s="589">
        <v>202200</v>
      </c>
      <c r="B17" s="590" t="s">
        <v>986</v>
      </c>
      <c r="C17" s="591">
        <f t="shared" si="0"/>
        <v>0</v>
      </c>
      <c r="D17" s="591">
        <f>SUM(D18:D19)</f>
        <v>0</v>
      </c>
      <c r="E17" s="591">
        <f>SUM(E18:E19)</f>
        <v>0</v>
      </c>
      <c r="F17" s="591">
        <f>SUM(F18:F19)</f>
        <v>0</v>
      </c>
      <c r="G17" s="769"/>
      <c r="H17" s="151"/>
      <c r="I17" s="151"/>
      <c r="J17" s="151"/>
      <c r="K17" s="151"/>
      <c r="L17" s="151"/>
      <c r="M17" s="151"/>
      <c r="N17" s="151"/>
      <c r="O17" s="151"/>
      <c r="P17" s="151"/>
      <c r="Q17" s="151"/>
    </row>
    <row r="18" spans="1:17" ht="14.25" hidden="1" thickTop="1" thickBot="1" x14ac:dyDescent="0.25">
      <c r="A18" s="592">
        <v>202210</v>
      </c>
      <c r="B18" s="593" t="s">
        <v>985</v>
      </c>
      <c r="C18" s="594">
        <f>SUM(D18,E18)</f>
        <v>0</v>
      </c>
      <c r="D18" s="591"/>
      <c r="E18" s="594">
        <v>0</v>
      </c>
      <c r="F18" s="594">
        <v>0</v>
      </c>
      <c r="G18" s="769"/>
      <c r="H18" s="151"/>
      <c r="I18" s="151"/>
      <c r="J18" s="151"/>
      <c r="K18" s="151"/>
      <c r="L18" s="151"/>
      <c r="M18" s="151"/>
      <c r="N18" s="151"/>
      <c r="O18" s="151"/>
      <c r="P18" s="151"/>
      <c r="Q18" s="151"/>
    </row>
    <row r="19" spans="1:17" ht="14.25" hidden="1" thickTop="1" thickBot="1" x14ac:dyDescent="0.25">
      <c r="A19" s="592">
        <v>202220</v>
      </c>
      <c r="B19" s="593" t="s">
        <v>364</v>
      </c>
      <c r="C19" s="594">
        <f>SUM(D19,E19)</f>
        <v>0</v>
      </c>
      <c r="D19" s="591"/>
      <c r="E19" s="594">
        <v>0</v>
      </c>
      <c r="F19" s="594">
        <v>0</v>
      </c>
      <c r="G19" s="769"/>
      <c r="H19" s="151"/>
      <c r="I19" s="151"/>
      <c r="J19" s="151"/>
      <c r="K19" s="151"/>
      <c r="L19" s="151"/>
      <c r="M19" s="151"/>
      <c r="N19" s="151"/>
      <c r="O19" s="151"/>
      <c r="P19" s="151"/>
      <c r="Q19" s="151"/>
    </row>
    <row r="20" spans="1:17" ht="42" thickTop="1" thickBot="1" x14ac:dyDescent="0.25">
      <c r="A20" s="595">
        <v>208000</v>
      </c>
      <c r="B20" s="632" t="s">
        <v>988</v>
      </c>
      <c r="C20" s="597">
        <f>C21+C24+C22</f>
        <v>1102151603.8099999</v>
      </c>
      <c r="D20" s="597">
        <f>D21+D24+D22</f>
        <v>-239465929.65000057</v>
      </c>
      <c r="E20" s="597">
        <f>E21+E24+E22</f>
        <v>1341617533.4600005</v>
      </c>
      <c r="F20" s="597">
        <f>F21+F24+F22</f>
        <v>1336724435.3800006</v>
      </c>
      <c r="G20" s="770">
        <f>E20-F20</f>
        <v>4893098.0799999237</v>
      </c>
      <c r="H20" s="151"/>
      <c r="I20" s="151"/>
      <c r="J20" s="151"/>
      <c r="K20" s="151"/>
      <c r="L20" s="151"/>
      <c r="M20" s="151"/>
      <c r="N20" s="151"/>
      <c r="O20" s="151"/>
      <c r="P20" s="151"/>
      <c r="Q20" s="151"/>
    </row>
    <row r="21" spans="1:17" ht="15" thickTop="1" thickBot="1" x14ac:dyDescent="0.25">
      <c r="A21" s="595" t="s">
        <v>118</v>
      </c>
      <c r="B21" s="596" t="s">
        <v>119</v>
      </c>
      <c r="C21" s="597">
        <f>SUM(D21,E21)</f>
        <v>1102151603.8099999</v>
      </c>
      <c r="D21" s="597">
        <v>1089100053.98</v>
      </c>
      <c r="E21" s="597">
        <f>(12051549.83)+1000000</f>
        <v>13051549.83</v>
      </c>
      <c r="F21" s="597">
        <v>8158451.75</v>
      </c>
      <c r="G21" s="770"/>
      <c r="H21" s="151"/>
      <c r="I21" s="151"/>
      <c r="J21" s="151"/>
      <c r="K21" s="151"/>
      <c r="L21" s="151"/>
      <c r="M21" s="151"/>
      <c r="N21" s="151"/>
      <c r="O21" s="151"/>
      <c r="P21" s="151"/>
      <c r="Q21" s="151"/>
    </row>
    <row r="22" spans="1:17" ht="15" hidden="1" thickTop="1" thickBot="1" x14ac:dyDescent="0.25">
      <c r="A22" s="633">
        <v>208300</v>
      </c>
      <c r="B22" s="634" t="s">
        <v>991</v>
      </c>
      <c r="C22" s="635">
        <f>SUM(D22,E22)</f>
        <v>0</v>
      </c>
      <c r="D22" s="597">
        <f>D23</f>
        <v>0</v>
      </c>
      <c r="E22" s="597">
        <f>E23</f>
        <v>0</v>
      </c>
      <c r="F22" s="597">
        <f>F23</f>
        <v>0</v>
      </c>
      <c r="G22" s="769"/>
      <c r="H22" s="151"/>
      <c r="I22" s="151"/>
      <c r="J22" s="151"/>
      <c r="K22" s="151"/>
      <c r="L22" s="151"/>
      <c r="M22" s="151"/>
      <c r="N22" s="151"/>
      <c r="O22" s="151"/>
      <c r="P22" s="151"/>
      <c r="Q22" s="151"/>
    </row>
    <row r="23" spans="1:17" ht="52.5" hidden="1" thickTop="1" thickBot="1" x14ac:dyDescent="0.25">
      <c r="A23" s="636">
        <v>208330</v>
      </c>
      <c r="B23" s="637" t="s">
        <v>992</v>
      </c>
      <c r="C23" s="635">
        <f>SUM(D23,E23)</f>
        <v>0</v>
      </c>
      <c r="D23" s="594"/>
      <c r="E23" s="594">
        <f>-D23</f>
        <v>0</v>
      </c>
      <c r="F23" s="594">
        <f>E23</f>
        <v>0</v>
      </c>
      <c r="G23" s="769"/>
      <c r="H23" s="151"/>
      <c r="I23" s="151"/>
      <c r="J23" s="151"/>
      <c r="K23" s="151"/>
      <c r="L23" s="151"/>
      <c r="M23" s="151"/>
      <c r="N23" s="151"/>
      <c r="O23" s="151"/>
      <c r="P23" s="151"/>
      <c r="Q23" s="151"/>
    </row>
    <row r="24" spans="1:17" ht="55.5" thickTop="1" thickBot="1" x14ac:dyDescent="0.25">
      <c r="A24" s="595">
        <v>208400</v>
      </c>
      <c r="B24" s="596" t="s">
        <v>120</v>
      </c>
      <c r="C24" s="597">
        <f>SUM(D24,E24)</f>
        <v>0</v>
      </c>
      <c r="D24" s="597">
        <f>'d3'!E414-'d1'!D143+'d4'!N28-D21</f>
        <v>-1328565983.6300006</v>
      </c>
      <c r="E24" s="597">
        <f>-D24</f>
        <v>1328565983.6300006</v>
      </c>
      <c r="F24" s="597">
        <f>E24</f>
        <v>1328565983.6300006</v>
      </c>
      <c r="G24" s="770" t="b">
        <f>E24=('d3'!J414+'d4'!O28)-('d1'!E143+E25+E21)</f>
        <v>1</v>
      </c>
      <c r="H24" s="151"/>
      <c r="I24" s="151"/>
      <c r="J24" s="151"/>
      <c r="K24" s="151"/>
      <c r="L24" s="151"/>
      <c r="M24" s="151"/>
      <c r="N24" s="151"/>
      <c r="O24" s="151"/>
      <c r="P24" s="151"/>
      <c r="Q24" s="151"/>
    </row>
    <row r="25" spans="1:17" ht="14.25" thickTop="1" thickBot="1" x14ac:dyDescent="0.25">
      <c r="A25" s="589">
        <v>300000</v>
      </c>
      <c r="B25" s="590" t="s">
        <v>361</v>
      </c>
      <c r="C25" s="591">
        <f>C26</f>
        <v>11750000</v>
      </c>
      <c r="D25" s="591">
        <f>D26</f>
        <v>0</v>
      </c>
      <c r="E25" s="591">
        <f>E26</f>
        <v>11750000</v>
      </c>
      <c r="F25" s="591">
        <f>F26</f>
        <v>11750000</v>
      </c>
      <c r="G25" s="150"/>
      <c r="H25" s="151"/>
      <c r="I25" s="151"/>
      <c r="J25" s="151"/>
      <c r="K25" s="151"/>
      <c r="L25" s="151"/>
      <c r="M25" s="151"/>
      <c r="N25" s="151"/>
      <c r="O25" s="151"/>
      <c r="P25" s="151"/>
      <c r="Q25" s="151"/>
    </row>
    <row r="26" spans="1:17" ht="42" thickTop="1" thickBot="1" x14ac:dyDescent="0.25">
      <c r="A26" s="595">
        <v>301000</v>
      </c>
      <c r="B26" s="596" t="s">
        <v>362</v>
      </c>
      <c r="C26" s="597">
        <f>C27+C28</f>
        <v>11750000</v>
      </c>
      <c r="D26" s="597">
        <f>D27+D28</f>
        <v>0</v>
      </c>
      <c r="E26" s="597">
        <f>E27+E28</f>
        <v>11750000</v>
      </c>
      <c r="F26" s="597">
        <f>F27+F28</f>
        <v>11750000</v>
      </c>
      <c r="G26" s="150"/>
      <c r="H26" s="151"/>
      <c r="I26" s="151"/>
      <c r="J26" s="151"/>
      <c r="K26" s="151"/>
      <c r="L26" s="151"/>
      <c r="M26" s="151"/>
      <c r="N26" s="151"/>
      <c r="O26" s="151"/>
      <c r="P26" s="151"/>
      <c r="Q26" s="151"/>
    </row>
    <row r="27" spans="1:17" ht="14.25" thickTop="1" thickBot="1" x14ac:dyDescent="0.25">
      <c r="A27" s="592">
        <v>301100</v>
      </c>
      <c r="B27" s="593" t="s">
        <v>363</v>
      </c>
      <c r="C27" s="594">
        <f>SUM(D27,E27)</f>
        <v>14450000</v>
      </c>
      <c r="D27" s="594"/>
      <c r="E27" s="594">
        <v>14450000</v>
      </c>
      <c r="F27" s="594">
        <v>14450000</v>
      </c>
      <c r="G27" s="150"/>
      <c r="H27" s="151"/>
      <c r="I27" s="151"/>
      <c r="J27" s="151"/>
      <c r="K27" s="151"/>
      <c r="L27" s="151"/>
      <c r="M27" s="151"/>
      <c r="N27" s="151"/>
      <c r="O27" s="151"/>
      <c r="P27" s="151"/>
      <c r="Q27" s="151"/>
    </row>
    <row r="28" spans="1:17" ht="14.25" thickTop="1" thickBot="1" x14ac:dyDescent="0.25">
      <c r="A28" s="592">
        <v>301200</v>
      </c>
      <c r="B28" s="593" t="s">
        <v>364</v>
      </c>
      <c r="C28" s="594">
        <f>SUM(D28,E28)</f>
        <v>-2700000</v>
      </c>
      <c r="D28" s="594"/>
      <c r="E28" s="594">
        <v>-2700000</v>
      </c>
      <c r="F28" s="594">
        <v>-2700000</v>
      </c>
      <c r="G28" s="150"/>
      <c r="H28" s="151"/>
      <c r="I28" s="151"/>
      <c r="J28" s="151"/>
      <c r="K28" s="151"/>
      <c r="L28" s="151"/>
      <c r="M28" s="151"/>
      <c r="N28" s="151"/>
      <c r="O28" s="151"/>
      <c r="P28" s="151"/>
      <c r="Q28" s="151"/>
    </row>
    <row r="29" spans="1:17" ht="24" customHeight="1" thickTop="1" thickBot="1" x14ac:dyDescent="0.25">
      <c r="A29" s="655" t="s">
        <v>386</v>
      </c>
      <c r="B29" s="656" t="s">
        <v>385</v>
      </c>
      <c r="C29" s="657">
        <f>C15+C25</f>
        <v>1113901603.8099999</v>
      </c>
      <c r="D29" s="657">
        <f>D15+D25</f>
        <v>-239465929.65000057</v>
      </c>
      <c r="E29" s="657">
        <f>E15+E25</f>
        <v>1353367533.4600005</v>
      </c>
      <c r="F29" s="657">
        <f>F15+F25</f>
        <v>1348474435.3800006</v>
      </c>
      <c r="G29" s="150"/>
      <c r="H29" s="151"/>
      <c r="I29" s="151"/>
      <c r="J29" s="151"/>
      <c r="K29" s="151"/>
      <c r="L29" s="151"/>
      <c r="M29" s="151"/>
      <c r="N29" s="151"/>
      <c r="O29" s="151"/>
      <c r="P29" s="151"/>
      <c r="Q29" s="151"/>
    </row>
    <row r="30" spans="1:17" ht="35.450000000000003" customHeight="1" thickTop="1" thickBot="1" x14ac:dyDescent="0.25">
      <c r="A30" s="882" t="s">
        <v>387</v>
      </c>
      <c r="B30" s="882"/>
      <c r="C30" s="883"/>
      <c r="D30" s="883"/>
      <c r="E30" s="883"/>
      <c r="F30" s="883"/>
      <c r="G30" s="150"/>
      <c r="H30" s="151"/>
      <c r="I30" s="151"/>
      <c r="J30" s="151"/>
      <c r="K30" s="151"/>
      <c r="L30" s="151"/>
      <c r="M30" s="151"/>
      <c r="N30" s="151"/>
      <c r="O30" s="151"/>
      <c r="P30" s="151"/>
      <c r="Q30" s="151"/>
    </row>
    <row r="31" spans="1:17" ht="27" thickTop="1" thickBot="1" x14ac:dyDescent="0.25">
      <c r="A31" s="589">
        <v>400000</v>
      </c>
      <c r="B31" s="590" t="s">
        <v>121</v>
      </c>
      <c r="C31" s="591">
        <f>C32+C37</f>
        <v>11750000</v>
      </c>
      <c r="D31" s="591">
        <f>D32+D37</f>
        <v>0</v>
      </c>
      <c r="E31" s="591">
        <f>E32+E37</f>
        <v>11750000</v>
      </c>
      <c r="F31" s="591">
        <f>F32+F37</f>
        <v>11750000</v>
      </c>
      <c r="G31" s="150"/>
      <c r="H31" s="151"/>
      <c r="I31" s="151"/>
      <c r="J31" s="151"/>
      <c r="K31" s="151"/>
      <c r="L31" s="151"/>
      <c r="M31" s="151"/>
      <c r="N31" s="151"/>
      <c r="O31" s="151"/>
      <c r="P31" s="151"/>
      <c r="Q31" s="151"/>
    </row>
    <row r="32" spans="1:17" ht="15" thickTop="1" thickBot="1" x14ac:dyDescent="0.25">
      <c r="A32" s="595">
        <v>401000</v>
      </c>
      <c r="B32" s="596" t="s">
        <v>122</v>
      </c>
      <c r="C32" s="597">
        <f>C33+C35</f>
        <v>14450000</v>
      </c>
      <c r="D32" s="597">
        <f>D33+D35</f>
        <v>0</v>
      </c>
      <c r="E32" s="597">
        <f>E33+E35</f>
        <v>14450000</v>
      </c>
      <c r="F32" s="597">
        <f>F33+F35</f>
        <v>14450000</v>
      </c>
      <c r="G32" s="150"/>
      <c r="H32" s="151"/>
      <c r="I32" s="151"/>
      <c r="J32" s="151"/>
      <c r="K32" s="151"/>
      <c r="L32" s="151"/>
      <c r="M32" s="151"/>
      <c r="N32" s="151"/>
      <c r="O32" s="151"/>
      <c r="P32" s="151"/>
      <c r="Q32" s="151"/>
    </row>
    <row r="33" spans="1:17" ht="14.25" hidden="1" thickTop="1" thickBot="1" x14ac:dyDescent="0.25">
      <c r="A33" s="598">
        <v>401100</v>
      </c>
      <c r="B33" s="599" t="s">
        <v>987</v>
      </c>
      <c r="C33" s="600">
        <f>C34</f>
        <v>0</v>
      </c>
      <c r="D33" s="600">
        <f>D34</f>
        <v>0</v>
      </c>
      <c r="E33" s="600">
        <f>E34</f>
        <v>0</v>
      </c>
      <c r="F33" s="600">
        <f>F34</f>
        <v>0</v>
      </c>
      <c r="G33" s="150"/>
      <c r="H33" s="151"/>
      <c r="I33" s="151"/>
      <c r="J33" s="151"/>
      <c r="K33" s="151"/>
      <c r="L33" s="151"/>
      <c r="M33" s="151"/>
      <c r="N33" s="151"/>
      <c r="O33" s="151"/>
      <c r="P33" s="151"/>
      <c r="Q33" s="151"/>
    </row>
    <row r="34" spans="1:17" ht="27" hidden="1" thickTop="1" thickBot="1" x14ac:dyDescent="0.25">
      <c r="A34" s="592">
        <v>401101</v>
      </c>
      <c r="B34" s="593" t="s">
        <v>982</v>
      </c>
      <c r="C34" s="594">
        <f>SUM(D34,E34)</f>
        <v>0</v>
      </c>
      <c r="D34" s="591"/>
      <c r="E34" s="594">
        <v>0</v>
      </c>
      <c r="F34" s="594">
        <v>0</v>
      </c>
      <c r="G34" s="150"/>
      <c r="H34" s="151"/>
      <c r="I34" s="151"/>
      <c r="J34" s="151"/>
      <c r="K34" s="151"/>
      <c r="L34" s="151"/>
      <c r="M34" s="151"/>
      <c r="N34" s="151"/>
      <c r="O34" s="151"/>
      <c r="P34" s="151"/>
      <c r="Q34" s="151"/>
    </row>
    <row r="35" spans="1:17" s="4" customFormat="1" ht="14.25" thickTop="1" thickBot="1" x14ac:dyDescent="0.25">
      <c r="A35" s="598">
        <v>401200</v>
      </c>
      <c r="B35" s="599" t="s">
        <v>365</v>
      </c>
      <c r="C35" s="600">
        <f>SUM(D35,E35)</f>
        <v>14450000</v>
      </c>
      <c r="D35" s="600"/>
      <c r="E35" s="600">
        <f>E36</f>
        <v>14450000</v>
      </c>
      <c r="F35" s="600">
        <f>F36</f>
        <v>14450000</v>
      </c>
      <c r="G35" s="155"/>
      <c r="H35" s="156"/>
      <c r="I35" s="156"/>
      <c r="J35" s="156"/>
      <c r="K35" s="156"/>
      <c r="L35" s="156"/>
      <c r="M35" s="156"/>
      <c r="N35" s="156"/>
      <c r="O35" s="156"/>
      <c r="P35" s="156"/>
      <c r="Q35" s="156"/>
    </row>
    <row r="36" spans="1:17" ht="27" thickTop="1" thickBot="1" x14ac:dyDescent="0.25">
      <c r="A36" s="592">
        <v>401201</v>
      </c>
      <c r="B36" s="593" t="s">
        <v>982</v>
      </c>
      <c r="C36" s="594">
        <f>SUM(D36,E36)</f>
        <v>14450000</v>
      </c>
      <c r="D36" s="591"/>
      <c r="E36" s="594">
        <v>14450000</v>
      </c>
      <c r="F36" s="594">
        <v>14450000</v>
      </c>
      <c r="G36" s="150"/>
      <c r="H36" s="151"/>
      <c r="I36" s="151"/>
      <c r="J36" s="151"/>
      <c r="K36" s="151"/>
      <c r="L36" s="151"/>
      <c r="M36" s="151"/>
      <c r="N36" s="151"/>
      <c r="O36" s="151"/>
      <c r="P36" s="151"/>
      <c r="Q36" s="151"/>
    </row>
    <row r="37" spans="1:17" s="4" customFormat="1" ht="15" thickTop="1" thickBot="1" x14ac:dyDescent="0.25">
      <c r="A37" s="595">
        <v>402000</v>
      </c>
      <c r="B37" s="596" t="s">
        <v>366</v>
      </c>
      <c r="C37" s="597">
        <f>C40+C38</f>
        <v>-2700000</v>
      </c>
      <c r="D37" s="597">
        <f>D40+D38</f>
        <v>0</v>
      </c>
      <c r="E37" s="597">
        <f>E40+E38</f>
        <v>-2700000</v>
      </c>
      <c r="F37" s="597">
        <f>F40+F38</f>
        <v>-2700000</v>
      </c>
      <c r="G37" s="155"/>
      <c r="H37" s="156"/>
      <c r="I37" s="156"/>
      <c r="J37" s="156"/>
      <c r="K37" s="156"/>
      <c r="L37" s="156"/>
      <c r="M37" s="156"/>
      <c r="N37" s="156"/>
      <c r="O37" s="156"/>
      <c r="P37" s="156"/>
      <c r="Q37" s="156"/>
    </row>
    <row r="38" spans="1:17" s="4" customFormat="1" ht="27" hidden="1" thickTop="1" thickBot="1" x14ac:dyDescent="0.25">
      <c r="A38" s="598">
        <v>402100</v>
      </c>
      <c r="B38" s="599" t="s">
        <v>1044</v>
      </c>
      <c r="C38" s="600">
        <f>C39</f>
        <v>0</v>
      </c>
      <c r="D38" s="600">
        <f>D39</f>
        <v>0</v>
      </c>
      <c r="E38" s="600">
        <f>E39</f>
        <v>0</v>
      </c>
      <c r="F38" s="600">
        <f>F39</f>
        <v>0</v>
      </c>
      <c r="G38" s="155"/>
      <c r="H38" s="156"/>
      <c r="I38" s="156"/>
      <c r="J38" s="156"/>
      <c r="K38" s="156"/>
      <c r="L38" s="156"/>
      <c r="M38" s="156"/>
      <c r="N38" s="156"/>
      <c r="O38" s="156"/>
      <c r="P38" s="156"/>
      <c r="Q38" s="156"/>
    </row>
    <row r="39" spans="1:17" s="4" customFormat="1" ht="27" hidden="1" thickTop="1" thickBot="1" x14ac:dyDescent="0.25">
      <c r="A39" s="592">
        <v>402101</v>
      </c>
      <c r="B39" s="593" t="s">
        <v>982</v>
      </c>
      <c r="C39" s="594">
        <f>SUM(D39,E39)</f>
        <v>0</v>
      </c>
      <c r="D39" s="591"/>
      <c r="E39" s="594">
        <v>0</v>
      </c>
      <c r="F39" s="594">
        <v>0</v>
      </c>
      <c r="G39" s="155"/>
      <c r="H39" s="156"/>
      <c r="I39" s="156"/>
      <c r="J39" s="156"/>
      <c r="K39" s="156"/>
      <c r="L39" s="156"/>
      <c r="M39" s="156"/>
      <c r="N39" s="156"/>
      <c r="O39" s="156"/>
      <c r="P39" s="156"/>
      <c r="Q39" s="156"/>
    </row>
    <row r="40" spans="1:17" s="4" customFormat="1" ht="14.25" thickTop="1" thickBot="1" x14ac:dyDescent="0.25">
      <c r="A40" s="598">
        <v>402200</v>
      </c>
      <c r="B40" s="599" t="s">
        <v>981</v>
      </c>
      <c r="C40" s="600">
        <f>SUM(C41,C42)</f>
        <v>-2700000</v>
      </c>
      <c r="D40" s="600"/>
      <c r="E40" s="600">
        <f>SUM(E41,E42)</f>
        <v>-2700000</v>
      </c>
      <c r="F40" s="600">
        <f>SUM(F41,F42)</f>
        <v>-2700000</v>
      </c>
      <c r="G40" s="155"/>
      <c r="H40" s="156"/>
      <c r="I40" s="156"/>
      <c r="J40" s="156"/>
      <c r="K40" s="156"/>
      <c r="L40" s="156"/>
      <c r="M40" s="156"/>
      <c r="N40" s="156"/>
      <c r="O40" s="156"/>
      <c r="P40" s="156"/>
      <c r="Q40" s="156"/>
    </row>
    <row r="41" spans="1:17" s="4" customFormat="1" ht="27" thickTop="1" thickBot="1" x14ac:dyDescent="0.25">
      <c r="A41" s="592">
        <v>402201</v>
      </c>
      <c r="B41" s="593" t="s">
        <v>982</v>
      </c>
      <c r="C41" s="594">
        <f>SUM(D41,E41)</f>
        <v>-2700000</v>
      </c>
      <c r="D41" s="591"/>
      <c r="E41" s="594">
        <v>-2700000</v>
      </c>
      <c r="F41" s="594">
        <v>-2700000</v>
      </c>
      <c r="G41" s="155"/>
      <c r="H41" s="156"/>
      <c r="I41" s="156"/>
      <c r="J41" s="156"/>
      <c r="K41" s="156"/>
      <c r="L41" s="156"/>
      <c r="M41" s="156"/>
      <c r="N41" s="156"/>
      <c r="O41" s="156"/>
      <c r="P41" s="156"/>
      <c r="Q41" s="156"/>
    </row>
    <row r="42" spans="1:17" ht="27" hidden="1" thickTop="1" thickBot="1" x14ac:dyDescent="0.25">
      <c r="A42" s="152">
        <v>402202</v>
      </c>
      <c r="B42" s="153" t="s">
        <v>983</v>
      </c>
      <c r="C42" s="154">
        <f>SUM(D42,E42)</f>
        <v>0</v>
      </c>
      <c r="D42" s="715"/>
      <c r="E42" s="716">
        <v>0</v>
      </c>
      <c r="F42" s="154">
        <v>0</v>
      </c>
      <c r="G42" s="150"/>
      <c r="H42" s="151"/>
      <c r="I42" s="151"/>
      <c r="J42" s="151"/>
      <c r="K42" s="151"/>
      <c r="L42" s="151"/>
      <c r="M42" s="151"/>
      <c r="N42" s="151"/>
      <c r="O42" s="151"/>
      <c r="P42" s="151"/>
      <c r="Q42" s="151"/>
    </row>
    <row r="43" spans="1:17" ht="27" thickTop="1" thickBot="1" x14ac:dyDescent="0.25">
      <c r="A43" s="589" t="s">
        <v>123</v>
      </c>
      <c r="B43" s="590" t="s">
        <v>124</v>
      </c>
      <c r="C43" s="591">
        <f>C44</f>
        <v>1102151603.8099999</v>
      </c>
      <c r="D43" s="591">
        <f>D44</f>
        <v>-239465929.65000057</v>
      </c>
      <c r="E43" s="591">
        <f>E44</f>
        <v>1341617533.4600005</v>
      </c>
      <c r="F43" s="591">
        <f t="shared" ref="F43" si="3">F44</f>
        <v>1336724435.3800006</v>
      </c>
      <c r="G43" s="150"/>
      <c r="H43" s="151"/>
      <c r="I43" s="151"/>
      <c r="J43" s="151"/>
      <c r="K43" s="151"/>
      <c r="L43" s="151"/>
      <c r="M43" s="151"/>
      <c r="N43" s="151"/>
      <c r="O43" s="151"/>
      <c r="P43" s="151"/>
      <c r="Q43" s="151"/>
    </row>
    <row r="44" spans="1:17" ht="28.5" thickTop="1" thickBot="1" x14ac:dyDescent="0.25">
      <c r="A44" s="595">
        <v>602000</v>
      </c>
      <c r="B44" s="596" t="s">
        <v>989</v>
      </c>
      <c r="C44" s="597">
        <f>C45+C48+C46</f>
        <v>1102151603.8099999</v>
      </c>
      <c r="D44" s="597">
        <f>D45+D48+D46</f>
        <v>-239465929.65000057</v>
      </c>
      <c r="E44" s="597">
        <f>E45+E48+E46</f>
        <v>1341617533.4600005</v>
      </c>
      <c r="F44" s="597">
        <f>F45+F48+F46</f>
        <v>1336724435.3800006</v>
      </c>
      <c r="G44" s="150"/>
      <c r="H44" s="151"/>
      <c r="I44" s="151"/>
      <c r="J44" s="151"/>
      <c r="K44" s="151"/>
      <c r="L44" s="151"/>
      <c r="M44" s="151"/>
      <c r="N44" s="151"/>
      <c r="O44" s="151"/>
      <c r="P44" s="151"/>
      <c r="Q44" s="151"/>
    </row>
    <row r="45" spans="1:17" ht="14.25" thickTop="1" thickBot="1" x14ac:dyDescent="0.25">
      <c r="A45" s="598">
        <v>602100</v>
      </c>
      <c r="B45" s="599" t="s">
        <v>990</v>
      </c>
      <c r="C45" s="600">
        <f>SUM(D45,E45)</f>
        <v>1102151603.8099999</v>
      </c>
      <c r="D45" s="600">
        <f>D21</f>
        <v>1089100053.98</v>
      </c>
      <c r="E45" s="600">
        <f>E21</f>
        <v>13051549.83</v>
      </c>
      <c r="F45" s="600">
        <f>F21</f>
        <v>8158451.75</v>
      </c>
      <c r="G45" s="150"/>
      <c r="H45" s="151"/>
      <c r="I45" s="151"/>
      <c r="J45" s="151"/>
      <c r="K45" s="151"/>
      <c r="L45" s="151"/>
      <c r="M45" s="151"/>
      <c r="N45" s="151"/>
      <c r="O45" s="151"/>
      <c r="P45" s="151"/>
      <c r="Q45" s="151"/>
    </row>
    <row r="46" spans="1:17" ht="14.25" hidden="1" thickTop="1" thickBot="1" x14ac:dyDescent="0.25">
      <c r="A46" s="598">
        <v>602300</v>
      </c>
      <c r="B46" s="599" t="s">
        <v>991</v>
      </c>
      <c r="C46" s="600">
        <f>SUM(D46,E46)</f>
        <v>0</v>
      </c>
      <c r="D46" s="600">
        <f>D47</f>
        <v>0</v>
      </c>
      <c r="E46" s="600">
        <f>E47</f>
        <v>0</v>
      </c>
      <c r="F46" s="600">
        <f>E46</f>
        <v>0</v>
      </c>
      <c r="G46" s="150"/>
      <c r="H46" s="151"/>
      <c r="I46" s="151"/>
      <c r="J46" s="151"/>
      <c r="K46" s="151"/>
      <c r="L46" s="151"/>
      <c r="M46" s="151"/>
      <c r="N46" s="151"/>
      <c r="O46" s="151"/>
      <c r="P46" s="151"/>
      <c r="Q46" s="151"/>
    </row>
    <row r="47" spans="1:17" ht="52.5" hidden="1" thickTop="1" thickBot="1" x14ac:dyDescent="0.25">
      <c r="A47" s="592">
        <v>602303</v>
      </c>
      <c r="B47" s="593" t="s">
        <v>992</v>
      </c>
      <c r="C47" s="594">
        <f>SUM(D47,E47)</f>
        <v>0</v>
      </c>
      <c r="D47" s="594"/>
      <c r="E47" s="594">
        <f>-D47</f>
        <v>0</v>
      </c>
      <c r="F47" s="594">
        <f>E47</f>
        <v>0</v>
      </c>
      <c r="G47" s="150"/>
      <c r="H47" s="151"/>
      <c r="I47" s="151"/>
      <c r="J47" s="151"/>
      <c r="K47" s="151"/>
      <c r="L47" s="151"/>
      <c r="M47" s="151"/>
      <c r="N47" s="151"/>
      <c r="O47" s="151"/>
      <c r="P47" s="151"/>
      <c r="Q47" s="151"/>
    </row>
    <row r="48" spans="1:17" ht="52.5" thickTop="1" thickBot="1" x14ac:dyDescent="0.25">
      <c r="A48" s="598">
        <v>602400</v>
      </c>
      <c r="B48" s="599" t="s">
        <v>120</v>
      </c>
      <c r="C48" s="600">
        <f>SUM(D48,E48)</f>
        <v>0</v>
      </c>
      <c r="D48" s="600">
        <f>D24</f>
        <v>-1328565983.6300006</v>
      </c>
      <c r="E48" s="600">
        <f>E24</f>
        <v>1328565983.6300006</v>
      </c>
      <c r="F48" s="600">
        <f>F24</f>
        <v>1328565983.6300006</v>
      </c>
      <c r="G48" s="150"/>
      <c r="H48" s="151"/>
      <c r="I48" s="151"/>
      <c r="J48" s="151"/>
      <c r="K48" s="151"/>
      <c r="L48" s="151"/>
      <c r="M48" s="151"/>
      <c r="N48" s="151"/>
      <c r="O48" s="151"/>
      <c r="P48" s="151"/>
      <c r="Q48" s="151"/>
    </row>
    <row r="49" spans="1:17" ht="30" customHeight="1" thickTop="1" thickBot="1" x14ac:dyDescent="0.25">
      <c r="A49" s="655" t="s">
        <v>386</v>
      </c>
      <c r="B49" s="656" t="s">
        <v>385</v>
      </c>
      <c r="C49" s="657">
        <f>C31+C43</f>
        <v>1113901603.8099999</v>
      </c>
      <c r="D49" s="657">
        <f>D31+D43</f>
        <v>-239465929.65000057</v>
      </c>
      <c r="E49" s="657">
        <f>E31+E43</f>
        <v>1353367533.4600005</v>
      </c>
      <c r="F49" s="657">
        <f>F31+F43</f>
        <v>1348474435.3800006</v>
      </c>
      <c r="G49" s="150"/>
      <c r="H49" s="151"/>
      <c r="I49" s="151"/>
      <c r="J49" s="151"/>
      <c r="K49" s="151"/>
      <c r="L49" s="151"/>
      <c r="M49" s="151"/>
      <c r="N49" s="151"/>
      <c r="O49" s="151"/>
      <c r="P49" s="151"/>
      <c r="Q49" s="151"/>
    </row>
    <row r="50" spans="1:17" ht="13.5" thickTop="1" x14ac:dyDescent="0.2">
      <c r="A50" s="157"/>
      <c r="B50" s="157"/>
      <c r="C50" s="157"/>
      <c r="D50" s="157"/>
      <c r="E50" s="157"/>
      <c r="F50" s="157"/>
      <c r="G50" s="157"/>
      <c r="H50" s="157"/>
      <c r="I50" s="157"/>
    </row>
    <row r="51" spans="1:17" ht="45.75" hidden="1" x14ac:dyDescent="0.65">
      <c r="A51" s="157"/>
      <c r="B51" s="871"/>
      <c r="C51" s="871"/>
      <c r="D51" s="871"/>
      <c r="E51" s="871"/>
      <c r="F51" s="871"/>
      <c r="G51" s="871"/>
      <c r="H51" s="871"/>
      <c r="I51" s="871"/>
      <c r="J51" s="871"/>
      <c r="K51" s="871"/>
      <c r="L51" s="871"/>
      <c r="M51" s="871"/>
      <c r="N51" s="871"/>
      <c r="O51" s="871"/>
    </row>
    <row r="52" spans="1:17" ht="16.5" customHeight="1" x14ac:dyDescent="0.65">
      <c r="A52" s="157"/>
      <c r="B52" s="1075" t="s">
        <v>1558</v>
      </c>
      <c r="C52" s="376"/>
      <c r="D52" s="376"/>
      <c r="E52" s="16" t="s">
        <v>1559</v>
      </c>
      <c r="F52" s="16"/>
      <c r="G52" s="158"/>
      <c r="H52" s="158"/>
      <c r="I52" s="158"/>
      <c r="J52" s="158"/>
      <c r="K52" s="158"/>
      <c r="L52" s="158"/>
      <c r="M52" s="158"/>
      <c r="N52" s="158"/>
      <c r="O52" s="158"/>
    </row>
    <row r="53" spans="1:17" ht="15.75" hidden="1" x14ac:dyDescent="0.25">
      <c r="A53" s="157"/>
      <c r="B53" s="872" t="s">
        <v>529</v>
      </c>
      <c r="C53" s="872"/>
      <c r="D53" s="873"/>
      <c r="E53" s="573" t="s">
        <v>530</v>
      </c>
      <c r="F53" s="573"/>
      <c r="G53" s="157"/>
      <c r="H53" s="157"/>
      <c r="I53" s="157"/>
    </row>
    <row r="54" spans="1:17" ht="15.75" x14ac:dyDescent="0.25">
      <c r="A54" s="157"/>
      <c r="B54" s="574"/>
      <c r="C54" s="574"/>
      <c r="D54" s="575"/>
      <c r="E54" s="573"/>
      <c r="F54" s="573"/>
      <c r="G54" s="157"/>
      <c r="H54" s="157"/>
      <c r="I54" s="157"/>
    </row>
    <row r="55" spans="1:17" ht="15.75" x14ac:dyDescent="0.25">
      <c r="B55" s="869" t="s">
        <v>529</v>
      </c>
      <c r="C55" s="870"/>
      <c r="D55" s="870"/>
      <c r="E55" s="1" t="s">
        <v>1465</v>
      </c>
      <c r="F55" s="1"/>
    </row>
  </sheetData>
  <mergeCells count="14">
    <mergeCell ref="B55:D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1"/>
  <sheetViews>
    <sheetView tabSelected="1" view="pageBreakPreview" zoomScale="25" zoomScaleNormal="25" zoomScaleSheetLayoutView="25" zoomScalePageLayoutView="10" workbookViewId="0">
      <pane ySplit="14" topLeftCell="A136" activePane="bottomLeft" state="frozen"/>
      <selection activeCell="F35" sqref="F35"/>
      <selection pane="bottomLeft" activeCell="F138" sqref="F138"/>
    </sheetView>
  </sheetViews>
  <sheetFormatPr defaultColWidth="9.140625" defaultRowHeight="12.75" x14ac:dyDescent="0.2"/>
  <cols>
    <col min="1" max="1" width="48" style="20" customWidth="1"/>
    <col min="2" max="2" width="52.5703125" style="20" customWidth="1"/>
    <col min="3" max="3" width="65.7109375" style="20" customWidth="1"/>
    <col min="4" max="4" width="106.28515625" style="20" customWidth="1"/>
    <col min="5" max="5" width="66.42578125" style="60" customWidth="1"/>
    <col min="6" max="6" width="62.5703125" style="20" customWidth="1"/>
    <col min="7" max="7" width="59.7109375" style="20" customWidth="1"/>
    <col min="8" max="8" width="53.140625" style="20" customWidth="1"/>
    <col min="9" max="9" width="41.85546875" style="20" customWidth="1"/>
    <col min="10" max="10" width="50.5703125" style="60" customWidth="1"/>
    <col min="11" max="11" width="52.5703125" style="60" customWidth="1"/>
    <col min="12" max="12" width="56.140625" style="20" customWidth="1"/>
    <col min="13" max="13" width="54.85546875" style="20" customWidth="1"/>
    <col min="14" max="14" width="51" style="20" customWidth="1"/>
    <col min="15" max="15" width="56.140625" style="20" bestFit="1" customWidth="1"/>
    <col min="16" max="16" width="86.28515625" style="60" customWidth="1"/>
    <col min="17" max="17" width="52.140625" style="96" customWidth="1"/>
    <col min="18" max="18" width="33.85546875" style="22" customWidth="1"/>
    <col min="19" max="19" width="40.140625" style="23" bestFit="1" customWidth="1"/>
    <col min="20" max="20" width="43.5703125" style="23" bestFit="1" customWidth="1"/>
    <col min="21" max="16384" width="9.140625" style="23"/>
  </cols>
  <sheetData>
    <row r="1" spans="1:18" ht="45.75" x14ac:dyDescent="0.2">
      <c r="A1" s="81"/>
      <c r="B1" s="81"/>
      <c r="C1" s="81"/>
      <c r="D1" s="82"/>
      <c r="E1" s="83"/>
      <c r="F1" s="84"/>
      <c r="G1" s="83"/>
      <c r="H1" s="83"/>
      <c r="I1" s="83"/>
      <c r="J1" s="83"/>
      <c r="K1" s="83"/>
      <c r="L1" s="83"/>
      <c r="M1" s="83"/>
      <c r="N1" s="902" t="s">
        <v>498</v>
      </c>
      <c r="O1" s="903"/>
      <c r="P1" s="903"/>
      <c r="Q1" s="903"/>
    </row>
    <row r="2" spans="1:18" ht="45.75" x14ac:dyDescent="0.2">
      <c r="A2" s="82"/>
      <c r="B2" s="82"/>
      <c r="C2" s="82"/>
      <c r="D2" s="82"/>
      <c r="E2" s="83"/>
      <c r="F2" s="84"/>
      <c r="G2" s="83"/>
      <c r="H2" s="83"/>
      <c r="I2" s="83"/>
      <c r="J2" s="83"/>
      <c r="K2" s="83"/>
      <c r="L2" s="83"/>
      <c r="M2" s="83"/>
      <c r="N2" s="902" t="s">
        <v>1393</v>
      </c>
      <c r="O2" s="904"/>
      <c r="P2" s="904"/>
      <c r="Q2" s="904"/>
    </row>
    <row r="3" spans="1:18" ht="40.700000000000003" customHeight="1" x14ac:dyDescent="0.2">
      <c r="A3" s="417"/>
      <c r="B3" s="417"/>
      <c r="C3" s="417"/>
      <c r="D3" s="417"/>
      <c r="E3" s="418"/>
      <c r="F3" s="416"/>
      <c r="G3" s="418"/>
      <c r="H3" s="418"/>
      <c r="I3" s="418"/>
      <c r="J3" s="418"/>
      <c r="K3" s="418"/>
      <c r="L3" s="418"/>
      <c r="M3" s="418"/>
      <c r="N3" s="418"/>
      <c r="O3" s="902"/>
      <c r="P3" s="905"/>
      <c r="Q3" s="95"/>
    </row>
    <row r="4" spans="1:18" ht="45.75" hidden="1" x14ac:dyDescent="0.2">
      <c r="A4" s="417"/>
      <c r="B4" s="417"/>
      <c r="C4" s="417"/>
      <c r="D4" s="417"/>
      <c r="E4" s="418"/>
      <c r="F4" s="416"/>
      <c r="G4" s="418"/>
      <c r="H4" s="418"/>
      <c r="I4" s="418"/>
      <c r="J4" s="418"/>
      <c r="K4" s="418"/>
      <c r="L4" s="418"/>
      <c r="M4" s="418"/>
      <c r="N4" s="418"/>
      <c r="O4" s="417"/>
      <c r="P4" s="416"/>
      <c r="Q4" s="95"/>
    </row>
    <row r="5" spans="1:18" ht="45" x14ac:dyDescent="0.2">
      <c r="A5" s="906" t="s">
        <v>571</v>
      </c>
      <c r="B5" s="906"/>
      <c r="C5" s="906"/>
      <c r="D5" s="906"/>
      <c r="E5" s="906"/>
      <c r="F5" s="906"/>
      <c r="G5" s="906"/>
      <c r="H5" s="906"/>
      <c r="I5" s="906"/>
      <c r="J5" s="906"/>
      <c r="K5" s="906"/>
      <c r="L5" s="906"/>
      <c r="M5" s="906"/>
      <c r="N5" s="906"/>
      <c r="O5" s="906"/>
      <c r="P5" s="906"/>
      <c r="Q5" s="95"/>
    </row>
    <row r="6" spans="1:18" ht="45" x14ac:dyDescent="0.2">
      <c r="A6" s="906" t="s">
        <v>1313</v>
      </c>
      <c r="B6" s="906"/>
      <c r="C6" s="906"/>
      <c r="D6" s="906"/>
      <c r="E6" s="906"/>
      <c r="F6" s="906"/>
      <c r="G6" s="906"/>
      <c r="H6" s="906"/>
      <c r="I6" s="906"/>
      <c r="J6" s="906"/>
      <c r="K6" s="906"/>
      <c r="L6" s="906"/>
      <c r="M6" s="906"/>
      <c r="N6" s="906"/>
      <c r="O6" s="906"/>
      <c r="P6" s="906"/>
      <c r="Q6" s="95"/>
    </row>
    <row r="7" spans="1:18" ht="45" x14ac:dyDescent="0.2">
      <c r="A7" s="418"/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95"/>
    </row>
    <row r="8" spans="1:18" ht="45.75" x14ac:dyDescent="0.65">
      <c r="A8" s="907">
        <v>2256400000</v>
      </c>
      <c r="B8" s="90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15"/>
    </row>
    <row r="9" spans="1:18" ht="45.75" x14ac:dyDescent="0.2">
      <c r="A9" s="912" t="s">
        <v>495</v>
      </c>
      <c r="B9" s="913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15"/>
    </row>
    <row r="10" spans="1:18" ht="53.45" customHeight="1" thickBot="1" x14ac:dyDescent="0.25">
      <c r="A10" s="418"/>
      <c r="B10" s="418"/>
      <c r="C10" s="418"/>
      <c r="D10" s="418"/>
      <c r="E10" s="418"/>
      <c r="F10" s="416"/>
      <c r="G10" s="418"/>
      <c r="H10" s="418"/>
      <c r="I10" s="418"/>
      <c r="J10" s="418"/>
      <c r="K10" s="418"/>
      <c r="L10" s="418"/>
      <c r="M10" s="418"/>
      <c r="N10" s="418"/>
      <c r="O10" s="418"/>
      <c r="P10" s="395" t="s">
        <v>409</v>
      </c>
      <c r="Q10" s="15"/>
    </row>
    <row r="11" spans="1:18" ht="62.45" customHeight="1" thickTop="1" thickBot="1" x14ac:dyDescent="0.25">
      <c r="A11" s="911" t="s">
        <v>496</v>
      </c>
      <c r="B11" s="911" t="s">
        <v>497</v>
      </c>
      <c r="C11" s="911" t="s">
        <v>395</v>
      </c>
      <c r="D11" s="911" t="s">
        <v>579</v>
      </c>
      <c r="E11" s="909" t="s">
        <v>12</v>
      </c>
      <c r="F11" s="909"/>
      <c r="G11" s="909"/>
      <c r="H11" s="909"/>
      <c r="I11" s="909"/>
      <c r="J11" s="909" t="s">
        <v>52</v>
      </c>
      <c r="K11" s="909"/>
      <c r="L11" s="909"/>
      <c r="M11" s="909"/>
      <c r="N11" s="909"/>
      <c r="O11" s="910"/>
      <c r="P11" s="909" t="s">
        <v>11</v>
      </c>
      <c r="Q11" s="22"/>
    </row>
    <row r="12" spans="1:18" ht="96" customHeight="1" thickTop="1" thickBot="1" x14ac:dyDescent="0.25">
      <c r="A12" s="909"/>
      <c r="B12" s="914"/>
      <c r="C12" s="914"/>
      <c r="D12" s="909"/>
      <c r="E12" s="911" t="s">
        <v>389</v>
      </c>
      <c r="F12" s="911" t="s">
        <v>53</v>
      </c>
      <c r="G12" s="911" t="s">
        <v>13</v>
      </c>
      <c r="H12" s="911"/>
      <c r="I12" s="911" t="s">
        <v>55</v>
      </c>
      <c r="J12" s="911" t="s">
        <v>389</v>
      </c>
      <c r="K12" s="911" t="s">
        <v>390</v>
      </c>
      <c r="L12" s="911" t="s">
        <v>53</v>
      </c>
      <c r="M12" s="911" t="s">
        <v>13</v>
      </c>
      <c r="N12" s="911"/>
      <c r="O12" s="911" t="s">
        <v>55</v>
      </c>
      <c r="P12" s="909"/>
      <c r="Q12" s="22"/>
    </row>
    <row r="13" spans="1:18" ht="328.7" customHeight="1" thickTop="1" thickBot="1" x14ac:dyDescent="0.25">
      <c r="A13" s="914"/>
      <c r="B13" s="914"/>
      <c r="C13" s="914"/>
      <c r="D13" s="914"/>
      <c r="E13" s="911"/>
      <c r="F13" s="911"/>
      <c r="G13" s="396" t="s">
        <v>54</v>
      </c>
      <c r="H13" s="396" t="s">
        <v>15</v>
      </c>
      <c r="I13" s="911"/>
      <c r="J13" s="911"/>
      <c r="K13" s="911"/>
      <c r="L13" s="911"/>
      <c r="M13" s="396" t="s">
        <v>54</v>
      </c>
      <c r="N13" s="396" t="s">
        <v>15</v>
      </c>
      <c r="O13" s="911"/>
      <c r="P13" s="909"/>
      <c r="Q13" s="22"/>
    </row>
    <row r="14" spans="1:18" s="26" customFormat="1" ht="47.25" thickTop="1" thickBot="1" x14ac:dyDescent="0.25">
      <c r="A14" s="385" t="s">
        <v>2</v>
      </c>
      <c r="B14" s="385" t="s">
        <v>3</v>
      </c>
      <c r="C14" s="385" t="s">
        <v>14</v>
      </c>
      <c r="D14" s="385" t="s">
        <v>5</v>
      </c>
      <c r="E14" s="385" t="s">
        <v>397</v>
      </c>
      <c r="F14" s="385" t="s">
        <v>398</v>
      </c>
      <c r="G14" s="385" t="s">
        <v>399</v>
      </c>
      <c r="H14" s="385" t="s">
        <v>400</v>
      </c>
      <c r="I14" s="385" t="s">
        <v>401</v>
      </c>
      <c r="J14" s="385" t="s">
        <v>402</v>
      </c>
      <c r="K14" s="385" t="s">
        <v>403</v>
      </c>
      <c r="L14" s="385" t="s">
        <v>404</v>
      </c>
      <c r="M14" s="385" t="s">
        <v>405</v>
      </c>
      <c r="N14" s="385" t="s">
        <v>406</v>
      </c>
      <c r="O14" s="385" t="s">
        <v>407</v>
      </c>
      <c r="P14" s="385" t="s">
        <v>408</v>
      </c>
      <c r="Q14" s="160"/>
      <c r="R14" s="25"/>
    </row>
    <row r="15" spans="1:18" s="26" customFormat="1" ht="136.5" thickTop="1" thickBot="1" x14ac:dyDescent="0.25">
      <c r="A15" s="460" t="s">
        <v>149</v>
      </c>
      <c r="B15" s="460"/>
      <c r="C15" s="460"/>
      <c r="D15" s="461" t="s">
        <v>151</v>
      </c>
      <c r="E15" s="463">
        <f>E16</f>
        <v>305042727.19</v>
      </c>
      <c r="F15" s="462">
        <f t="shared" ref="F15:N15" si="0">F16</f>
        <v>305042727.19</v>
      </c>
      <c r="G15" s="462">
        <f t="shared" si="0"/>
        <v>97820900</v>
      </c>
      <c r="H15" s="462">
        <f t="shared" si="0"/>
        <v>7110100</v>
      </c>
      <c r="I15" s="462">
        <f t="shared" si="0"/>
        <v>0</v>
      </c>
      <c r="J15" s="463">
        <f t="shared" si="0"/>
        <v>111067187.29000001</v>
      </c>
      <c r="K15" s="462">
        <f t="shared" si="0"/>
        <v>106912491.08000001</v>
      </c>
      <c r="L15" s="462">
        <f t="shared" si="0"/>
        <v>3357638.209999999</v>
      </c>
      <c r="M15" s="462">
        <f t="shared" si="0"/>
        <v>0</v>
      </c>
      <c r="N15" s="462">
        <f t="shared" si="0"/>
        <v>0</v>
      </c>
      <c r="O15" s="463">
        <f>O16</f>
        <v>107709549.08000001</v>
      </c>
      <c r="P15" s="462">
        <f t="shared" ref="P15" si="1">P16</f>
        <v>416109914.48000002</v>
      </c>
      <c r="Q15" s="27"/>
      <c r="R15" s="27"/>
    </row>
    <row r="16" spans="1:18" s="26" customFormat="1" ht="136.5" thickTop="1" thickBot="1" x14ac:dyDescent="0.25">
      <c r="A16" s="464" t="s">
        <v>150</v>
      </c>
      <c r="B16" s="464"/>
      <c r="C16" s="464"/>
      <c r="D16" s="465" t="s">
        <v>152</v>
      </c>
      <c r="E16" s="466">
        <f>E17+E22+E33+E39</f>
        <v>305042727.19</v>
      </c>
      <c r="F16" s="466">
        <f>F17+F22+F33+F39</f>
        <v>305042727.19</v>
      </c>
      <c r="G16" s="466">
        <f>G17+G22+G33+G39</f>
        <v>97820900</v>
      </c>
      <c r="H16" s="466">
        <f>H17+H22+H33+H39</f>
        <v>7110100</v>
      </c>
      <c r="I16" s="466">
        <f>I17+I22+I33+I39</f>
        <v>0</v>
      </c>
      <c r="J16" s="466">
        <f>L16+O16</f>
        <v>111067187.29000001</v>
      </c>
      <c r="K16" s="466">
        <f>K17+K22+K33+K39</f>
        <v>106912491.08000001</v>
      </c>
      <c r="L16" s="466">
        <f>L17+L22+L33+L39</f>
        <v>3357638.209999999</v>
      </c>
      <c r="M16" s="466">
        <f>M17+M22+M33+M39</f>
        <v>0</v>
      </c>
      <c r="N16" s="466">
        <f>N17+N22+N33+N39</f>
        <v>0</v>
      </c>
      <c r="O16" s="466">
        <f>O17+O22+O33+O39</f>
        <v>107709549.08000001</v>
      </c>
      <c r="P16" s="466">
        <f>E16+J16</f>
        <v>416109914.48000002</v>
      </c>
      <c r="Q16" s="459" t="b">
        <f>P16=P18+P20+P21+P24+P28+P30+P32+P35+P36+P38+P41+P42+P43+P44+P27</f>
        <v>1</v>
      </c>
      <c r="R16" s="28"/>
    </row>
    <row r="17" spans="1:18" s="30" customFormat="1" ht="47.25" thickTop="1" thickBot="1" x14ac:dyDescent="0.25">
      <c r="A17" s="385" t="s">
        <v>692</v>
      </c>
      <c r="B17" s="385" t="s">
        <v>693</v>
      </c>
      <c r="C17" s="385"/>
      <c r="D17" s="385" t="s">
        <v>694</v>
      </c>
      <c r="E17" s="670">
        <f>SUM(E18:E21)</f>
        <v>217883106</v>
      </c>
      <c r="F17" s="670">
        <f>SUM(F18:F21)</f>
        <v>217883106</v>
      </c>
      <c r="G17" s="670">
        <f t="shared" ref="G17:P17" si="2">SUM(G18:G21)</f>
        <v>97820900</v>
      </c>
      <c r="H17" s="670">
        <f t="shared" si="2"/>
        <v>7110100</v>
      </c>
      <c r="I17" s="670">
        <f t="shared" si="2"/>
        <v>0</v>
      </c>
      <c r="J17" s="670">
        <f t="shared" si="2"/>
        <v>7940822</v>
      </c>
      <c r="K17" s="446">
        <f t="shared" si="2"/>
        <v>7940822</v>
      </c>
      <c r="L17" s="446">
        <f t="shared" si="2"/>
        <v>0</v>
      </c>
      <c r="M17" s="446">
        <f t="shared" si="2"/>
        <v>0</v>
      </c>
      <c r="N17" s="446">
        <f t="shared" si="2"/>
        <v>0</v>
      </c>
      <c r="O17" s="446">
        <f t="shared" si="2"/>
        <v>7940822</v>
      </c>
      <c r="P17" s="446">
        <f t="shared" si="2"/>
        <v>225823928</v>
      </c>
      <c r="Q17" s="33"/>
      <c r="R17" s="29"/>
    </row>
    <row r="18" spans="1:18" ht="321.75" thickTop="1" thickBot="1" x14ac:dyDescent="0.25">
      <c r="A18" s="445" t="s">
        <v>237</v>
      </c>
      <c r="B18" s="445" t="s">
        <v>238</v>
      </c>
      <c r="C18" s="445" t="s">
        <v>239</v>
      </c>
      <c r="D18" s="445" t="s">
        <v>236</v>
      </c>
      <c r="E18" s="670">
        <f t="shared" ref="E18:E41" si="3">F18</f>
        <v>137489503</v>
      </c>
      <c r="F18" s="441">
        <f>(((135815958)+13895+600+500000)-86000)+98000+95000+93000+85000+750000+37600+84450+2000</f>
        <v>137489503</v>
      </c>
      <c r="G18" s="441">
        <v>97820900</v>
      </c>
      <c r="H18" s="441">
        <f>3400000+149000+3021200+420900+119000</f>
        <v>7110100</v>
      </c>
      <c r="I18" s="441"/>
      <c r="J18" s="670">
        <f t="shared" ref="J18:J28" si="4">L18+O18</f>
        <v>7940822</v>
      </c>
      <c r="K18" s="441">
        <f>((2000000)+2135522)+500000+1705000+285000+150000+964000+50000+151300</f>
        <v>7940822</v>
      </c>
      <c r="L18" s="442"/>
      <c r="M18" s="451"/>
      <c r="N18" s="451"/>
      <c r="O18" s="390">
        <f t="shared" ref="O18:O28" si="5">K18</f>
        <v>7940822</v>
      </c>
      <c r="P18" s="446">
        <f>+J18+E18</f>
        <v>145430325</v>
      </c>
      <c r="Q18" s="167"/>
      <c r="R18" s="31"/>
    </row>
    <row r="19" spans="1:18" ht="230.25" hidden="1" thickTop="1" thickBot="1" x14ac:dyDescent="0.25">
      <c r="A19" s="162" t="s">
        <v>590</v>
      </c>
      <c r="B19" s="162" t="s">
        <v>241</v>
      </c>
      <c r="C19" s="162" t="s">
        <v>239</v>
      </c>
      <c r="D19" s="162" t="s">
        <v>240</v>
      </c>
      <c r="E19" s="668">
        <f t="shared" ref="E19" si="6">F19</f>
        <v>0</v>
      </c>
      <c r="F19" s="163"/>
      <c r="G19" s="163"/>
      <c r="H19" s="163"/>
      <c r="I19" s="163"/>
      <c r="J19" s="668">
        <f t="shared" ref="J19" si="7">L19+O19</f>
        <v>0</v>
      </c>
      <c r="K19" s="163"/>
      <c r="L19" s="164"/>
      <c r="M19" s="165"/>
      <c r="N19" s="165"/>
      <c r="O19" s="166">
        <f t="shared" si="5"/>
        <v>0</v>
      </c>
      <c r="P19" s="161">
        <f>+J19+E19</f>
        <v>0</v>
      </c>
      <c r="Q19" s="167"/>
      <c r="R19" s="31"/>
    </row>
    <row r="20" spans="1:18" ht="184.5" thickTop="1" thickBot="1" x14ac:dyDescent="0.25">
      <c r="A20" s="445" t="s">
        <v>633</v>
      </c>
      <c r="B20" s="445" t="s">
        <v>367</v>
      </c>
      <c r="C20" s="445" t="s">
        <v>634</v>
      </c>
      <c r="D20" s="445" t="s">
        <v>635</v>
      </c>
      <c r="E20" s="670">
        <f t="shared" ref="E20" si="8">F20</f>
        <v>139400</v>
      </c>
      <c r="F20" s="441">
        <f>((49000)+4400)+86000</f>
        <v>139400</v>
      </c>
      <c r="G20" s="441"/>
      <c r="H20" s="441"/>
      <c r="I20" s="441"/>
      <c r="J20" s="670">
        <f t="shared" ref="J20" si="9">L20+O20</f>
        <v>0</v>
      </c>
      <c r="K20" s="441"/>
      <c r="L20" s="442"/>
      <c r="M20" s="451"/>
      <c r="N20" s="451"/>
      <c r="O20" s="390">
        <f t="shared" si="5"/>
        <v>0</v>
      </c>
      <c r="P20" s="446">
        <f>+J20+E20</f>
        <v>139400</v>
      </c>
      <c r="Q20" s="167"/>
      <c r="R20" s="32"/>
    </row>
    <row r="21" spans="1:18" ht="93" thickTop="1" thickBot="1" x14ac:dyDescent="0.25">
      <c r="A21" s="445" t="s">
        <v>252</v>
      </c>
      <c r="B21" s="445" t="s">
        <v>43</v>
      </c>
      <c r="C21" s="445" t="s">
        <v>42</v>
      </c>
      <c r="D21" s="445" t="s">
        <v>253</v>
      </c>
      <c r="E21" s="670">
        <f t="shared" si="3"/>
        <v>80254203</v>
      </c>
      <c r="F21" s="389">
        <f>((((26700470+20000000+10000000)-17307000-5864000)+107839798-50000000-5963614)-33705184-6300000)+100000+3729200+31024533</f>
        <v>80254203</v>
      </c>
      <c r="G21" s="389"/>
      <c r="H21" s="389"/>
      <c r="I21" s="389"/>
      <c r="J21" s="670">
        <f t="shared" si="4"/>
        <v>0</v>
      </c>
      <c r="K21" s="389"/>
      <c r="L21" s="389"/>
      <c r="M21" s="389"/>
      <c r="N21" s="389"/>
      <c r="O21" s="390">
        <f t="shared" si="5"/>
        <v>0</v>
      </c>
      <c r="P21" s="446">
        <f>E21+J21</f>
        <v>80254203</v>
      </c>
      <c r="Q21" s="167"/>
      <c r="R21" s="32"/>
    </row>
    <row r="22" spans="1:18" s="30" customFormat="1" ht="47.25" thickTop="1" thickBot="1" x14ac:dyDescent="0.3">
      <c r="A22" s="385" t="s">
        <v>756</v>
      </c>
      <c r="B22" s="385" t="s">
        <v>757</v>
      </c>
      <c r="C22" s="385"/>
      <c r="D22" s="385" t="s">
        <v>758</v>
      </c>
      <c r="E22" s="670">
        <f t="shared" ref="E22:P22" si="10">SUM(E23:E32)-E23-E26-E29</f>
        <v>7612809.4800000004</v>
      </c>
      <c r="F22" s="670">
        <f t="shared" si="10"/>
        <v>7612809.4800000004</v>
      </c>
      <c r="G22" s="670">
        <f t="shared" si="10"/>
        <v>0</v>
      </c>
      <c r="H22" s="670">
        <f t="shared" si="10"/>
        <v>0</v>
      </c>
      <c r="I22" s="670">
        <f t="shared" si="10"/>
        <v>0</v>
      </c>
      <c r="J22" s="670">
        <f t="shared" si="10"/>
        <v>7389696.2100000018</v>
      </c>
      <c r="K22" s="446">
        <f t="shared" si="10"/>
        <v>3235000</v>
      </c>
      <c r="L22" s="446">
        <f t="shared" si="10"/>
        <v>3357638.209999999</v>
      </c>
      <c r="M22" s="446">
        <f t="shared" si="10"/>
        <v>0</v>
      </c>
      <c r="N22" s="446">
        <f t="shared" si="10"/>
        <v>0</v>
      </c>
      <c r="O22" s="446">
        <f t="shared" si="10"/>
        <v>4032058</v>
      </c>
      <c r="P22" s="446">
        <f t="shared" si="10"/>
        <v>15002505.690000001</v>
      </c>
      <c r="Q22" s="169"/>
      <c r="R22" s="33"/>
    </row>
    <row r="23" spans="1:18" s="35" customFormat="1" ht="91.5" thickTop="1" thickBot="1" x14ac:dyDescent="0.25">
      <c r="A23" s="387" t="s">
        <v>695</v>
      </c>
      <c r="B23" s="387" t="s">
        <v>696</v>
      </c>
      <c r="C23" s="387"/>
      <c r="D23" s="387" t="s">
        <v>697</v>
      </c>
      <c r="E23" s="391">
        <f t="shared" ref="E23:P23" si="11">SUM(E24:E25)</f>
        <v>5063364.9800000004</v>
      </c>
      <c r="F23" s="391">
        <f t="shared" si="11"/>
        <v>5063364.9800000004</v>
      </c>
      <c r="G23" s="391">
        <f t="shared" si="11"/>
        <v>0</v>
      </c>
      <c r="H23" s="391">
        <f t="shared" si="11"/>
        <v>0</v>
      </c>
      <c r="I23" s="391">
        <f t="shared" si="11"/>
        <v>0</v>
      </c>
      <c r="J23" s="391">
        <f t="shared" si="11"/>
        <v>2235000</v>
      </c>
      <c r="K23" s="391">
        <f t="shared" si="11"/>
        <v>2235000</v>
      </c>
      <c r="L23" s="391">
        <f t="shared" si="11"/>
        <v>0</v>
      </c>
      <c r="M23" s="391">
        <f t="shared" si="11"/>
        <v>0</v>
      </c>
      <c r="N23" s="391">
        <f t="shared" si="11"/>
        <v>0</v>
      </c>
      <c r="O23" s="391">
        <f t="shared" si="11"/>
        <v>2235000</v>
      </c>
      <c r="P23" s="391">
        <f t="shared" si="11"/>
        <v>7298364.9800000004</v>
      </c>
      <c r="Q23" s="172"/>
      <c r="R23" s="34"/>
    </row>
    <row r="24" spans="1:18" ht="93" thickTop="1" thickBot="1" x14ac:dyDescent="0.25">
      <c r="A24" s="445" t="s">
        <v>243</v>
      </c>
      <c r="B24" s="445" t="s">
        <v>244</v>
      </c>
      <c r="C24" s="445" t="s">
        <v>245</v>
      </c>
      <c r="D24" s="445" t="s">
        <v>242</v>
      </c>
      <c r="E24" s="670">
        <f t="shared" si="3"/>
        <v>5063364.9800000004</v>
      </c>
      <c r="F24" s="389">
        <f>((4937300)+91064.98)+35000</f>
        <v>5063364.9800000004</v>
      </c>
      <c r="G24" s="389"/>
      <c r="H24" s="389"/>
      <c r="I24" s="389"/>
      <c r="J24" s="670">
        <f t="shared" si="4"/>
        <v>2235000</v>
      </c>
      <c r="K24" s="389">
        <f>(1680000)+350000+205000</f>
        <v>2235000</v>
      </c>
      <c r="L24" s="389"/>
      <c r="M24" s="389"/>
      <c r="N24" s="389"/>
      <c r="O24" s="390">
        <f t="shared" si="5"/>
        <v>2235000</v>
      </c>
      <c r="P24" s="446">
        <f>+J24+E24</f>
        <v>7298364.9800000004</v>
      </c>
      <c r="Q24" s="167"/>
      <c r="R24" s="31"/>
    </row>
    <row r="25" spans="1:18" ht="230.25" hidden="1" thickTop="1" thickBot="1" x14ac:dyDescent="0.25">
      <c r="A25" s="44" t="s">
        <v>995</v>
      </c>
      <c r="B25" s="44" t="s">
        <v>996</v>
      </c>
      <c r="C25" s="44" t="s">
        <v>245</v>
      </c>
      <c r="D25" s="44" t="s">
        <v>997</v>
      </c>
      <c r="E25" s="668">
        <f t="shared" si="3"/>
        <v>0</v>
      </c>
      <c r="F25" s="168">
        <v>0</v>
      </c>
      <c r="G25" s="168"/>
      <c r="H25" s="168"/>
      <c r="I25" s="168"/>
      <c r="J25" s="668">
        <f t="shared" si="4"/>
        <v>0</v>
      </c>
      <c r="K25" s="46"/>
      <c r="L25" s="46"/>
      <c r="M25" s="46"/>
      <c r="N25" s="46"/>
      <c r="O25" s="47"/>
      <c r="P25" s="45">
        <f>+J25+E25</f>
        <v>0</v>
      </c>
      <c r="Q25" s="167"/>
      <c r="R25" s="31"/>
    </row>
    <row r="26" spans="1:18" s="37" customFormat="1" ht="136.5" thickTop="1" thickBot="1" x14ac:dyDescent="0.25">
      <c r="A26" s="387" t="s">
        <v>699</v>
      </c>
      <c r="B26" s="387" t="s">
        <v>700</v>
      </c>
      <c r="C26" s="387"/>
      <c r="D26" s="387" t="s">
        <v>698</v>
      </c>
      <c r="E26" s="391">
        <f>SUM(E28)+E29+E27</f>
        <v>2549444.5</v>
      </c>
      <c r="F26" s="391">
        <f t="shared" ref="F26:P26" si="12">SUM(F28)+F29+F27</f>
        <v>2549444.5</v>
      </c>
      <c r="G26" s="391">
        <f t="shared" si="12"/>
        <v>0</v>
      </c>
      <c r="H26" s="391">
        <f t="shared" si="12"/>
        <v>0</v>
      </c>
      <c r="I26" s="391">
        <f t="shared" si="12"/>
        <v>0</v>
      </c>
      <c r="J26" s="391">
        <f t="shared" si="12"/>
        <v>5154696.21</v>
      </c>
      <c r="K26" s="391">
        <f t="shared" si="12"/>
        <v>1000000</v>
      </c>
      <c r="L26" s="391">
        <f t="shared" si="12"/>
        <v>3357638.21</v>
      </c>
      <c r="M26" s="391">
        <f t="shared" si="12"/>
        <v>0</v>
      </c>
      <c r="N26" s="391">
        <f t="shared" si="12"/>
        <v>0</v>
      </c>
      <c r="O26" s="391">
        <f t="shared" si="12"/>
        <v>1797058</v>
      </c>
      <c r="P26" s="391">
        <f t="shared" si="12"/>
        <v>7704140.71</v>
      </c>
      <c r="Q26" s="173"/>
      <c r="R26" s="36"/>
    </row>
    <row r="27" spans="1:18" s="37" customFormat="1" ht="48" thickTop="1" thickBot="1" x14ac:dyDescent="0.25">
      <c r="A27" s="825" t="s">
        <v>1533</v>
      </c>
      <c r="B27" s="825" t="s">
        <v>217</v>
      </c>
      <c r="C27" s="825" t="s">
        <v>218</v>
      </c>
      <c r="D27" s="825" t="s">
        <v>41</v>
      </c>
      <c r="E27" s="828">
        <f t="shared" si="3"/>
        <v>0</v>
      </c>
      <c r="F27" s="389"/>
      <c r="G27" s="389"/>
      <c r="H27" s="389"/>
      <c r="I27" s="389"/>
      <c r="J27" s="828">
        <f t="shared" si="4"/>
        <v>1000000</v>
      </c>
      <c r="K27" s="389">
        <v>1000000</v>
      </c>
      <c r="L27" s="389"/>
      <c r="M27" s="389"/>
      <c r="N27" s="389"/>
      <c r="O27" s="827">
        <f t="shared" si="5"/>
        <v>1000000</v>
      </c>
      <c r="P27" s="828">
        <f>+J27+E27</f>
        <v>1000000</v>
      </c>
      <c r="Q27" s="173"/>
      <c r="R27" s="36"/>
    </row>
    <row r="28" spans="1:18" ht="138.75" thickTop="1" thickBot="1" x14ac:dyDescent="0.25">
      <c r="A28" s="445" t="s">
        <v>304</v>
      </c>
      <c r="B28" s="445" t="s">
        <v>305</v>
      </c>
      <c r="C28" s="445" t="s">
        <v>171</v>
      </c>
      <c r="D28" s="445" t="s">
        <v>447</v>
      </c>
      <c r="E28" s="670">
        <f t="shared" si="3"/>
        <v>341770.5</v>
      </c>
      <c r="F28" s="389">
        <f>(292900)+48870.5</f>
        <v>341770.5</v>
      </c>
      <c r="G28" s="389"/>
      <c r="H28" s="389"/>
      <c r="I28" s="389"/>
      <c r="J28" s="670">
        <f t="shared" si="4"/>
        <v>0</v>
      </c>
      <c r="K28" s="389"/>
      <c r="L28" s="389"/>
      <c r="M28" s="389"/>
      <c r="N28" s="389"/>
      <c r="O28" s="390">
        <f t="shared" si="5"/>
        <v>0</v>
      </c>
      <c r="P28" s="446">
        <f>+J28+E28</f>
        <v>341770.5</v>
      </c>
      <c r="Q28" s="167"/>
      <c r="R28" s="32"/>
    </row>
    <row r="29" spans="1:18" s="37" customFormat="1" ht="48" thickTop="1" thickBot="1" x14ac:dyDescent="0.25">
      <c r="A29" s="455" t="s">
        <v>702</v>
      </c>
      <c r="B29" s="455" t="s">
        <v>703</v>
      </c>
      <c r="C29" s="455"/>
      <c r="D29" s="456" t="s">
        <v>701</v>
      </c>
      <c r="E29" s="440">
        <f>SUM(E30:E32)</f>
        <v>2207674</v>
      </c>
      <c r="F29" s="440">
        <f t="shared" ref="F29:O29" si="13">SUM(F30:F32)</f>
        <v>2207674</v>
      </c>
      <c r="G29" s="440">
        <f t="shared" si="13"/>
        <v>0</v>
      </c>
      <c r="H29" s="440">
        <f t="shared" si="13"/>
        <v>0</v>
      </c>
      <c r="I29" s="440">
        <f t="shared" si="13"/>
        <v>0</v>
      </c>
      <c r="J29" s="440">
        <f t="shared" si="13"/>
        <v>4154696.21</v>
      </c>
      <c r="K29" s="440">
        <f t="shared" si="13"/>
        <v>0</v>
      </c>
      <c r="L29" s="440">
        <f t="shared" si="13"/>
        <v>3357638.21</v>
      </c>
      <c r="M29" s="440">
        <f t="shared" si="13"/>
        <v>0</v>
      </c>
      <c r="N29" s="440">
        <f t="shared" si="13"/>
        <v>0</v>
      </c>
      <c r="O29" s="440">
        <f t="shared" si="13"/>
        <v>797058</v>
      </c>
      <c r="P29" s="440">
        <f>E29+J29</f>
        <v>6362370.21</v>
      </c>
      <c r="Q29" s="173"/>
      <c r="R29" s="38"/>
    </row>
    <row r="30" spans="1:18" s="35" customFormat="1" ht="361.5" customHeight="1" thickTop="1" thickBot="1" x14ac:dyDescent="0.7">
      <c r="A30" s="895" t="s">
        <v>344</v>
      </c>
      <c r="B30" s="895" t="s">
        <v>343</v>
      </c>
      <c r="C30" s="895" t="s">
        <v>171</v>
      </c>
      <c r="D30" s="86" t="s">
        <v>445</v>
      </c>
      <c r="E30" s="893">
        <f t="shared" si="3"/>
        <v>0</v>
      </c>
      <c r="F30" s="887"/>
      <c r="G30" s="887"/>
      <c r="H30" s="887"/>
      <c r="I30" s="887"/>
      <c r="J30" s="897">
        <f>L30+O30</f>
        <v>4154696.21</v>
      </c>
      <c r="K30" s="887"/>
      <c r="L30" s="887">
        <f>(919800+166000+357900+1407000)+6360+500578.21</f>
        <v>3357638.21</v>
      </c>
      <c r="M30" s="887"/>
      <c r="N30" s="887"/>
      <c r="O30" s="889">
        <f>((100000)+300000)+397058</f>
        <v>797058</v>
      </c>
      <c r="P30" s="891">
        <f>E30+J30</f>
        <v>4154696.21</v>
      </c>
      <c r="Q30" s="176"/>
      <c r="R30" s="39"/>
    </row>
    <row r="31" spans="1:18" s="35" customFormat="1" ht="184.5" thickTop="1" thickBot="1" x14ac:dyDescent="0.25">
      <c r="A31" s="896"/>
      <c r="B31" s="926"/>
      <c r="C31" s="896"/>
      <c r="D31" s="87" t="s">
        <v>446</v>
      </c>
      <c r="E31" s="896"/>
      <c r="F31" s="888"/>
      <c r="G31" s="888"/>
      <c r="H31" s="888"/>
      <c r="I31" s="888"/>
      <c r="J31" s="898"/>
      <c r="K31" s="888"/>
      <c r="L31" s="888"/>
      <c r="M31" s="888"/>
      <c r="N31" s="888"/>
      <c r="O31" s="890"/>
      <c r="P31" s="892"/>
      <c r="Q31" s="39"/>
      <c r="R31" s="39"/>
    </row>
    <row r="32" spans="1:18" s="35" customFormat="1" ht="93" thickTop="1" thickBot="1" x14ac:dyDescent="0.25">
      <c r="A32" s="445" t="s">
        <v>927</v>
      </c>
      <c r="B32" s="445" t="s">
        <v>262</v>
      </c>
      <c r="C32" s="445" t="s">
        <v>171</v>
      </c>
      <c r="D32" s="445" t="s">
        <v>260</v>
      </c>
      <c r="E32" s="670">
        <f>F32</f>
        <v>2207674</v>
      </c>
      <c r="F32" s="389">
        <v>2207674</v>
      </c>
      <c r="G32" s="389"/>
      <c r="H32" s="389"/>
      <c r="I32" s="389"/>
      <c r="J32" s="670">
        <f>L32+O32</f>
        <v>0</v>
      </c>
      <c r="K32" s="389"/>
      <c r="L32" s="389"/>
      <c r="M32" s="389"/>
      <c r="N32" s="389"/>
      <c r="O32" s="390"/>
      <c r="P32" s="446">
        <f>E32+J32</f>
        <v>2207674</v>
      </c>
      <c r="Q32" s="39"/>
      <c r="R32" s="39"/>
    </row>
    <row r="33" spans="1:18" s="35" customFormat="1" ht="46.5" customHeight="1" thickTop="1" thickBot="1" x14ac:dyDescent="0.25">
      <c r="A33" s="385" t="s">
        <v>704</v>
      </c>
      <c r="B33" s="385" t="s">
        <v>705</v>
      </c>
      <c r="C33" s="385"/>
      <c r="D33" s="385" t="s">
        <v>706</v>
      </c>
      <c r="E33" s="670">
        <f t="shared" ref="E33:P33" si="14">E37+E34</f>
        <v>18761546</v>
      </c>
      <c r="F33" s="670">
        <f t="shared" si="14"/>
        <v>18761546</v>
      </c>
      <c r="G33" s="670">
        <f t="shared" si="14"/>
        <v>0</v>
      </c>
      <c r="H33" s="670">
        <f t="shared" si="14"/>
        <v>0</v>
      </c>
      <c r="I33" s="670">
        <f t="shared" si="14"/>
        <v>0</v>
      </c>
      <c r="J33" s="670">
        <f t="shared" si="14"/>
        <v>7519000</v>
      </c>
      <c r="K33" s="446">
        <f t="shared" si="14"/>
        <v>7519000</v>
      </c>
      <c r="L33" s="446">
        <f t="shared" si="14"/>
        <v>0</v>
      </c>
      <c r="M33" s="446">
        <f t="shared" si="14"/>
        <v>0</v>
      </c>
      <c r="N33" s="446">
        <f t="shared" si="14"/>
        <v>0</v>
      </c>
      <c r="O33" s="446">
        <f t="shared" si="14"/>
        <v>7519000</v>
      </c>
      <c r="P33" s="446">
        <f t="shared" si="14"/>
        <v>26280546</v>
      </c>
      <c r="Q33" s="39"/>
      <c r="R33" s="39"/>
    </row>
    <row r="34" spans="1:18" s="35" customFormat="1" ht="103.5" customHeight="1" thickTop="1" thickBot="1" x14ac:dyDescent="0.25">
      <c r="A34" s="387" t="s">
        <v>1233</v>
      </c>
      <c r="B34" s="387" t="s">
        <v>1234</v>
      </c>
      <c r="C34" s="387"/>
      <c r="D34" s="387" t="s">
        <v>1232</v>
      </c>
      <c r="E34" s="391">
        <f t="shared" ref="E34:P34" si="15">SUM(E35:E36)</f>
        <v>9071546</v>
      </c>
      <c r="F34" s="391">
        <f t="shared" si="15"/>
        <v>9071546</v>
      </c>
      <c r="G34" s="391">
        <f t="shared" si="15"/>
        <v>0</v>
      </c>
      <c r="H34" s="391">
        <f t="shared" si="15"/>
        <v>0</v>
      </c>
      <c r="I34" s="391">
        <f t="shared" si="15"/>
        <v>0</v>
      </c>
      <c r="J34" s="391">
        <f t="shared" si="15"/>
        <v>5640000</v>
      </c>
      <c r="K34" s="391">
        <f t="shared" si="15"/>
        <v>5640000</v>
      </c>
      <c r="L34" s="391">
        <f t="shared" si="15"/>
        <v>0</v>
      </c>
      <c r="M34" s="391">
        <f t="shared" si="15"/>
        <v>0</v>
      </c>
      <c r="N34" s="391">
        <f t="shared" si="15"/>
        <v>0</v>
      </c>
      <c r="O34" s="391">
        <f t="shared" si="15"/>
        <v>5640000</v>
      </c>
      <c r="P34" s="391">
        <f t="shared" si="15"/>
        <v>14711546</v>
      </c>
      <c r="Q34" s="39"/>
      <c r="R34" s="39"/>
    </row>
    <row r="35" spans="1:18" s="35" customFormat="1" ht="103.5" customHeight="1" thickTop="1" thickBot="1" x14ac:dyDescent="0.25">
      <c r="A35" s="445" t="s">
        <v>1261</v>
      </c>
      <c r="B35" s="445" t="s">
        <v>1262</v>
      </c>
      <c r="C35" s="445" t="s">
        <v>1236</v>
      </c>
      <c r="D35" s="445" t="s">
        <v>1263</v>
      </c>
      <c r="E35" s="670">
        <f>F35</f>
        <v>600000</v>
      </c>
      <c r="F35" s="389">
        <f>(600000)</f>
        <v>600000</v>
      </c>
      <c r="G35" s="389"/>
      <c r="H35" s="389"/>
      <c r="I35" s="389"/>
      <c r="J35" s="670">
        <f>L35+O35</f>
        <v>400000</v>
      </c>
      <c r="K35" s="389">
        <v>400000</v>
      </c>
      <c r="L35" s="389"/>
      <c r="M35" s="389"/>
      <c r="N35" s="389"/>
      <c r="O35" s="390">
        <f>K35</f>
        <v>400000</v>
      </c>
      <c r="P35" s="446">
        <f>E35+J35</f>
        <v>1000000</v>
      </c>
      <c r="Q35" s="39"/>
      <c r="R35" s="39"/>
    </row>
    <row r="36" spans="1:18" s="35" customFormat="1" ht="93" thickTop="1" thickBot="1" x14ac:dyDescent="0.25">
      <c r="A36" s="445" t="s">
        <v>1237</v>
      </c>
      <c r="B36" s="445" t="s">
        <v>1238</v>
      </c>
      <c r="C36" s="445" t="s">
        <v>1236</v>
      </c>
      <c r="D36" s="445" t="s">
        <v>1235</v>
      </c>
      <c r="E36" s="670">
        <f>F36</f>
        <v>8471546</v>
      </c>
      <c r="F36" s="389">
        <v>8471546</v>
      </c>
      <c r="G36" s="389"/>
      <c r="H36" s="389"/>
      <c r="I36" s="389"/>
      <c r="J36" s="670">
        <f>L36+O36</f>
        <v>5240000</v>
      </c>
      <c r="K36" s="389">
        <f>((100000)+2500000+500000)+150000+120000+1870000</f>
        <v>5240000</v>
      </c>
      <c r="L36" s="389"/>
      <c r="M36" s="389"/>
      <c r="N36" s="389"/>
      <c r="O36" s="390">
        <f>K36</f>
        <v>5240000</v>
      </c>
      <c r="P36" s="446">
        <f>E36+J36</f>
        <v>13711546</v>
      </c>
      <c r="Q36" s="39"/>
      <c r="R36" s="39"/>
    </row>
    <row r="37" spans="1:18" s="35" customFormat="1" ht="47.25" thickTop="1" thickBot="1" x14ac:dyDescent="0.25">
      <c r="A37" s="387" t="s">
        <v>707</v>
      </c>
      <c r="B37" s="387" t="s">
        <v>708</v>
      </c>
      <c r="C37" s="387"/>
      <c r="D37" s="387" t="s">
        <v>709</v>
      </c>
      <c r="E37" s="391">
        <f>SUM(E38)</f>
        <v>9690000</v>
      </c>
      <c r="F37" s="391">
        <f t="shared" ref="F37:P37" si="16">SUM(F38)</f>
        <v>9690000</v>
      </c>
      <c r="G37" s="391">
        <f t="shared" si="16"/>
        <v>0</v>
      </c>
      <c r="H37" s="391">
        <f t="shared" si="16"/>
        <v>0</v>
      </c>
      <c r="I37" s="391">
        <f t="shared" si="16"/>
        <v>0</v>
      </c>
      <c r="J37" s="391">
        <f t="shared" si="16"/>
        <v>1879000</v>
      </c>
      <c r="K37" s="391">
        <f t="shared" si="16"/>
        <v>1879000</v>
      </c>
      <c r="L37" s="391">
        <f t="shared" si="16"/>
        <v>0</v>
      </c>
      <c r="M37" s="391">
        <f t="shared" si="16"/>
        <v>0</v>
      </c>
      <c r="N37" s="391">
        <f t="shared" si="16"/>
        <v>0</v>
      </c>
      <c r="O37" s="391">
        <f t="shared" si="16"/>
        <v>1879000</v>
      </c>
      <c r="P37" s="391">
        <f t="shared" si="16"/>
        <v>11569000</v>
      </c>
      <c r="Q37" s="39"/>
    </row>
    <row r="38" spans="1:18" ht="93" thickTop="1" thickBot="1" x14ac:dyDescent="0.25">
      <c r="A38" s="445" t="s">
        <v>246</v>
      </c>
      <c r="B38" s="445" t="s">
        <v>247</v>
      </c>
      <c r="C38" s="445" t="s">
        <v>248</v>
      </c>
      <c r="D38" s="445" t="s">
        <v>249</v>
      </c>
      <c r="E38" s="670">
        <f>F38</f>
        <v>9690000</v>
      </c>
      <c r="F38" s="389">
        <f>(7500000)+1000000+220000+150000+340000+120000+360000</f>
        <v>9690000</v>
      </c>
      <c r="G38" s="389"/>
      <c r="H38" s="389"/>
      <c r="I38" s="389"/>
      <c r="J38" s="670">
        <f>L38+O38</f>
        <v>1879000</v>
      </c>
      <c r="K38" s="389">
        <f>0+964000+125000+790000</f>
        <v>1879000</v>
      </c>
      <c r="L38" s="389"/>
      <c r="M38" s="389"/>
      <c r="N38" s="389"/>
      <c r="O38" s="390">
        <f>K38</f>
        <v>1879000</v>
      </c>
      <c r="P38" s="446">
        <f>E38+J38</f>
        <v>11569000</v>
      </c>
      <c r="Q38" s="22"/>
    </row>
    <row r="39" spans="1:18" ht="47.25" thickTop="1" thickBot="1" x14ac:dyDescent="0.25">
      <c r="A39" s="385" t="s">
        <v>710</v>
      </c>
      <c r="B39" s="385" t="s">
        <v>711</v>
      </c>
      <c r="C39" s="385"/>
      <c r="D39" s="385" t="s">
        <v>712</v>
      </c>
      <c r="E39" s="670">
        <f>E40+E43+E44</f>
        <v>60785265.710000001</v>
      </c>
      <c r="F39" s="783">
        <f>F40+F43+F44</f>
        <v>60785265.710000001</v>
      </c>
      <c r="G39" s="783">
        <f t="shared" ref="G39:I39" si="17">G40+G43+G44</f>
        <v>0</v>
      </c>
      <c r="H39" s="783">
        <f t="shared" si="17"/>
        <v>0</v>
      </c>
      <c r="I39" s="783">
        <f t="shared" si="17"/>
        <v>0</v>
      </c>
      <c r="J39" s="783">
        <f t="shared" ref="J39" si="18">J40+J43+J44</f>
        <v>88217669.080000013</v>
      </c>
      <c r="K39" s="783">
        <f t="shared" ref="K39" si="19">K40+K43+K44</f>
        <v>88217669.080000013</v>
      </c>
      <c r="L39" s="783">
        <f t="shared" ref="L39" si="20">L40+L43+L44</f>
        <v>0</v>
      </c>
      <c r="M39" s="783">
        <f t="shared" ref="M39" si="21">M40+M43+M44</f>
        <v>0</v>
      </c>
      <c r="N39" s="783">
        <f t="shared" ref="N39" si="22">N40+N43+N44</f>
        <v>0</v>
      </c>
      <c r="O39" s="783">
        <f t="shared" ref="O39" si="23">O40+O43+O44</f>
        <v>88217669.080000013</v>
      </c>
      <c r="P39" s="783">
        <f t="shared" ref="P39" si="24">P40+P43+P44</f>
        <v>149002934.79000002</v>
      </c>
      <c r="Q39" s="22"/>
    </row>
    <row r="40" spans="1:18" s="35" customFormat="1" ht="271.5" thickTop="1" thickBot="1" x14ac:dyDescent="0.25">
      <c r="A40" s="387" t="s">
        <v>713</v>
      </c>
      <c r="B40" s="387" t="s">
        <v>714</v>
      </c>
      <c r="C40" s="387"/>
      <c r="D40" s="387" t="s">
        <v>715</v>
      </c>
      <c r="E40" s="391">
        <f>SUM(E41:E42)</f>
        <v>1312400</v>
      </c>
      <c r="F40" s="391">
        <f t="shared" ref="F40:P40" si="25">SUM(F41:F42)</f>
        <v>1312400</v>
      </c>
      <c r="G40" s="391">
        <f t="shared" si="25"/>
        <v>0</v>
      </c>
      <c r="H40" s="391">
        <f t="shared" si="25"/>
        <v>0</v>
      </c>
      <c r="I40" s="391">
        <f t="shared" si="25"/>
        <v>0</v>
      </c>
      <c r="J40" s="391">
        <f t="shared" si="25"/>
        <v>0</v>
      </c>
      <c r="K40" s="391">
        <f t="shared" si="25"/>
        <v>0</v>
      </c>
      <c r="L40" s="391">
        <f t="shared" si="25"/>
        <v>0</v>
      </c>
      <c r="M40" s="391">
        <f t="shared" si="25"/>
        <v>0</v>
      </c>
      <c r="N40" s="391">
        <f t="shared" si="25"/>
        <v>0</v>
      </c>
      <c r="O40" s="391">
        <f t="shared" si="25"/>
        <v>0</v>
      </c>
      <c r="P40" s="391">
        <f t="shared" si="25"/>
        <v>1312400</v>
      </c>
      <c r="Q40" s="39"/>
      <c r="R40" s="39"/>
    </row>
    <row r="41" spans="1:18" ht="276" thickTop="1" thickBot="1" x14ac:dyDescent="0.25">
      <c r="A41" s="445" t="s">
        <v>250</v>
      </c>
      <c r="B41" s="445" t="s">
        <v>251</v>
      </c>
      <c r="C41" s="445" t="s">
        <v>43</v>
      </c>
      <c r="D41" s="445" t="s">
        <v>448</v>
      </c>
      <c r="E41" s="446">
        <f t="shared" si="3"/>
        <v>1163700</v>
      </c>
      <c r="F41" s="389">
        <v>1163700</v>
      </c>
      <c r="G41" s="389"/>
      <c r="H41" s="389"/>
      <c r="I41" s="389"/>
      <c r="J41" s="446">
        <f>L41+O41</f>
        <v>0</v>
      </c>
      <c r="K41" s="389"/>
      <c r="L41" s="389"/>
      <c r="M41" s="389"/>
      <c r="N41" s="389"/>
      <c r="O41" s="390">
        <f>K41</f>
        <v>0</v>
      </c>
      <c r="P41" s="446">
        <f>E41+J41</f>
        <v>1163700</v>
      </c>
      <c r="Q41" s="22"/>
    </row>
    <row r="42" spans="1:18" ht="93" thickTop="1" thickBot="1" x14ac:dyDescent="0.25">
      <c r="A42" s="445" t="s">
        <v>581</v>
      </c>
      <c r="B42" s="445" t="s">
        <v>368</v>
      </c>
      <c r="C42" s="445" t="s">
        <v>43</v>
      </c>
      <c r="D42" s="445" t="s">
        <v>369</v>
      </c>
      <c r="E42" s="446">
        <f t="shared" ref="E42:E44" si="26">F42</f>
        <v>148700</v>
      </c>
      <c r="F42" s="389">
        <v>148700</v>
      </c>
      <c r="G42" s="389"/>
      <c r="H42" s="389"/>
      <c r="I42" s="389"/>
      <c r="J42" s="446">
        <f>L42+O42</f>
        <v>0</v>
      </c>
      <c r="K42" s="389">
        <f>(1000000)-1000000</f>
        <v>0</v>
      </c>
      <c r="L42" s="389"/>
      <c r="M42" s="389"/>
      <c r="N42" s="389"/>
      <c r="O42" s="390">
        <f>K42</f>
        <v>0</v>
      </c>
      <c r="P42" s="446">
        <f>E42+J42</f>
        <v>148700</v>
      </c>
      <c r="Q42" s="22"/>
    </row>
    <row r="43" spans="1:18" ht="271.5" thickTop="1" thickBot="1" x14ac:dyDescent="0.25">
      <c r="A43" s="387" t="s">
        <v>518</v>
      </c>
      <c r="B43" s="387" t="s">
        <v>519</v>
      </c>
      <c r="C43" s="387" t="s">
        <v>43</v>
      </c>
      <c r="D43" s="387" t="s">
        <v>520</v>
      </c>
      <c r="E43" s="391">
        <f t="shared" si="26"/>
        <v>59472865.710000001</v>
      </c>
      <c r="F43" s="391">
        <f>(((10831000+415230+969000)+10811682+300000+1000000-86000+505900+115000+3805614)+19381401.33-410000+5800000)+450000+1000000+200000+781571.38+2000000+198000+421109+445122+175351+24984+8269+183792+83800+62040</f>
        <v>59472865.710000001</v>
      </c>
      <c r="G43" s="391"/>
      <c r="H43" s="391"/>
      <c r="I43" s="391"/>
      <c r="J43" s="391">
        <f>L43+O43</f>
        <v>88217669.080000013</v>
      </c>
      <c r="K43" s="389">
        <f>(((12286000+1300000+150000+4895000)+25598520+1400000+86000+75000+1100000+2158000)+33049720.46+500000)+798000+230000-781571.38+163000+350000+4860000</f>
        <v>88217669.080000013</v>
      </c>
      <c r="L43" s="391"/>
      <c r="M43" s="391"/>
      <c r="N43" s="391"/>
      <c r="O43" s="391">
        <f>K43</f>
        <v>88217669.080000013</v>
      </c>
      <c r="P43" s="391">
        <f>E43+J43</f>
        <v>147690534.79000002</v>
      </c>
      <c r="Q43" s="22"/>
      <c r="R43" s="28"/>
    </row>
    <row r="44" spans="1:18" s="118" customFormat="1" ht="409.6" thickTop="1" thickBot="1" x14ac:dyDescent="0.25">
      <c r="A44" s="780" t="s">
        <v>1512</v>
      </c>
      <c r="B44" s="780" t="s">
        <v>1513</v>
      </c>
      <c r="C44" s="780" t="s">
        <v>43</v>
      </c>
      <c r="D44" s="784" t="s">
        <v>1511</v>
      </c>
      <c r="E44" s="783">
        <f t="shared" si="26"/>
        <v>0</v>
      </c>
      <c r="F44" s="389">
        <f>(2000000)-2000000</f>
        <v>0</v>
      </c>
      <c r="G44" s="389"/>
      <c r="H44" s="389"/>
      <c r="I44" s="389"/>
      <c r="J44" s="783">
        <f>L44+O44</f>
        <v>0</v>
      </c>
      <c r="K44" s="389"/>
      <c r="L44" s="389"/>
      <c r="M44" s="389"/>
      <c r="N44" s="389"/>
      <c r="O44" s="782">
        <f>K44</f>
        <v>0</v>
      </c>
      <c r="P44" s="783">
        <f>E44+J44</f>
        <v>0</v>
      </c>
      <c r="Q44" s="22"/>
      <c r="R44" s="28"/>
    </row>
    <row r="45" spans="1:18" ht="177.75" customHeight="1" thickTop="1" thickBot="1" x14ac:dyDescent="0.25">
      <c r="A45" s="460" t="s">
        <v>153</v>
      </c>
      <c r="B45" s="460"/>
      <c r="C45" s="460"/>
      <c r="D45" s="461" t="s">
        <v>0</v>
      </c>
      <c r="E45" s="463">
        <f>E46</f>
        <v>2016401916.1299999</v>
      </c>
      <c r="F45" s="462">
        <f t="shared" ref="F45" si="27">F46</f>
        <v>2016401916.1299999</v>
      </c>
      <c r="G45" s="462">
        <f>G46</f>
        <v>1217378134</v>
      </c>
      <c r="H45" s="462">
        <f>H46</f>
        <v>200621315.34</v>
      </c>
      <c r="I45" s="462">
        <f t="shared" ref="I45" si="28">I46</f>
        <v>0</v>
      </c>
      <c r="J45" s="463">
        <f>J46</f>
        <v>443039324.48000002</v>
      </c>
      <c r="K45" s="462">
        <f>K46</f>
        <v>267908564.47999999</v>
      </c>
      <c r="L45" s="462">
        <f>L46</f>
        <v>171722131</v>
      </c>
      <c r="M45" s="462">
        <f t="shared" ref="M45" si="29">M46</f>
        <v>39544820</v>
      </c>
      <c r="N45" s="462">
        <f>N46</f>
        <v>15551110</v>
      </c>
      <c r="O45" s="463">
        <f>O46</f>
        <v>271317193.48000002</v>
      </c>
      <c r="P45" s="462">
        <f t="shared" ref="P45" si="30">P46</f>
        <v>2459441240.6099997</v>
      </c>
      <c r="Q45" s="22"/>
    </row>
    <row r="46" spans="1:18" ht="159" customHeight="1" thickTop="1" thickBot="1" x14ac:dyDescent="0.25">
      <c r="A46" s="464" t="s">
        <v>154</v>
      </c>
      <c r="B46" s="464"/>
      <c r="C46" s="464"/>
      <c r="D46" s="465" t="s">
        <v>1</v>
      </c>
      <c r="E46" s="466">
        <f>E47+E85+E97+E88+E94</f>
        <v>2016401916.1299999</v>
      </c>
      <c r="F46" s="466">
        <f>F47+F85+F97+F88+F94</f>
        <v>2016401916.1299999</v>
      </c>
      <c r="G46" s="466">
        <f>G47+G85+G97+G88+G94</f>
        <v>1217378134</v>
      </c>
      <c r="H46" s="466">
        <f>H47+H85+H97+H88+H94</f>
        <v>200621315.34</v>
      </c>
      <c r="I46" s="466">
        <f>I47+I85+I97+I88+I94</f>
        <v>0</v>
      </c>
      <c r="J46" s="466">
        <f>L46+O46</f>
        <v>443039324.48000002</v>
      </c>
      <c r="K46" s="466">
        <f>K47+K85+K97+K88+K94</f>
        <v>267908564.47999999</v>
      </c>
      <c r="L46" s="466">
        <f>L47+L85+L97+L88+L94</f>
        <v>171722131</v>
      </c>
      <c r="M46" s="466">
        <f>M47+M85+M97+M88+M94</f>
        <v>39544820</v>
      </c>
      <c r="N46" s="466">
        <f>N47+N85+N97+N88+N94</f>
        <v>15551110</v>
      </c>
      <c r="O46" s="466">
        <f>O47+O85+O97+O88+O94</f>
        <v>271317193.48000002</v>
      </c>
      <c r="P46" s="466">
        <f>E46+J46</f>
        <v>2459441240.6099997</v>
      </c>
      <c r="Q46" s="459" t="b">
        <f>P46=P48+P50+P51+P52+P59+P61+P64+P65+P67+P69+P80+P87+P91+P96+P54+P55+P62+P77+P68+P93+P84+P83+P86</f>
        <v>1</v>
      </c>
      <c r="R46" s="28"/>
    </row>
    <row r="47" spans="1:18" ht="47.25" thickTop="1" thickBot="1" x14ac:dyDescent="0.25">
      <c r="A47" s="385" t="s">
        <v>716</v>
      </c>
      <c r="B47" s="385" t="s">
        <v>717</v>
      </c>
      <c r="C47" s="385"/>
      <c r="D47" s="385" t="s">
        <v>718</v>
      </c>
      <c r="E47" s="670">
        <f>E48+E49+E53+E59+E60+E63+E66+E69+E70+E77+E56+E78+E73+E79+E82</f>
        <v>2013322766.1299999</v>
      </c>
      <c r="F47" s="816">
        <f t="shared" ref="F47:P47" si="31">F48+F49+F53+F59+F60+F63+F66+F69+F70+F77+F56+F78+F73+F79+F82</f>
        <v>2013322766.1299999</v>
      </c>
      <c r="G47" s="816">
        <f t="shared" si="31"/>
        <v>1217378134</v>
      </c>
      <c r="H47" s="816">
        <f t="shared" si="31"/>
        <v>199813865.34</v>
      </c>
      <c r="I47" s="816">
        <f t="shared" si="31"/>
        <v>0</v>
      </c>
      <c r="J47" s="816">
        <f t="shared" si="31"/>
        <v>323435001.88</v>
      </c>
      <c r="K47" s="816">
        <f t="shared" si="31"/>
        <v>148304241.88</v>
      </c>
      <c r="L47" s="816">
        <f t="shared" si="31"/>
        <v>171722131</v>
      </c>
      <c r="M47" s="816">
        <f t="shared" si="31"/>
        <v>39544820</v>
      </c>
      <c r="N47" s="816">
        <f t="shared" si="31"/>
        <v>15551110</v>
      </c>
      <c r="O47" s="816">
        <f t="shared" si="31"/>
        <v>151712870.88</v>
      </c>
      <c r="P47" s="816">
        <f t="shared" si="31"/>
        <v>2336757768.0099998</v>
      </c>
      <c r="Q47" s="32"/>
      <c r="R47" s="28"/>
    </row>
    <row r="48" spans="1:18" ht="99" customHeight="1" thickTop="1" thickBot="1" x14ac:dyDescent="0.6">
      <c r="A48" s="445" t="s">
        <v>203</v>
      </c>
      <c r="B48" s="445" t="s">
        <v>204</v>
      </c>
      <c r="C48" s="445" t="s">
        <v>206</v>
      </c>
      <c r="D48" s="445" t="s">
        <v>207</v>
      </c>
      <c r="E48" s="670">
        <f>F48</f>
        <v>555663031.6099999</v>
      </c>
      <c r="F48" s="389">
        <f>(((400040240+6826450+124590+53766100+4976300+32989243+2983694+26550438+1371161+1730057+724954+69630+3560+1548795+200000+410000+22000+1000000+500000+875000)+1082161+4198058+61993.56+3565000)+504026-40000)+10037.05+2039944+199618+108144+332495+160289+1000000+200000+118630+33758+39691+195834+133962+23921+1950000+155000+155000+189540+187731+199981+187965+95303+81390+117112+198249+93207+52627+495153+825000</f>
        <v>555663031.6099999</v>
      </c>
      <c r="G48" s="389">
        <v>327901836</v>
      </c>
      <c r="H48" s="389">
        <f>(32989243+2983694+26550438+1371161+1730057+724954)+10037.05</f>
        <v>66359584.049999997</v>
      </c>
      <c r="I48" s="389"/>
      <c r="J48" s="670">
        <f t="shared" ref="J48:J72" si="32">L48+O48</f>
        <v>105141247</v>
      </c>
      <c r="K48" s="389">
        <f>(((80000+800000+4500000)+1000000+179520+5000000+500000)+40000)-80000+1812317+100000+3500000</f>
        <v>17431837</v>
      </c>
      <c r="L48" s="389">
        <f>((85884000)-22999+30000)+80000</f>
        <v>85971001</v>
      </c>
      <c r="M48" s="389">
        <v>15449160</v>
      </c>
      <c r="N48" s="389">
        <v>4392000</v>
      </c>
      <c r="O48" s="390">
        <f>((K48+1825410)+22999-30000)-80000</f>
        <v>19170246</v>
      </c>
      <c r="P48" s="446">
        <f t="shared" ref="P48:P61" si="33">E48+J48</f>
        <v>660804278.6099999</v>
      </c>
      <c r="Q48" s="177"/>
      <c r="R48" s="28"/>
    </row>
    <row r="49" spans="1:20" s="37" customFormat="1" ht="138.75" thickTop="1" thickBot="1" x14ac:dyDescent="0.6">
      <c r="A49" s="455" t="s">
        <v>208</v>
      </c>
      <c r="B49" s="455" t="s">
        <v>205</v>
      </c>
      <c r="C49" s="455"/>
      <c r="D49" s="455" t="s">
        <v>652</v>
      </c>
      <c r="E49" s="440">
        <f>E50+E51+E52</f>
        <v>588212946.33999991</v>
      </c>
      <c r="F49" s="440">
        <f>F50+F51+F52</f>
        <v>588212946.33999991</v>
      </c>
      <c r="G49" s="440">
        <f t="shared" ref="G49:I49" si="34">G50+G51+G52</f>
        <v>259865950</v>
      </c>
      <c r="H49" s="440">
        <f t="shared" si="34"/>
        <v>98664106.609999999</v>
      </c>
      <c r="I49" s="440">
        <f t="shared" si="34"/>
        <v>0</v>
      </c>
      <c r="J49" s="440">
        <f t="shared" ref="J49" si="35">J50+J51+J52</f>
        <v>137684604.58000001</v>
      </c>
      <c r="K49" s="440">
        <f t="shared" ref="K49" si="36">K50+K51+K52</f>
        <v>82250384.580000013</v>
      </c>
      <c r="L49" s="440">
        <f t="shared" ref="L49" si="37">L50+L51+L52</f>
        <v>54213500</v>
      </c>
      <c r="M49" s="440">
        <f t="shared" ref="M49" si="38">M50+M51+M52</f>
        <v>15085870</v>
      </c>
      <c r="N49" s="440">
        <f t="shared" ref="N49" si="39">N50+N51+N52</f>
        <v>1403040</v>
      </c>
      <c r="O49" s="440">
        <f t="shared" ref="O49" si="40">O50+O51+O52</f>
        <v>83471104.580000013</v>
      </c>
      <c r="P49" s="440">
        <f>E49+J49</f>
        <v>725897550.91999996</v>
      </c>
      <c r="Q49" s="177"/>
      <c r="R49" s="40"/>
    </row>
    <row r="50" spans="1:20" ht="184.5" thickTop="1" thickBot="1" x14ac:dyDescent="0.6">
      <c r="A50" s="445" t="s">
        <v>650</v>
      </c>
      <c r="B50" s="445" t="s">
        <v>651</v>
      </c>
      <c r="C50" s="445" t="s">
        <v>209</v>
      </c>
      <c r="D50" s="445" t="s">
        <v>1363</v>
      </c>
      <c r="E50" s="446">
        <f t="shared" ref="E50:E61" si="41">F50</f>
        <v>532327669.33999997</v>
      </c>
      <c r="F50" s="389">
        <f>(((278478740+14949120+232788+68902488.28+6324200+49423800+1957040+28032408+2824915+6227487+147250+17044+402147+7030+1000000+620800+1258600+2000000+1300000+1505000+4601586)+428761+335283+40000+384864+79778+28689487.61+58752.45+1154067+3430000-1543567+396762)+853015+300000+364381+23946+66470+79400+122699)+605767+84568+179993+96661+147840+118497+97809+200000+196866+196000+698760+500000+100000+167208+1820000+111476+132797+94987+175728+199618+183597+394617+1749112+99707+248989+108976+364959+215252+196764+115344+841000+350223+189388+199928+189055+97860+199669+8280+499226+110000-73198+89862+710000+710000+430000+67992+12629950</f>
        <v>532327669.33999997</v>
      </c>
      <c r="G50" s="389">
        <v>228261262</v>
      </c>
      <c r="H50" s="389">
        <f>(49423800+1957040+28032408+2824915+6227487+4601586)+45699.61</f>
        <v>93112935.609999999</v>
      </c>
      <c r="I50" s="389"/>
      <c r="J50" s="446">
        <f t="shared" si="32"/>
        <v>136684518.89000002</v>
      </c>
      <c r="K50" s="389">
        <f>(((300000+800000+2064862.22+1330068.27+500000+450000+300000+300000+300000+300000+300000+3000000+1000000+1200000+7740000)+545838+746697.15+30878+185905+57151+53047+47077+4393825+108378.06+500000+10500000+500000)+1749105+121900+125620+83060+70400)+750000+1363128+320045+885514+434432+526202+490023+3096760-92696.47+96393.95-59096.4-15002.9-38302+2386312+2249222.72+2133480.56+4175264+761098.73+135642+396000+1600000+797745+73198+9000000+2964799+1447886+1053439+2270000+2500000</f>
        <v>81405298.890000015</v>
      </c>
      <c r="L50" s="389">
        <v>54058500</v>
      </c>
      <c r="M50" s="389">
        <v>15085870</v>
      </c>
      <c r="N50" s="389">
        <v>1329840</v>
      </c>
      <c r="O50" s="390">
        <f>(K50+1220720)</f>
        <v>82626018.890000015</v>
      </c>
      <c r="P50" s="446">
        <f t="shared" si="33"/>
        <v>669012188.23000002</v>
      </c>
      <c r="Q50" s="177"/>
      <c r="R50" s="28"/>
      <c r="T50" s="41"/>
    </row>
    <row r="51" spans="1:20" ht="367.5" thickTop="1" thickBot="1" x14ac:dyDescent="0.25">
      <c r="A51" s="445" t="s">
        <v>659</v>
      </c>
      <c r="B51" s="445" t="s">
        <v>660</v>
      </c>
      <c r="C51" s="445" t="s">
        <v>212</v>
      </c>
      <c r="D51" s="445" t="s">
        <v>1364</v>
      </c>
      <c r="E51" s="446">
        <f t="shared" si="41"/>
        <v>29546436</v>
      </c>
      <c r="F51" s="389">
        <f>((25431320+268386+7230+657580+216630+2600+1606499+33482+292578+12894+4700+5400+20000+70000)+405237)+224100+74385+19921+22718+62247+91531+16998</f>
        <v>29546436</v>
      </c>
      <c r="G51" s="389">
        <v>20845344</v>
      </c>
      <c r="H51" s="389">
        <f>1606499+33482+292578+12894</f>
        <v>1945453</v>
      </c>
      <c r="I51" s="389"/>
      <c r="J51" s="446">
        <f t="shared" si="32"/>
        <v>715000</v>
      </c>
      <c r="K51" s="389">
        <f>(360000)+200000</f>
        <v>560000</v>
      </c>
      <c r="L51" s="389">
        <v>155000</v>
      </c>
      <c r="M51" s="389"/>
      <c r="N51" s="389">
        <v>73200</v>
      </c>
      <c r="O51" s="390">
        <f>K51</f>
        <v>560000</v>
      </c>
      <c r="P51" s="446">
        <f t="shared" si="33"/>
        <v>30261436</v>
      </c>
      <c r="Q51" s="22"/>
      <c r="R51" s="29"/>
    </row>
    <row r="52" spans="1:20" ht="230.25" thickTop="1" thickBot="1" x14ac:dyDescent="0.25">
      <c r="A52" s="445" t="s">
        <v>1015</v>
      </c>
      <c r="B52" s="445" t="s">
        <v>1016</v>
      </c>
      <c r="C52" s="445" t="s">
        <v>212</v>
      </c>
      <c r="D52" s="445" t="s">
        <v>1365</v>
      </c>
      <c r="E52" s="446">
        <f t="shared" ref="E52" si="42">F52</f>
        <v>26338841</v>
      </c>
      <c r="F52" s="389">
        <f>(13126400+398670+13800+5375100+417390+199390+2311854+120372+1153100+20392+3310+2700+170000+200000+21700+150000+35000)+2619663</f>
        <v>26338841</v>
      </c>
      <c r="G52" s="389">
        <v>10759344</v>
      </c>
      <c r="H52" s="389">
        <f>2311854+120372+1153100+20392</f>
        <v>3605718</v>
      </c>
      <c r="I52" s="389"/>
      <c r="J52" s="446">
        <f t="shared" ref="J52" si="43">L52+O52</f>
        <v>285085.69</v>
      </c>
      <c r="K52" s="389">
        <f>(50000+65000+180000)-9914.31</f>
        <v>285085.69</v>
      </c>
      <c r="L52" s="389"/>
      <c r="M52" s="389"/>
      <c r="N52" s="389"/>
      <c r="O52" s="390">
        <f>K52</f>
        <v>285085.69</v>
      </c>
      <c r="P52" s="446">
        <f t="shared" ref="P52" si="44">E52+J52</f>
        <v>26623926.690000001</v>
      </c>
      <c r="Q52" s="22"/>
      <c r="R52" s="29"/>
    </row>
    <row r="53" spans="1:20" s="37" customFormat="1" ht="138.75" thickTop="1" thickBot="1" x14ac:dyDescent="0.25">
      <c r="A53" s="455" t="s">
        <v>503</v>
      </c>
      <c r="B53" s="455" t="s">
        <v>210</v>
      </c>
      <c r="C53" s="455"/>
      <c r="D53" s="455" t="s">
        <v>667</v>
      </c>
      <c r="E53" s="440">
        <f>SUM(E54:E55)</f>
        <v>602605586</v>
      </c>
      <c r="F53" s="440">
        <f>SUM(F54:F55)</f>
        <v>602605586</v>
      </c>
      <c r="G53" s="440">
        <f>SUM(G54:G55)</f>
        <v>490213860</v>
      </c>
      <c r="H53" s="440">
        <f>SUM(H54:H55)</f>
        <v>0</v>
      </c>
      <c r="I53" s="440">
        <f>SUM(I54:I55)</f>
        <v>0</v>
      </c>
      <c r="J53" s="440">
        <f t="shared" ref="J53:P53" si="45">SUM(J54:J55)</f>
        <v>0</v>
      </c>
      <c r="K53" s="440">
        <f t="shared" si="45"/>
        <v>0</v>
      </c>
      <c r="L53" s="440">
        <f t="shared" si="45"/>
        <v>0</v>
      </c>
      <c r="M53" s="440">
        <f t="shared" si="45"/>
        <v>0</v>
      </c>
      <c r="N53" s="440">
        <f t="shared" si="45"/>
        <v>0</v>
      </c>
      <c r="O53" s="440">
        <f t="shared" si="45"/>
        <v>0</v>
      </c>
      <c r="P53" s="440">
        <f t="shared" si="45"/>
        <v>602605586</v>
      </c>
      <c r="Q53" s="22"/>
      <c r="R53" s="38"/>
    </row>
    <row r="54" spans="1:20" ht="184.5" thickTop="1" thickBot="1" x14ac:dyDescent="0.25">
      <c r="A54" s="445" t="s">
        <v>668</v>
      </c>
      <c r="B54" s="445" t="s">
        <v>669</v>
      </c>
      <c r="C54" s="445" t="s">
        <v>209</v>
      </c>
      <c r="D54" s="445" t="s">
        <v>1366</v>
      </c>
      <c r="E54" s="446">
        <f t="shared" ref="E54:E55" si="46">F54</f>
        <v>600318986</v>
      </c>
      <c r="F54" s="389">
        <f>(595757900+4544686)+16400</f>
        <v>600318986</v>
      </c>
      <c r="G54" s="389">
        <f>(488326150)+13450</f>
        <v>488339600</v>
      </c>
      <c r="H54" s="389"/>
      <c r="I54" s="389"/>
      <c r="J54" s="446">
        <f t="shared" ref="J54:J55" si="47">L54+O54</f>
        <v>0</v>
      </c>
      <c r="K54" s="389"/>
      <c r="L54" s="389"/>
      <c r="M54" s="389"/>
      <c r="N54" s="389"/>
      <c r="O54" s="390">
        <f>K54</f>
        <v>0</v>
      </c>
      <c r="P54" s="446">
        <f t="shared" ref="P54:P58" si="48">E54+J54</f>
        <v>600318986</v>
      </c>
      <c r="Q54" s="22"/>
      <c r="R54" s="32"/>
    </row>
    <row r="55" spans="1:20" ht="230.25" thickTop="1" thickBot="1" x14ac:dyDescent="0.25">
      <c r="A55" s="445" t="s">
        <v>1174</v>
      </c>
      <c r="B55" s="485" t="s">
        <v>1175</v>
      </c>
      <c r="C55" s="445" t="s">
        <v>212</v>
      </c>
      <c r="D55" s="445" t="s">
        <v>1367</v>
      </c>
      <c r="E55" s="446">
        <f t="shared" si="46"/>
        <v>2286600</v>
      </c>
      <c r="F55" s="467">
        <v>2286600</v>
      </c>
      <c r="G55" s="467">
        <v>1874260</v>
      </c>
      <c r="H55" s="467"/>
      <c r="I55" s="467"/>
      <c r="J55" s="446">
        <f t="shared" si="47"/>
        <v>0</v>
      </c>
      <c r="K55" s="467"/>
      <c r="L55" s="467"/>
      <c r="M55" s="467"/>
      <c r="N55" s="467"/>
      <c r="O55" s="444"/>
      <c r="P55" s="446">
        <f t="shared" si="48"/>
        <v>2286600</v>
      </c>
      <c r="Q55" s="22"/>
      <c r="R55" s="32"/>
    </row>
    <row r="56" spans="1:20" ht="409.6" hidden="1" thickTop="1" x14ac:dyDescent="0.65">
      <c r="A56" s="899" t="s">
        <v>943</v>
      </c>
      <c r="B56" s="899" t="s">
        <v>50</v>
      </c>
      <c r="C56" s="899"/>
      <c r="D56" s="486" t="s">
        <v>946</v>
      </c>
      <c r="E56" s="901">
        <f t="shared" ref="E56:O56" si="49">E58</f>
        <v>0</v>
      </c>
      <c r="F56" s="901">
        <f t="shared" si="49"/>
        <v>0</v>
      </c>
      <c r="G56" s="901">
        <f t="shared" si="49"/>
        <v>0</v>
      </c>
      <c r="H56" s="901">
        <f t="shared" si="49"/>
        <v>0</v>
      </c>
      <c r="I56" s="901">
        <f t="shared" si="49"/>
        <v>0</v>
      </c>
      <c r="J56" s="901">
        <f t="shared" si="49"/>
        <v>0</v>
      </c>
      <c r="K56" s="901">
        <f t="shared" si="49"/>
        <v>0</v>
      </c>
      <c r="L56" s="901">
        <f t="shared" si="49"/>
        <v>0</v>
      </c>
      <c r="M56" s="901">
        <f t="shared" si="49"/>
        <v>0</v>
      </c>
      <c r="N56" s="901">
        <f t="shared" si="49"/>
        <v>0</v>
      </c>
      <c r="O56" s="901">
        <f t="shared" si="49"/>
        <v>0</v>
      </c>
      <c r="P56" s="901">
        <f>E56+J56</f>
        <v>0</v>
      </c>
      <c r="Q56" s="22"/>
      <c r="R56" s="32"/>
    </row>
    <row r="57" spans="1:20" ht="183.75" hidden="1" thickBot="1" x14ac:dyDescent="0.25">
      <c r="A57" s="900"/>
      <c r="B57" s="900"/>
      <c r="C57" s="900"/>
      <c r="D57" s="487" t="s">
        <v>947</v>
      </c>
      <c r="E57" s="900"/>
      <c r="F57" s="900"/>
      <c r="G57" s="900"/>
      <c r="H57" s="900"/>
      <c r="I57" s="900"/>
      <c r="J57" s="900"/>
      <c r="K57" s="900"/>
      <c r="L57" s="900"/>
      <c r="M57" s="900"/>
      <c r="N57" s="900"/>
      <c r="O57" s="900"/>
      <c r="P57" s="900"/>
      <c r="Q57" s="22"/>
      <c r="R57" s="32"/>
    </row>
    <row r="58" spans="1:20" ht="138.75" hidden="1" thickTop="1" thickBot="1" x14ac:dyDescent="0.25">
      <c r="A58" s="452" t="s">
        <v>944</v>
      </c>
      <c r="B58" s="452" t="s">
        <v>945</v>
      </c>
      <c r="C58" s="452" t="s">
        <v>209</v>
      </c>
      <c r="D58" s="452" t="s">
        <v>948</v>
      </c>
      <c r="E58" s="488">
        <f t="shared" ref="E58" si="50">F58</f>
        <v>0</v>
      </c>
      <c r="F58" s="468"/>
      <c r="G58" s="468"/>
      <c r="H58" s="468"/>
      <c r="I58" s="468"/>
      <c r="J58" s="488">
        <f t="shared" ref="J58" si="51">L58+O58</f>
        <v>0</v>
      </c>
      <c r="K58" s="468"/>
      <c r="L58" s="468"/>
      <c r="M58" s="468"/>
      <c r="N58" s="468"/>
      <c r="O58" s="489">
        <f>K58</f>
        <v>0</v>
      </c>
      <c r="P58" s="488">
        <f t="shared" si="48"/>
        <v>0</v>
      </c>
      <c r="Q58" s="22"/>
      <c r="R58" s="28"/>
    </row>
    <row r="59" spans="1:20" ht="184.5" thickTop="1" thickBot="1" x14ac:dyDescent="0.25">
      <c r="A59" s="445" t="s">
        <v>670</v>
      </c>
      <c r="B59" s="445" t="s">
        <v>211</v>
      </c>
      <c r="C59" s="445" t="s">
        <v>186</v>
      </c>
      <c r="D59" s="445" t="s">
        <v>504</v>
      </c>
      <c r="E59" s="446">
        <f t="shared" si="41"/>
        <v>33772721</v>
      </c>
      <c r="F59" s="389">
        <f>((25963460+430050+14000+475600+159020+3164837+73186+907670+79855+39033+3510+237440+310+250000)+188000)+66250+1720500</f>
        <v>33772721</v>
      </c>
      <c r="G59" s="389">
        <v>21281525</v>
      </c>
      <c r="H59" s="389">
        <f>3164837+73186+907670+79855+39033</f>
        <v>4264581</v>
      </c>
      <c r="I59" s="389"/>
      <c r="J59" s="446">
        <f t="shared" si="32"/>
        <v>11092430</v>
      </c>
      <c r="K59" s="389">
        <f>10000000</f>
        <v>10000000</v>
      </c>
      <c r="L59" s="389">
        <v>872930</v>
      </c>
      <c r="M59" s="389">
        <v>15440</v>
      </c>
      <c r="N59" s="389">
        <v>111310</v>
      </c>
      <c r="O59" s="390">
        <f>(K59+219500)</f>
        <v>10219500</v>
      </c>
      <c r="P59" s="446">
        <f t="shared" si="33"/>
        <v>44865151</v>
      </c>
      <c r="Q59" s="22"/>
      <c r="R59" s="28"/>
    </row>
    <row r="60" spans="1:20" s="37" customFormat="1" ht="184.5" thickTop="1" thickBot="1" x14ac:dyDescent="0.25">
      <c r="A60" s="455" t="s">
        <v>213</v>
      </c>
      <c r="B60" s="455" t="s">
        <v>196</v>
      </c>
      <c r="C60" s="455"/>
      <c r="D60" s="455" t="s">
        <v>505</v>
      </c>
      <c r="E60" s="440">
        <f>E61+E62</f>
        <v>189446480.68000001</v>
      </c>
      <c r="F60" s="440">
        <f t="shared" ref="F60:O60" si="52">F61+F62</f>
        <v>189446480.68000001</v>
      </c>
      <c r="G60" s="440">
        <f t="shared" si="52"/>
        <v>89421552</v>
      </c>
      <c r="H60" s="440">
        <f t="shared" si="52"/>
        <v>28045404.68</v>
      </c>
      <c r="I60" s="440">
        <f t="shared" si="52"/>
        <v>0</v>
      </c>
      <c r="J60" s="440">
        <f t="shared" si="52"/>
        <v>46408683.230000004</v>
      </c>
      <c r="K60" s="440">
        <f t="shared" si="52"/>
        <v>16018683.23</v>
      </c>
      <c r="L60" s="440">
        <f t="shared" si="52"/>
        <v>30160000</v>
      </c>
      <c r="M60" s="440">
        <f t="shared" si="52"/>
        <v>8894270</v>
      </c>
      <c r="N60" s="440">
        <f t="shared" si="52"/>
        <v>9529290</v>
      </c>
      <c r="O60" s="440">
        <f t="shared" si="52"/>
        <v>16248683.23</v>
      </c>
      <c r="P60" s="440">
        <f t="shared" si="33"/>
        <v>235855163.91000003</v>
      </c>
      <c r="Q60" s="22"/>
      <c r="R60" s="38"/>
    </row>
    <row r="61" spans="1:20" ht="230.25" thickTop="1" thickBot="1" x14ac:dyDescent="0.25">
      <c r="A61" s="445" t="s">
        <v>671</v>
      </c>
      <c r="B61" s="445" t="s">
        <v>672</v>
      </c>
      <c r="C61" s="445" t="s">
        <v>214</v>
      </c>
      <c r="D61" s="445" t="s">
        <v>673</v>
      </c>
      <c r="E61" s="446">
        <f t="shared" si="41"/>
        <v>165072880.68000001</v>
      </c>
      <c r="F61" s="389">
        <f>(((84519260+111000+22600+5254600+433200+14205640+1588100+11939030+21300+186500+15360+33077300+1043800+500000+250000)+5454565.87-99000)+930229)+98204.81+201528+395500+290660+424175+2103243+456425+124580+495860+543124+360473+125623</f>
        <v>165072880.68000001</v>
      </c>
      <c r="G61" s="389">
        <v>69278082</v>
      </c>
      <c r="H61" s="389">
        <f>((14205640+1588100+11939030+21300+186500)+6629.87)+98204.81</f>
        <v>28045404.68</v>
      </c>
      <c r="I61" s="389"/>
      <c r="J61" s="446">
        <f>L61+O61</f>
        <v>46408683.230000004</v>
      </c>
      <c r="K61" s="389">
        <f>(((101468.23+800000)+99000+200000)+82825+15665)+6948195+32811+1200000+194000+1575310+1770793+2998616</f>
        <v>16018683.23</v>
      </c>
      <c r="L61" s="389">
        <f>(30210000)-50000</f>
        <v>30160000</v>
      </c>
      <c r="M61" s="389">
        <v>8894270</v>
      </c>
      <c r="N61" s="389">
        <v>9529290</v>
      </c>
      <c r="O61" s="390">
        <f>(K61+180000)+50000</f>
        <v>16248683.23</v>
      </c>
      <c r="P61" s="446">
        <f t="shared" si="33"/>
        <v>211481563.91000003</v>
      </c>
      <c r="Q61" s="22"/>
      <c r="R61" s="28"/>
    </row>
    <row r="62" spans="1:20" ht="230.25" thickTop="1" thickBot="1" x14ac:dyDescent="0.25">
      <c r="A62" s="445" t="s">
        <v>675</v>
      </c>
      <c r="B62" s="445" t="s">
        <v>674</v>
      </c>
      <c r="C62" s="445" t="s">
        <v>214</v>
      </c>
      <c r="D62" s="445" t="s">
        <v>676</v>
      </c>
      <c r="E62" s="446">
        <f t="shared" ref="E62" si="53">F62</f>
        <v>24373600</v>
      </c>
      <c r="F62" s="389">
        <v>24373600</v>
      </c>
      <c r="G62" s="389">
        <v>20143470</v>
      </c>
      <c r="H62" s="389"/>
      <c r="I62" s="389"/>
      <c r="J62" s="446">
        <f>L62+O62</f>
        <v>0</v>
      </c>
      <c r="K62" s="389"/>
      <c r="L62" s="389"/>
      <c r="M62" s="389"/>
      <c r="N62" s="389"/>
      <c r="O62" s="390"/>
      <c r="P62" s="446">
        <f t="shared" ref="P62" si="54">E62+J62</f>
        <v>24373600</v>
      </c>
      <c r="Q62" s="22"/>
      <c r="R62" s="32"/>
    </row>
    <row r="63" spans="1:20" s="37" customFormat="1" ht="93" thickTop="1" thickBot="1" x14ac:dyDescent="0.25">
      <c r="A63" s="455" t="s">
        <v>678</v>
      </c>
      <c r="B63" s="455" t="s">
        <v>677</v>
      </c>
      <c r="C63" s="455"/>
      <c r="D63" s="455" t="s">
        <v>679</v>
      </c>
      <c r="E63" s="440">
        <f>E64+E65</f>
        <v>31019210</v>
      </c>
      <c r="F63" s="440">
        <f t="shared" ref="F63:O63" si="55">F64+F65</f>
        <v>31019210</v>
      </c>
      <c r="G63" s="440">
        <f t="shared" si="55"/>
        <v>19102541</v>
      </c>
      <c r="H63" s="440">
        <f t="shared" si="55"/>
        <v>2208742</v>
      </c>
      <c r="I63" s="440">
        <f t="shared" si="55"/>
        <v>0</v>
      </c>
      <c r="J63" s="440">
        <f t="shared" si="55"/>
        <v>6708401</v>
      </c>
      <c r="K63" s="440">
        <f t="shared" si="55"/>
        <v>6203701</v>
      </c>
      <c r="L63" s="440">
        <f t="shared" si="55"/>
        <v>504700</v>
      </c>
      <c r="M63" s="440">
        <f t="shared" si="55"/>
        <v>100080</v>
      </c>
      <c r="N63" s="440">
        <f t="shared" si="55"/>
        <v>115470</v>
      </c>
      <c r="O63" s="440">
        <f t="shared" si="55"/>
        <v>6203701</v>
      </c>
      <c r="P63" s="440">
        <f>E63+J63</f>
        <v>37727611</v>
      </c>
      <c r="Q63" s="22"/>
      <c r="R63" s="38"/>
    </row>
    <row r="64" spans="1:20" ht="93" thickTop="1" thickBot="1" x14ac:dyDescent="0.25">
      <c r="A64" s="445" t="s">
        <v>680</v>
      </c>
      <c r="B64" s="445" t="s">
        <v>681</v>
      </c>
      <c r="C64" s="445" t="s">
        <v>215</v>
      </c>
      <c r="D64" s="445" t="s">
        <v>506</v>
      </c>
      <c r="E64" s="446">
        <f>F64</f>
        <v>30499390</v>
      </c>
      <c r="F64" s="389">
        <f>((23305100+814015+1855+882100+1246141+24736+912211+25654+6060+2700+200000)+742713+2700)+100000+556514+7000+147600+57500+92200+1000000+50004+7500+7500+96825+34800+175962</f>
        <v>30499390</v>
      </c>
      <c r="G64" s="389">
        <v>19102541</v>
      </c>
      <c r="H64" s="389">
        <f>1246141+24736+912211+25654</f>
        <v>2208742</v>
      </c>
      <c r="I64" s="389"/>
      <c r="J64" s="446">
        <f>L64+O64</f>
        <v>6708401</v>
      </c>
      <c r="K64" s="389">
        <f>(500000+100000)+5603701</f>
        <v>6203701</v>
      </c>
      <c r="L64" s="389">
        <v>504700</v>
      </c>
      <c r="M64" s="389">
        <v>100080</v>
      </c>
      <c r="N64" s="389">
        <v>115470</v>
      </c>
      <c r="O64" s="390">
        <f>K64</f>
        <v>6203701</v>
      </c>
      <c r="P64" s="446">
        <f>E64+J64</f>
        <v>37207791</v>
      </c>
      <c r="Q64" s="22"/>
      <c r="R64" s="32"/>
    </row>
    <row r="65" spans="1:18" ht="93" thickTop="1" thickBot="1" x14ac:dyDescent="0.25">
      <c r="A65" s="445" t="s">
        <v>682</v>
      </c>
      <c r="B65" s="445" t="s">
        <v>683</v>
      </c>
      <c r="C65" s="445" t="s">
        <v>215</v>
      </c>
      <c r="D65" s="445" t="s">
        <v>342</v>
      </c>
      <c r="E65" s="446">
        <f>F65</f>
        <v>519820</v>
      </c>
      <c r="F65" s="389">
        <f>(219820)+300000</f>
        <v>519820</v>
      </c>
      <c r="G65" s="389"/>
      <c r="H65" s="389"/>
      <c r="I65" s="389"/>
      <c r="J65" s="446">
        <f>L65+O65</f>
        <v>0</v>
      </c>
      <c r="K65" s="389"/>
      <c r="L65" s="389"/>
      <c r="M65" s="389"/>
      <c r="N65" s="389"/>
      <c r="O65" s="390">
        <f>K65</f>
        <v>0</v>
      </c>
      <c r="P65" s="446">
        <f>E65+J65</f>
        <v>519820</v>
      </c>
      <c r="Q65" s="22"/>
      <c r="R65" s="32"/>
    </row>
    <row r="66" spans="1:18" s="37" customFormat="1" ht="93" thickTop="1" thickBot="1" x14ac:dyDescent="0.25">
      <c r="A66" s="455" t="s">
        <v>684</v>
      </c>
      <c r="B66" s="455" t="s">
        <v>685</v>
      </c>
      <c r="C66" s="455"/>
      <c r="D66" s="455" t="s">
        <v>434</v>
      </c>
      <c r="E66" s="440">
        <f>E67+E68</f>
        <v>4934521.5</v>
      </c>
      <c r="F66" s="440">
        <f>F67+F68</f>
        <v>4934521.5</v>
      </c>
      <c r="G66" s="440">
        <f t="shared" ref="G66:O66" si="56">G67+G68</f>
        <v>3649272</v>
      </c>
      <c r="H66" s="440">
        <f t="shared" si="56"/>
        <v>170565</v>
      </c>
      <c r="I66" s="440">
        <f t="shared" si="56"/>
        <v>0</v>
      </c>
      <c r="J66" s="440">
        <f t="shared" si="56"/>
        <v>219300</v>
      </c>
      <c r="K66" s="440">
        <f t="shared" si="56"/>
        <v>219300</v>
      </c>
      <c r="L66" s="440">
        <f t="shared" si="56"/>
        <v>0</v>
      </c>
      <c r="M66" s="440">
        <f t="shared" si="56"/>
        <v>0</v>
      </c>
      <c r="N66" s="440">
        <f t="shared" si="56"/>
        <v>0</v>
      </c>
      <c r="O66" s="440">
        <f t="shared" si="56"/>
        <v>219300</v>
      </c>
      <c r="P66" s="440">
        <f>E66+J66</f>
        <v>5153821.5</v>
      </c>
      <c r="Q66" s="22"/>
      <c r="R66" s="38"/>
    </row>
    <row r="67" spans="1:18" ht="184.5" thickTop="1" thickBot="1" x14ac:dyDescent="0.25">
      <c r="A67" s="445" t="s">
        <v>686</v>
      </c>
      <c r="B67" s="445" t="s">
        <v>687</v>
      </c>
      <c r="C67" s="445" t="s">
        <v>215</v>
      </c>
      <c r="D67" s="445" t="s">
        <v>688</v>
      </c>
      <c r="E67" s="446">
        <f>F67</f>
        <v>1219121.5</v>
      </c>
      <c r="F67" s="389">
        <f>((736700+167810+59750+5000+125493+10551+31952+2569+900)+1489.5)+76907</f>
        <v>1219121.5</v>
      </c>
      <c r="G67" s="389">
        <v>603852</v>
      </c>
      <c r="H67" s="389">
        <f>125493+10551+31952+2569</f>
        <v>170565</v>
      </c>
      <c r="I67" s="389"/>
      <c r="J67" s="446">
        <f>L67+O67</f>
        <v>219300</v>
      </c>
      <c r="K67" s="389">
        <f>219300</f>
        <v>219300</v>
      </c>
      <c r="L67" s="389"/>
      <c r="M67" s="389"/>
      <c r="N67" s="389"/>
      <c r="O67" s="390">
        <f>K67</f>
        <v>219300</v>
      </c>
      <c r="P67" s="446">
        <f>E67+J67</f>
        <v>1438421.5</v>
      </c>
      <c r="Q67" s="22"/>
      <c r="R67" s="28"/>
    </row>
    <row r="68" spans="1:18" ht="138.75" thickTop="1" thickBot="1" x14ac:dyDescent="0.25">
      <c r="A68" s="445" t="s">
        <v>689</v>
      </c>
      <c r="B68" s="445" t="s">
        <v>690</v>
      </c>
      <c r="C68" s="445" t="s">
        <v>215</v>
      </c>
      <c r="D68" s="445" t="s">
        <v>691</v>
      </c>
      <c r="E68" s="446">
        <f>F68</f>
        <v>3715400</v>
      </c>
      <c r="F68" s="389">
        <v>3715400</v>
      </c>
      <c r="G68" s="389">
        <v>3045420</v>
      </c>
      <c r="H68" s="389"/>
      <c r="I68" s="389"/>
      <c r="J68" s="446">
        <f t="shared" ref="J68" si="57">L68+O68</f>
        <v>0</v>
      </c>
      <c r="K68" s="389"/>
      <c r="L68" s="389"/>
      <c r="M68" s="389"/>
      <c r="N68" s="389"/>
      <c r="O68" s="390">
        <f t="shared" ref="O68" si="58">K68</f>
        <v>0</v>
      </c>
      <c r="P68" s="446">
        <f t="shared" ref="P68" si="59">E68+J68</f>
        <v>3715400</v>
      </c>
      <c r="Q68" s="22"/>
      <c r="R68" s="32"/>
    </row>
    <row r="69" spans="1:18" ht="138.75" thickTop="1" thickBot="1" x14ac:dyDescent="0.25">
      <c r="A69" s="445" t="s">
        <v>656</v>
      </c>
      <c r="B69" s="445" t="s">
        <v>657</v>
      </c>
      <c r="C69" s="445" t="s">
        <v>215</v>
      </c>
      <c r="D69" s="445" t="s">
        <v>658</v>
      </c>
      <c r="E69" s="446">
        <f t="shared" ref="E69" si="60">F69</f>
        <v>3358580</v>
      </c>
      <c r="F69" s="389">
        <f>(2939060+224488+42150+10000+60964+6421+28228+5269)+42000</f>
        <v>3358580</v>
      </c>
      <c r="G69" s="389">
        <v>2409066</v>
      </c>
      <c r="H69" s="389">
        <f>60964+6421+28228+5269</f>
        <v>100882</v>
      </c>
      <c r="I69" s="389"/>
      <c r="J69" s="446">
        <f t="shared" ref="J69" si="61">L69+O69</f>
        <v>200000</v>
      </c>
      <c r="K69" s="389">
        <v>200000</v>
      </c>
      <c r="L69" s="389"/>
      <c r="M69" s="389"/>
      <c r="N69" s="389"/>
      <c r="O69" s="390">
        <f t="shared" ref="O69" si="62">K69</f>
        <v>200000</v>
      </c>
      <c r="P69" s="446">
        <f t="shared" ref="P69" si="63">E69+J69</f>
        <v>3558580</v>
      </c>
      <c r="Q69" s="22"/>
      <c r="R69" s="28"/>
    </row>
    <row r="70" spans="1:18" s="35" customFormat="1" ht="230.25" hidden="1" thickTop="1" thickBot="1" x14ac:dyDescent="0.25">
      <c r="A70" s="490" t="s">
        <v>661</v>
      </c>
      <c r="B70" s="490" t="s">
        <v>662</v>
      </c>
      <c r="C70" s="490"/>
      <c r="D70" s="490" t="s">
        <v>663</v>
      </c>
      <c r="E70" s="469">
        <f t="shared" ref="E70:E87" si="64">F70</f>
        <v>0</v>
      </c>
      <c r="F70" s="469">
        <f>SUM(F71:F72)</f>
        <v>0</v>
      </c>
      <c r="G70" s="469">
        <f t="shared" ref="G70:I70" si="65">SUM(G71:G72)</f>
        <v>0</v>
      </c>
      <c r="H70" s="469">
        <f t="shared" si="65"/>
        <v>0</v>
      </c>
      <c r="I70" s="469">
        <f t="shared" si="65"/>
        <v>0</v>
      </c>
      <c r="J70" s="469">
        <f t="shared" si="32"/>
        <v>0</v>
      </c>
      <c r="K70" s="440">
        <f>SUM(K71:K72)</f>
        <v>0</v>
      </c>
      <c r="L70" s="469">
        <f t="shared" ref="L70:N70" si="66">SUM(L71:L72)</f>
        <v>0</v>
      </c>
      <c r="M70" s="469">
        <f t="shared" si="66"/>
        <v>0</v>
      </c>
      <c r="N70" s="469">
        <f t="shared" si="66"/>
        <v>0</v>
      </c>
      <c r="O70" s="469">
        <f>SUM(O71:O72)</f>
        <v>0</v>
      </c>
      <c r="P70" s="469">
        <f t="shared" ref="P70:P75" si="67">E70+J70</f>
        <v>0</v>
      </c>
      <c r="Q70" s="39"/>
      <c r="R70" s="40"/>
    </row>
    <row r="71" spans="1:18" s="35" customFormat="1" ht="367.5" hidden="1" thickTop="1" thickBot="1" x14ac:dyDescent="0.25">
      <c r="A71" s="452" t="s">
        <v>664</v>
      </c>
      <c r="B71" s="452" t="s">
        <v>665</v>
      </c>
      <c r="C71" s="452" t="s">
        <v>215</v>
      </c>
      <c r="D71" s="452" t="s">
        <v>666</v>
      </c>
      <c r="E71" s="488">
        <f t="shared" si="64"/>
        <v>0</v>
      </c>
      <c r="F71" s="468"/>
      <c r="G71" s="468"/>
      <c r="H71" s="468"/>
      <c r="I71" s="468"/>
      <c r="J71" s="488">
        <f t="shared" si="32"/>
        <v>0</v>
      </c>
      <c r="K71" s="389"/>
      <c r="L71" s="468"/>
      <c r="M71" s="468"/>
      <c r="N71" s="468"/>
      <c r="O71" s="489">
        <f t="shared" ref="O71:O72" si="68">K71</f>
        <v>0</v>
      </c>
      <c r="P71" s="488">
        <f t="shared" si="67"/>
        <v>0</v>
      </c>
      <c r="Q71" s="39"/>
      <c r="R71" s="28"/>
    </row>
    <row r="72" spans="1:18" s="35" customFormat="1" ht="367.5" hidden="1" thickTop="1" thickBot="1" x14ac:dyDescent="0.25">
      <c r="A72" s="452" t="s">
        <v>998</v>
      </c>
      <c r="B72" s="452" t="s">
        <v>999</v>
      </c>
      <c r="C72" s="452" t="s">
        <v>215</v>
      </c>
      <c r="D72" s="452" t="s">
        <v>1000</v>
      </c>
      <c r="E72" s="488">
        <f t="shared" si="64"/>
        <v>0</v>
      </c>
      <c r="F72" s="468"/>
      <c r="G72" s="468"/>
      <c r="H72" s="468"/>
      <c r="I72" s="468"/>
      <c r="J72" s="488">
        <f t="shared" si="32"/>
        <v>0</v>
      </c>
      <c r="K72" s="389"/>
      <c r="L72" s="468"/>
      <c r="M72" s="468"/>
      <c r="N72" s="468"/>
      <c r="O72" s="489">
        <f t="shared" si="68"/>
        <v>0</v>
      </c>
      <c r="P72" s="488">
        <f t="shared" si="67"/>
        <v>0</v>
      </c>
      <c r="Q72" s="39"/>
      <c r="R72" s="28"/>
    </row>
    <row r="73" spans="1:18" s="35" customFormat="1" ht="409.6" hidden="1" thickTop="1" thickBot="1" x14ac:dyDescent="0.25">
      <c r="A73" s="490" t="s">
        <v>1017</v>
      </c>
      <c r="B73" s="490" t="s">
        <v>1019</v>
      </c>
      <c r="C73" s="490"/>
      <c r="D73" s="490" t="s">
        <v>1021</v>
      </c>
      <c r="E73" s="469">
        <f>E74+E75</f>
        <v>0</v>
      </c>
      <c r="F73" s="469">
        <f>F74+F75</f>
        <v>0</v>
      </c>
      <c r="G73" s="469">
        <f t="shared" ref="G73:I73" si="69">G74+G75</f>
        <v>0</v>
      </c>
      <c r="H73" s="469">
        <f t="shared" si="69"/>
        <v>0</v>
      </c>
      <c r="I73" s="469">
        <f t="shared" si="69"/>
        <v>0</v>
      </c>
      <c r="J73" s="469">
        <f>L73+O73</f>
        <v>0</v>
      </c>
      <c r="K73" s="440">
        <f t="shared" ref="K73:O73" si="70">K74+K75</f>
        <v>0</v>
      </c>
      <c r="L73" s="469">
        <f t="shared" si="70"/>
        <v>0</v>
      </c>
      <c r="M73" s="469">
        <f t="shared" si="70"/>
        <v>0</v>
      </c>
      <c r="N73" s="469">
        <f t="shared" si="70"/>
        <v>0</v>
      </c>
      <c r="O73" s="469">
        <f t="shared" si="70"/>
        <v>0</v>
      </c>
      <c r="P73" s="469">
        <f t="shared" si="67"/>
        <v>0</v>
      </c>
      <c r="Q73" s="39"/>
      <c r="R73" s="28"/>
    </row>
    <row r="74" spans="1:18" s="35" customFormat="1" ht="409.6" hidden="1" thickTop="1" thickBot="1" x14ac:dyDescent="0.25">
      <c r="A74" s="452" t="s">
        <v>1018</v>
      </c>
      <c r="B74" s="452" t="s">
        <v>1020</v>
      </c>
      <c r="C74" s="452" t="s">
        <v>215</v>
      </c>
      <c r="D74" s="452" t="s">
        <v>1022</v>
      </c>
      <c r="E74" s="488">
        <f t="shared" ref="E74" si="71">F74</f>
        <v>0</v>
      </c>
      <c r="F74" s="468"/>
      <c r="G74" s="468"/>
      <c r="H74" s="468"/>
      <c r="I74" s="468"/>
      <c r="J74" s="488">
        <f t="shared" ref="J74" si="72">L74+O74</f>
        <v>0</v>
      </c>
      <c r="K74" s="389">
        <f>4547046.18-4547046.18</f>
        <v>0</v>
      </c>
      <c r="L74" s="468"/>
      <c r="M74" s="468"/>
      <c r="N74" s="468"/>
      <c r="O74" s="489">
        <f t="shared" ref="O74" si="73">K74</f>
        <v>0</v>
      </c>
      <c r="P74" s="488">
        <f t="shared" si="67"/>
        <v>0</v>
      </c>
      <c r="Q74" s="39"/>
      <c r="R74" s="28"/>
    </row>
    <row r="75" spans="1:18" s="35" customFormat="1" ht="45.75" hidden="1" thickTop="1" x14ac:dyDescent="0.2">
      <c r="A75" s="921" t="s">
        <v>1037</v>
      </c>
      <c r="B75" s="921" t="s">
        <v>1038</v>
      </c>
      <c r="C75" s="921" t="s">
        <v>215</v>
      </c>
      <c r="D75" s="921" t="s">
        <v>1039</v>
      </c>
      <c r="E75" s="922">
        <f t="shared" ref="E75" si="74">F75</f>
        <v>0</v>
      </c>
      <c r="F75" s="922"/>
      <c r="G75" s="922"/>
      <c r="H75" s="922"/>
      <c r="I75" s="922"/>
      <c r="J75" s="922">
        <f t="shared" ref="J75" si="75">L75+O75</f>
        <v>0</v>
      </c>
      <c r="K75" s="934">
        <f>10623233.82-10623233.82</f>
        <v>0</v>
      </c>
      <c r="L75" s="922"/>
      <c r="M75" s="922"/>
      <c r="N75" s="922"/>
      <c r="O75" s="937">
        <f t="shared" ref="O75" si="76">K75</f>
        <v>0</v>
      </c>
      <c r="P75" s="922">
        <f t="shared" si="67"/>
        <v>0</v>
      </c>
      <c r="Q75" s="39"/>
      <c r="R75" s="28"/>
    </row>
    <row r="76" spans="1:18" s="35" customFormat="1" ht="45.75" hidden="1" thickBot="1" x14ac:dyDescent="0.25">
      <c r="A76" s="900"/>
      <c r="B76" s="900"/>
      <c r="C76" s="900"/>
      <c r="D76" s="900"/>
      <c r="E76" s="900"/>
      <c r="F76" s="900"/>
      <c r="G76" s="900"/>
      <c r="H76" s="900"/>
      <c r="I76" s="900"/>
      <c r="J76" s="900"/>
      <c r="K76" s="925"/>
      <c r="L76" s="900"/>
      <c r="M76" s="900"/>
      <c r="N76" s="900"/>
      <c r="O76" s="900"/>
      <c r="P76" s="900"/>
      <c r="Q76" s="39"/>
      <c r="R76" s="28"/>
    </row>
    <row r="77" spans="1:18" s="35" customFormat="1" ht="321.75" thickTop="1" thickBot="1" x14ac:dyDescent="0.25">
      <c r="A77" s="445" t="s">
        <v>653</v>
      </c>
      <c r="B77" s="445" t="s">
        <v>654</v>
      </c>
      <c r="C77" s="445" t="s">
        <v>215</v>
      </c>
      <c r="D77" s="445" t="s">
        <v>655</v>
      </c>
      <c r="E77" s="446">
        <f t="shared" si="64"/>
        <v>4309689</v>
      </c>
      <c r="F77" s="389">
        <v>4309689</v>
      </c>
      <c r="G77" s="389">
        <v>3532532</v>
      </c>
      <c r="H77" s="389"/>
      <c r="I77" s="389"/>
      <c r="J77" s="446">
        <f t="shared" ref="J77" si="77">L77+O77</f>
        <v>0</v>
      </c>
      <c r="K77" s="389"/>
      <c r="L77" s="389"/>
      <c r="M77" s="389"/>
      <c r="N77" s="389"/>
      <c r="O77" s="390">
        <f t="shared" ref="O77" si="78">K77</f>
        <v>0</v>
      </c>
      <c r="P77" s="446">
        <f t="shared" ref="P77" si="79">E77+J77</f>
        <v>4309689</v>
      </c>
      <c r="Q77" s="39"/>
      <c r="R77" s="28"/>
    </row>
    <row r="78" spans="1:18" s="35" customFormat="1" ht="321.75" hidden="1" thickTop="1" thickBot="1" x14ac:dyDescent="0.25">
      <c r="A78" s="452" t="s">
        <v>957</v>
      </c>
      <c r="B78" s="452" t="s">
        <v>958</v>
      </c>
      <c r="C78" s="452" t="s">
        <v>215</v>
      </c>
      <c r="D78" s="452" t="s">
        <v>959</v>
      </c>
      <c r="E78" s="488">
        <f t="shared" ref="E78" si="80">F78</f>
        <v>0</v>
      </c>
      <c r="F78" s="468"/>
      <c r="G78" s="468"/>
      <c r="H78" s="468"/>
      <c r="I78" s="468"/>
      <c r="J78" s="488">
        <f t="shared" ref="J78" si="81">L78+O78</f>
        <v>0</v>
      </c>
      <c r="K78" s="389"/>
      <c r="L78" s="468"/>
      <c r="M78" s="468"/>
      <c r="N78" s="468"/>
      <c r="O78" s="489">
        <f t="shared" ref="O78" si="82">K78</f>
        <v>0</v>
      </c>
      <c r="P78" s="488">
        <f t="shared" ref="P78" si="83">E78+J78</f>
        <v>0</v>
      </c>
      <c r="Q78" s="39"/>
      <c r="R78" s="28"/>
    </row>
    <row r="79" spans="1:18" s="35" customFormat="1" ht="276" thickTop="1" thickBot="1" x14ac:dyDescent="0.25">
      <c r="A79" s="455" t="s">
        <v>1023</v>
      </c>
      <c r="B79" s="455" t="s">
        <v>1025</v>
      </c>
      <c r="C79" s="455"/>
      <c r="D79" s="455" t="s">
        <v>1320</v>
      </c>
      <c r="E79" s="440">
        <f>F79</f>
        <v>0</v>
      </c>
      <c r="F79" s="440">
        <f>SUM(F80:F81)</f>
        <v>0</v>
      </c>
      <c r="G79" s="440">
        <f>SUM(G80:G81)</f>
        <v>0</v>
      </c>
      <c r="H79" s="440">
        <f>SUM(H80:H81)</f>
        <v>0</v>
      </c>
      <c r="I79" s="440">
        <f>SUM(I80:I81)</f>
        <v>0</v>
      </c>
      <c r="J79" s="440">
        <f>L79+O79</f>
        <v>1780336.07</v>
      </c>
      <c r="K79" s="440">
        <f>SUM(K80:K81)</f>
        <v>1780336.07</v>
      </c>
      <c r="L79" s="440">
        <f>SUM(L80:L81)</f>
        <v>0</v>
      </c>
      <c r="M79" s="440">
        <f>SUM(M80:M81)</f>
        <v>0</v>
      </c>
      <c r="N79" s="440">
        <f>SUM(N80:N81)</f>
        <v>0</v>
      </c>
      <c r="O79" s="440">
        <f>SUM(O80:O81)</f>
        <v>1780336.07</v>
      </c>
      <c r="P79" s="440">
        <f>E79+J79</f>
        <v>1780336.07</v>
      </c>
      <c r="Q79" s="39"/>
      <c r="R79" s="28"/>
    </row>
    <row r="80" spans="1:18" s="35" customFormat="1" ht="367.5" thickTop="1" thickBot="1" x14ac:dyDescent="0.25">
      <c r="A80" s="445" t="s">
        <v>1024</v>
      </c>
      <c r="B80" s="445" t="s">
        <v>1026</v>
      </c>
      <c r="C80" s="445" t="s">
        <v>215</v>
      </c>
      <c r="D80" s="445" t="s">
        <v>1321</v>
      </c>
      <c r="E80" s="670">
        <f>F80</f>
        <v>0</v>
      </c>
      <c r="F80" s="389"/>
      <c r="G80" s="389"/>
      <c r="H80" s="389"/>
      <c r="I80" s="389"/>
      <c r="J80" s="670">
        <f t="shared" ref="J80:J81" si="84">L80+O80</f>
        <v>1780336.07</v>
      </c>
      <c r="K80" s="389">
        <f>(1611703)+168633.07</f>
        <v>1780336.07</v>
      </c>
      <c r="L80" s="389"/>
      <c r="M80" s="389"/>
      <c r="N80" s="389"/>
      <c r="O80" s="390">
        <f t="shared" ref="O80:O81" si="85">K80</f>
        <v>1780336.07</v>
      </c>
      <c r="P80" s="446">
        <f>E80+J80</f>
        <v>1780336.07</v>
      </c>
      <c r="Q80" s="39"/>
      <c r="R80" s="28"/>
    </row>
    <row r="81" spans="1:18" s="35" customFormat="1" ht="321.75" hidden="1" thickTop="1" thickBot="1" x14ac:dyDescent="0.25">
      <c r="A81" s="452" t="s">
        <v>1076</v>
      </c>
      <c r="B81" s="452" t="s">
        <v>1077</v>
      </c>
      <c r="C81" s="452" t="s">
        <v>215</v>
      </c>
      <c r="D81" s="452" t="s">
        <v>1075</v>
      </c>
      <c r="E81" s="670">
        <f>F81</f>
        <v>0</v>
      </c>
      <c r="F81" s="389">
        <f>(553900)-553900</f>
        <v>0</v>
      </c>
      <c r="G81" s="389"/>
      <c r="H81" s="389"/>
      <c r="I81" s="389"/>
      <c r="J81" s="670">
        <f t="shared" si="84"/>
        <v>0</v>
      </c>
      <c r="K81" s="389"/>
      <c r="L81" s="468"/>
      <c r="M81" s="468"/>
      <c r="N81" s="468"/>
      <c r="O81" s="489">
        <f t="shared" si="85"/>
        <v>0</v>
      </c>
      <c r="P81" s="488">
        <f>E81+J81</f>
        <v>0</v>
      </c>
      <c r="Q81" s="39"/>
      <c r="R81" s="28"/>
    </row>
    <row r="82" spans="1:18" s="35" customFormat="1" ht="184.5" thickTop="1" thickBot="1" x14ac:dyDescent="0.25">
      <c r="A82" s="455" t="s">
        <v>1516</v>
      </c>
      <c r="B82" s="455" t="s">
        <v>1517</v>
      </c>
      <c r="C82" s="455"/>
      <c r="D82" s="455" t="s">
        <v>1515</v>
      </c>
      <c r="E82" s="440">
        <f>SUM(E83:E84)</f>
        <v>0</v>
      </c>
      <c r="F82" s="440">
        <f t="shared" ref="F82:P82" si="86">SUM(F83:F84)</f>
        <v>0</v>
      </c>
      <c r="G82" s="440">
        <f t="shared" si="86"/>
        <v>0</v>
      </c>
      <c r="H82" s="440">
        <f t="shared" si="86"/>
        <v>0</v>
      </c>
      <c r="I82" s="440">
        <f t="shared" si="86"/>
        <v>0</v>
      </c>
      <c r="J82" s="440">
        <f t="shared" si="86"/>
        <v>14200000</v>
      </c>
      <c r="K82" s="440">
        <f t="shared" si="86"/>
        <v>14200000</v>
      </c>
      <c r="L82" s="440">
        <f t="shared" si="86"/>
        <v>0</v>
      </c>
      <c r="M82" s="440">
        <f t="shared" si="86"/>
        <v>0</v>
      </c>
      <c r="N82" s="440">
        <f t="shared" si="86"/>
        <v>0</v>
      </c>
      <c r="O82" s="440">
        <f t="shared" si="86"/>
        <v>14200000</v>
      </c>
      <c r="P82" s="440">
        <f t="shared" si="86"/>
        <v>14200000</v>
      </c>
      <c r="Q82" s="39"/>
      <c r="R82" s="28"/>
    </row>
    <row r="83" spans="1:18" s="35" customFormat="1" ht="321.75" thickTop="1" thickBot="1" x14ac:dyDescent="0.25">
      <c r="A83" s="808" t="s">
        <v>1518</v>
      </c>
      <c r="B83" s="808" t="s">
        <v>1519</v>
      </c>
      <c r="C83" s="808" t="s">
        <v>215</v>
      </c>
      <c r="D83" s="808" t="s">
        <v>1520</v>
      </c>
      <c r="E83" s="816">
        <f>F83</f>
        <v>0</v>
      </c>
      <c r="F83" s="389"/>
      <c r="G83" s="389"/>
      <c r="H83" s="389"/>
      <c r="I83" s="389"/>
      <c r="J83" s="816">
        <f t="shared" ref="J83:J84" si="87">L83+O83</f>
        <v>7000000</v>
      </c>
      <c r="K83" s="389">
        <v>7000000</v>
      </c>
      <c r="L83" s="389"/>
      <c r="M83" s="389"/>
      <c r="N83" s="389"/>
      <c r="O83" s="810">
        <f t="shared" ref="O83:O84" si="88">K83</f>
        <v>7000000</v>
      </c>
      <c r="P83" s="816">
        <f>E83+J83</f>
        <v>7000000</v>
      </c>
      <c r="Q83" s="39"/>
      <c r="R83" s="28"/>
    </row>
    <row r="84" spans="1:18" s="35" customFormat="1" ht="276" thickTop="1" thickBot="1" x14ac:dyDescent="0.25">
      <c r="A84" s="808" t="s">
        <v>1521</v>
      </c>
      <c r="B84" s="808" t="s">
        <v>1522</v>
      </c>
      <c r="C84" s="808" t="s">
        <v>215</v>
      </c>
      <c r="D84" s="808" t="s">
        <v>1523</v>
      </c>
      <c r="E84" s="816">
        <f>F84</f>
        <v>0</v>
      </c>
      <c r="F84" s="389"/>
      <c r="G84" s="389"/>
      <c r="H84" s="389"/>
      <c r="I84" s="389"/>
      <c r="J84" s="816">
        <f t="shared" si="87"/>
        <v>7200000</v>
      </c>
      <c r="K84" s="389">
        <v>7200000</v>
      </c>
      <c r="L84" s="389"/>
      <c r="M84" s="389"/>
      <c r="N84" s="389"/>
      <c r="O84" s="810">
        <f t="shared" si="88"/>
        <v>7200000</v>
      </c>
      <c r="P84" s="816">
        <f>E84+J84</f>
        <v>7200000</v>
      </c>
      <c r="Q84" s="39"/>
      <c r="R84" s="28"/>
    </row>
    <row r="85" spans="1:18" s="35" customFormat="1" ht="91.5" thickTop="1" thickBot="1" x14ac:dyDescent="0.25">
      <c r="A85" s="385" t="s">
        <v>719</v>
      </c>
      <c r="B85" s="385" t="s">
        <v>720</v>
      </c>
      <c r="C85" s="385"/>
      <c r="D85" s="385" t="s">
        <v>721</v>
      </c>
      <c r="E85" s="670">
        <f>SUM(E86:E87)</f>
        <v>3079150</v>
      </c>
      <c r="F85" s="670">
        <f t="shared" ref="F85:P85" si="89">SUM(F86:F87)</f>
        <v>3079150</v>
      </c>
      <c r="G85" s="670">
        <f t="shared" si="89"/>
        <v>0</v>
      </c>
      <c r="H85" s="670">
        <f t="shared" si="89"/>
        <v>807450</v>
      </c>
      <c r="I85" s="670">
        <f t="shared" si="89"/>
        <v>0</v>
      </c>
      <c r="J85" s="670">
        <f t="shared" si="89"/>
        <v>0</v>
      </c>
      <c r="K85" s="446">
        <f t="shared" si="89"/>
        <v>0</v>
      </c>
      <c r="L85" s="446">
        <f t="shared" si="89"/>
        <v>0</v>
      </c>
      <c r="M85" s="446">
        <f t="shared" si="89"/>
        <v>0</v>
      </c>
      <c r="N85" s="446">
        <f t="shared" si="89"/>
        <v>0</v>
      </c>
      <c r="O85" s="446">
        <f t="shared" si="89"/>
        <v>0</v>
      </c>
      <c r="P85" s="446">
        <f t="shared" si="89"/>
        <v>3079150</v>
      </c>
      <c r="Q85" s="39"/>
      <c r="R85" s="28"/>
    </row>
    <row r="86" spans="1:18" s="35" customFormat="1" ht="367.5" thickTop="1" thickBot="1" x14ac:dyDescent="0.25">
      <c r="A86" s="445" t="s">
        <v>436</v>
      </c>
      <c r="B86" s="445" t="s">
        <v>437</v>
      </c>
      <c r="C86" s="445" t="s">
        <v>190</v>
      </c>
      <c r="D86" s="445" t="s">
        <v>435</v>
      </c>
      <c r="E86" s="670">
        <f t="shared" si="64"/>
        <v>715000</v>
      </c>
      <c r="F86" s="389">
        <v>715000</v>
      </c>
      <c r="G86" s="389"/>
      <c r="H86" s="389"/>
      <c r="I86" s="389"/>
      <c r="J86" s="670">
        <f>L86+O86</f>
        <v>0</v>
      </c>
      <c r="K86" s="389"/>
      <c r="L86" s="389"/>
      <c r="M86" s="389"/>
      <c r="N86" s="389"/>
      <c r="O86" s="390">
        <f>K86</f>
        <v>0</v>
      </c>
      <c r="P86" s="446">
        <f>E86+J86</f>
        <v>715000</v>
      </c>
      <c r="Q86" s="39"/>
      <c r="R86" s="42"/>
    </row>
    <row r="87" spans="1:18" s="35" customFormat="1" ht="230.25" thickTop="1" thickBot="1" x14ac:dyDescent="0.25">
      <c r="A87" s="445" t="s">
        <v>1283</v>
      </c>
      <c r="B87" s="445" t="s">
        <v>1249</v>
      </c>
      <c r="C87" s="445" t="s">
        <v>211</v>
      </c>
      <c r="D87" s="470" t="s">
        <v>1250</v>
      </c>
      <c r="E87" s="670">
        <f t="shared" si="64"/>
        <v>2364150</v>
      </c>
      <c r="F87" s="389">
        <f>(1518300)+845850</f>
        <v>2364150</v>
      </c>
      <c r="G87" s="389"/>
      <c r="H87" s="389">
        <f>(561600)+96000+7500+136200+6150</f>
        <v>807450</v>
      </c>
      <c r="I87" s="389"/>
      <c r="J87" s="670">
        <f>L87+O87</f>
        <v>0</v>
      </c>
      <c r="K87" s="389"/>
      <c r="L87" s="389"/>
      <c r="M87" s="389"/>
      <c r="N87" s="389"/>
      <c r="O87" s="390">
        <f>K87</f>
        <v>0</v>
      </c>
      <c r="P87" s="446">
        <f>E87+J87</f>
        <v>2364150</v>
      </c>
      <c r="Q87" s="39"/>
      <c r="R87" s="42"/>
    </row>
    <row r="88" spans="1:18" s="35" customFormat="1" ht="47.25" thickTop="1" thickBot="1" x14ac:dyDescent="0.25">
      <c r="A88" s="385" t="s">
        <v>1130</v>
      </c>
      <c r="B88" s="385" t="s">
        <v>757</v>
      </c>
      <c r="C88" s="385"/>
      <c r="D88" s="385" t="s">
        <v>1129</v>
      </c>
      <c r="E88" s="670">
        <f>E89+E92</f>
        <v>0</v>
      </c>
      <c r="F88" s="670">
        <f t="shared" ref="F88:P88" si="90">F89+F92</f>
        <v>0</v>
      </c>
      <c r="G88" s="670">
        <f t="shared" si="90"/>
        <v>0</v>
      </c>
      <c r="H88" s="670">
        <f t="shared" si="90"/>
        <v>0</v>
      </c>
      <c r="I88" s="670">
        <f t="shared" si="90"/>
        <v>0</v>
      </c>
      <c r="J88" s="670">
        <f t="shared" si="90"/>
        <v>115834322.59999999</v>
      </c>
      <c r="K88" s="446">
        <f t="shared" si="90"/>
        <v>115834322.59999999</v>
      </c>
      <c r="L88" s="446">
        <f t="shared" si="90"/>
        <v>0</v>
      </c>
      <c r="M88" s="446">
        <f t="shared" si="90"/>
        <v>0</v>
      </c>
      <c r="N88" s="446">
        <f t="shared" si="90"/>
        <v>0</v>
      </c>
      <c r="O88" s="446">
        <f t="shared" si="90"/>
        <v>115834322.59999999</v>
      </c>
      <c r="P88" s="446">
        <f t="shared" si="90"/>
        <v>115834322.59999999</v>
      </c>
      <c r="Q88" s="39"/>
      <c r="R88" s="28"/>
    </row>
    <row r="89" spans="1:18" s="35" customFormat="1" ht="91.5" thickTop="1" thickBot="1" x14ac:dyDescent="0.25">
      <c r="A89" s="387" t="s">
        <v>1128</v>
      </c>
      <c r="B89" s="387" t="s">
        <v>813</v>
      </c>
      <c r="C89" s="387"/>
      <c r="D89" s="387" t="s">
        <v>814</v>
      </c>
      <c r="E89" s="391">
        <f>E90</f>
        <v>0</v>
      </c>
      <c r="F89" s="391">
        <f t="shared" ref="F89:P90" si="91">F90</f>
        <v>0</v>
      </c>
      <c r="G89" s="391">
        <f t="shared" si="91"/>
        <v>0</v>
      </c>
      <c r="H89" s="391">
        <f t="shared" si="91"/>
        <v>0</v>
      </c>
      <c r="I89" s="391">
        <f t="shared" si="91"/>
        <v>0</v>
      </c>
      <c r="J89" s="391">
        <f t="shared" si="91"/>
        <v>70434322.599999994</v>
      </c>
      <c r="K89" s="391">
        <f t="shared" si="91"/>
        <v>70434322.599999994</v>
      </c>
      <c r="L89" s="391">
        <f t="shared" si="91"/>
        <v>0</v>
      </c>
      <c r="M89" s="391">
        <f t="shared" si="91"/>
        <v>0</v>
      </c>
      <c r="N89" s="391">
        <f t="shared" si="91"/>
        <v>0</v>
      </c>
      <c r="O89" s="391">
        <f t="shared" si="91"/>
        <v>70434322.599999994</v>
      </c>
      <c r="P89" s="391">
        <f t="shared" si="91"/>
        <v>70434322.599999994</v>
      </c>
      <c r="Q89" s="39"/>
      <c r="R89" s="28"/>
    </row>
    <row r="90" spans="1:18" s="35" customFormat="1" ht="145.5" thickTop="1" thickBot="1" x14ac:dyDescent="0.25">
      <c r="A90" s="455" t="s">
        <v>1131</v>
      </c>
      <c r="B90" s="455" t="s">
        <v>831</v>
      </c>
      <c r="C90" s="455"/>
      <c r="D90" s="455" t="s">
        <v>1318</v>
      </c>
      <c r="E90" s="440">
        <f>E91</f>
        <v>0</v>
      </c>
      <c r="F90" s="440">
        <f t="shared" si="91"/>
        <v>0</v>
      </c>
      <c r="G90" s="440">
        <f t="shared" si="91"/>
        <v>0</v>
      </c>
      <c r="H90" s="440">
        <f t="shared" si="91"/>
        <v>0</v>
      </c>
      <c r="I90" s="440">
        <f t="shared" si="91"/>
        <v>0</v>
      </c>
      <c r="J90" s="440">
        <f t="shared" si="91"/>
        <v>70434322.599999994</v>
      </c>
      <c r="K90" s="440">
        <f t="shared" si="91"/>
        <v>70434322.599999994</v>
      </c>
      <c r="L90" s="440">
        <f t="shared" si="91"/>
        <v>0</v>
      </c>
      <c r="M90" s="440">
        <f t="shared" si="91"/>
        <v>0</v>
      </c>
      <c r="N90" s="440">
        <f t="shared" si="91"/>
        <v>0</v>
      </c>
      <c r="O90" s="440">
        <f t="shared" si="91"/>
        <v>70434322.599999994</v>
      </c>
      <c r="P90" s="440">
        <f t="shared" si="91"/>
        <v>70434322.599999994</v>
      </c>
      <c r="Q90" s="39"/>
      <c r="R90" s="28"/>
    </row>
    <row r="91" spans="1:18" s="35" customFormat="1" ht="99.75" thickTop="1" thickBot="1" x14ac:dyDescent="0.25">
      <c r="A91" s="445" t="s">
        <v>1143</v>
      </c>
      <c r="B91" s="699" t="s">
        <v>316</v>
      </c>
      <c r="C91" s="445" t="s">
        <v>309</v>
      </c>
      <c r="D91" s="445" t="s">
        <v>1319</v>
      </c>
      <c r="E91" s="670">
        <f t="shared" ref="E91" si="92">F91</f>
        <v>0</v>
      </c>
      <c r="F91" s="389"/>
      <c r="G91" s="389"/>
      <c r="H91" s="389"/>
      <c r="I91" s="389"/>
      <c r="J91" s="670">
        <f t="shared" ref="J91" si="93">L91+O91</f>
        <v>70434322.599999994</v>
      </c>
      <c r="K91" s="389">
        <f>((10000000+200000+2597000)+60228541+5550.6)-7000000+2983231+1000000+420000</f>
        <v>70434322.599999994</v>
      </c>
      <c r="L91" s="389"/>
      <c r="M91" s="389"/>
      <c r="N91" s="389"/>
      <c r="O91" s="390">
        <f t="shared" ref="O91" si="94">K91</f>
        <v>70434322.599999994</v>
      </c>
      <c r="P91" s="446">
        <f>E91+J91</f>
        <v>70434322.599999994</v>
      </c>
      <c r="Q91" s="32"/>
      <c r="R91" s="28"/>
    </row>
    <row r="92" spans="1:18" s="35" customFormat="1" ht="136.5" thickTop="1" thickBot="1" x14ac:dyDescent="0.25">
      <c r="A92" s="387" t="s">
        <v>1132</v>
      </c>
      <c r="B92" s="387" t="s">
        <v>700</v>
      </c>
      <c r="C92" s="387"/>
      <c r="D92" s="387" t="s">
        <v>698</v>
      </c>
      <c r="E92" s="391">
        <f>E93</f>
        <v>0</v>
      </c>
      <c r="F92" s="391">
        <f t="shared" ref="F92:P92" si="95">F93</f>
        <v>0</v>
      </c>
      <c r="G92" s="391">
        <f t="shared" si="95"/>
        <v>0</v>
      </c>
      <c r="H92" s="391">
        <f t="shared" si="95"/>
        <v>0</v>
      </c>
      <c r="I92" s="391">
        <f t="shared" si="95"/>
        <v>0</v>
      </c>
      <c r="J92" s="391">
        <f t="shared" si="95"/>
        <v>45400000</v>
      </c>
      <c r="K92" s="391">
        <f t="shared" si="95"/>
        <v>45400000</v>
      </c>
      <c r="L92" s="391">
        <f t="shared" si="95"/>
        <v>0</v>
      </c>
      <c r="M92" s="391">
        <f t="shared" si="95"/>
        <v>0</v>
      </c>
      <c r="N92" s="391">
        <f t="shared" si="95"/>
        <v>0</v>
      </c>
      <c r="O92" s="391">
        <f t="shared" si="95"/>
        <v>45400000</v>
      </c>
      <c r="P92" s="391">
        <f t="shared" si="95"/>
        <v>45400000</v>
      </c>
      <c r="Q92" s="32"/>
      <c r="R92" s="28"/>
    </row>
    <row r="93" spans="1:18" s="35" customFormat="1" ht="48" thickTop="1" thickBot="1" x14ac:dyDescent="0.25">
      <c r="A93" s="445" t="s">
        <v>1133</v>
      </c>
      <c r="B93" s="825" t="s">
        <v>217</v>
      </c>
      <c r="C93" s="445" t="s">
        <v>218</v>
      </c>
      <c r="D93" s="445" t="s">
        <v>41</v>
      </c>
      <c r="E93" s="670">
        <f t="shared" ref="E93" si="96">F93</f>
        <v>0</v>
      </c>
      <c r="F93" s="389"/>
      <c r="G93" s="389"/>
      <c r="H93" s="389"/>
      <c r="I93" s="389"/>
      <c r="J93" s="670">
        <f t="shared" ref="J93" si="97">L93+O93</f>
        <v>45400000</v>
      </c>
      <c r="K93" s="389">
        <f>(45000000)+400000</f>
        <v>45400000</v>
      </c>
      <c r="L93" s="389"/>
      <c r="M93" s="389"/>
      <c r="N93" s="389"/>
      <c r="O93" s="390">
        <f t="shared" ref="O93" si="98">K93</f>
        <v>45400000</v>
      </c>
      <c r="P93" s="446">
        <f>E93+J93</f>
        <v>45400000</v>
      </c>
      <c r="Q93" s="32"/>
      <c r="R93" s="28"/>
    </row>
    <row r="94" spans="1:18" s="35" customFormat="1" ht="47.25" thickTop="1" thickBot="1" x14ac:dyDescent="0.25">
      <c r="A94" s="385" t="s">
        <v>1273</v>
      </c>
      <c r="B94" s="385" t="s">
        <v>705</v>
      </c>
      <c r="C94" s="385"/>
      <c r="D94" s="385" t="s">
        <v>706</v>
      </c>
      <c r="E94" s="670">
        <f t="shared" ref="E94:P95" si="99">E95</f>
        <v>0</v>
      </c>
      <c r="F94" s="670">
        <f t="shared" si="99"/>
        <v>0</v>
      </c>
      <c r="G94" s="670">
        <f t="shared" si="99"/>
        <v>0</v>
      </c>
      <c r="H94" s="670">
        <f t="shared" si="99"/>
        <v>0</v>
      </c>
      <c r="I94" s="670">
        <f t="shared" si="99"/>
        <v>0</v>
      </c>
      <c r="J94" s="670">
        <f t="shared" si="99"/>
        <v>3770000</v>
      </c>
      <c r="K94" s="446">
        <f t="shared" si="99"/>
        <v>3770000</v>
      </c>
      <c r="L94" s="446">
        <f t="shared" si="99"/>
        <v>0</v>
      </c>
      <c r="M94" s="446">
        <f t="shared" si="99"/>
        <v>0</v>
      </c>
      <c r="N94" s="446">
        <f t="shared" si="99"/>
        <v>0</v>
      </c>
      <c r="O94" s="446">
        <f t="shared" si="99"/>
        <v>3770000</v>
      </c>
      <c r="P94" s="446">
        <f t="shared" si="99"/>
        <v>3770000</v>
      </c>
      <c r="Q94" s="32"/>
      <c r="R94" s="28"/>
    </row>
    <row r="95" spans="1:18" s="35" customFormat="1" ht="91.5" thickTop="1" thickBot="1" x14ac:dyDescent="0.25">
      <c r="A95" s="387" t="s">
        <v>1274</v>
      </c>
      <c r="B95" s="387" t="s">
        <v>1234</v>
      </c>
      <c r="C95" s="387"/>
      <c r="D95" s="387" t="s">
        <v>1232</v>
      </c>
      <c r="E95" s="391">
        <f t="shared" si="99"/>
        <v>0</v>
      </c>
      <c r="F95" s="391">
        <f t="shared" si="99"/>
        <v>0</v>
      </c>
      <c r="G95" s="391">
        <f t="shared" si="99"/>
        <v>0</v>
      </c>
      <c r="H95" s="391">
        <f t="shared" si="99"/>
        <v>0</v>
      </c>
      <c r="I95" s="391">
        <f t="shared" si="99"/>
        <v>0</v>
      </c>
      <c r="J95" s="391">
        <f t="shared" si="99"/>
        <v>3770000</v>
      </c>
      <c r="K95" s="391">
        <f t="shared" si="99"/>
        <v>3770000</v>
      </c>
      <c r="L95" s="391">
        <f t="shared" si="99"/>
        <v>0</v>
      </c>
      <c r="M95" s="391">
        <f t="shared" si="99"/>
        <v>0</v>
      </c>
      <c r="N95" s="391">
        <f t="shared" si="99"/>
        <v>0</v>
      </c>
      <c r="O95" s="391">
        <f t="shared" si="99"/>
        <v>3770000</v>
      </c>
      <c r="P95" s="391">
        <f t="shared" si="99"/>
        <v>3770000</v>
      </c>
      <c r="Q95" s="32"/>
      <c r="R95" s="28"/>
    </row>
    <row r="96" spans="1:18" s="35" customFormat="1" ht="93" thickTop="1" thickBot="1" x14ac:dyDescent="0.25">
      <c r="A96" s="445" t="s">
        <v>1275</v>
      </c>
      <c r="B96" s="445" t="s">
        <v>1238</v>
      </c>
      <c r="C96" s="445" t="s">
        <v>1236</v>
      </c>
      <c r="D96" s="445" t="s">
        <v>1235</v>
      </c>
      <c r="E96" s="446">
        <f>F96</f>
        <v>0</v>
      </c>
      <c r="F96" s="389"/>
      <c r="G96" s="389"/>
      <c r="H96" s="389"/>
      <c r="I96" s="389"/>
      <c r="J96" s="446">
        <f>L96+O96</f>
        <v>3770000</v>
      </c>
      <c r="K96" s="389">
        <v>3770000</v>
      </c>
      <c r="L96" s="389"/>
      <c r="M96" s="389"/>
      <c r="N96" s="389"/>
      <c r="O96" s="390">
        <f>K96</f>
        <v>3770000</v>
      </c>
      <c r="P96" s="446">
        <f>E96+J96</f>
        <v>3770000</v>
      </c>
      <c r="Q96" s="32"/>
      <c r="R96" s="28"/>
    </row>
    <row r="97" spans="1:18" s="35" customFormat="1" ht="47.25" hidden="1" customHeight="1" thickTop="1" thickBot="1" x14ac:dyDescent="0.25">
      <c r="A97" s="180" t="s">
        <v>1050</v>
      </c>
      <c r="B97" s="180" t="s">
        <v>711</v>
      </c>
      <c r="C97" s="180"/>
      <c r="D97" s="180" t="s">
        <v>712</v>
      </c>
      <c r="E97" s="45">
        <f>E98</f>
        <v>0</v>
      </c>
      <c r="F97" s="45">
        <f t="shared" ref="F97:P98" si="100">F98</f>
        <v>0</v>
      </c>
      <c r="G97" s="45">
        <f t="shared" si="100"/>
        <v>0</v>
      </c>
      <c r="H97" s="45">
        <f t="shared" si="100"/>
        <v>0</v>
      </c>
      <c r="I97" s="45">
        <f t="shared" si="100"/>
        <v>0</v>
      </c>
      <c r="J97" s="45">
        <f t="shared" si="100"/>
        <v>0</v>
      </c>
      <c r="K97" s="45">
        <f t="shared" si="100"/>
        <v>0</v>
      </c>
      <c r="L97" s="45">
        <f t="shared" si="100"/>
        <v>0</v>
      </c>
      <c r="M97" s="45">
        <f t="shared" si="100"/>
        <v>0</v>
      </c>
      <c r="N97" s="45">
        <f t="shared" si="100"/>
        <v>0</v>
      </c>
      <c r="O97" s="45">
        <f t="shared" si="100"/>
        <v>0</v>
      </c>
      <c r="P97" s="45">
        <f t="shared" si="100"/>
        <v>0</v>
      </c>
      <c r="Q97" s="39"/>
      <c r="R97" s="28"/>
    </row>
    <row r="98" spans="1:18" s="35" customFormat="1" ht="271.5" hidden="1" thickTop="1" thickBot="1" x14ac:dyDescent="0.25">
      <c r="A98" s="181" t="s">
        <v>1051</v>
      </c>
      <c r="B98" s="181" t="s">
        <v>714</v>
      </c>
      <c r="C98" s="181"/>
      <c r="D98" s="181" t="s">
        <v>715</v>
      </c>
      <c r="E98" s="182">
        <f>E99</f>
        <v>0</v>
      </c>
      <c r="F98" s="182">
        <f t="shared" si="100"/>
        <v>0</v>
      </c>
      <c r="G98" s="182">
        <f t="shared" si="100"/>
        <v>0</v>
      </c>
      <c r="H98" s="182">
        <f t="shared" si="100"/>
        <v>0</v>
      </c>
      <c r="I98" s="182">
        <f t="shared" si="100"/>
        <v>0</v>
      </c>
      <c r="J98" s="182">
        <f t="shared" si="100"/>
        <v>0</v>
      </c>
      <c r="K98" s="182">
        <f t="shared" si="100"/>
        <v>0</v>
      </c>
      <c r="L98" s="182">
        <f t="shared" si="100"/>
        <v>0</v>
      </c>
      <c r="M98" s="182">
        <f t="shared" si="100"/>
        <v>0</v>
      </c>
      <c r="N98" s="182">
        <f t="shared" si="100"/>
        <v>0</v>
      </c>
      <c r="O98" s="182">
        <f t="shared" si="100"/>
        <v>0</v>
      </c>
      <c r="P98" s="182">
        <f t="shared" si="100"/>
        <v>0</v>
      </c>
      <c r="Q98" s="39"/>
      <c r="R98" s="28"/>
    </row>
    <row r="99" spans="1:18" s="35" customFormat="1" ht="93" hidden="1" thickTop="1" thickBot="1" x14ac:dyDescent="0.25">
      <c r="A99" s="44" t="s">
        <v>1052</v>
      </c>
      <c r="B99" s="44" t="s">
        <v>368</v>
      </c>
      <c r="C99" s="44" t="s">
        <v>43</v>
      </c>
      <c r="D99" s="44" t="s">
        <v>369</v>
      </c>
      <c r="E99" s="45">
        <f t="shared" ref="E99" si="101">F99</f>
        <v>0</v>
      </c>
      <c r="F99" s="46"/>
      <c r="G99" s="46"/>
      <c r="H99" s="46"/>
      <c r="I99" s="46"/>
      <c r="J99" s="45">
        <f>L99+O99</f>
        <v>0</v>
      </c>
      <c r="K99" s="46"/>
      <c r="L99" s="46"/>
      <c r="M99" s="46"/>
      <c r="N99" s="46"/>
      <c r="O99" s="47">
        <f>K99</f>
        <v>0</v>
      </c>
      <c r="P99" s="45">
        <f>E99+J99</f>
        <v>0</v>
      </c>
      <c r="Q99" s="39"/>
      <c r="R99" s="28"/>
    </row>
    <row r="100" spans="1:18" ht="136.5" thickTop="1" thickBot="1" x14ac:dyDescent="0.25">
      <c r="A100" s="460" t="s">
        <v>155</v>
      </c>
      <c r="B100" s="460"/>
      <c r="C100" s="460"/>
      <c r="D100" s="461" t="s">
        <v>18</v>
      </c>
      <c r="E100" s="463">
        <f>E101</f>
        <v>156836530</v>
      </c>
      <c r="F100" s="462">
        <f t="shared" ref="F100:G100" si="102">F101</f>
        <v>156836530</v>
      </c>
      <c r="G100" s="462">
        <f t="shared" si="102"/>
        <v>4896310</v>
      </c>
      <c r="H100" s="462">
        <f>H101</f>
        <v>438898</v>
      </c>
      <c r="I100" s="462">
        <f t="shared" ref="I100" si="103">I101</f>
        <v>0</v>
      </c>
      <c r="J100" s="463">
        <f>J101</f>
        <v>115632621.23999999</v>
      </c>
      <c r="K100" s="462">
        <f>K101</f>
        <v>115632621.23999999</v>
      </c>
      <c r="L100" s="462">
        <f>L101</f>
        <v>0</v>
      </c>
      <c r="M100" s="462">
        <f t="shared" ref="M100" si="104">M101</f>
        <v>0</v>
      </c>
      <c r="N100" s="462">
        <f>N101</f>
        <v>0</v>
      </c>
      <c r="O100" s="463">
        <f>O101</f>
        <v>115632621.23999999</v>
      </c>
      <c r="P100" s="462">
        <f>P101</f>
        <v>272469151.24000001</v>
      </c>
      <c r="Q100" s="22"/>
    </row>
    <row r="101" spans="1:18" ht="181.5" thickTop="1" thickBot="1" x14ac:dyDescent="0.25">
      <c r="A101" s="464" t="s">
        <v>156</v>
      </c>
      <c r="B101" s="464"/>
      <c r="C101" s="464"/>
      <c r="D101" s="465" t="s">
        <v>36</v>
      </c>
      <c r="E101" s="466">
        <f>E102+E105+E120+E118</f>
        <v>156836530</v>
      </c>
      <c r="F101" s="466">
        <f t="shared" ref="F101:P101" si="105">F102+F105+F120+F118</f>
        <v>156836530</v>
      </c>
      <c r="G101" s="466">
        <f t="shared" si="105"/>
        <v>4896310</v>
      </c>
      <c r="H101" s="466">
        <f t="shared" si="105"/>
        <v>438898</v>
      </c>
      <c r="I101" s="466">
        <f t="shared" si="105"/>
        <v>0</v>
      </c>
      <c r="J101" s="466">
        <f t="shared" si="105"/>
        <v>115632621.23999999</v>
      </c>
      <c r="K101" s="466">
        <f t="shared" si="105"/>
        <v>115632621.23999999</v>
      </c>
      <c r="L101" s="466">
        <f t="shared" si="105"/>
        <v>0</v>
      </c>
      <c r="M101" s="466">
        <f t="shared" si="105"/>
        <v>0</v>
      </c>
      <c r="N101" s="466">
        <f t="shared" si="105"/>
        <v>0</v>
      </c>
      <c r="O101" s="466">
        <f t="shared" si="105"/>
        <v>115632621.23999999</v>
      </c>
      <c r="P101" s="466">
        <f t="shared" si="105"/>
        <v>272469151.24000001</v>
      </c>
      <c r="Q101" s="459" t="b">
        <f>P101=P103+P106+P107+P108+P109+P112+P116+P117+P119+P127+P104+P123</f>
        <v>1</v>
      </c>
      <c r="R101" s="28"/>
    </row>
    <row r="102" spans="1:18" ht="47.25" thickTop="1" thickBot="1" x14ac:dyDescent="0.25">
      <c r="A102" s="385" t="s">
        <v>722</v>
      </c>
      <c r="B102" s="385" t="s">
        <v>693</v>
      </c>
      <c r="C102" s="385"/>
      <c r="D102" s="385" t="s">
        <v>694</v>
      </c>
      <c r="E102" s="670">
        <f>SUM(E103:E104)</f>
        <v>3147800</v>
      </c>
      <c r="F102" s="670">
        <f t="shared" ref="F102:P102" si="106">SUM(F103:F104)</f>
        <v>3147800</v>
      </c>
      <c r="G102" s="670">
        <f t="shared" si="106"/>
        <v>2259700</v>
      </c>
      <c r="H102" s="670">
        <f t="shared" si="106"/>
        <v>222800</v>
      </c>
      <c r="I102" s="670">
        <f t="shared" si="106"/>
        <v>0</v>
      </c>
      <c r="J102" s="670">
        <f t="shared" si="106"/>
        <v>1446951</v>
      </c>
      <c r="K102" s="446">
        <f t="shared" si="106"/>
        <v>1446951</v>
      </c>
      <c r="L102" s="446">
        <f t="shared" si="106"/>
        <v>0</v>
      </c>
      <c r="M102" s="446">
        <f t="shared" si="106"/>
        <v>0</v>
      </c>
      <c r="N102" s="446">
        <f t="shared" si="106"/>
        <v>0</v>
      </c>
      <c r="O102" s="446">
        <f t="shared" si="106"/>
        <v>1446951</v>
      </c>
      <c r="P102" s="446">
        <f t="shared" si="106"/>
        <v>4594751</v>
      </c>
      <c r="Q102" s="32"/>
      <c r="R102" s="28"/>
    </row>
    <row r="103" spans="1:18" ht="230.25" thickTop="1" thickBot="1" x14ac:dyDescent="0.25">
      <c r="A103" s="445" t="s">
        <v>421</v>
      </c>
      <c r="B103" s="445" t="s">
        <v>241</v>
      </c>
      <c r="C103" s="445" t="s">
        <v>239</v>
      </c>
      <c r="D103" s="445" t="s">
        <v>240</v>
      </c>
      <c r="E103" s="670">
        <f>F103</f>
        <v>3140800</v>
      </c>
      <c r="F103" s="389">
        <v>3140800</v>
      </c>
      <c r="G103" s="389">
        <v>2259700</v>
      </c>
      <c r="H103" s="389">
        <f>3700+90000+129100</f>
        <v>222800</v>
      </c>
      <c r="I103" s="389"/>
      <c r="J103" s="670">
        <f t="shared" ref="J103:J129" si="107">L103+O103</f>
        <v>1446951</v>
      </c>
      <c r="K103" s="389">
        <f>(60000)+1386951</f>
        <v>1446951</v>
      </c>
      <c r="L103" s="389"/>
      <c r="M103" s="389"/>
      <c r="N103" s="389"/>
      <c r="O103" s="390">
        <f>K103</f>
        <v>1446951</v>
      </c>
      <c r="P103" s="446">
        <f t="shared" ref="P103:P129" si="108">E103+J103</f>
        <v>4587751</v>
      </c>
      <c r="Q103" s="42"/>
      <c r="R103" s="28"/>
    </row>
    <row r="104" spans="1:18" s="118" customFormat="1" ht="184.5" thickTop="1" thickBot="1" x14ac:dyDescent="0.25">
      <c r="A104" s="445" t="s">
        <v>1332</v>
      </c>
      <c r="B104" s="445" t="s">
        <v>367</v>
      </c>
      <c r="C104" s="445" t="s">
        <v>634</v>
      </c>
      <c r="D104" s="445" t="s">
        <v>635</v>
      </c>
      <c r="E104" s="670">
        <f>F104</f>
        <v>7000</v>
      </c>
      <c r="F104" s="389">
        <v>7000</v>
      </c>
      <c r="G104" s="389"/>
      <c r="H104" s="389"/>
      <c r="I104" s="389"/>
      <c r="J104" s="670">
        <f t="shared" si="107"/>
        <v>0</v>
      </c>
      <c r="K104" s="389"/>
      <c r="L104" s="389"/>
      <c r="M104" s="389"/>
      <c r="N104" s="389"/>
      <c r="O104" s="390">
        <f>K104</f>
        <v>0</v>
      </c>
      <c r="P104" s="446">
        <f t="shared" si="108"/>
        <v>7000</v>
      </c>
      <c r="Q104" s="42"/>
      <c r="R104" s="28"/>
    </row>
    <row r="105" spans="1:18" ht="47.25" thickTop="1" thickBot="1" x14ac:dyDescent="0.25">
      <c r="A105" s="385" t="s">
        <v>723</v>
      </c>
      <c r="B105" s="385" t="s">
        <v>724</v>
      </c>
      <c r="C105" s="385"/>
      <c r="D105" s="385" t="s">
        <v>725</v>
      </c>
      <c r="E105" s="670">
        <f>SUM(E106:E117)-E111-E113-E115</f>
        <v>153588730</v>
      </c>
      <c r="F105" s="670">
        <f t="shared" ref="F105:P105" si="109">SUM(F106:F117)-F111-F113-F115</f>
        <v>153588730</v>
      </c>
      <c r="G105" s="670">
        <f t="shared" si="109"/>
        <v>2636610</v>
      </c>
      <c r="H105" s="670">
        <f t="shared" si="109"/>
        <v>216098</v>
      </c>
      <c r="I105" s="670">
        <f t="shared" si="109"/>
        <v>0</v>
      </c>
      <c r="J105" s="670">
        <f t="shared" si="109"/>
        <v>65114509</v>
      </c>
      <c r="K105" s="446">
        <f t="shared" si="109"/>
        <v>65114509</v>
      </c>
      <c r="L105" s="446">
        <f t="shared" si="109"/>
        <v>0</v>
      </c>
      <c r="M105" s="446">
        <f t="shared" si="109"/>
        <v>0</v>
      </c>
      <c r="N105" s="446">
        <f t="shared" si="109"/>
        <v>0</v>
      </c>
      <c r="O105" s="446">
        <f t="shared" si="109"/>
        <v>65114509</v>
      </c>
      <c r="P105" s="446">
        <f t="shared" si="109"/>
        <v>218703239</v>
      </c>
      <c r="Q105" s="42"/>
      <c r="R105" s="42"/>
    </row>
    <row r="106" spans="1:18" ht="93" thickTop="1" thickBot="1" x14ac:dyDescent="0.25">
      <c r="A106" s="445" t="s">
        <v>219</v>
      </c>
      <c r="B106" s="445" t="s">
        <v>216</v>
      </c>
      <c r="C106" s="445" t="s">
        <v>220</v>
      </c>
      <c r="D106" s="445" t="s">
        <v>19</v>
      </c>
      <c r="E106" s="670">
        <f>F106</f>
        <v>63215953</v>
      </c>
      <c r="F106" s="389">
        <f>((32850105+1231068)+17889080+11808500+575000-1100000-99000)+61200</f>
        <v>63215953</v>
      </c>
      <c r="G106" s="389"/>
      <c r="H106" s="389"/>
      <c r="I106" s="389"/>
      <c r="J106" s="670">
        <f t="shared" si="107"/>
        <v>50444029</v>
      </c>
      <c r="K106" s="389">
        <f>(((2200000+490000)+18809407+11200000-1800000)+150000+88800)+2576822+1500000+500000+1000000+6700000+1000000+2600000+3429000</f>
        <v>50444029</v>
      </c>
      <c r="L106" s="389"/>
      <c r="M106" s="389"/>
      <c r="N106" s="389"/>
      <c r="O106" s="390">
        <f>K106</f>
        <v>50444029</v>
      </c>
      <c r="P106" s="446">
        <f t="shared" si="108"/>
        <v>113659982</v>
      </c>
      <c r="Q106" s="22"/>
      <c r="R106" s="32"/>
    </row>
    <row r="107" spans="1:18" ht="93" thickTop="1" thickBot="1" x14ac:dyDescent="0.25">
      <c r="A107" s="445" t="s">
        <v>510</v>
      </c>
      <c r="B107" s="445" t="s">
        <v>513</v>
      </c>
      <c r="C107" s="445" t="s">
        <v>512</v>
      </c>
      <c r="D107" s="445" t="s">
        <v>511</v>
      </c>
      <c r="E107" s="446">
        <f>F107</f>
        <v>18220999</v>
      </c>
      <c r="F107" s="389">
        <f>((11450199+1590500)+2200000)+2980300</f>
        <v>18220999</v>
      </c>
      <c r="G107" s="389"/>
      <c r="H107" s="389"/>
      <c r="I107" s="389"/>
      <c r="J107" s="446">
        <f t="shared" si="107"/>
        <v>0</v>
      </c>
      <c r="K107" s="389"/>
      <c r="L107" s="389"/>
      <c r="M107" s="389"/>
      <c r="N107" s="389"/>
      <c r="O107" s="390">
        <f>K107</f>
        <v>0</v>
      </c>
      <c r="P107" s="446">
        <f t="shared" si="108"/>
        <v>18220999</v>
      </c>
      <c r="Q107" s="22"/>
      <c r="R107" s="42"/>
    </row>
    <row r="108" spans="1:18" ht="138.75" thickTop="1" thickBot="1" x14ac:dyDescent="0.25">
      <c r="A108" s="445" t="s">
        <v>221</v>
      </c>
      <c r="B108" s="445" t="s">
        <v>222</v>
      </c>
      <c r="C108" s="445" t="s">
        <v>223</v>
      </c>
      <c r="D108" s="445" t="s">
        <v>224</v>
      </c>
      <c r="E108" s="446">
        <f t="shared" ref="E108:E129" si="110">F108</f>
        <v>18957732</v>
      </c>
      <c r="F108" s="389">
        <f>(10157732)+3800000+5000000</f>
        <v>18957732</v>
      </c>
      <c r="G108" s="389"/>
      <c r="H108" s="389"/>
      <c r="I108" s="389"/>
      <c r="J108" s="446">
        <f t="shared" si="107"/>
        <v>10371813</v>
      </c>
      <c r="K108" s="389">
        <f>(920000+4900000)+2304837+1568410+678566</f>
        <v>10371813</v>
      </c>
      <c r="L108" s="389"/>
      <c r="M108" s="389"/>
      <c r="N108" s="389"/>
      <c r="O108" s="390">
        <f>K108</f>
        <v>10371813</v>
      </c>
      <c r="P108" s="446">
        <f t="shared" si="108"/>
        <v>29329545</v>
      </c>
      <c r="Q108" s="22"/>
      <c r="R108" s="42"/>
    </row>
    <row r="109" spans="1:18" ht="138.75" thickTop="1" thickBot="1" x14ac:dyDescent="0.25">
      <c r="A109" s="445" t="s">
        <v>225</v>
      </c>
      <c r="B109" s="445" t="s">
        <v>226</v>
      </c>
      <c r="C109" s="445" t="s">
        <v>227</v>
      </c>
      <c r="D109" s="445" t="s">
        <v>350</v>
      </c>
      <c r="E109" s="446">
        <f t="shared" si="110"/>
        <v>25095495</v>
      </c>
      <c r="F109" s="389">
        <f>(25043595)+51900</f>
        <v>25095495</v>
      </c>
      <c r="G109" s="389"/>
      <c r="H109" s="389"/>
      <c r="I109" s="389"/>
      <c r="J109" s="446">
        <f t="shared" si="107"/>
        <v>1298667</v>
      </c>
      <c r="K109" s="389">
        <f>(94300)+1204367</f>
        <v>1298667</v>
      </c>
      <c r="L109" s="389"/>
      <c r="M109" s="389"/>
      <c r="N109" s="389"/>
      <c r="O109" s="390">
        <f>K109</f>
        <v>1298667</v>
      </c>
      <c r="P109" s="446">
        <f t="shared" si="108"/>
        <v>26394162</v>
      </c>
      <c r="Q109" s="22"/>
      <c r="R109" s="42"/>
    </row>
    <row r="110" spans="1:18" ht="93" hidden="1" thickTop="1" thickBot="1" x14ac:dyDescent="0.25">
      <c r="A110" s="162" t="s">
        <v>228</v>
      </c>
      <c r="B110" s="162" t="s">
        <v>229</v>
      </c>
      <c r="C110" s="162" t="s">
        <v>230</v>
      </c>
      <c r="D110" s="162" t="s">
        <v>231</v>
      </c>
      <c r="E110" s="446">
        <f t="shared" si="110"/>
        <v>0</v>
      </c>
      <c r="F110" s="389">
        <f>(7556300)-7556300</f>
        <v>0</v>
      </c>
      <c r="G110" s="389"/>
      <c r="H110" s="389"/>
      <c r="I110" s="389"/>
      <c r="J110" s="446">
        <f t="shared" si="107"/>
        <v>0</v>
      </c>
      <c r="K110" s="389">
        <f>(200000)-200000</f>
        <v>0</v>
      </c>
      <c r="L110" s="389"/>
      <c r="M110" s="389"/>
      <c r="N110" s="389"/>
      <c r="O110" s="390">
        <f>K110</f>
        <v>0</v>
      </c>
      <c r="P110" s="446">
        <f t="shared" si="108"/>
        <v>0</v>
      </c>
      <c r="Q110" s="22"/>
      <c r="R110" s="42"/>
    </row>
    <row r="111" spans="1:18" ht="93" thickTop="1" thickBot="1" x14ac:dyDescent="0.25">
      <c r="A111" s="455" t="s">
        <v>726</v>
      </c>
      <c r="B111" s="455" t="s">
        <v>727</v>
      </c>
      <c r="C111" s="455"/>
      <c r="D111" s="455" t="s">
        <v>728</v>
      </c>
      <c r="E111" s="440">
        <f>E112</f>
        <v>18156325</v>
      </c>
      <c r="F111" s="440">
        <f t="shared" ref="F111:P111" si="111">F112</f>
        <v>18156325</v>
      </c>
      <c r="G111" s="440">
        <f t="shared" si="111"/>
        <v>0</v>
      </c>
      <c r="H111" s="440">
        <f t="shared" si="111"/>
        <v>0</v>
      </c>
      <c r="I111" s="440">
        <f t="shared" si="111"/>
        <v>0</v>
      </c>
      <c r="J111" s="440">
        <f t="shared" si="111"/>
        <v>3000000</v>
      </c>
      <c r="K111" s="440">
        <f t="shared" si="111"/>
        <v>3000000</v>
      </c>
      <c r="L111" s="440">
        <f t="shared" si="111"/>
        <v>0</v>
      </c>
      <c r="M111" s="440">
        <f t="shared" si="111"/>
        <v>0</v>
      </c>
      <c r="N111" s="440">
        <f t="shared" si="111"/>
        <v>0</v>
      </c>
      <c r="O111" s="440">
        <f t="shared" si="111"/>
        <v>3000000</v>
      </c>
      <c r="P111" s="440">
        <f t="shared" si="111"/>
        <v>21156325</v>
      </c>
      <c r="Q111" s="22"/>
      <c r="R111" s="42"/>
    </row>
    <row r="112" spans="1:18" ht="184.5" thickTop="1" thickBot="1" x14ac:dyDescent="0.25">
      <c r="A112" s="445" t="s">
        <v>232</v>
      </c>
      <c r="B112" s="445" t="s">
        <v>233</v>
      </c>
      <c r="C112" s="445" t="s">
        <v>351</v>
      </c>
      <c r="D112" s="445" t="s">
        <v>234</v>
      </c>
      <c r="E112" s="446">
        <f t="shared" si="110"/>
        <v>18156325</v>
      </c>
      <c r="F112" s="389">
        <v>18156325</v>
      </c>
      <c r="G112" s="389"/>
      <c r="H112" s="389"/>
      <c r="I112" s="389"/>
      <c r="J112" s="446">
        <f t="shared" si="107"/>
        <v>3000000</v>
      </c>
      <c r="K112" s="389">
        <f>0+3000000</f>
        <v>3000000</v>
      </c>
      <c r="L112" s="389"/>
      <c r="M112" s="389"/>
      <c r="N112" s="389"/>
      <c r="O112" s="390">
        <f t="shared" ref="O112:O129" si="112">K112</f>
        <v>3000000</v>
      </c>
      <c r="P112" s="446">
        <f t="shared" si="108"/>
        <v>21156325</v>
      </c>
      <c r="Q112" s="22"/>
      <c r="R112" s="42"/>
    </row>
    <row r="113" spans="1:18" ht="138.75" hidden="1" thickTop="1" thickBot="1" x14ac:dyDescent="0.25">
      <c r="A113" s="174" t="s">
        <v>729</v>
      </c>
      <c r="B113" s="174" t="s">
        <v>730</v>
      </c>
      <c r="C113" s="174"/>
      <c r="D113" s="174" t="s">
        <v>731</v>
      </c>
      <c r="E113" s="175">
        <f>E114</f>
        <v>0</v>
      </c>
      <c r="F113" s="175">
        <f t="shared" ref="F113:P113" si="113">F114</f>
        <v>0</v>
      </c>
      <c r="G113" s="440">
        <f t="shared" si="113"/>
        <v>0</v>
      </c>
      <c r="H113" s="440">
        <f t="shared" si="113"/>
        <v>0</v>
      </c>
      <c r="I113" s="440">
        <f t="shared" si="113"/>
        <v>0</v>
      </c>
      <c r="J113" s="469">
        <f t="shared" si="113"/>
        <v>0</v>
      </c>
      <c r="K113" s="469">
        <f t="shared" si="113"/>
        <v>0</v>
      </c>
      <c r="L113" s="469">
        <f t="shared" si="113"/>
        <v>0</v>
      </c>
      <c r="M113" s="469">
        <f t="shared" si="113"/>
        <v>0</v>
      </c>
      <c r="N113" s="469">
        <f t="shared" si="113"/>
        <v>0</v>
      </c>
      <c r="O113" s="469">
        <f t="shared" si="113"/>
        <v>0</v>
      </c>
      <c r="P113" s="469">
        <f t="shared" si="113"/>
        <v>0</v>
      </c>
      <c r="Q113" s="22"/>
      <c r="R113" s="42"/>
    </row>
    <row r="114" spans="1:18" ht="138.75" hidden="1" thickTop="1" thickBot="1" x14ac:dyDescent="0.25">
      <c r="A114" s="162" t="s">
        <v>480</v>
      </c>
      <c r="B114" s="162" t="s">
        <v>481</v>
      </c>
      <c r="C114" s="162" t="s">
        <v>235</v>
      </c>
      <c r="D114" s="162" t="s">
        <v>482</v>
      </c>
      <c r="E114" s="161">
        <f t="shared" si="110"/>
        <v>0</v>
      </c>
      <c r="F114" s="168">
        <v>0</v>
      </c>
      <c r="G114" s="389"/>
      <c r="H114" s="389"/>
      <c r="I114" s="389"/>
      <c r="J114" s="488">
        <f t="shared" si="107"/>
        <v>0</v>
      </c>
      <c r="K114" s="468"/>
      <c r="L114" s="468"/>
      <c r="M114" s="468"/>
      <c r="N114" s="468"/>
      <c r="O114" s="489">
        <f t="shared" si="112"/>
        <v>0</v>
      </c>
      <c r="P114" s="488">
        <f t="shared" si="108"/>
        <v>0</v>
      </c>
      <c r="Q114" s="22"/>
      <c r="R114" s="42"/>
    </row>
    <row r="115" spans="1:18" ht="138.75" thickTop="1" thickBot="1" x14ac:dyDescent="0.25">
      <c r="A115" s="455" t="s">
        <v>732</v>
      </c>
      <c r="B115" s="455" t="s">
        <v>733</v>
      </c>
      <c r="C115" s="455"/>
      <c r="D115" s="455" t="s">
        <v>734</v>
      </c>
      <c r="E115" s="440">
        <f>SUM(E116:E117)</f>
        <v>9942226</v>
      </c>
      <c r="F115" s="440">
        <f t="shared" ref="F115:P115" si="114">SUM(F116:F117)</f>
        <v>9942226</v>
      </c>
      <c r="G115" s="440">
        <f t="shared" si="114"/>
        <v>2636610</v>
      </c>
      <c r="H115" s="440">
        <f t="shared" si="114"/>
        <v>216098</v>
      </c>
      <c r="I115" s="440">
        <f t="shared" si="114"/>
        <v>0</v>
      </c>
      <c r="J115" s="440">
        <f t="shared" si="114"/>
        <v>0</v>
      </c>
      <c r="K115" s="440">
        <f t="shared" si="114"/>
        <v>0</v>
      </c>
      <c r="L115" s="440">
        <f t="shared" si="114"/>
        <v>0</v>
      </c>
      <c r="M115" s="440">
        <f t="shared" si="114"/>
        <v>0</v>
      </c>
      <c r="N115" s="440">
        <f t="shared" si="114"/>
        <v>0</v>
      </c>
      <c r="O115" s="440">
        <f t="shared" si="114"/>
        <v>0</v>
      </c>
      <c r="P115" s="440">
        <f t="shared" si="114"/>
        <v>9942226</v>
      </c>
      <c r="Q115" s="22"/>
      <c r="R115" s="42"/>
    </row>
    <row r="116" spans="1:18" s="35" customFormat="1" ht="138.75" thickTop="1" thickBot="1" x14ac:dyDescent="0.25">
      <c r="A116" s="445" t="s">
        <v>326</v>
      </c>
      <c r="B116" s="445" t="s">
        <v>328</v>
      </c>
      <c r="C116" s="445" t="s">
        <v>235</v>
      </c>
      <c r="D116" s="470" t="s">
        <v>324</v>
      </c>
      <c r="E116" s="446">
        <f t="shared" si="110"/>
        <v>3648776</v>
      </c>
      <c r="F116" s="389">
        <v>3648776</v>
      </c>
      <c r="G116" s="389">
        <v>2636610</v>
      </c>
      <c r="H116" s="389">
        <v>216098</v>
      </c>
      <c r="I116" s="389"/>
      <c r="J116" s="446">
        <f t="shared" si="107"/>
        <v>0</v>
      </c>
      <c r="K116" s="389"/>
      <c r="L116" s="389"/>
      <c r="M116" s="389"/>
      <c r="N116" s="389"/>
      <c r="O116" s="390">
        <f t="shared" si="112"/>
        <v>0</v>
      </c>
      <c r="P116" s="446">
        <f t="shared" si="108"/>
        <v>3648776</v>
      </c>
      <c r="Q116" s="39"/>
      <c r="R116" s="28"/>
    </row>
    <row r="117" spans="1:18" s="35" customFormat="1" ht="93" thickTop="1" thickBot="1" x14ac:dyDescent="0.25">
      <c r="A117" s="445" t="s">
        <v>327</v>
      </c>
      <c r="B117" s="445" t="s">
        <v>329</v>
      </c>
      <c r="C117" s="445" t="s">
        <v>235</v>
      </c>
      <c r="D117" s="470" t="s">
        <v>325</v>
      </c>
      <c r="E117" s="670">
        <f t="shared" si="110"/>
        <v>6293450</v>
      </c>
      <c r="F117" s="389">
        <f>(5434200)+859250</f>
        <v>6293450</v>
      </c>
      <c r="G117" s="389"/>
      <c r="H117" s="389"/>
      <c r="I117" s="389"/>
      <c r="J117" s="670">
        <f t="shared" si="107"/>
        <v>0</v>
      </c>
      <c r="K117" s="389"/>
      <c r="L117" s="389"/>
      <c r="M117" s="389"/>
      <c r="N117" s="389"/>
      <c r="O117" s="390">
        <f t="shared" si="112"/>
        <v>0</v>
      </c>
      <c r="P117" s="446">
        <f t="shared" si="108"/>
        <v>6293450</v>
      </c>
      <c r="Q117" s="39"/>
      <c r="R117" s="42"/>
    </row>
    <row r="118" spans="1:18" s="35" customFormat="1" ht="91.5" thickTop="1" thickBot="1" x14ac:dyDescent="0.25">
      <c r="A118" s="385" t="s">
        <v>1247</v>
      </c>
      <c r="B118" s="385" t="s">
        <v>720</v>
      </c>
      <c r="C118" s="385"/>
      <c r="D118" s="385" t="s">
        <v>721</v>
      </c>
      <c r="E118" s="670">
        <f>E119</f>
        <v>100000</v>
      </c>
      <c r="F118" s="670">
        <f t="shared" ref="F118:P118" si="115">F119</f>
        <v>100000</v>
      </c>
      <c r="G118" s="670">
        <f t="shared" si="115"/>
        <v>0</v>
      </c>
      <c r="H118" s="670">
        <f t="shared" si="115"/>
        <v>0</v>
      </c>
      <c r="I118" s="670">
        <f t="shared" si="115"/>
        <v>0</v>
      </c>
      <c r="J118" s="670">
        <f t="shared" si="115"/>
        <v>0</v>
      </c>
      <c r="K118" s="446">
        <f t="shared" si="115"/>
        <v>0</v>
      </c>
      <c r="L118" s="446">
        <f t="shared" si="115"/>
        <v>0</v>
      </c>
      <c r="M118" s="446">
        <f t="shared" si="115"/>
        <v>0</v>
      </c>
      <c r="N118" s="446">
        <f t="shared" si="115"/>
        <v>0</v>
      </c>
      <c r="O118" s="446">
        <f t="shared" si="115"/>
        <v>0</v>
      </c>
      <c r="P118" s="446">
        <f t="shared" si="115"/>
        <v>100000</v>
      </c>
      <c r="Q118" s="39"/>
      <c r="R118" s="42"/>
    </row>
    <row r="119" spans="1:18" s="35" customFormat="1" ht="230.25" thickTop="1" thickBot="1" x14ac:dyDescent="0.25">
      <c r="A119" s="445" t="s">
        <v>1248</v>
      </c>
      <c r="B119" s="445" t="s">
        <v>1249</v>
      </c>
      <c r="C119" s="445" t="s">
        <v>211</v>
      </c>
      <c r="D119" s="470" t="s">
        <v>1250</v>
      </c>
      <c r="E119" s="670">
        <f t="shared" ref="E119" si="116">F119</f>
        <v>100000</v>
      </c>
      <c r="F119" s="389">
        <v>100000</v>
      </c>
      <c r="G119" s="389"/>
      <c r="H119" s="389"/>
      <c r="I119" s="389"/>
      <c r="J119" s="670">
        <f t="shared" ref="J119" si="117">L119+O119</f>
        <v>0</v>
      </c>
      <c r="K119" s="389"/>
      <c r="L119" s="389"/>
      <c r="M119" s="389"/>
      <c r="N119" s="389"/>
      <c r="O119" s="390">
        <f t="shared" ref="O119" si="118">K119</f>
        <v>0</v>
      </c>
      <c r="P119" s="446">
        <f t="shared" ref="P119" si="119">E119+J119</f>
        <v>100000</v>
      </c>
      <c r="Q119" s="39"/>
      <c r="R119" s="42"/>
    </row>
    <row r="120" spans="1:18" s="35" customFormat="1" ht="47.25" thickTop="1" thickBot="1" x14ac:dyDescent="0.25">
      <c r="A120" s="385" t="s">
        <v>759</v>
      </c>
      <c r="B120" s="385" t="s">
        <v>757</v>
      </c>
      <c r="C120" s="385"/>
      <c r="D120" s="385" t="s">
        <v>758</v>
      </c>
      <c r="E120" s="670">
        <f>SUM(E126)+E121</f>
        <v>0</v>
      </c>
      <c r="F120" s="670">
        <f t="shared" ref="F120:P120" si="120">SUM(F126)+F121</f>
        <v>0</v>
      </c>
      <c r="G120" s="670">
        <f t="shared" si="120"/>
        <v>0</v>
      </c>
      <c r="H120" s="670">
        <f t="shared" si="120"/>
        <v>0</v>
      </c>
      <c r="I120" s="670">
        <f t="shared" si="120"/>
        <v>0</v>
      </c>
      <c r="J120" s="670">
        <f t="shared" si="120"/>
        <v>49071161.239999995</v>
      </c>
      <c r="K120" s="446">
        <f t="shared" si="120"/>
        <v>49071161.239999995</v>
      </c>
      <c r="L120" s="446">
        <f t="shared" si="120"/>
        <v>0</v>
      </c>
      <c r="M120" s="446">
        <f t="shared" si="120"/>
        <v>0</v>
      </c>
      <c r="N120" s="446">
        <f t="shared" si="120"/>
        <v>0</v>
      </c>
      <c r="O120" s="446">
        <f t="shared" si="120"/>
        <v>49071161.239999995</v>
      </c>
      <c r="P120" s="446">
        <f t="shared" si="120"/>
        <v>49071161.239999995</v>
      </c>
      <c r="Q120" s="39"/>
      <c r="R120" s="42"/>
    </row>
    <row r="121" spans="1:18" s="35" customFormat="1" ht="91.5" thickTop="1" thickBot="1" x14ac:dyDescent="0.25">
      <c r="A121" s="387" t="s">
        <v>1080</v>
      </c>
      <c r="B121" s="387" t="s">
        <v>813</v>
      </c>
      <c r="C121" s="387"/>
      <c r="D121" s="387" t="s">
        <v>814</v>
      </c>
      <c r="E121" s="391">
        <f>E124+E122</f>
        <v>0</v>
      </c>
      <c r="F121" s="391">
        <f t="shared" ref="F121:P121" si="121">F124+F122</f>
        <v>0</v>
      </c>
      <c r="G121" s="391">
        <f t="shared" si="121"/>
        <v>0</v>
      </c>
      <c r="H121" s="391">
        <f t="shared" si="121"/>
        <v>0</v>
      </c>
      <c r="I121" s="391">
        <f t="shared" si="121"/>
        <v>0</v>
      </c>
      <c r="J121" s="391">
        <f t="shared" si="121"/>
        <v>24670053</v>
      </c>
      <c r="K121" s="391">
        <f t="shared" si="121"/>
        <v>24670053</v>
      </c>
      <c r="L121" s="391">
        <f t="shared" si="121"/>
        <v>0</v>
      </c>
      <c r="M121" s="391">
        <f t="shared" si="121"/>
        <v>0</v>
      </c>
      <c r="N121" s="391">
        <f t="shared" si="121"/>
        <v>0</v>
      </c>
      <c r="O121" s="391">
        <f t="shared" si="121"/>
        <v>24670053</v>
      </c>
      <c r="P121" s="391">
        <f t="shared" si="121"/>
        <v>24670053</v>
      </c>
      <c r="Q121" s="39"/>
      <c r="R121" s="42"/>
    </row>
    <row r="122" spans="1:18" s="35" customFormat="1" ht="146.25" thickTop="1" thickBot="1" x14ac:dyDescent="0.25">
      <c r="A122" s="455" t="s">
        <v>1228</v>
      </c>
      <c r="B122" s="455" t="s">
        <v>831</v>
      </c>
      <c r="C122" s="455"/>
      <c r="D122" s="455" t="s">
        <v>1335</v>
      </c>
      <c r="E122" s="440">
        <f>E123</f>
        <v>0</v>
      </c>
      <c r="F122" s="440">
        <f t="shared" ref="F122:P122" si="122">F123</f>
        <v>0</v>
      </c>
      <c r="G122" s="440">
        <f t="shared" si="122"/>
        <v>0</v>
      </c>
      <c r="H122" s="440">
        <f t="shared" si="122"/>
        <v>0</v>
      </c>
      <c r="I122" s="440">
        <f t="shared" si="122"/>
        <v>0</v>
      </c>
      <c r="J122" s="440">
        <f t="shared" si="122"/>
        <v>24670053</v>
      </c>
      <c r="K122" s="440">
        <f t="shared" si="122"/>
        <v>24670053</v>
      </c>
      <c r="L122" s="440">
        <f t="shared" si="122"/>
        <v>0</v>
      </c>
      <c r="M122" s="440">
        <f t="shared" si="122"/>
        <v>0</v>
      </c>
      <c r="N122" s="440">
        <f t="shared" si="122"/>
        <v>0</v>
      </c>
      <c r="O122" s="440">
        <f t="shared" si="122"/>
        <v>24670053</v>
      </c>
      <c r="P122" s="440">
        <f t="shared" si="122"/>
        <v>24670053</v>
      </c>
      <c r="Q122" s="39"/>
      <c r="R122" s="42"/>
    </row>
    <row r="123" spans="1:18" s="35" customFormat="1" ht="99.75" thickTop="1" thickBot="1" x14ac:dyDescent="0.25">
      <c r="A123" s="445" t="s">
        <v>1227</v>
      </c>
      <c r="B123" s="445" t="s">
        <v>1229</v>
      </c>
      <c r="C123" s="445" t="s">
        <v>309</v>
      </c>
      <c r="D123" s="445" t="s">
        <v>1334</v>
      </c>
      <c r="E123" s="446">
        <f t="shared" ref="E123" si="123">F123</f>
        <v>0</v>
      </c>
      <c r="F123" s="389"/>
      <c r="G123" s="389"/>
      <c r="H123" s="389"/>
      <c r="I123" s="389"/>
      <c r="J123" s="446">
        <f t="shared" ref="J123" si="124">L123+O123</f>
        <v>24670053</v>
      </c>
      <c r="K123" s="389">
        <f>(11239495)+5841803+7588755</f>
        <v>24670053</v>
      </c>
      <c r="L123" s="389"/>
      <c r="M123" s="389"/>
      <c r="N123" s="389"/>
      <c r="O123" s="390">
        <f>K123</f>
        <v>24670053</v>
      </c>
      <c r="P123" s="446">
        <f t="shared" ref="P123" si="125">E123+J123</f>
        <v>24670053</v>
      </c>
      <c r="Q123" s="39"/>
      <c r="R123" s="42"/>
    </row>
    <row r="124" spans="1:18" s="35" customFormat="1" ht="93" hidden="1" thickTop="1" thickBot="1" x14ac:dyDescent="0.25">
      <c r="A124" s="178" t="s">
        <v>1081</v>
      </c>
      <c r="B124" s="178" t="s">
        <v>1079</v>
      </c>
      <c r="C124" s="178"/>
      <c r="D124" s="178" t="s">
        <v>1078</v>
      </c>
      <c r="E124" s="179">
        <f>E125</f>
        <v>0</v>
      </c>
      <c r="F124" s="179">
        <f t="shared" ref="F124:P124" si="126">F125</f>
        <v>0</v>
      </c>
      <c r="G124" s="179">
        <f t="shared" si="126"/>
        <v>0</v>
      </c>
      <c r="H124" s="179">
        <f t="shared" si="126"/>
        <v>0</v>
      </c>
      <c r="I124" s="179">
        <f t="shared" si="126"/>
        <v>0</v>
      </c>
      <c r="J124" s="179">
        <f t="shared" si="126"/>
        <v>0</v>
      </c>
      <c r="K124" s="179">
        <f t="shared" si="126"/>
        <v>0</v>
      </c>
      <c r="L124" s="179">
        <f t="shared" si="126"/>
        <v>0</v>
      </c>
      <c r="M124" s="179">
        <f t="shared" si="126"/>
        <v>0</v>
      </c>
      <c r="N124" s="179">
        <f t="shared" si="126"/>
        <v>0</v>
      </c>
      <c r="O124" s="179">
        <f t="shared" si="126"/>
        <v>0</v>
      </c>
      <c r="P124" s="179">
        <f t="shared" si="126"/>
        <v>0</v>
      </c>
      <c r="Q124" s="39"/>
      <c r="R124" s="42"/>
    </row>
    <row r="125" spans="1:18" s="35" customFormat="1" ht="230.25" hidden="1" thickTop="1" thickBot="1" x14ac:dyDescent="0.25">
      <c r="A125" s="44" t="s">
        <v>1082</v>
      </c>
      <c r="B125" s="44" t="s">
        <v>1083</v>
      </c>
      <c r="C125" s="44" t="s">
        <v>171</v>
      </c>
      <c r="D125" s="44" t="s">
        <v>1084</v>
      </c>
      <c r="E125" s="45">
        <f t="shared" si="110"/>
        <v>0</v>
      </c>
      <c r="F125" s="46"/>
      <c r="G125" s="46"/>
      <c r="H125" s="46"/>
      <c r="I125" s="46"/>
      <c r="J125" s="45">
        <f t="shared" si="107"/>
        <v>0</v>
      </c>
      <c r="K125" s="46"/>
      <c r="L125" s="46"/>
      <c r="M125" s="46"/>
      <c r="N125" s="46"/>
      <c r="O125" s="47">
        <f>K125</f>
        <v>0</v>
      </c>
      <c r="P125" s="45">
        <f t="shared" si="108"/>
        <v>0</v>
      </c>
      <c r="Q125" s="39"/>
      <c r="R125" s="28"/>
    </row>
    <row r="126" spans="1:18" s="30" customFormat="1" ht="136.5" thickTop="1" thickBot="1" x14ac:dyDescent="0.25">
      <c r="A126" s="387" t="s">
        <v>735</v>
      </c>
      <c r="B126" s="387" t="s">
        <v>700</v>
      </c>
      <c r="C126" s="387"/>
      <c r="D126" s="387" t="s">
        <v>698</v>
      </c>
      <c r="E126" s="391">
        <f>E127</f>
        <v>0</v>
      </c>
      <c r="F126" s="391">
        <f t="shared" ref="F126:P126" si="127">F127</f>
        <v>0</v>
      </c>
      <c r="G126" s="391">
        <f t="shared" si="127"/>
        <v>0</v>
      </c>
      <c r="H126" s="391">
        <f t="shared" si="127"/>
        <v>0</v>
      </c>
      <c r="I126" s="391">
        <f t="shared" si="127"/>
        <v>0</v>
      </c>
      <c r="J126" s="391">
        <f t="shared" si="127"/>
        <v>24401108.239999998</v>
      </c>
      <c r="K126" s="391">
        <f t="shared" si="127"/>
        <v>24401108.239999998</v>
      </c>
      <c r="L126" s="391">
        <f t="shared" si="127"/>
        <v>0</v>
      </c>
      <c r="M126" s="391">
        <f t="shared" si="127"/>
        <v>0</v>
      </c>
      <c r="N126" s="391">
        <f t="shared" si="127"/>
        <v>0</v>
      </c>
      <c r="O126" s="391">
        <f t="shared" si="127"/>
        <v>24401108.239999998</v>
      </c>
      <c r="P126" s="391">
        <f t="shared" si="127"/>
        <v>24401108.239999998</v>
      </c>
      <c r="Q126" s="183"/>
      <c r="R126" s="43"/>
    </row>
    <row r="127" spans="1:18" s="30" customFormat="1" ht="48" thickTop="1" thickBot="1" x14ac:dyDescent="0.25">
      <c r="A127" s="445" t="s">
        <v>1330</v>
      </c>
      <c r="B127" s="445" t="s">
        <v>217</v>
      </c>
      <c r="C127" s="445" t="s">
        <v>218</v>
      </c>
      <c r="D127" s="445" t="s">
        <v>41</v>
      </c>
      <c r="E127" s="446">
        <f t="shared" si="110"/>
        <v>0</v>
      </c>
      <c r="F127" s="389"/>
      <c r="G127" s="389"/>
      <c r="H127" s="389"/>
      <c r="I127" s="389"/>
      <c r="J127" s="446">
        <f t="shared" ref="J127" si="128">L127+O127</f>
        <v>24401108.239999998</v>
      </c>
      <c r="K127" s="389">
        <f>((8590009+2371500-60000)+907081+9009016+2252258)+1331244.24</f>
        <v>24401108.239999998</v>
      </c>
      <c r="L127" s="389"/>
      <c r="M127" s="389"/>
      <c r="N127" s="389"/>
      <c r="O127" s="390">
        <f t="shared" ref="O127" si="129">K127</f>
        <v>24401108.239999998</v>
      </c>
      <c r="P127" s="446">
        <f t="shared" si="108"/>
        <v>24401108.239999998</v>
      </c>
      <c r="Q127" s="183"/>
      <c r="R127" s="43"/>
    </row>
    <row r="128" spans="1:18" s="35" customFormat="1" ht="93" hidden="1" thickTop="1" thickBot="1" x14ac:dyDescent="0.25">
      <c r="A128" s="44" t="s">
        <v>440</v>
      </c>
      <c r="B128" s="44" t="s">
        <v>202</v>
      </c>
      <c r="C128" s="44" t="s">
        <v>171</v>
      </c>
      <c r="D128" s="44" t="s">
        <v>34</v>
      </c>
      <c r="E128" s="45">
        <f t="shared" si="110"/>
        <v>0</v>
      </c>
      <c r="F128" s="46"/>
      <c r="G128" s="46"/>
      <c r="H128" s="46"/>
      <c r="I128" s="46"/>
      <c r="J128" s="45">
        <f t="shared" si="107"/>
        <v>0</v>
      </c>
      <c r="K128" s="46"/>
      <c r="L128" s="46"/>
      <c r="M128" s="46"/>
      <c r="N128" s="46"/>
      <c r="O128" s="47">
        <f t="shared" si="112"/>
        <v>0</v>
      </c>
      <c r="P128" s="45">
        <f t="shared" si="108"/>
        <v>0</v>
      </c>
      <c r="Q128" s="39"/>
      <c r="R128" s="28"/>
    </row>
    <row r="129" spans="1:20" s="35" customFormat="1" ht="93" hidden="1" thickTop="1" thickBot="1" x14ac:dyDescent="0.25">
      <c r="A129" s="44" t="s">
        <v>514</v>
      </c>
      <c r="B129" s="44" t="s">
        <v>368</v>
      </c>
      <c r="C129" s="44" t="s">
        <v>43</v>
      </c>
      <c r="D129" s="44" t="s">
        <v>369</v>
      </c>
      <c r="E129" s="45">
        <f t="shared" si="110"/>
        <v>0</v>
      </c>
      <c r="F129" s="46"/>
      <c r="G129" s="46"/>
      <c r="H129" s="46"/>
      <c r="I129" s="46"/>
      <c r="J129" s="45">
        <f t="shared" si="107"/>
        <v>0</v>
      </c>
      <c r="K129" s="46"/>
      <c r="L129" s="46"/>
      <c r="M129" s="46"/>
      <c r="N129" s="46"/>
      <c r="O129" s="47">
        <f t="shared" si="112"/>
        <v>0</v>
      </c>
      <c r="P129" s="45">
        <f t="shared" si="108"/>
        <v>0</v>
      </c>
      <c r="Q129" s="39"/>
      <c r="R129" s="32"/>
    </row>
    <row r="130" spans="1:20" ht="226.5" thickTop="1" thickBot="1" x14ac:dyDescent="0.25">
      <c r="A130" s="460" t="s">
        <v>157</v>
      </c>
      <c r="B130" s="460"/>
      <c r="C130" s="460"/>
      <c r="D130" s="461" t="s">
        <v>37</v>
      </c>
      <c r="E130" s="463">
        <f>E131</f>
        <v>278123253.87</v>
      </c>
      <c r="F130" s="462">
        <f t="shared" ref="F130:G130" si="130">F131</f>
        <v>278123253.87</v>
      </c>
      <c r="G130" s="462">
        <f t="shared" si="130"/>
        <v>82736509</v>
      </c>
      <c r="H130" s="462">
        <f>H131</f>
        <v>5738043.8700000001</v>
      </c>
      <c r="I130" s="462">
        <f t="shared" ref="I130" si="131">I131</f>
        <v>0</v>
      </c>
      <c r="J130" s="463">
        <f>J131</f>
        <v>127008062</v>
      </c>
      <c r="K130" s="462">
        <f>K131</f>
        <v>118716533</v>
      </c>
      <c r="L130" s="462">
        <f>L131</f>
        <v>8126529</v>
      </c>
      <c r="M130" s="462">
        <f t="shared" ref="M130" si="132">M131</f>
        <v>2772020</v>
      </c>
      <c r="N130" s="462">
        <f>N131</f>
        <v>778110</v>
      </c>
      <c r="O130" s="463">
        <f>O131</f>
        <v>118881533</v>
      </c>
      <c r="P130" s="462">
        <f>P131</f>
        <v>405131315.87</v>
      </c>
      <c r="Q130" s="22"/>
    </row>
    <row r="131" spans="1:20" ht="226.5" thickTop="1" thickBot="1" x14ac:dyDescent="0.25">
      <c r="A131" s="464" t="s">
        <v>158</v>
      </c>
      <c r="B131" s="464"/>
      <c r="C131" s="464"/>
      <c r="D131" s="465" t="s">
        <v>38</v>
      </c>
      <c r="E131" s="466">
        <f>E132+E136+E176+E180</f>
        <v>278123253.87</v>
      </c>
      <c r="F131" s="466">
        <f>F132+F136+F176+F180</f>
        <v>278123253.87</v>
      </c>
      <c r="G131" s="466">
        <f>G132+G136+G176+G180</f>
        <v>82736509</v>
      </c>
      <c r="H131" s="466">
        <f>H132+H136+H176+H180</f>
        <v>5738043.8700000001</v>
      </c>
      <c r="I131" s="466">
        <f>I132+I136+I176+I180</f>
        <v>0</v>
      </c>
      <c r="J131" s="466">
        <f t="shared" ref="J131:J157" si="133">L131+O131</f>
        <v>127008062</v>
      </c>
      <c r="K131" s="466">
        <f>K132+K136+K176+K180</f>
        <v>118716533</v>
      </c>
      <c r="L131" s="466">
        <f>L132+L136+L176+L180</f>
        <v>8126529</v>
      </c>
      <c r="M131" s="466">
        <f>M132+M136+M176+M180</f>
        <v>2772020</v>
      </c>
      <c r="N131" s="466">
        <f>N132+N136+N176+N180</f>
        <v>778110</v>
      </c>
      <c r="O131" s="466">
        <f>O132+O136+O176+O180</f>
        <v>118881533</v>
      </c>
      <c r="P131" s="466">
        <f>E131+J131</f>
        <v>405131315.87</v>
      </c>
      <c r="Q131" s="392" t="b">
        <f>P131=P133+P134+P135+P138+P139+P140+P141+P142+P144+P147+P148+P150+P151+P154+P156+P172+P174+P175+P178+P157+P143+P145+P153+P185</f>
        <v>1</v>
      </c>
      <c r="R131" s="49"/>
      <c r="S131" s="49"/>
      <c r="T131" s="48"/>
    </row>
    <row r="132" spans="1:20" ht="47.25" thickTop="1" thickBot="1" x14ac:dyDescent="0.25">
      <c r="A132" s="385" t="s">
        <v>736</v>
      </c>
      <c r="B132" s="385" t="s">
        <v>693</v>
      </c>
      <c r="C132" s="385"/>
      <c r="D132" s="385" t="s">
        <v>694</v>
      </c>
      <c r="E132" s="670">
        <f t="shared" ref="E132:P132" si="134">SUM(E133:E135)</f>
        <v>53544585</v>
      </c>
      <c r="F132" s="670">
        <f t="shared" si="134"/>
        <v>53544585</v>
      </c>
      <c r="G132" s="670">
        <f t="shared" si="134"/>
        <v>38000000</v>
      </c>
      <c r="H132" s="670">
        <f t="shared" si="134"/>
        <v>2160585</v>
      </c>
      <c r="I132" s="670">
        <f t="shared" si="134"/>
        <v>0</v>
      </c>
      <c r="J132" s="670">
        <f t="shared" si="134"/>
        <v>1319000</v>
      </c>
      <c r="K132" s="547">
        <f t="shared" si="134"/>
        <v>1319000</v>
      </c>
      <c r="L132" s="547">
        <f t="shared" si="134"/>
        <v>0</v>
      </c>
      <c r="M132" s="547">
        <f t="shared" si="134"/>
        <v>0</v>
      </c>
      <c r="N132" s="547">
        <f t="shared" si="134"/>
        <v>0</v>
      </c>
      <c r="O132" s="547">
        <f t="shared" si="134"/>
        <v>1319000</v>
      </c>
      <c r="P132" s="547">
        <f t="shared" si="134"/>
        <v>54863585</v>
      </c>
      <c r="Q132" s="50"/>
      <c r="R132" s="49"/>
      <c r="T132" s="48"/>
    </row>
    <row r="133" spans="1:20" ht="230.25" thickTop="1" thickBot="1" x14ac:dyDescent="0.25">
      <c r="A133" s="546" t="s">
        <v>420</v>
      </c>
      <c r="B133" s="546" t="s">
        <v>241</v>
      </c>
      <c r="C133" s="546" t="s">
        <v>239</v>
      </c>
      <c r="D133" s="546" t="s">
        <v>240</v>
      </c>
      <c r="E133" s="670">
        <f t="shared" ref="E133" si="135">F133</f>
        <v>53457585</v>
      </c>
      <c r="F133" s="389">
        <f>(52715585)+298000+444000</f>
        <v>53457585</v>
      </c>
      <c r="G133" s="389">
        <v>38000000</v>
      </c>
      <c r="H133" s="389">
        <f>1250000+59135+812450+39000</f>
        <v>2160585</v>
      </c>
      <c r="I133" s="389"/>
      <c r="J133" s="670">
        <f t="shared" si="133"/>
        <v>1319000</v>
      </c>
      <c r="K133" s="389">
        <f>(300000)+1019000</f>
        <v>1319000</v>
      </c>
      <c r="L133" s="389"/>
      <c r="M133" s="389"/>
      <c r="N133" s="389"/>
      <c r="O133" s="390">
        <f>K133</f>
        <v>1319000</v>
      </c>
      <c r="P133" s="547">
        <f t="shared" ref="P133:P148" si="136">E133+J133</f>
        <v>54776585</v>
      </c>
      <c r="Q133" s="50"/>
      <c r="R133" s="49"/>
      <c r="T133" s="48"/>
    </row>
    <row r="134" spans="1:20" ht="184.5" thickTop="1" thickBot="1" x14ac:dyDescent="0.25">
      <c r="A134" s="546" t="s">
        <v>637</v>
      </c>
      <c r="B134" s="546" t="s">
        <v>367</v>
      </c>
      <c r="C134" s="546" t="s">
        <v>634</v>
      </c>
      <c r="D134" s="546" t="s">
        <v>635</v>
      </c>
      <c r="E134" s="670">
        <f t="shared" ref="E134:E135" si="137">F134</f>
        <v>57000</v>
      </c>
      <c r="F134" s="389">
        <v>57000</v>
      </c>
      <c r="G134" s="389"/>
      <c r="H134" s="389"/>
      <c r="I134" s="389"/>
      <c r="J134" s="670">
        <f t="shared" ref="J134:J135" si="138">L134+O134</f>
        <v>0</v>
      </c>
      <c r="K134" s="389"/>
      <c r="L134" s="389"/>
      <c r="M134" s="389"/>
      <c r="N134" s="389"/>
      <c r="O134" s="390">
        <f>K134</f>
        <v>0</v>
      </c>
      <c r="P134" s="547">
        <f t="shared" ref="P134:P135" si="139">E134+J134</f>
        <v>57000</v>
      </c>
      <c r="Q134" s="50"/>
      <c r="R134" s="49"/>
      <c r="T134" s="48"/>
    </row>
    <row r="135" spans="1:20" ht="93" thickTop="1" thickBot="1" x14ac:dyDescent="0.25">
      <c r="A135" s="546" t="s">
        <v>932</v>
      </c>
      <c r="B135" s="546" t="s">
        <v>43</v>
      </c>
      <c r="C135" s="546" t="s">
        <v>42</v>
      </c>
      <c r="D135" s="546" t="s">
        <v>253</v>
      </c>
      <c r="E135" s="670">
        <f t="shared" si="137"/>
        <v>30000</v>
      </c>
      <c r="F135" s="389">
        <v>30000</v>
      </c>
      <c r="G135" s="389"/>
      <c r="H135" s="389"/>
      <c r="I135" s="389"/>
      <c r="J135" s="670">
        <f t="shared" si="138"/>
        <v>0</v>
      </c>
      <c r="K135" s="389"/>
      <c r="L135" s="389"/>
      <c r="M135" s="389"/>
      <c r="N135" s="389"/>
      <c r="O135" s="390"/>
      <c r="P135" s="547">
        <f t="shared" si="139"/>
        <v>30000</v>
      </c>
      <c r="Q135" s="50"/>
      <c r="R135" s="49"/>
      <c r="T135" s="48"/>
    </row>
    <row r="136" spans="1:20" ht="91.5" thickTop="1" thickBot="1" x14ac:dyDescent="0.25">
      <c r="A136" s="385" t="s">
        <v>737</v>
      </c>
      <c r="B136" s="385" t="s">
        <v>720</v>
      </c>
      <c r="C136" s="385"/>
      <c r="D136" s="385" t="s">
        <v>721</v>
      </c>
      <c r="E136" s="670">
        <f t="shared" ref="E136:P136" si="140">SUM(E137:E175)-E137-E146-E155-E158-E173-E152-E149</f>
        <v>224558668.86999997</v>
      </c>
      <c r="F136" s="670">
        <f t="shared" si="140"/>
        <v>224558668.86999997</v>
      </c>
      <c r="G136" s="670">
        <f t="shared" si="140"/>
        <v>44736509</v>
      </c>
      <c r="H136" s="670">
        <f t="shared" si="140"/>
        <v>3577458.87</v>
      </c>
      <c r="I136" s="670">
        <f t="shared" si="140"/>
        <v>0</v>
      </c>
      <c r="J136" s="670">
        <f t="shared" si="140"/>
        <v>107889062</v>
      </c>
      <c r="K136" s="547">
        <f t="shared" si="140"/>
        <v>99597533</v>
      </c>
      <c r="L136" s="547">
        <f t="shared" si="140"/>
        <v>8126529</v>
      </c>
      <c r="M136" s="547">
        <f t="shared" si="140"/>
        <v>2772020</v>
      </c>
      <c r="N136" s="547">
        <f t="shared" si="140"/>
        <v>778110</v>
      </c>
      <c r="O136" s="547">
        <f t="shared" si="140"/>
        <v>99762533</v>
      </c>
      <c r="P136" s="547">
        <f t="shared" si="140"/>
        <v>332447730.87</v>
      </c>
      <c r="Q136" s="50"/>
      <c r="R136" s="49"/>
      <c r="T136" s="48"/>
    </row>
    <row r="137" spans="1:20" s="37" customFormat="1" ht="321.75" thickTop="1" thickBot="1" x14ac:dyDescent="0.25">
      <c r="A137" s="455" t="s">
        <v>738</v>
      </c>
      <c r="B137" s="455" t="s">
        <v>739</v>
      </c>
      <c r="C137" s="455"/>
      <c r="D137" s="455" t="s">
        <v>740</v>
      </c>
      <c r="E137" s="440">
        <f>SUM(E138:E142)</f>
        <v>66355000</v>
      </c>
      <c r="F137" s="440">
        <f t="shared" ref="F137:P137" si="141">SUM(F138:F142)</f>
        <v>66355000</v>
      </c>
      <c r="G137" s="440">
        <f t="shared" si="141"/>
        <v>0</v>
      </c>
      <c r="H137" s="440">
        <f t="shared" si="141"/>
        <v>0</v>
      </c>
      <c r="I137" s="440">
        <f t="shared" si="141"/>
        <v>0</v>
      </c>
      <c r="J137" s="440">
        <f t="shared" si="141"/>
        <v>150000</v>
      </c>
      <c r="K137" s="440">
        <f t="shared" si="141"/>
        <v>150000</v>
      </c>
      <c r="L137" s="440">
        <f t="shared" si="141"/>
        <v>0</v>
      </c>
      <c r="M137" s="440">
        <f t="shared" si="141"/>
        <v>0</v>
      </c>
      <c r="N137" s="440">
        <f t="shared" si="141"/>
        <v>0</v>
      </c>
      <c r="O137" s="440">
        <f t="shared" si="141"/>
        <v>150000</v>
      </c>
      <c r="P137" s="440">
        <f t="shared" si="141"/>
        <v>66505000</v>
      </c>
      <c r="Q137" s="184"/>
      <c r="R137" s="51"/>
      <c r="T137" s="52"/>
    </row>
    <row r="138" spans="1:20" s="35" customFormat="1" ht="138.75" thickTop="1" thickBot="1" x14ac:dyDescent="0.25">
      <c r="A138" s="546" t="s">
        <v>274</v>
      </c>
      <c r="B138" s="546" t="s">
        <v>275</v>
      </c>
      <c r="C138" s="546" t="s">
        <v>210</v>
      </c>
      <c r="D138" s="457" t="s">
        <v>276</v>
      </c>
      <c r="E138" s="670">
        <f>F138</f>
        <v>755000</v>
      </c>
      <c r="F138" s="389">
        <f>(360000)+395000</f>
        <v>755000</v>
      </c>
      <c r="G138" s="389"/>
      <c r="H138" s="389"/>
      <c r="I138" s="389"/>
      <c r="J138" s="670">
        <f t="shared" si="133"/>
        <v>150000</v>
      </c>
      <c r="K138" s="389">
        <v>150000</v>
      </c>
      <c r="L138" s="389"/>
      <c r="M138" s="389"/>
      <c r="N138" s="389"/>
      <c r="O138" s="390">
        <f t="shared" ref="O138:O157" si="142">K138</f>
        <v>150000</v>
      </c>
      <c r="P138" s="547">
        <f t="shared" si="136"/>
        <v>905000</v>
      </c>
      <c r="Q138" s="39"/>
      <c r="R138" s="49"/>
    </row>
    <row r="139" spans="1:20" s="35" customFormat="1" ht="138.75" thickTop="1" thickBot="1" x14ac:dyDescent="0.25">
      <c r="A139" s="546" t="s">
        <v>277</v>
      </c>
      <c r="B139" s="546" t="s">
        <v>278</v>
      </c>
      <c r="C139" s="546" t="s">
        <v>211</v>
      </c>
      <c r="D139" s="546" t="s">
        <v>6</v>
      </c>
      <c r="E139" s="670">
        <f t="shared" ref="E139:E187" si="143">F139</f>
        <v>700000</v>
      </c>
      <c r="F139" s="389">
        <v>700000</v>
      </c>
      <c r="G139" s="389"/>
      <c r="H139" s="389"/>
      <c r="I139" s="389"/>
      <c r="J139" s="670">
        <f t="shared" si="133"/>
        <v>0</v>
      </c>
      <c r="K139" s="389"/>
      <c r="L139" s="389"/>
      <c r="M139" s="389"/>
      <c r="N139" s="389"/>
      <c r="O139" s="390">
        <f t="shared" si="142"/>
        <v>0</v>
      </c>
      <c r="P139" s="547">
        <f t="shared" si="136"/>
        <v>700000</v>
      </c>
      <c r="Q139" s="39"/>
      <c r="R139" s="53"/>
    </row>
    <row r="140" spans="1:20" s="35" customFormat="1" ht="184.5" thickTop="1" thickBot="1" x14ac:dyDescent="0.25">
      <c r="A140" s="546" t="s">
        <v>280</v>
      </c>
      <c r="B140" s="546" t="s">
        <v>281</v>
      </c>
      <c r="C140" s="546" t="s">
        <v>211</v>
      </c>
      <c r="D140" s="546" t="s">
        <v>7</v>
      </c>
      <c r="E140" s="670">
        <f t="shared" si="143"/>
        <v>19200000</v>
      </c>
      <c r="F140" s="389">
        <v>19200000</v>
      </c>
      <c r="G140" s="389"/>
      <c r="H140" s="389"/>
      <c r="I140" s="389"/>
      <c r="J140" s="670">
        <f t="shared" si="133"/>
        <v>0</v>
      </c>
      <c r="K140" s="389"/>
      <c r="L140" s="389"/>
      <c r="M140" s="389"/>
      <c r="N140" s="389"/>
      <c r="O140" s="390">
        <f t="shared" si="142"/>
        <v>0</v>
      </c>
      <c r="P140" s="547">
        <f t="shared" si="136"/>
        <v>19200000</v>
      </c>
      <c r="Q140" s="39"/>
      <c r="R140" s="53"/>
    </row>
    <row r="141" spans="1:20" s="35" customFormat="1" ht="184.5" thickTop="1" thickBot="1" x14ac:dyDescent="0.25">
      <c r="A141" s="546" t="s">
        <v>282</v>
      </c>
      <c r="B141" s="546" t="s">
        <v>279</v>
      </c>
      <c r="C141" s="546" t="s">
        <v>211</v>
      </c>
      <c r="D141" s="546" t="s">
        <v>8</v>
      </c>
      <c r="E141" s="670">
        <f t="shared" si="143"/>
        <v>700000</v>
      </c>
      <c r="F141" s="389">
        <v>700000</v>
      </c>
      <c r="G141" s="389"/>
      <c r="H141" s="389"/>
      <c r="I141" s="389"/>
      <c r="J141" s="670">
        <f t="shared" si="133"/>
        <v>0</v>
      </c>
      <c r="K141" s="389"/>
      <c r="L141" s="389"/>
      <c r="M141" s="389"/>
      <c r="N141" s="389"/>
      <c r="O141" s="390">
        <f t="shared" si="142"/>
        <v>0</v>
      </c>
      <c r="P141" s="547">
        <f t="shared" si="136"/>
        <v>700000</v>
      </c>
      <c r="Q141" s="39"/>
      <c r="R141" s="53"/>
    </row>
    <row r="142" spans="1:20" s="35" customFormat="1" ht="184.5" thickTop="1" thickBot="1" x14ac:dyDescent="0.25">
      <c r="A142" s="546" t="s">
        <v>283</v>
      </c>
      <c r="B142" s="546" t="s">
        <v>284</v>
      </c>
      <c r="C142" s="546" t="s">
        <v>211</v>
      </c>
      <c r="D142" s="546" t="s">
        <v>9</v>
      </c>
      <c r="E142" s="670">
        <f t="shared" si="143"/>
        <v>45000000</v>
      </c>
      <c r="F142" s="389">
        <v>45000000</v>
      </c>
      <c r="G142" s="389"/>
      <c r="H142" s="389"/>
      <c r="I142" s="389"/>
      <c r="J142" s="670">
        <f t="shared" si="133"/>
        <v>0</v>
      </c>
      <c r="K142" s="389"/>
      <c r="L142" s="389"/>
      <c r="M142" s="389"/>
      <c r="N142" s="389"/>
      <c r="O142" s="390">
        <f t="shared" si="142"/>
        <v>0</v>
      </c>
      <c r="P142" s="547">
        <f t="shared" si="136"/>
        <v>45000000</v>
      </c>
      <c r="Q142" s="39"/>
      <c r="R142" s="53"/>
    </row>
    <row r="143" spans="1:20" s="35" customFormat="1" ht="184.5" thickTop="1" thickBot="1" x14ac:dyDescent="0.25">
      <c r="A143" s="682" t="s">
        <v>483</v>
      </c>
      <c r="B143" s="682" t="s">
        <v>484</v>
      </c>
      <c r="C143" s="682" t="s">
        <v>211</v>
      </c>
      <c r="D143" s="682" t="s">
        <v>485</v>
      </c>
      <c r="E143" s="683">
        <f t="shared" si="143"/>
        <v>272462</v>
      </c>
      <c r="F143" s="389">
        <v>272462</v>
      </c>
      <c r="G143" s="389"/>
      <c r="H143" s="389"/>
      <c r="I143" s="389"/>
      <c r="J143" s="683">
        <f t="shared" si="133"/>
        <v>0</v>
      </c>
      <c r="K143" s="389"/>
      <c r="L143" s="389"/>
      <c r="M143" s="389"/>
      <c r="N143" s="389"/>
      <c r="O143" s="390">
        <f t="shared" si="142"/>
        <v>0</v>
      </c>
      <c r="P143" s="683">
        <f t="shared" si="136"/>
        <v>272462</v>
      </c>
      <c r="Q143" s="39"/>
      <c r="R143" s="53"/>
    </row>
    <row r="144" spans="1:20" s="35" customFormat="1" ht="138.75" thickTop="1" thickBot="1" x14ac:dyDescent="0.25">
      <c r="A144" s="546" t="s">
        <v>933</v>
      </c>
      <c r="B144" s="546" t="s">
        <v>934</v>
      </c>
      <c r="C144" s="546" t="s">
        <v>211</v>
      </c>
      <c r="D144" s="546" t="s">
        <v>935</v>
      </c>
      <c r="E144" s="670">
        <f t="shared" ref="E144" si="144">F144</f>
        <v>2313890</v>
      </c>
      <c r="F144" s="389">
        <f>(180000)+2133890</f>
        <v>2313890</v>
      </c>
      <c r="G144" s="389"/>
      <c r="H144" s="389"/>
      <c r="I144" s="389"/>
      <c r="J144" s="670">
        <f t="shared" ref="J144" si="145">L144+O144</f>
        <v>0</v>
      </c>
      <c r="K144" s="389"/>
      <c r="L144" s="389"/>
      <c r="M144" s="389"/>
      <c r="N144" s="389"/>
      <c r="O144" s="390">
        <f t="shared" ref="O144" si="146">K144</f>
        <v>0</v>
      </c>
      <c r="P144" s="547">
        <f t="shared" ref="P144" si="147">E144+J144</f>
        <v>2313890</v>
      </c>
      <c r="Q144" s="39"/>
      <c r="R144" s="53"/>
    </row>
    <row r="145" spans="1:18" ht="138.75" thickTop="1" thickBot="1" x14ac:dyDescent="0.25">
      <c r="A145" s="682" t="s">
        <v>486</v>
      </c>
      <c r="B145" s="682" t="s">
        <v>487</v>
      </c>
      <c r="C145" s="682" t="s">
        <v>210</v>
      </c>
      <c r="D145" s="682" t="s">
        <v>488</v>
      </c>
      <c r="E145" s="683">
        <f t="shared" si="143"/>
        <v>546559</v>
      </c>
      <c r="F145" s="389">
        <v>546559</v>
      </c>
      <c r="G145" s="389"/>
      <c r="H145" s="389"/>
      <c r="I145" s="389"/>
      <c r="J145" s="683">
        <f t="shared" si="133"/>
        <v>0</v>
      </c>
      <c r="K145" s="389"/>
      <c r="L145" s="389"/>
      <c r="M145" s="389"/>
      <c r="N145" s="389"/>
      <c r="O145" s="390">
        <f>K145</f>
        <v>0</v>
      </c>
      <c r="P145" s="683">
        <f t="shared" si="136"/>
        <v>546559</v>
      </c>
      <c r="Q145" s="22"/>
      <c r="R145" s="53"/>
    </row>
    <row r="146" spans="1:18" s="35" customFormat="1" ht="276" thickTop="1" thickBot="1" x14ac:dyDescent="0.25">
      <c r="A146" s="455" t="s">
        <v>741</v>
      </c>
      <c r="B146" s="455" t="s">
        <v>742</v>
      </c>
      <c r="C146" s="455"/>
      <c r="D146" s="455" t="s">
        <v>743</v>
      </c>
      <c r="E146" s="440">
        <f>SUM(E147:E148)</f>
        <v>60272164.700000003</v>
      </c>
      <c r="F146" s="440">
        <f t="shared" ref="F146:P146" si="148">SUM(F147:F148)</f>
        <v>60272164.700000003</v>
      </c>
      <c r="G146" s="440">
        <f t="shared" si="148"/>
        <v>29597320</v>
      </c>
      <c r="H146" s="440">
        <f t="shared" si="148"/>
        <v>1471962.7</v>
      </c>
      <c r="I146" s="440">
        <f t="shared" si="148"/>
        <v>0</v>
      </c>
      <c r="J146" s="440">
        <f t="shared" si="148"/>
        <v>2139200</v>
      </c>
      <c r="K146" s="440">
        <f t="shared" si="148"/>
        <v>1409200</v>
      </c>
      <c r="L146" s="440">
        <f t="shared" si="148"/>
        <v>640000</v>
      </c>
      <c r="M146" s="440">
        <f t="shared" si="148"/>
        <v>361000</v>
      </c>
      <c r="N146" s="440">
        <f t="shared" si="148"/>
        <v>55000</v>
      </c>
      <c r="O146" s="440">
        <f t="shared" si="148"/>
        <v>1499200</v>
      </c>
      <c r="P146" s="440">
        <f t="shared" si="148"/>
        <v>62411364.700000003</v>
      </c>
      <c r="Q146" s="39"/>
      <c r="R146" s="54"/>
    </row>
    <row r="147" spans="1:18" ht="276" thickTop="1" thickBot="1" x14ac:dyDescent="0.25">
      <c r="A147" s="546" t="s">
        <v>272</v>
      </c>
      <c r="B147" s="546" t="s">
        <v>270</v>
      </c>
      <c r="C147" s="546" t="s">
        <v>205</v>
      </c>
      <c r="D147" s="546" t="s">
        <v>17</v>
      </c>
      <c r="E147" s="670">
        <f t="shared" si="143"/>
        <v>50153552.700000003</v>
      </c>
      <c r="F147" s="389">
        <f>(((42897540)+2880256.09)+4208.61)+3361703+1009845</f>
        <v>50153552.700000003</v>
      </c>
      <c r="G147" s="389">
        <v>23147377</v>
      </c>
      <c r="H147" s="389">
        <f>((460000+20896+240000+9600)+13680.09)+4208.61</f>
        <v>748384.7</v>
      </c>
      <c r="I147" s="389"/>
      <c r="J147" s="670">
        <f t="shared" si="133"/>
        <v>1638200</v>
      </c>
      <c r="K147" s="389">
        <f>(144200)+764000</f>
        <v>908200</v>
      </c>
      <c r="L147" s="389">
        <v>640000</v>
      </c>
      <c r="M147" s="389">
        <v>361000</v>
      </c>
      <c r="N147" s="389">
        <v>55000</v>
      </c>
      <c r="O147" s="390">
        <f>K147+90000</f>
        <v>998200</v>
      </c>
      <c r="P147" s="547">
        <f t="shared" si="136"/>
        <v>51791752.700000003</v>
      </c>
      <c r="Q147" s="22"/>
      <c r="R147" s="49"/>
    </row>
    <row r="148" spans="1:18" ht="138.75" thickTop="1" thickBot="1" x14ac:dyDescent="0.25">
      <c r="A148" s="546" t="s">
        <v>273</v>
      </c>
      <c r="B148" s="546" t="s">
        <v>271</v>
      </c>
      <c r="C148" s="546" t="s">
        <v>204</v>
      </c>
      <c r="D148" s="546" t="s">
        <v>460</v>
      </c>
      <c r="E148" s="670">
        <f t="shared" si="143"/>
        <v>10118612</v>
      </c>
      <c r="F148" s="389">
        <f>(((9450798)+330342)+62546)+12400+63526+199000</f>
        <v>10118612</v>
      </c>
      <c r="G148" s="389">
        <f>3615752+2834191</f>
        <v>6449943</v>
      </c>
      <c r="H148" s="389">
        <f>309600+8200+75000+750+258003+8750+63000+275</f>
        <v>723578</v>
      </c>
      <c r="I148" s="389"/>
      <c r="J148" s="670">
        <f t="shared" si="133"/>
        <v>501000</v>
      </c>
      <c r="K148" s="389">
        <f>(406000)+95000</f>
        <v>501000</v>
      </c>
      <c r="L148" s="389"/>
      <c r="M148" s="389"/>
      <c r="N148" s="389"/>
      <c r="O148" s="390">
        <f t="shared" si="142"/>
        <v>501000</v>
      </c>
      <c r="P148" s="547">
        <f t="shared" si="136"/>
        <v>10619612</v>
      </c>
      <c r="Q148" s="22"/>
      <c r="R148" s="49"/>
    </row>
    <row r="149" spans="1:18" ht="138.75" thickTop="1" thickBot="1" x14ac:dyDescent="0.25">
      <c r="A149" s="455" t="s">
        <v>1040</v>
      </c>
      <c r="B149" s="455" t="s">
        <v>774</v>
      </c>
      <c r="C149" s="455"/>
      <c r="D149" s="455" t="s">
        <v>775</v>
      </c>
      <c r="E149" s="440">
        <f>E150</f>
        <v>9011839.1699999999</v>
      </c>
      <c r="F149" s="440">
        <f t="shared" ref="F149:P149" si="149">F150</f>
        <v>9011839.1699999999</v>
      </c>
      <c r="G149" s="440">
        <f t="shared" si="149"/>
        <v>6439226</v>
      </c>
      <c r="H149" s="440">
        <f t="shared" si="149"/>
        <v>400519.17</v>
      </c>
      <c r="I149" s="440">
        <f t="shared" si="149"/>
        <v>0</v>
      </c>
      <c r="J149" s="440">
        <f t="shared" si="149"/>
        <v>64800</v>
      </c>
      <c r="K149" s="440">
        <f t="shared" si="149"/>
        <v>64800</v>
      </c>
      <c r="L149" s="440">
        <f t="shared" si="149"/>
        <v>0</v>
      </c>
      <c r="M149" s="440">
        <f t="shared" si="149"/>
        <v>0</v>
      </c>
      <c r="N149" s="440">
        <f t="shared" si="149"/>
        <v>0</v>
      </c>
      <c r="O149" s="440">
        <f t="shared" si="149"/>
        <v>64800</v>
      </c>
      <c r="P149" s="440">
        <f t="shared" si="149"/>
        <v>9076639.1699999999</v>
      </c>
      <c r="Q149" s="22"/>
      <c r="R149" s="49"/>
    </row>
    <row r="150" spans="1:18" ht="138.75" thickTop="1" thickBot="1" x14ac:dyDescent="0.25">
      <c r="A150" s="546" t="s">
        <v>1264</v>
      </c>
      <c r="B150" s="546" t="s">
        <v>189</v>
      </c>
      <c r="C150" s="546" t="s">
        <v>190</v>
      </c>
      <c r="D150" s="546" t="s">
        <v>647</v>
      </c>
      <c r="E150" s="386">
        <f t="shared" ref="E150" si="150">F150</f>
        <v>9011839.1699999999</v>
      </c>
      <c r="F150" s="441">
        <f>(((8857655)+115170)+22314.17)+16700</f>
        <v>9011839.1699999999</v>
      </c>
      <c r="G150" s="441">
        <v>6439226</v>
      </c>
      <c r="H150" s="441">
        <f>(132665+22900+161200+61440)+22314.17</f>
        <v>400519.17</v>
      </c>
      <c r="I150" s="441"/>
      <c r="J150" s="670">
        <f t="shared" ref="J150" si="151">L150+O150</f>
        <v>64800</v>
      </c>
      <c r="K150" s="441">
        <f>(25000)+39800</f>
        <v>64800</v>
      </c>
      <c r="L150" s="442"/>
      <c r="M150" s="442"/>
      <c r="N150" s="442"/>
      <c r="O150" s="390">
        <f t="shared" ref="O150" si="152">K150</f>
        <v>64800</v>
      </c>
      <c r="P150" s="547">
        <f>+J150+E150</f>
        <v>9076639.1699999999</v>
      </c>
      <c r="Q150" s="22"/>
      <c r="R150" s="49"/>
    </row>
    <row r="151" spans="1:18" ht="409.6" thickTop="1" thickBot="1" x14ac:dyDescent="0.25">
      <c r="A151" s="546" t="s">
        <v>268</v>
      </c>
      <c r="B151" s="546" t="s">
        <v>269</v>
      </c>
      <c r="C151" s="546" t="s">
        <v>204</v>
      </c>
      <c r="D151" s="546" t="s">
        <v>458</v>
      </c>
      <c r="E151" s="670">
        <f t="shared" si="143"/>
        <v>4673200</v>
      </c>
      <c r="F151" s="389">
        <v>4673200</v>
      </c>
      <c r="G151" s="389"/>
      <c r="H151" s="389"/>
      <c r="I151" s="389"/>
      <c r="J151" s="670">
        <f t="shared" si="133"/>
        <v>0</v>
      </c>
      <c r="K151" s="547"/>
      <c r="L151" s="389"/>
      <c r="M151" s="389"/>
      <c r="N151" s="389"/>
      <c r="O151" s="390">
        <f t="shared" si="142"/>
        <v>0</v>
      </c>
      <c r="P151" s="547">
        <f>+J151+E151</f>
        <v>4673200</v>
      </c>
      <c r="Q151" s="22"/>
      <c r="R151" s="53"/>
    </row>
    <row r="152" spans="1:18" ht="138.75" thickTop="1" thickBot="1" x14ac:dyDescent="0.25">
      <c r="A152" s="455" t="s">
        <v>892</v>
      </c>
      <c r="B152" s="455" t="s">
        <v>893</v>
      </c>
      <c r="C152" s="455"/>
      <c r="D152" s="455" t="s">
        <v>894</v>
      </c>
      <c r="E152" s="440">
        <f t="shared" si="143"/>
        <v>142618</v>
      </c>
      <c r="F152" s="440">
        <f>F153</f>
        <v>142618</v>
      </c>
      <c r="G152" s="440">
        <f t="shared" ref="G152:I152" si="153">G153</f>
        <v>0</v>
      </c>
      <c r="H152" s="440">
        <f t="shared" si="153"/>
        <v>0</v>
      </c>
      <c r="I152" s="440">
        <f t="shared" si="153"/>
        <v>0</v>
      </c>
      <c r="J152" s="440">
        <f t="shared" si="133"/>
        <v>0</v>
      </c>
      <c r="K152" s="440">
        <f t="shared" ref="K152:N152" si="154">K153</f>
        <v>0</v>
      </c>
      <c r="L152" s="440">
        <f t="shared" si="154"/>
        <v>0</v>
      </c>
      <c r="M152" s="440">
        <f t="shared" si="154"/>
        <v>0</v>
      </c>
      <c r="N152" s="440">
        <f t="shared" si="154"/>
        <v>0</v>
      </c>
      <c r="O152" s="440">
        <f t="shared" si="142"/>
        <v>0</v>
      </c>
      <c r="P152" s="440">
        <f>+J152+E152</f>
        <v>142618</v>
      </c>
      <c r="Q152" s="22"/>
      <c r="R152" s="53"/>
    </row>
    <row r="153" spans="1:18" ht="276" thickTop="1" thickBot="1" x14ac:dyDescent="0.25">
      <c r="A153" s="682" t="s">
        <v>489</v>
      </c>
      <c r="B153" s="682" t="s">
        <v>490</v>
      </c>
      <c r="C153" s="682" t="s">
        <v>204</v>
      </c>
      <c r="D153" s="682" t="s">
        <v>491</v>
      </c>
      <c r="E153" s="683">
        <f t="shared" si="143"/>
        <v>142618</v>
      </c>
      <c r="F153" s="389">
        <v>142618</v>
      </c>
      <c r="G153" s="389"/>
      <c r="H153" s="389"/>
      <c r="I153" s="389"/>
      <c r="J153" s="683">
        <f t="shared" si="133"/>
        <v>0</v>
      </c>
      <c r="K153" s="683"/>
      <c r="L153" s="389"/>
      <c r="M153" s="389"/>
      <c r="N153" s="389"/>
      <c r="O153" s="390">
        <f t="shared" si="142"/>
        <v>0</v>
      </c>
      <c r="P153" s="683">
        <f>+J153+E153</f>
        <v>142618</v>
      </c>
      <c r="Q153" s="22"/>
      <c r="R153" s="53"/>
    </row>
    <row r="154" spans="1:18" ht="367.5" thickTop="1" thickBot="1" x14ac:dyDescent="0.25">
      <c r="A154" s="546" t="s">
        <v>353</v>
      </c>
      <c r="B154" s="546" t="s">
        <v>352</v>
      </c>
      <c r="C154" s="546" t="s">
        <v>50</v>
      </c>
      <c r="D154" s="546" t="s">
        <v>459</v>
      </c>
      <c r="E154" s="670">
        <f t="shared" si="143"/>
        <v>3222500</v>
      </c>
      <c r="F154" s="389">
        <v>3222500</v>
      </c>
      <c r="G154" s="389"/>
      <c r="H154" s="389"/>
      <c r="I154" s="389"/>
      <c r="J154" s="670">
        <f t="shared" si="133"/>
        <v>0</v>
      </c>
      <c r="K154" s="547"/>
      <c r="L154" s="389"/>
      <c r="M154" s="389"/>
      <c r="N154" s="389"/>
      <c r="O154" s="390">
        <f t="shared" si="142"/>
        <v>0</v>
      </c>
      <c r="P154" s="547">
        <f>E154+J154</f>
        <v>3222500</v>
      </c>
      <c r="Q154" s="22"/>
      <c r="R154" s="53"/>
    </row>
    <row r="155" spans="1:18" s="35" customFormat="1" ht="93" thickTop="1" thickBot="1" x14ac:dyDescent="0.25">
      <c r="A155" s="455" t="s">
        <v>744</v>
      </c>
      <c r="B155" s="455" t="s">
        <v>745</v>
      </c>
      <c r="C155" s="455"/>
      <c r="D155" s="455" t="s">
        <v>746</v>
      </c>
      <c r="E155" s="440">
        <f>E156</f>
        <v>1110000</v>
      </c>
      <c r="F155" s="440">
        <f t="shared" ref="F155:P155" si="155">F156</f>
        <v>1110000</v>
      </c>
      <c r="G155" s="440">
        <f t="shared" si="155"/>
        <v>0</v>
      </c>
      <c r="H155" s="440">
        <f t="shared" si="155"/>
        <v>0</v>
      </c>
      <c r="I155" s="440">
        <f t="shared" si="155"/>
        <v>0</v>
      </c>
      <c r="J155" s="440">
        <f t="shared" si="155"/>
        <v>0</v>
      </c>
      <c r="K155" s="440">
        <f t="shared" si="155"/>
        <v>0</v>
      </c>
      <c r="L155" s="440">
        <f t="shared" si="155"/>
        <v>0</v>
      </c>
      <c r="M155" s="440">
        <f t="shared" si="155"/>
        <v>0</v>
      </c>
      <c r="N155" s="440">
        <f t="shared" si="155"/>
        <v>0</v>
      </c>
      <c r="O155" s="440">
        <f t="shared" si="155"/>
        <v>0</v>
      </c>
      <c r="P155" s="440">
        <f t="shared" si="155"/>
        <v>1110000</v>
      </c>
      <c r="Q155" s="39"/>
      <c r="R155" s="54"/>
    </row>
    <row r="156" spans="1:18" ht="230.25" thickTop="1" thickBot="1" x14ac:dyDescent="0.25">
      <c r="A156" s="546" t="s">
        <v>330</v>
      </c>
      <c r="B156" s="546" t="s">
        <v>331</v>
      </c>
      <c r="C156" s="546" t="s">
        <v>210</v>
      </c>
      <c r="D156" s="546" t="s">
        <v>644</v>
      </c>
      <c r="E156" s="670">
        <f t="shared" si="143"/>
        <v>1110000</v>
      </c>
      <c r="F156" s="389">
        <f>(600000+110000)+400000</f>
        <v>1110000</v>
      </c>
      <c r="G156" s="389"/>
      <c r="H156" s="389"/>
      <c r="I156" s="389"/>
      <c r="J156" s="670">
        <f t="shared" si="133"/>
        <v>0</v>
      </c>
      <c r="K156" s="389"/>
      <c r="L156" s="389"/>
      <c r="M156" s="389"/>
      <c r="N156" s="389"/>
      <c r="O156" s="390">
        <f t="shared" si="142"/>
        <v>0</v>
      </c>
      <c r="P156" s="547">
        <f>E156+J156</f>
        <v>1110000</v>
      </c>
      <c r="Q156" s="22"/>
      <c r="R156" s="53"/>
    </row>
    <row r="157" spans="1:18" ht="93" thickTop="1" thickBot="1" x14ac:dyDescent="0.25">
      <c r="A157" s="546" t="s">
        <v>433</v>
      </c>
      <c r="B157" s="546" t="s">
        <v>377</v>
      </c>
      <c r="C157" s="546" t="s">
        <v>378</v>
      </c>
      <c r="D157" s="546" t="s">
        <v>376</v>
      </c>
      <c r="E157" s="671">
        <f t="shared" si="143"/>
        <v>117000</v>
      </c>
      <c r="F157" s="389">
        <v>117000</v>
      </c>
      <c r="G157" s="389">
        <v>90000</v>
      </c>
      <c r="H157" s="389"/>
      <c r="I157" s="389"/>
      <c r="J157" s="670">
        <f t="shared" si="133"/>
        <v>0</v>
      </c>
      <c r="K157" s="389"/>
      <c r="L157" s="389"/>
      <c r="M157" s="389"/>
      <c r="N157" s="389"/>
      <c r="O157" s="390">
        <f t="shared" si="142"/>
        <v>0</v>
      </c>
      <c r="P157" s="547">
        <f>E157+J157</f>
        <v>117000</v>
      </c>
      <c r="Q157" s="22"/>
      <c r="R157" s="53"/>
    </row>
    <row r="158" spans="1:18" ht="230.25" hidden="1" thickTop="1" thickBot="1" x14ac:dyDescent="0.25">
      <c r="A158" s="490" t="s">
        <v>1086</v>
      </c>
      <c r="B158" s="490" t="s">
        <v>1087</v>
      </c>
      <c r="C158" s="490"/>
      <c r="D158" s="490" t="s">
        <v>1085</v>
      </c>
      <c r="E158" s="440">
        <f>E159+E162+E166+E169</f>
        <v>0</v>
      </c>
      <c r="F158" s="440">
        <f t="shared" ref="F158:P158" si="156">F159+F162+F166+F169</f>
        <v>0</v>
      </c>
      <c r="G158" s="440">
        <f t="shared" si="156"/>
        <v>0</v>
      </c>
      <c r="H158" s="440">
        <f t="shared" si="156"/>
        <v>0</v>
      </c>
      <c r="I158" s="440">
        <f t="shared" si="156"/>
        <v>0</v>
      </c>
      <c r="J158" s="440">
        <f t="shared" si="156"/>
        <v>0</v>
      </c>
      <c r="K158" s="469">
        <f t="shared" si="156"/>
        <v>0</v>
      </c>
      <c r="L158" s="469">
        <f t="shared" si="156"/>
        <v>0</v>
      </c>
      <c r="M158" s="469">
        <f t="shared" si="156"/>
        <v>0</v>
      </c>
      <c r="N158" s="469">
        <f t="shared" si="156"/>
        <v>0</v>
      </c>
      <c r="O158" s="469">
        <f t="shared" si="156"/>
        <v>0</v>
      </c>
      <c r="P158" s="469">
        <f t="shared" si="156"/>
        <v>0</v>
      </c>
      <c r="Q158" s="22"/>
      <c r="R158" s="53"/>
    </row>
    <row r="159" spans="1:18" ht="409.6" hidden="1" thickTop="1" thickBot="1" x14ac:dyDescent="0.7">
      <c r="A159" s="921" t="s">
        <v>1091</v>
      </c>
      <c r="B159" s="921" t="s">
        <v>1092</v>
      </c>
      <c r="C159" s="921" t="s">
        <v>50</v>
      </c>
      <c r="D159" s="554" t="s">
        <v>1088</v>
      </c>
      <c r="E159" s="897">
        <f t="shared" ref="E159:E162" si="157">F159</f>
        <v>0</v>
      </c>
      <c r="F159" s="897"/>
      <c r="G159" s="897"/>
      <c r="H159" s="897"/>
      <c r="I159" s="897"/>
      <c r="J159" s="897">
        <f t="shared" ref="J159:J162" si="158">L159+O159</f>
        <v>0</v>
      </c>
      <c r="K159" s="937">
        <v>0</v>
      </c>
      <c r="L159" s="922"/>
      <c r="M159" s="922"/>
      <c r="N159" s="922"/>
      <c r="O159" s="937">
        <f t="shared" ref="O159:O162" si="159">K159</f>
        <v>0</v>
      </c>
      <c r="P159" s="922">
        <f t="shared" ref="P159:P162" si="160">E159+J159</f>
        <v>0</v>
      </c>
      <c r="Q159" s="932"/>
      <c r="R159" s="938"/>
    </row>
    <row r="160" spans="1:18" ht="409.6" hidden="1" thickBot="1" x14ac:dyDescent="0.25">
      <c r="A160" s="923"/>
      <c r="B160" s="923"/>
      <c r="C160" s="923"/>
      <c r="D160" s="555" t="s">
        <v>1089</v>
      </c>
      <c r="E160" s="924"/>
      <c r="F160" s="924"/>
      <c r="G160" s="924"/>
      <c r="H160" s="924"/>
      <c r="I160" s="924"/>
      <c r="J160" s="924"/>
      <c r="K160" s="923"/>
      <c r="L160" s="923"/>
      <c r="M160" s="923"/>
      <c r="N160" s="923"/>
      <c r="O160" s="923"/>
      <c r="P160" s="923"/>
      <c r="Q160" s="932"/>
      <c r="R160" s="939"/>
    </row>
    <row r="161" spans="1:18" ht="409.6" hidden="1" thickBot="1" x14ac:dyDescent="0.25">
      <c r="A161" s="900"/>
      <c r="B161" s="900"/>
      <c r="C161" s="900"/>
      <c r="D161" s="556" t="s">
        <v>1090</v>
      </c>
      <c r="E161" s="925"/>
      <c r="F161" s="925"/>
      <c r="G161" s="925"/>
      <c r="H161" s="925"/>
      <c r="I161" s="925"/>
      <c r="J161" s="925"/>
      <c r="K161" s="900"/>
      <c r="L161" s="900"/>
      <c r="M161" s="900"/>
      <c r="N161" s="900"/>
      <c r="O161" s="900"/>
      <c r="P161" s="900"/>
      <c r="Q161" s="932"/>
      <c r="R161" s="939"/>
    </row>
    <row r="162" spans="1:18" ht="409.6" hidden="1" thickTop="1" thickBot="1" x14ac:dyDescent="0.7">
      <c r="A162" s="921" t="s">
        <v>1097</v>
      </c>
      <c r="B162" s="921" t="s">
        <v>1098</v>
      </c>
      <c r="C162" s="921" t="s">
        <v>50</v>
      </c>
      <c r="D162" s="554" t="s">
        <v>1093</v>
      </c>
      <c r="E162" s="897">
        <f t="shared" si="157"/>
        <v>0</v>
      </c>
      <c r="F162" s="897"/>
      <c r="G162" s="897"/>
      <c r="H162" s="897"/>
      <c r="I162" s="897"/>
      <c r="J162" s="897">
        <f t="shared" si="158"/>
        <v>0</v>
      </c>
      <c r="K162" s="937">
        <v>0</v>
      </c>
      <c r="L162" s="922"/>
      <c r="M162" s="922"/>
      <c r="N162" s="922"/>
      <c r="O162" s="922">
        <f t="shared" si="159"/>
        <v>0</v>
      </c>
      <c r="P162" s="922">
        <f t="shared" si="160"/>
        <v>0</v>
      </c>
      <c r="Q162" s="22"/>
      <c r="R162" s="938"/>
    </row>
    <row r="163" spans="1:18" ht="409.6" hidden="1" thickBot="1" x14ac:dyDescent="0.25">
      <c r="A163" s="923"/>
      <c r="B163" s="923"/>
      <c r="C163" s="923"/>
      <c r="D163" s="555" t="s">
        <v>1094</v>
      </c>
      <c r="E163" s="924"/>
      <c r="F163" s="924"/>
      <c r="G163" s="924"/>
      <c r="H163" s="924"/>
      <c r="I163" s="924"/>
      <c r="J163" s="924"/>
      <c r="K163" s="923"/>
      <c r="L163" s="923"/>
      <c r="M163" s="923"/>
      <c r="N163" s="923"/>
      <c r="O163" s="923"/>
      <c r="P163" s="923"/>
      <c r="Q163" s="22"/>
      <c r="R163" s="940"/>
    </row>
    <row r="164" spans="1:18" ht="409.6" hidden="1" thickBot="1" x14ac:dyDescent="0.25">
      <c r="A164" s="923"/>
      <c r="B164" s="923"/>
      <c r="C164" s="923"/>
      <c r="D164" s="555" t="s">
        <v>1095</v>
      </c>
      <c r="E164" s="924"/>
      <c r="F164" s="924"/>
      <c r="G164" s="924"/>
      <c r="H164" s="924"/>
      <c r="I164" s="924"/>
      <c r="J164" s="924"/>
      <c r="K164" s="923"/>
      <c r="L164" s="923"/>
      <c r="M164" s="923"/>
      <c r="N164" s="923"/>
      <c r="O164" s="923"/>
      <c r="P164" s="923"/>
      <c r="Q164" s="22"/>
      <c r="R164" s="940"/>
    </row>
    <row r="165" spans="1:18" ht="183.75" hidden="1" thickBot="1" x14ac:dyDescent="0.25">
      <c r="A165" s="900"/>
      <c r="B165" s="900"/>
      <c r="C165" s="900"/>
      <c r="D165" s="556" t="s">
        <v>1096</v>
      </c>
      <c r="E165" s="925"/>
      <c r="F165" s="925"/>
      <c r="G165" s="925"/>
      <c r="H165" s="925"/>
      <c r="I165" s="925"/>
      <c r="J165" s="925"/>
      <c r="K165" s="900"/>
      <c r="L165" s="900"/>
      <c r="M165" s="900"/>
      <c r="N165" s="900"/>
      <c r="O165" s="900"/>
      <c r="P165" s="900"/>
      <c r="Q165" s="22"/>
      <c r="R165" s="940"/>
    </row>
    <row r="166" spans="1:18" ht="409.6" hidden="1" thickTop="1" thickBot="1" x14ac:dyDescent="0.7">
      <c r="A166" s="921" t="s">
        <v>1099</v>
      </c>
      <c r="B166" s="921" t="s">
        <v>1100</v>
      </c>
      <c r="C166" s="921" t="s">
        <v>50</v>
      </c>
      <c r="D166" s="554" t="s">
        <v>1101</v>
      </c>
      <c r="E166" s="897">
        <f t="shared" ref="E166" si="161">F166</f>
        <v>0</v>
      </c>
      <c r="F166" s="897"/>
      <c r="G166" s="897"/>
      <c r="H166" s="897"/>
      <c r="I166" s="897"/>
      <c r="J166" s="897">
        <f t="shared" ref="J166" si="162">L166+O166</f>
        <v>0</v>
      </c>
      <c r="K166" s="937">
        <v>0</v>
      </c>
      <c r="L166" s="922"/>
      <c r="M166" s="922"/>
      <c r="N166" s="922"/>
      <c r="O166" s="937">
        <f t="shared" ref="O166" si="163">K166</f>
        <v>0</v>
      </c>
      <c r="P166" s="922">
        <f t="shared" ref="P166" si="164">E166+J166</f>
        <v>0</v>
      </c>
      <c r="Q166" s="22"/>
      <c r="R166" s="938"/>
    </row>
    <row r="167" spans="1:18" ht="409.6" hidden="1" thickBot="1" x14ac:dyDescent="0.25">
      <c r="A167" s="923"/>
      <c r="B167" s="923"/>
      <c r="C167" s="923"/>
      <c r="D167" s="555" t="s">
        <v>1102</v>
      </c>
      <c r="E167" s="924"/>
      <c r="F167" s="924"/>
      <c r="G167" s="924"/>
      <c r="H167" s="924"/>
      <c r="I167" s="924"/>
      <c r="J167" s="924"/>
      <c r="K167" s="923"/>
      <c r="L167" s="923"/>
      <c r="M167" s="923"/>
      <c r="N167" s="923"/>
      <c r="O167" s="923"/>
      <c r="P167" s="923"/>
      <c r="Q167" s="22"/>
      <c r="R167" s="939"/>
    </row>
    <row r="168" spans="1:18" ht="138" hidden="1" thickBot="1" x14ac:dyDescent="0.25">
      <c r="A168" s="900"/>
      <c r="B168" s="900"/>
      <c r="C168" s="900"/>
      <c r="D168" s="556" t="s">
        <v>1103</v>
      </c>
      <c r="E168" s="925"/>
      <c r="F168" s="925"/>
      <c r="G168" s="925"/>
      <c r="H168" s="925"/>
      <c r="I168" s="925"/>
      <c r="J168" s="925"/>
      <c r="K168" s="900"/>
      <c r="L168" s="900"/>
      <c r="M168" s="900"/>
      <c r="N168" s="900"/>
      <c r="O168" s="900"/>
      <c r="P168" s="900"/>
      <c r="Q168" s="22"/>
      <c r="R168" s="939"/>
    </row>
    <row r="169" spans="1:18" ht="409.6" hidden="1" thickTop="1" thickBot="1" x14ac:dyDescent="0.7">
      <c r="A169" s="921" t="s">
        <v>1107</v>
      </c>
      <c r="B169" s="921" t="s">
        <v>1108</v>
      </c>
      <c r="C169" s="921" t="s">
        <v>50</v>
      </c>
      <c r="D169" s="554" t="s">
        <v>1104</v>
      </c>
      <c r="E169" s="897">
        <f t="shared" ref="E169" si="165">F169</f>
        <v>0</v>
      </c>
      <c r="F169" s="897"/>
      <c r="G169" s="897"/>
      <c r="H169" s="897"/>
      <c r="I169" s="897"/>
      <c r="J169" s="897">
        <f t="shared" ref="J169" si="166">L169+O169</f>
        <v>0</v>
      </c>
      <c r="K169" s="937">
        <v>0</v>
      </c>
      <c r="L169" s="922"/>
      <c r="M169" s="922"/>
      <c r="N169" s="922"/>
      <c r="O169" s="937">
        <f t="shared" ref="O169" si="167">K169</f>
        <v>0</v>
      </c>
      <c r="P169" s="922">
        <f t="shared" ref="P169" si="168">E169+J169</f>
        <v>0</v>
      </c>
      <c r="Q169" s="22"/>
      <c r="R169" s="938"/>
    </row>
    <row r="170" spans="1:18" ht="409.6" hidden="1" customHeight="1" thickBot="1" x14ac:dyDescent="0.25">
      <c r="A170" s="923"/>
      <c r="B170" s="923"/>
      <c r="C170" s="923"/>
      <c r="D170" s="555" t="s">
        <v>1105</v>
      </c>
      <c r="E170" s="924"/>
      <c r="F170" s="924"/>
      <c r="G170" s="924"/>
      <c r="H170" s="924"/>
      <c r="I170" s="924"/>
      <c r="J170" s="924"/>
      <c r="K170" s="923"/>
      <c r="L170" s="923"/>
      <c r="M170" s="923"/>
      <c r="N170" s="923"/>
      <c r="O170" s="923"/>
      <c r="P170" s="923"/>
      <c r="Q170" s="22"/>
      <c r="R170" s="939"/>
    </row>
    <row r="171" spans="1:18" ht="92.25" hidden="1" thickBot="1" x14ac:dyDescent="0.25">
      <c r="A171" s="900"/>
      <c r="B171" s="900"/>
      <c r="C171" s="900"/>
      <c r="D171" s="556" t="s">
        <v>1106</v>
      </c>
      <c r="E171" s="925"/>
      <c r="F171" s="925"/>
      <c r="G171" s="925"/>
      <c r="H171" s="925"/>
      <c r="I171" s="925"/>
      <c r="J171" s="925"/>
      <c r="K171" s="900"/>
      <c r="L171" s="900"/>
      <c r="M171" s="900"/>
      <c r="N171" s="900"/>
      <c r="O171" s="900"/>
      <c r="P171" s="900"/>
      <c r="Q171" s="22"/>
      <c r="R171" s="939"/>
    </row>
    <row r="172" spans="1:18" s="118" customFormat="1" ht="230.25" thickTop="1" thickBot="1" x14ac:dyDescent="0.25">
      <c r="A172" s="546" t="s">
        <v>1252</v>
      </c>
      <c r="B172" s="546" t="s">
        <v>1249</v>
      </c>
      <c r="C172" s="546" t="s">
        <v>211</v>
      </c>
      <c r="D172" s="470" t="s">
        <v>1250</v>
      </c>
      <c r="E172" s="671">
        <f t="shared" ref="E172" si="169">F172</f>
        <v>9322150</v>
      </c>
      <c r="F172" s="389">
        <f>((5000000)+107700+50000+199000+1089450+400000+1310000-525000)+1901000-400000+190000</f>
        <v>9322150</v>
      </c>
      <c r="G172" s="389"/>
      <c r="H172" s="389"/>
      <c r="I172" s="389"/>
      <c r="J172" s="670">
        <f t="shared" ref="J172" si="170">L172+O172</f>
        <v>74589023</v>
      </c>
      <c r="K172" s="389">
        <f>((5000000)+(40318548-107700-400000+9300000)+1000000+350000+98000+1450000)+599937+490238+10000000+5000000+1490000</f>
        <v>74589023</v>
      </c>
      <c r="L172" s="389"/>
      <c r="M172" s="389"/>
      <c r="N172" s="389"/>
      <c r="O172" s="390">
        <f t="shared" ref="O172" si="171">K172</f>
        <v>74589023</v>
      </c>
      <c r="P172" s="547">
        <f>E172+J172</f>
        <v>83911173</v>
      </c>
      <c r="Q172" s="22"/>
      <c r="R172" s="121"/>
    </row>
    <row r="173" spans="1:18" s="35" customFormat="1" ht="48" thickTop="1" thickBot="1" x14ac:dyDescent="0.25">
      <c r="A173" s="455" t="s">
        <v>747</v>
      </c>
      <c r="B173" s="455" t="s">
        <v>748</v>
      </c>
      <c r="C173" s="455"/>
      <c r="D173" s="455" t="s">
        <v>749</v>
      </c>
      <c r="E173" s="440">
        <f>SUM(E174:E175)</f>
        <v>67199286</v>
      </c>
      <c r="F173" s="440">
        <f t="shared" ref="F173:P173" si="172">SUM(F174:F175)</f>
        <v>67199286</v>
      </c>
      <c r="G173" s="440">
        <f t="shared" si="172"/>
        <v>8609963</v>
      </c>
      <c r="H173" s="440">
        <f t="shared" si="172"/>
        <v>1704977</v>
      </c>
      <c r="I173" s="440">
        <f t="shared" si="172"/>
        <v>0</v>
      </c>
      <c r="J173" s="440">
        <f t="shared" si="172"/>
        <v>30946039</v>
      </c>
      <c r="K173" s="440">
        <f t="shared" si="172"/>
        <v>23384510</v>
      </c>
      <c r="L173" s="440">
        <f t="shared" si="172"/>
        <v>7486529</v>
      </c>
      <c r="M173" s="440">
        <f t="shared" si="172"/>
        <v>2411020</v>
      </c>
      <c r="N173" s="440">
        <f t="shared" si="172"/>
        <v>723110</v>
      </c>
      <c r="O173" s="440">
        <f t="shared" si="172"/>
        <v>23459510</v>
      </c>
      <c r="P173" s="440">
        <f t="shared" si="172"/>
        <v>98145325</v>
      </c>
      <c r="Q173" s="39"/>
      <c r="R173" s="54"/>
    </row>
    <row r="174" spans="1:18" ht="184.5" thickTop="1" thickBot="1" x14ac:dyDescent="0.25">
      <c r="A174" s="546" t="s">
        <v>332</v>
      </c>
      <c r="B174" s="546" t="s">
        <v>334</v>
      </c>
      <c r="C174" s="546" t="s">
        <v>196</v>
      </c>
      <c r="D174" s="470" t="s">
        <v>336</v>
      </c>
      <c r="E174" s="670">
        <f t="shared" si="143"/>
        <v>23895192</v>
      </c>
      <c r="F174" s="389">
        <f>(((14017567)+840600+184900+2193237+128340+53992+40000+248684+133000+37300)+46670)+137100+200000+428800+95066+20000+720474+158504+40000+85962+12000+40340+15000+11000+19000+300600+49534+35000+1000000+43030-222575-49000+437622+1200000+573287+20000+11000+33000+75581+131577+150000+199000</f>
        <v>23895192</v>
      </c>
      <c r="G174" s="441">
        <f>((2640302+2693831+1937331)+840600)+720474-222575</f>
        <v>8609963</v>
      </c>
      <c r="H174" s="441">
        <f>((31650+235100+40550+93360+440000+207240+260480+25227)+128340)+200000+43030</f>
        <v>1704977</v>
      </c>
      <c r="I174" s="389"/>
      <c r="J174" s="670">
        <f t="shared" ref="J174:J187" si="173">L174+O174</f>
        <v>12492039</v>
      </c>
      <c r="K174" s="389">
        <f>((496940)+451590)+595000+46400+25000+332000+410000+610000+250000+401150+63000+149500+198000+94000+570000+20000+25000+137000+55930</f>
        <v>4930510</v>
      </c>
      <c r="L174" s="389">
        <f>(1000000+211210)+1468040+322969+220000+57650+3663660+190000+350000+3000</f>
        <v>7486529</v>
      </c>
      <c r="M174" s="389">
        <f>((350000+5000)+1468040)+587980</f>
        <v>2411020</v>
      </c>
      <c r="N174" s="389">
        <f>((158000+195110)+350000)+20000</f>
        <v>723110</v>
      </c>
      <c r="O174" s="390">
        <f>(K174)+75000</f>
        <v>5005510</v>
      </c>
      <c r="P174" s="547">
        <f t="shared" ref="P174:P187" si="174">E174+J174</f>
        <v>36387231</v>
      </c>
      <c r="Q174" s="22"/>
      <c r="R174" s="49"/>
    </row>
    <row r="175" spans="1:18" ht="138.75" thickTop="1" thickBot="1" x14ac:dyDescent="0.25">
      <c r="A175" s="546" t="s">
        <v>333</v>
      </c>
      <c r="B175" s="546" t="s">
        <v>335</v>
      </c>
      <c r="C175" s="546" t="s">
        <v>196</v>
      </c>
      <c r="D175" s="470" t="s">
        <v>337</v>
      </c>
      <c r="E175" s="670">
        <f t="shared" si="143"/>
        <v>43304094</v>
      </c>
      <c r="F175" s="389">
        <f>(((27546299)-1800000+5000000+14400+50400+500000+598500+250000+11500)+6000000)+5132995</f>
        <v>43304094</v>
      </c>
      <c r="G175" s="389"/>
      <c r="H175" s="389"/>
      <c r="I175" s="389"/>
      <c r="J175" s="670">
        <f t="shared" si="173"/>
        <v>18454000</v>
      </c>
      <c r="K175" s="389">
        <f>(18038400)+415600</f>
        <v>18454000</v>
      </c>
      <c r="L175" s="389"/>
      <c r="M175" s="389"/>
      <c r="N175" s="389"/>
      <c r="O175" s="390">
        <f t="shared" ref="O175:O187" si="175">K175</f>
        <v>18454000</v>
      </c>
      <c r="P175" s="547">
        <f t="shared" si="174"/>
        <v>61758094</v>
      </c>
      <c r="Q175" s="22"/>
      <c r="R175" s="49"/>
    </row>
    <row r="176" spans="1:18" ht="91.5" thickTop="1" thickBot="1" x14ac:dyDescent="0.25">
      <c r="A176" s="385" t="s">
        <v>750</v>
      </c>
      <c r="B176" s="385" t="s">
        <v>751</v>
      </c>
      <c r="C176" s="385"/>
      <c r="D176" s="536" t="s">
        <v>752</v>
      </c>
      <c r="E176" s="670">
        <f>SUM(E177)</f>
        <v>0</v>
      </c>
      <c r="F176" s="670">
        <f t="shared" ref="F176:P176" si="176">SUM(F177)</f>
        <v>0</v>
      </c>
      <c r="G176" s="670">
        <f t="shared" si="176"/>
        <v>0</v>
      </c>
      <c r="H176" s="670">
        <f t="shared" si="176"/>
        <v>0</v>
      </c>
      <c r="I176" s="670">
        <f t="shared" si="176"/>
        <v>0</v>
      </c>
      <c r="J176" s="670">
        <f>SUM(J177)</f>
        <v>10000000</v>
      </c>
      <c r="K176" s="547">
        <f t="shared" si="176"/>
        <v>10000000</v>
      </c>
      <c r="L176" s="547">
        <f t="shared" si="176"/>
        <v>0</v>
      </c>
      <c r="M176" s="547">
        <f t="shared" si="176"/>
        <v>0</v>
      </c>
      <c r="N176" s="547">
        <f t="shared" si="176"/>
        <v>0</v>
      </c>
      <c r="O176" s="547">
        <f t="shared" si="176"/>
        <v>10000000</v>
      </c>
      <c r="P176" s="547">
        <f t="shared" si="176"/>
        <v>10000000</v>
      </c>
      <c r="Q176" s="22"/>
      <c r="R176" s="49"/>
    </row>
    <row r="177" spans="1:18" s="35" customFormat="1" ht="93" thickTop="1" thickBot="1" x14ac:dyDescent="0.25">
      <c r="A177" s="455" t="s">
        <v>753</v>
      </c>
      <c r="B177" s="455" t="s">
        <v>754</v>
      </c>
      <c r="C177" s="455"/>
      <c r="D177" s="557" t="s">
        <v>755</v>
      </c>
      <c r="E177" s="440">
        <f>SUM(E178:E179)</f>
        <v>0</v>
      </c>
      <c r="F177" s="440">
        <f>SUM(F178:F179)</f>
        <v>0</v>
      </c>
      <c r="G177" s="440">
        <f>SUM(G178:G179)</f>
        <v>0</v>
      </c>
      <c r="H177" s="440">
        <f>SUM(H178:H179)</f>
        <v>0</v>
      </c>
      <c r="I177" s="440">
        <f>SUM(I178:I179)</f>
        <v>0</v>
      </c>
      <c r="J177" s="440">
        <f t="shared" ref="J177:O177" si="177">SUM(J178:J179)</f>
        <v>10000000</v>
      </c>
      <c r="K177" s="440">
        <f t="shared" si="177"/>
        <v>10000000</v>
      </c>
      <c r="L177" s="440">
        <f t="shared" si="177"/>
        <v>0</v>
      </c>
      <c r="M177" s="440">
        <f t="shared" si="177"/>
        <v>0</v>
      </c>
      <c r="N177" s="440">
        <f t="shared" si="177"/>
        <v>0</v>
      </c>
      <c r="O177" s="440">
        <f t="shared" si="177"/>
        <v>10000000</v>
      </c>
      <c r="P177" s="440">
        <f>SUM(P178:P179)</f>
        <v>10000000</v>
      </c>
      <c r="Q177" s="39"/>
      <c r="R177" s="55"/>
    </row>
    <row r="178" spans="1:18" ht="138.75" thickTop="1" thickBot="1" x14ac:dyDescent="0.25">
      <c r="A178" s="546" t="s">
        <v>372</v>
      </c>
      <c r="B178" s="546" t="s">
        <v>370</v>
      </c>
      <c r="C178" s="546" t="s">
        <v>345</v>
      </c>
      <c r="D178" s="470" t="s">
        <v>371</v>
      </c>
      <c r="E178" s="547">
        <f t="shared" si="143"/>
        <v>0</v>
      </c>
      <c r="F178" s="389"/>
      <c r="G178" s="389"/>
      <c r="H178" s="389"/>
      <c r="I178" s="389"/>
      <c r="J178" s="547">
        <f t="shared" si="173"/>
        <v>10000000</v>
      </c>
      <c r="K178" s="389">
        <v>10000000</v>
      </c>
      <c r="L178" s="389"/>
      <c r="M178" s="389"/>
      <c r="N178" s="389"/>
      <c r="O178" s="390">
        <f t="shared" si="175"/>
        <v>10000000</v>
      </c>
      <c r="P178" s="547">
        <f t="shared" si="174"/>
        <v>10000000</v>
      </c>
      <c r="Q178" s="22"/>
      <c r="R178" s="49"/>
    </row>
    <row r="179" spans="1:18" ht="409.6" hidden="1" thickTop="1" thickBot="1" x14ac:dyDescent="0.25">
      <c r="A179" s="44" t="s">
        <v>1109</v>
      </c>
      <c r="B179" s="44" t="s">
        <v>1110</v>
      </c>
      <c r="C179" s="44" t="s">
        <v>345</v>
      </c>
      <c r="D179" s="188" t="s">
        <v>1111</v>
      </c>
      <c r="E179" s="45">
        <f t="shared" si="143"/>
        <v>0</v>
      </c>
      <c r="F179" s="46"/>
      <c r="G179" s="46"/>
      <c r="H179" s="46"/>
      <c r="I179" s="46"/>
      <c r="J179" s="45">
        <f t="shared" si="173"/>
        <v>0</v>
      </c>
      <c r="K179" s="46">
        <v>0</v>
      </c>
      <c r="L179" s="46"/>
      <c r="M179" s="46"/>
      <c r="N179" s="46"/>
      <c r="O179" s="47">
        <f t="shared" si="175"/>
        <v>0</v>
      </c>
      <c r="P179" s="45">
        <f t="shared" si="174"/>
        <v>0</v>
      </c>
      <c r="Q179" s="22"/>
      <c r="R179" s="49"/>
    </row>
    <row r="180" spans="1:18" ht="47.25" thickTop="1" thickBot="1" x14ac:dyDescent="0.25">
      <c r="A180" s="385" t="s">
        <v>760</v>
      </c>
      <c r="B180" s="385" t="s">
        <v>757</v>
      </c>
      <c r="C180" s="385"/>
      <c r="D180" s="385" t="s">
        <v>758</v>
      </c>
      <c r="E180" s="723">
        <f>E184+E181</f>
        <v>20000</v>
      </c>
      <c r="F180" s="723">
        <f t="shared" ref="F180:P180" si="178">F184+F181</f>
        <v>20000</v>
      </c>
      <c r="G180" s="723">
        <f t="shared" si="178"/>
        <v>0</v>
      </c>
      <c r="H180" s="723">
        <f t="shared" si="178"/>
        <v>0</v>
      </c>
      <c r="I180" s="723">
        <f t="shared" si="178"/>
        <v>0</v>
      </c>
      <c r="J180" s="723">
        <f t="shared" si="178"/>
        <v>7800000</v>
      </c>
      <c r="K180" s="723">
        <f t="shared" si="178"/>
        <v>7800000</v>
      </c>
      <c r="L180" s="723">
        <f t="shared" si="178"/>
        <v>0</v>
      </c>
      <c r="M180" s="723">
        <f t="shared" si="178"/>
        <v>0</v>
      </c>
      <c r="N180" s="723">
        <f t="shared" si="178"/>
        <v>0</v>
      </c>
      <c r="O180" s="723">
        <f t="shared" si="178"/>
        <v>7800000</v>
      </c>
      <c r="P180" s="723">
        <f t="shared" si="178"/>
        <v>7820000</v>
      </c>
      <c r="Q180" s="22"/>
      <c r="R180" s="49"/>
    </row>
    <row r="181" spans="1:18" ht="91.5" hidden="1" thickTop="1" thickBot="1" x14ac:dyDescent="0.25">
      <c r="A181" s="170" t="s">
        <v>939</v>
      </c>
      <c r="B181" s="170" t="s">
        <v>813</v>
      </c>
      <c r="C181" s="170"/>
      <c r="D181" s="170" t="s">
        <v>814</v>
      </c>
      <c r="E181" s="171">
        <f>E182</f>
        <v>0</v>
      </c>
      <c r="F181" s="171">
        <f t="shared" ref="F181:P186" si="179">F182</f>
        <v>0</v>
      </c>
      <c r="G181" s="171">
        <f t="shared" si="179"/>
        <v>0</v>
      </c>
      <c r="H181" s="171">
        <f t="shared" si="179"/>
        <v>0</v>
      </c>
      <c r="I181" s="171">
        <f t="shared" si="179"/>
        <v>0</v>
      </c>
      <c r="J181" s="171">
        <f t="shared" si="179"/>
        <v>0</v>
      </c>
      <c r="K181" s="171">
        <f t="shared" si="179"/>
        <v>0</v>
      </c>
      <c r="L181" s="171">
        <f t="shared" si="179"/>
        <v>0</v>
      </c>
      <c r="M181" s="171">
        <f t="shared" si="179"/>
        <v>0</v>
      </c>
      <c r="N181" s="171">
        <f t="shared" si="179"/>
        <v>0</v>
      </c>
      <c r="O181" s="171">
        <f t="shared" si="179"/>
        <v>0</v>
      </c>
      <c r="P181" s="171">
        <f t="shared" si="179"/>
        <v>0</v>
      </c>
      <c r="Q181" s="22"/>
      <c r="R181" s="49"/>
    </row>
    <row r="182" spans="1:18" ht="146.25" hidden="1" thickTop="1" thickBot="1" x14ac:dyDescent="0.25">
      <c r="A182" s="174" t="s">
        <v>936</v>
      </c>
      <c r="B182" s="174" t="s">
        <v>831</v>
      </c>
      <c r="C182" s="174"/>
      <c r="D182" s="174" t="s">
        <v>1287</v>
      </c>
      <c r="E182" s="175">
        <f>E183</f>
        <v>0</v>
      </c>
      <c r="F182" s="175">
        <f t="shared" si="179"/>
        <v>0</v>
      </c>
      <c r="G182" s="175">
        <f t="shared" si="179"/>
        <v>0</v>
      </c>
      <c r="H182" s="175">
        <f t="shared" si="179"/>
        <v>0</v>
      </c>
      <c r="I182" s="175">
        <f t="shared" si="179"/>
        <v>0</v>
      </c>
      <c r="J182" s="175">
        <f t="shared" si="179"/>
        <v>0</v>
      </c>
      <c r="K182" s="175">
        <f t="shared" si="179"/>
        <v>0</v>
      </c>
      <c r="L182" s="175">
        <f t="shared" si="179"/>
        <v>0</v>
      </c>
      <c r="M182" s="175">
        <f t="shared" si="179"/>
        <v>0</v>
      </c>
      <c r="N182" s="175">
        <f t="shared" si="179"/>
        <v>0</v>
      </c>
      <c r="O182" s="175">
        <f t="shared" si="179"/>
        <v>0</v>
      </c>
      <c r="P182" s="175">
        <f t="shared" si="179"/>
        <v>0</v>
      </c>
      <c r="Q182" s="22"/>
      <c r="R182" s="49"/>
    </row>
    <row r="183" spans="1:18" ht="99.75" hidden="1" thickTop="1" thickBot="1" x14ac:dyDescent="0.25">
      <c r="A183" s="162" t="s">
        <v>937</v>
      </c>
      <c r="B183" s="162" t="s">
        <v>938</v>
      </c>
      <c r="C183" s="162" t="s">
        <v>309</v>
      </c>
      <c r="D183" s="162" t="s">
        <v>1288</v>
      </c>
      <c r="E183" s="161"/>
      <c r="F183" s="168"/>
      <c r="G183" s="168"/>
      <c r="H183" s="168"/>
      <c r="I183" s="168"/>
      <c r="J183" s="161">
        <f>L183+O183</f>
        <v>0</v>
      </c>
      <c r="K183" s="168">
        <f>(2296400)-2296400</f>
        <v>0</v>
      </c>
      <c r="L183" s="168"/>
      <c r="M183" s="168"/>
      <c r="N183" s="168"/>
      <c r="O183" s="166">
        <f>K183</f>
        <v>0</v>
      </c>
      <c r="P183" s="161">
        <f>E183+J183</f>
        <v>0</v>
      </c>
      <c r="Q183" s="22"/>
      <c r="R183" s="49"/>
    </row>
    <row r="184" spans="1:18" ht="136.5" thickTop="1" thickBot="1" x14ac:dyDescent="0.25">
      <c r="A184" s="387" t="s">
        <v>762</v>
      </c>
      <c r="B184" s="387" t="s">
        <v>700</v>
      </c>
      <c r="C184" s="387"/>
      <c r="D184" s="387" t="s">
        <v>698</v>
      </c>
      <c r="E184" s="391">
        <f>E186+E185</f>
        <v>20000</v>
      </c>
      <c r="F184" s="391">
        <f t="shared" ref="F184:I184" si="180">F186+F185</f>
        <v>20000</v>
      </c>
      <c r="G184" s="391">
        <f t="shared" si="180"/>
        <v>0</v>
      </c>
      <c r="H184" s="391">
        <f t="shared" si="180"/>
        <v>0</v>
      </c>
      <c r="I184" s="391">
        <f t="shared" si="180"/>
        <v>0</v>
      </c>
      <c r="J184" s="391">
        <f>J186+J185</f>
        <v>7800000</v>
      </c>
      <c r="K184" s="391">
        <f t="shared" ref="K184" si="181">K186+K185</f>
        <v>7800000</v>
      </c>
      <c r="L184" s="391">
        <f t="shared" ref="L184" si="182">L186+L185</f>
        <v>0</v>
      </c>
      <c r="M184" s="391">
        <f t="shared" ref="M184" si="183">M186+M185</f>
        <v>0</v>
      </c>
      <c r="N184" s="391">
        <f t="shared" ref="N184" si="184">N186+N185</f>
        <v>0</v>
      </c>
      <c r="O184" s="391">
        <f t="shared" ref="O184" si="185">O186+O185</f>
        <v>7800000</v>
      </c>
      <c r="P184" s="391">
        <f>P186+P185</f>
        <v>7820000</v>
      </c>
      <c r="Q184" s="22"/>
      <c r="R184" s="49"/>
    </row>
    <row r="185" spans="1:18" s="118" customFormat="1" ht="48" thickTop="1" thickBot="1" x14ac:dyDescent="0.25">
      <c r="A185" s="722" t="s">
        <v>1415</v>
      </c>
      <c r="B185" s="722" t="s">
        <v>217</v>
      </c>
      <c r="C185" s="722" t="s">
        <v>218</v>
      </c>
      <c r="D185" s="722" t="s">
        <v>41</v>
      </c>
      <c r="E185" s="723">
        <f t="shared" ref="E185" si="186">F185</f>
        <v>20000</v>
      </c>
      <c r="F185" s="389">
        <v>20000</v>
      </c>
      <c r="G185" s="389"/>
      <c r="H185" s="389"/>
      <c r="I185" s="389"/>
      <c r="J185" s="723">
        <f t="shared" ref="J185" si="187">L185+O185</f>
        <v>7800000</v>
      </c>
      <c r="K185" s="389">
        <f>(300000+700000)+6800000</f>
        <v>7800000</v>
      </c>
      <c r="L185" s="389"/>
      <c r="M185" s="389"/>
      <c r="N185" s="389"/>
      <c r="O185" s="390">
        <f t="shared" ref="O185" si="188">K185</f>
        <v>7800000</v>
      </c>
      <c r="P185" s="723">
        <f t="shared" ref="P185" si="189">E185+J185</f>
        <v>7820000</v>
      </c>
      <c r="Q185" s="22"/>
      <c r="R185" s="720"/>
    </row>
    <row r="186" spans="1:18" ht="48" hidden="1" thickTop="1" thickBot="1" x14ac:dyDescent="0.25">
      <c r="A186" s="174" t="s">
        <v>761</v>
      </c>
      <c r="B186" s="174" t="s">
        <v>703</v>
      </c>
      <c r="C186" s="174"/>
      <c r="D186" s="187" t="s">
        <v>701</v>
      </c>
      <c r="E186" s="175">
        <f>E187</f>
        <v>0</v>
      </c>
      <c r="F186" s="175">
        <f t="shared" si="179"/>
        <v>0</v>
      </c>
      <c r="G186" s="175">
        <f t="shared" si="179"/>
        <v>0</v>
      </c>
      <c r="H186" s="175">
        <f t="shared" si="179"/>
        <v>0</v>
      </c>
      <c r="I186" s="175">
        <f t="shared" si="179"/>
        <v>0</v>
      </c>
      <c r="J186" s="175">
        <f t="shared" si="179"/>
        <v>0</v>
      </c>
      <c r="K186" s="175">
        <f t="shared" si="179"/>
        <v>0</v>
      </c>
      <c r="L186" s="175">
        <f t="shared" si="179"/>
        <v>0</v>
      </c>
      <c r="M186" s="175">
        <f t="shared" si="179"/>
        <v>0</v>
      </c>
      <c r="N186" s="175">
        <f t="shared" si="179"/>
        <v>0</v>
      </c>
      <c r="O186" s="175">
        <f t="shared" si="179"/>
        <v>0</v>
      </c>
      <c r="P186" s="175">
        <f t="shared" si="179"/>
        <v>0</v>
      </c>
      <c r="Q186" s="22"/>
      <c r="R186" s="49"/>
    </row>
    <row r="187" spans="1:18" ht="409.6" hidden="1" thickTop="1" thickBot="1" x14ac:dyDescent="0.7">
      <c r="A187" s="918" t="s">
        <v>428</v>
      </c>
      <c r="B187" s="918" t="s">
        <v>343</v>
      </c>
      <c r="C187" s="918" t="s">
        <v>171</v>
      </c>
      <c r="D187" s="189" t="s">
        <v>445</v>
      </c>
      <c r="E187" s="920">
        <f t="shared" si="143"/>
        <v>0</v>
      </c>
      <c r="F187" s="916"/>
      <c r="G187" s="916"/>
      <c r="H187" s="916"/>
      <c r="I187" s="916"/>
      <c r="J187" s="920">
        <f t="shared" si="173"/>
        <v>0</v>
      </c>
      <c r="K187" s="916"/>
      <c r="L187" s="916"/>
      <c r="M187" s="916"/>
      <c r="N187" s="916"/>
      <c r="O187" s="943">
        <f t="shared" si="175"/>
        <v>0</v>
      </c>
      <c r="P187" s="945">
        <f t="shared" si="174"/>
        <v>0</v>
      </c>
      <c r="Q187" s="22"/>
      <c r="R187" s="53"/>
    </row>
    <row r="188" spans="1:18" ht="184.5" hidden="1" thickTop="1" thickBot="1" x14ac:dyDescent="0.25">
      <c r="A188" s="919"/>
      <c r="B188" s="927"/>
      <c r="C188" s="919"/>
      <c r="D188" s="190" t="s">
        <v>446</v>
      </c>
      <c r="E188" s="919"/>
      <c r="F188" s="917"/>
      <c r="G188" s="917"/>
      <c r="H188" s="917"/>
      <c r="I188" s="917"/>
      <c r="J188" s="919"/>
      <c r="K188" s="919"/>
      <c r="L188" s="917"/>
      <c r="M188" s="917"/>
      <c r="N188" s="917"/>
      <c r="O188" s="944"/>
      <c r="P188" s="946"/>
      <c r="Q188" s="22"/>
      <c r="R188" s="53"/>
    </row>
    <row r="189" spans="1:18" ht="181.5" thickTop="1" thickBot="1" x14ac:dyDescent="0.25">
      <c r="A189" s="460">
        <v>1000000</v>
      </c>
      <c r="B189" s="460"/>
      <c r="C189" s="460"/>
      <c r="D189" s="461" t="s">
        <v>24</v>
      </c>
      <c r="E189" s="463">
        <f>E190</f>
        <v>156972574</v>
      </c>
      <c r="F189" s="462">
        <f t="shared" ref="F189:G189" si="190">F190</f>
        <v>156972574</v>
      </c>
      <c r="G189" s="462">
        <f t="shared" si="190"/>
        <v>109636660</v>
      </c>
      <c r="H189" s="462">
        <f>H190</f>
        <v>8494910</v>
      </c>
      <c r="I189" s="462">
        <f>I190</f>
        <v>0</v>
      </c>
      <c r="J189" s="463">
        <f>J190</f>
        <v>18681306</v>
      </c>
      <c r="K189" s="462">
        <f>K190</f>
        <v>9369851</v>
      </c>
      <c r="L189" s="462">
        <f>L190</f>
        <v>9125775</v>
      </c>
      <c r="M189" s="462">
        <f t="shared" ref="M189" si="191">M190</f>
        <v>6635445</v>
      </c>
      <c r="N189" s="462">
        <f>N190</f>
        <v>290560</v>
      </c>
      <c r="O189" s="463">
        <f>O190</f>
        <v>9555531</v>
      </c>
      <c r="P189" s="462">
        <f t="shared" ref="P189" si="192">P190</f>
        <v>175653880</v>
      </c>
      <c r="Q189" s="22"/>
    </row>
    <row r="190" spans="1:18" ht="181.5" thickTop="1" thickBot="1" x14ac:dyDescent="0.25">
      <c r="A190" s="464">
        <v>1010000</v>
      </c>
      <c r="B190" s="464"/>
      <c r="C190" s="464"/>
      <c r="D190" s="465" t="s">
        <v>39</v>
      </c>
      <c r="E190" s="466">
        <f>E191+E193+E208+E202</f>
        <v>156972574</v>
      </c>
      <c r="F190" s="466">
        <f>F191+F193+F208+F202</f>
        <v>156972574</v>
      </c>
      <c r="G190" s="466">
        <f>G191+G193+G208+G202</f>
        <v>109636660</v>
      </c>
      <c r="H190" s="466">
        <f>H191+H193+H208+H202</f>
        <v>8494910</v>
      </c>
      <c r="I190" s="466">
        <f>I191+I193+I208+I202</f>
        <v>0</v>
      </c>
      <c r="J190" s="466">
        <f t="shared" ref="J190:J201" si="193">L190+O190</f>
        <v>18681306</v>
      </c>
      <c r="K190" s="466">
        <f>K191+K193+K208+K202</f>
        <v>9369851</v>
      </c>
      <c r="L190" s="466">
        <f>L191+L193+L208+L202</f>
        <v>9125775</v>
      </c>
      <c r="M190" s="466">
        <f>M191+M193+M208+M202</f>
        <v>6635445</v>
      </c>
      <c r="N190" s="466">
        <f>N191+N193+N208+N202</f>
        <v>290560</v>
      </c>
      <c r="O190" s="466">
        <f>O191+O193+O208+O202</f>
        <v>9555531</v>
      </c>
      <c r="P190" s="466">
        <f t="shared" ref="P190:P201" si="194">E190+J190</f>
        <v>175653880</v>
      </c>
      <c r="Q190" s="392" t="b">
        <f>P190=P192+P194+P195+P196+P197+P200+P201+P205+P206+P198+P207</f>
        <v>1</v>
      </c>
      <c r="R190" s="49"/>
    </row>
    <row r="191" spans="1:18" ht="47.25" thickTop="1" thickBot="1" x14ac:dyDescent="0.25">
      <c r="A191" s="385" t="s">
        <v>763</v>
      </c>
      <c r="B191" s="385" t="s">
        <v>717</v>
      </c>
      <c r="C191" s="385"/>
      <c r="D191" s="385" t="s">
        <v>718</v>
      </c>
      <c r="E191" s="670">
        <f>E192</f>
        <v>84902500</v>
      </c>
      <c r="F191" s="670">
        <f t="shared" ref="F191:P191" si="195">F192</f>
        <v>84902500</v>
      </c>
      <c r="G191" s="670">
        <f t="shared" si="195"/>
        <v>64285530</v>
      </c>
      <c r="H191" s="670">
        <f t="shared" si="195"/>
        <v>4817890</v>
      </c>
      <c r="I191" s="670">
        <f t="shared" si="195"/>
        <v>0</v>
      </c>
      <c r="J191" s="670">
        <f t="shared" si="195"/>
        <v>11730037</v>
      </c>
      <c r="K191" s="547">
        <f t="shared" si="195"/>
        <v>3349182</v>
      </c>
      <c r="L191" s="547">
        <f t="shared" si="195"/>
        <v>8300355</v>
      </c>
      <c r="M191" s="547">
        <f t="shared" si="195"/>
        <v>6236945</v>
      </c>
      <c r="N191" s="547">
        <f t="shared" si="195"/>
        <v>219760</v>
      </c>
      <c r="O191" s="547">
        <f t="shared" si="195"/>
        <v>3429682</v>
      </c>
      <c r="P191" s="547">
        <f t="shared" si="195"/>
        <v>96632537</v>
      </c>
      <c r="Q191" s="50"/>
      <c r="R191" s="49"/>
    </row>
    <row r="192" spans="1:18" ht="93" thickTop="1" thickBot="1" x14ac:dyDescent="0.25">
      <c r="A192" s="546" t="s">
        <v>645</v>
      </c>
      <c r="B192" s="546" t="s">
        <v>646</v>
      </c>
      <c r="C192" s="546" t="s">
        <v>186</v>
      </c>
      <c r="D192" s="546" t="s">
        <v>1162</v>
      </c>
      <c r="E192" s="670">
        <f>F192</f>
        <v>84902500</v>
      </c>
      <c r="F192" s="389">
        <f>(((84107362)+75000+70050+117335+30000+84500+24640+18420+26600+18490)+12927)+199758+19010+5140+31368+61900</f>
        <v>84902500</v>
      </c>
      <c r="G192" s="389">
        <v>64285530</v>
      </c>
      <c r="H192" s="389">
        <f>3908750+56010+676580+140800+35750</f>
        <v>4817890</v>
      </c>
      <c r="I192" s="389"/>
      <c r="J192" s="670">
        <f t="shared" si="193"/>
        <v>11730037</v>
      </c>
      <c r="K192" s="389">
        <f>((108181+51007+290368)+127161+533145)+823525+269000+1007235+139560</f>
        <v>3349182</v>
      </c>
      <c r="L192" s="389">
        <v>8300355</v>
      </c>
      <c r="M192" s="389">
        <v>6236945</v>
      </c>
      <c r="N192" s="389">
        <v>219760</v>
      </c>
      <c r="O192" s="390">
        <f>(K192+80500)</f>
        <v>3429682</v>
      </c>
      <c r="P192" s="547">
        <f t="shared" si="194"/>
        <v>96632537</v>
      </c>
      <c r="Q192" s="22"/>
      <c r="R192" s="49"/>
    </row>
    <row r="193" spans="1:18" s="26" customFormat="1" ht="47.25" thickTop="1" thickBot="1" x14ac:dyDescent="0.25">
      <c r="A193" s="385" t="s">
        <v>764</v>
      </c>
      <c r="B193" s="385" t="s">
        <v>765</v>
      </c>
      <c r="C193" s="385"/>
      <c r="D193" s="385" t="s">
        <v>766</v>
      </c>
      <c r="E193" s="670">
        <f>SUM(E194:E201)-E199</f>
        <v>71007449</v>
      </c>
      <c r="F193" s="670">
        <f t="shared" ref="F193:P193" si="196">SUM(F194:F201)-F199</f>
        <v>71007449</v>
      </c>
      <c r="G193" s="670">
        <f t="shared" si="196"/>
        <v>45351130</v>
      </c>
      <c r="H193" s="670">
        <f t="shared" si="196"/>
        <v>3677020</v>
      </c>
      <c r="I193" s="670">
        <f t="shared" si="196"/>
        <v>0</v>
      </c>
      <c r="J193" s="670">
        <f t="shared" si="196"/>
        <v>3243792</v>
      </c>
      <c r="K193" s="547">
        <f t="shared" si="196"/>
        <v>2313192</v>
      </c>
      <c r="L193" s="547">
        <f t="shared" si="196"/>
        <v>825420</v>
      </c>
      <c r="M193" s="547">
        <f t="shared" si="196"/>
        <v>398500</v>
      </c>
      <c r="N193" s="547">
        <f t="shared" si="196"/>
        <v>70800</v>
      </c>
      <c r="O193" s="547">
        <f t="shared" si="196"/>
        <v>2418372</v>
      </c>
      <c r="P193" s="547">
        <f t="shared" si="196"/>
        <v>74251241</v>
      </c>
      <c r="Q193" s="27"/>
      <c r="R193" s="53"/>
    </row>
    <row r="194" spans="1:18" ht="48" thickTop="1" thickBot="1" x14ac:dyDescent="0.25">
      <c r="A194" s="546" t="s">
        <v>172</v>
      </c>
      <c r="B194" s="546" t="s">
        <v>173</v>
      </c>
      <c r="C194" s="546" t="s">
        <v>175</v>
      </c>
      <c r="D194" s="546" t="s">
        <v>176</v>
      </c>
      <c r="E194" s="670">
        <f t="shared" ref="E194:E197" si="197">F194</f>
        <v>1156300</v>
      </c>
      <c r="F194" s="389">
        <v>1156300</v>
      </c>
      <c r="G194" s="389"/>
      <c r="H194" s="389"/>
      <c r="I194" s="389"/>
      <c r="J194" s="670">
        <f t="shared" si="193"/>
        <v>0</v>
      </c>
      <c r="K194" s="389"/>
      <c r="L194" s="389"/>
      <c r="M194" s="389"/>
      <c r="N194" s="389"/>
      <c r="O194" s="390">
        <f t="shared" ref="O194:O201" si="198">K194</f>
        <v>0</v>
      </c>
      <c r="P194" s="547">
        <f t="shared" si="194"/>
        <v>1156300</v>
      </c>
      <c r="Q194" s="22"/>
      <c r="R194" s="53"/>
    </row>
    <row r="195" spans="1:18" ht="93" thickTop="1" thickBot="1" x14ac:dyDescent="0.25">
      <c r="A195" s="546" t="s">
        <v>177</v>
      </c>
      <c r="B195" s="546" t="s">
        <v>178</v>
      </c>
      <c r="C195" s="546" t="s">
        <v>179</v>
      </c>
      <c r="D195" s="546" t="s">
        <v>180</v>
      </c>
      <c r="E195" s="547">
        <f t="shared" si="197"/>
        <v>16583497</v>
      </c>
      <c r="F195" s="389">
        <f>((16118413)+250574+47500)+115750+8740+42520</f>
        <v>16583497</v>
      </c>
      <c r="G195" s="389">
        <v>11788315</v>
      </c>
      <c r="H195" s="389">
        <f>893700+15910+218600+34700+26500</f>
        <v>1189410</v>
      </c>
      <c r="I195" s="389"/>
      <c r="J195" s="547">
        <f t="shared" si="193"/>
        <v>415500</v>
      </c>
      <c r="K195" s="389">
        <f>0+99000+99000+83500</f>
        <v>281500</v>
      </c>
      <c r="L195" s="389">
        <v>134000</v>
      </c>
      <c r="M195" s="389">
        <v>20500</v>
      </c>
      <c r="N195" s="389">
        <v>21000</v>
      </c>
      <c r="O195" s="390">
        <f t="shared" si="198"/>
        <v>281500</v>
      </c>
      <c r="P195" s="547">
        <f t="shared" si="194"/>
        <v>16998997</v>
      </c>
      <c r="Q195" s="22"/>
      <c r="R195" s="49"/>
    </row>
    <row r="196" spans="1:18" ht="93" thickTop="1" thickBot="1" x14ac:dyDescent="0.25">
      <c r="A196" s="546" t="s">
        <v>181</v>
      </c>
      <c r="B196" s="546" t="s">
        <v>182</v>
      </c>
      <c r="C196" s="546" t="s">
        <v>179</v>
      </c>
      <c r="D196" s="546" t="s">
        <v>468</v>
      </c>
      <c r="E196" s="547">
        <f t="shared" si="197"/>
        <v>2515350</v>
      </c>
      <c r="F196" s="389">
        <f>(2464930)+50420</f>
        <v>2515350</v>
      </c>
      <c r="G196" s="389">
        <f>1555565</f>
        <v>1555565</v>
      </c>
      <c r="H196" s="389">
        <f>335800+7790+159800+4800</f>
        <v>508190</v>
      </c>
      <c r="I196" s="389"/>
      <c r="J196" s="547">
        <f t="shared" si="193"/>
        <v>201180</v>
      </c>
      <c r="K196" s="389">
        <v>99580</v>
      </c>
      <c r="L196" s="389">
        <v>101600</v>
      </c>
      <c r="M196" s="389">
        <v>14100</v>
      </c>
      <c r="N196" s="389">
        <v>5700</v>
      </c>
      <c r="O196" s="390">
        <f t="shared" si="198"/>
        <v>99580</v>
      </c>
      <c r="P196" s="547">
        <f t="shared" si="194"/>
        <v>2716530</v>
      </c>
      <c r="Q196" s="22"/>
      <c r="R196" s="49"/>
    </row>
    <row r="197" spans="1:18" ht="184.5" thickTop="1" thickBot="1" x14ac:dyDescent="0.25">
      <c r="A197" s="546" t="s">
        <v>183</v>
      </c>
      <c r="B197" s="546" t="s">
        <v>174</v>
      </c>
      <c r="C197" s="546" t="s">
        <v>184</v>
      </c>
      <c r="D197" s="546" t="s">
        <v>185</v>
      </c>
      <c r="E197" s="547">
        <f t="shared" si="197"/>
        <v>19579135</v>
      </c>
      <c r="F197" s="389">
        <f>((18010605)+14500+7000+271173+567382+380+104000+35690+20000)+87500+20000-567382+145835+8572+7359+2750+173061+8691+28250+4197+31470+180395+178628+8000+55215+175864</f>
        <v>19579135</v>
      </c>
      <c r="G197" s="389">
        <v>12568760</v>
      </c>
      <c r="H197" s="389">
        <f>946300+17820+790800+99600+41200</f>
        <v>1895720</v>
      </c>
      <c r="I197" s="389"/>
      <c r="J197" s="547">
        <f t="shared" si="193"/>
        <v>2480112</v>
      </c>
      <c r="K197" s="389">
        <f>(72000+50000+50000+251400)+1524643+40900-40900-15931</f>
        <v>1932112</v>
      </c>
      <c r="L197" s="389">
        <v>511620</v>
      </c>
      <c r="M197" s="389">
        <v>353500</v>
      </c>
      <c r="N197" s="389">
        <v>44100</v>
      </c>
      <c r="O197" s="390">
        <f>(K197+36380)</f>
        <v>1968492</v>
      </c>
      <c r="P197" s="547">
        <f t="shared" si="194"/>
        <v>22059247</v>
      </c>
      <c r="Q197" s="22"/>
      <c r="R197" s="49"/>
    </row>
    <row r="198" spans="1:18" s="118" customFormat="1" ht="93" thickTop="1" thickBot="1" x14ac:dyDescent="0.25">
      <c r="A198" s="546" t="s">
        <v>1243</v>
      </c>
      <c r="B198" s="546" t="s">
        <v>1244</v>
      </c>
      <c r="C198" s="546" t="s">
        <v>1246</v>
      </c>
      <c r="D198" s="546" t="s">
        <v>1245</v>
      </c>
      <c r="E198" s="547">
        <f t="shared" ref="E198" si="199">F198</f>
        <v>197759</v>
      </c>
      <c r="F198" s="389">
        <f>(45500)+152259</f>
        <v>197759</v>
      </c>
      <c r="G198" s="389"/>
      <c r="H198" s="389"/>
      <c r="I198" s="389"/>
      <c r="J198" s="547">
        <f t="shared" ref="J198" si="200">L198+O198</f>
        <v>0</v>
      </c>
      <c r="K198" s="389"/>
      <c r="L198" s="389"/>
      <c r="M198" s="389"/>
      <c r="N198" s="389"/>
      <c r="O198" s="390">
        <f>(K198)</f>
        <v>0</v>
      </c>
      <c r="P198" s="547">
        <f t="shared" ref="P198" si="201">E198+J198</f>
        <v>197759</v>
      </c>
      <c r="Q198" s="22"/>
      <c r="R198" s="119"/>
    </row>
    <row r="199" spans="1:18" ht="93" thickTop="1" thickBot="1" x14ac:dyDescent="0.25">
      <c r="A199" s="455" t="s">
        <v>767</v>
      </c>
      <c r="B199" s="455" t="s">
        <v>768</v>
      </c>
      <c r="C199" s="455"/>
      <c r="D199" s="455" t="s">
        <v>769</v>
      </c>
      <c r="E199" s="440">
        <f>SUM(E200:E201)</f>
        <v>30975408</v>
      </c>
      <c r="F199" s="440">
        <f t="shared" ref="F199:P199" si="202">SUM(F200:F201)</f>
        <v>30975408</v>
      </c>
      <c r="G199" s="440">
        <f t="shared" si="202"/>
        <v>19438490</v>
      </c>
      <c r="H199" s="440">
        <f t="shared" si="202"/>
        <v>83700</v>
      </c>
      <c r="I199" s="440">
        <f t="shared" si="202"/>
        <v>0</v>
      </c>
      <c r="J199" s="440">
        <f t="shared" si="202"/>
        <v>147000</v>
      </c>
      <c r="K199" s="440">
        <f t="shared" si="202"/>
        <v>0</v>
      </c>
      <c r="L199" s="440">
        <f t="shared" si="202"/>
        <v>78200</v>
      </c>
      <c r="M199" s="440">
        <f t="shared" si="202"/>
        <v>10400</v>
      </c>
      <c r="N199" s="440">
        <f t="shared" si="202"/>
        <v>0</v>
      </c>
      <c r="O199" s="440">
        <f t="shared" si="202"/>
        <v>68800</v>
      </c>
      <c r="P199" s="440">
        <f t="shared" si="202"/>
        <v>31122408</v>
      </c>
      <c r="Q199" s="22"/>
      <c r="R199" s="49"/>
    </row>
    <row r="200" spans="1:18" ht="138.75" thickTop="1" thickBot="1" x14ac:dyDescent="0.25">
      <c r="A200" s="546" t="s">
        <v>338</v>
      </c>
      <c r="B200" s="546" t="s">
        <v>339</v>
      </c>
      <c r="C200" s="546" t="s">
        <v>187</v>
      </c>
      <c r="D200" s="546" t="s">
        <v>469</v>
      </c>
      <c r="E200" s="547">
        <f>F200</f>
        <v>25361387</v>
      </c>
      <c r="F200" s="389">
        <f>(24992887)+368500</f>
        <v>25361387</v>
      </c>
      <c r="G200" s="389">
        <v>19438490</v>
      </c>
      <c r="H200" s="389">
        <f>70300+13000+400</f>
        <v>83700</v>
      </c>
      <c r="I200" s="389"/>
      <c r="J200" s="547">
        <f t="shared" si="193"/>
        <v>147000</v>
      </c>
      <c r="K200" s="389"/>
      <c r="L200" s="389">
        <v>78200</v>
      </c>
      <c r="M200" s="389">
        <v>10400</v>
      </c>
      <c r="N200" s="389"/>
      <c r="O200" s="390">
        <f>(K200)+68800</f>
        <v>68800</v>
      </c>
      <c r="P200" s="547">
        <f t="shared" si="194"/>
        <v>25508387</v>
      </c>
      <c r="Q200" s="22"/>
      <c r="R200" s="49"/>
    </row>
    <row r="201" spans="1:18" ht="93" thickTop="1" thickBot="1" x14ac:dyDescent="0.25">
      <c r="A201" s="546" t="s">
        <v>340</v>
      </c>
      <c r="B201" s="546" t="s">
        <v>341</v>
      </c>
      <c r="C201" s="546" t="s">
        <v>187</v>
      </c>
      <c r="D201" s="546" t="s">
        <v>470</v>
      </c>
      <c r="E201" s="670">
        <f>F201</f>
        <v>5614021</v>
      </c>
      <c r="F201" s="389">
        <f>(5345661)+268360</f>
        <v>5614021</v>
      </c>
      <c r="G201" s="389"/>
      <c r="H201" s="389"/>
      <c r="I201" s="389"/>
      <c r="J201" s="670">
        <f t="shared" si="193"/>
        <v>0</v>
      </c>
      <c r="K201" s="389"/>
      <c r="L201" s="389"/>
      <c r="M201" s="389"/>
      <c r="N201" s="389"/>
      <c r="O201" s="390">
        <f t="shared" si="198"/>
        <v>0</v>
      </c>
      <c r="P201" s="547">
        <f t="shared" si="194"/>
        <v>5614021</v>
      </c>
      <c r="Q201" s="22"/>
      <c r="R201" s="53"/>
    </row>
    <row r="202" spans="1:18" ht="47.25" thickTop="1" thickBot="1" x14ac:dyDescent="0.25">
      <c r="A202" s="385" t="s">
        <v>928</v>
      </c>
      <c r="B202" s="385" t="s">
        <v>757</v>
      </c>
      <c r="C202" s="385"/>
      <c r="D202" s="385" t="s">
        <v>758</v>
      </c>
      <c r="E202" s="670">
        <f>SUM(E203)</f>
        <v>1062625</v>
      </c>
      <c r="F202" s="670">
        <f t="shared" ref="F202:P202" si="203">SUM(F203)</f>
        <v>1062625</v>
      </c>
      <c r="G202" s="670">
        <f t="shared" si="203"/>
        <v>0</v>
      </c>
      <c r="H202" s="670">
        <f t="shared" si="203"/>
        <v>0</v>
      </c>
      <c r="I202" s="670">
        <f t="shared" si="203"/>
        <v>0</v>
      </c>
      <c r="J202" s="670">
        <f t="shared" si="203"/>
        <v>3707477</v>
      </c>
      <c r="K202" s="547">
        <f t="shared" si="203"/>
        <v>3707477</v>
      </c>
      <c r="L202" s="547">
        <f t="shared" si="203"/>
        <v>0</v>
      </c>
      <c r="M202" s="547">
        <f t="shared" si="203"/>
        <v>0</v>
      </c>
      <c r="N202" s="547">
        <f t="shared" si="203"/>
        <v>0</v>
      </c>
      <c r="O202" s="547">
        <f t="shared" si="203"/>
        <v>3707477</v>
      </c>
      <c r="P202" s="547">
        <f t="shared" si="203"/>
        <v>4770102</v>
      </c>
      <c r="Q202" s="22"/>
      <c r="R202" s="53"/>
    </row>
    <row r="203" spans="1:18" ht="136.5" thickTop="1" thickBot="1" x14ac:dyDescent="0.25">
      <c r="A203" s="387" t="s">
        <v>929</v>
      </c>
      <c r="B203" s="387" t="s">
        <v>700</v>
      </c>
      <c r="C203" s="387"/>
      <c r="D203" s="387" t="s">
        <v>698</v>
      </c>
      <c r="E203" s="391">
        <f>E204+E207+E206</f>
        <v>1062625</v>
      </c>
      <c r="F203" s="391">
        <f t="shared" ref="F203:P203" si="204">F204+F207+F206</f>
        <v>1062625</v>
      </c>
      <c r="G203" s="391">
        <f t="shared" si="204"/>
        <v>0</v>
      </c>
      <c r="H203" s="391">
        <f t="shared" si="204"/>
        <v>0</v>
      </c>
      <c r="I203" s="391">
        <f t="shared" si="204"/>
        <v>0</v>
      </c>
      <c r="J203" s="391">
        <f t="shared" si="204"/>
        <v>3707477</v>
      </c>
      <c r="K203" s="391">
        <f t="shared" si="204"/>
        <v>3707477</v>
      </c>
      <c r="L203" s="391">
        <f t="shared" si="204"/>
        <v>0</v>
      </c>
      <c r="M203" s="391">
        <f t="shared" si="204"/>
        <v>0</v>
      </c>
      <c r="N203" s="391">
        <f t="shared" si="204"/>
        <v>0</v>
      </c>
      <c r="O203" s="391">
        <f t="shared" si="204"/>
        <v>3707477</v>
      </c>
      <c r="P203" s="391">
        <f t="shared" si="204"/>
        <v>4770102</v>
      </c>
      <c r="Q203" s="22"/>
      <c r="R203" s="53"/>
    </row>
    <row r="204" spans="1:18" ht="93" thickTop="1" thickBot="1" x14ac:dyDescent="0.25">
      <c r="A204" s="455" t="s">
        <v>1054</v>
      </c>
      <c r="B204" s="455" t="s">
        <v>1055</v>
      </c>
      <c r="C204" s="455"/>
      <c r="D204" s="455" t="s">
        <v>1053</v>
      </c>
      <c r="E204" s="440">
        <f>E205</f>
        <v>1062625</v>
      </c>
      <c r="F204" s="440">
        <f t="shared" ref="F204:P204" si="205">F205</f>
        <v>1062625</v>
      </c>
      <c r="G204" s="440">
        <f t="shared" si="205"/>
        <v>0</v>
      </c>
      <c r="H204" s="440">
        <f t="shared" si="205"/>
        <v>0</v>
      </c>
      <c r="I204" s="440">
        <f t="shared" si="205"/>
        <v>0</v>
      </c>
      <c r="J204" s="440">
        <f t="shared" si="205"/>
        <v>0</v>
      </c>
      <c r="K204" s="440">
        <f t="shared" si="205"/>
        <v>0</v>
      </c>
      <c r="L204" s="440">
        <f t="shared" si="205"/>
        <v>0</v>
      </c>
      <c r="M204" s="440">
        <f t="shared" si="205"/>
        <v>0</v>
      </c>
      <c r="N204" s="440">
        <f t="shared" si="205"/>
        <v>0</v>
      </c>
      <c r="O204" s="440">
        <f t="shared" si="205"/>
        <v>0</v>
      </c>
      <c r="P204" s="440">
        <f t="shared" si="205"/>
        <v>1062625</v>
      </c>
      <c r="Q204" s="22"/>
      <c r="R204" s="53"/>
    </row>
    <row r="205" spans="1:18" ht="93" thickTop="1" thickBot="1" x14ac:dyDescent="0.25">
      <c r="A205" s="546" t="s">
        <v>1057</v>
      </c>
      <c r="B205" s="546" t="s">
        <v>1058</v>
      </c>
      <c r="C205" s="546" t="s">
        <v>218</v>
      </c>
      <c r="D205" s="546" t="s">
        <v>1056</v>
      </c>
      <c r="E205" s="547">
        <f t="shared" ref="E205" si="206">F205</f>
        <v>1062625</v>
      </c>
      <c r="F205" s="389">
        <v>1062625</v>
      </c>
      <c r="G205" s="389"/>
      <c r="H205" s="389"/>
      <c r="I205" s="389"/>
      <c r="J205" s="547">
        <f>L205+O205</f>
        <v>0</v>
      </c>
      <c r="K205" s="389"/>
      <c r="L205" s="389"/>
      <c r="M205" s="389"/>
      <c r="N205" s="389"/>
      <c r="O205" s="390">
        <f>K205</f>
        <v>0</v>
      </c>
      <c r="P205" s="547">
        <f>E205+J205</f>
        <v>1062625</v>
      </c>
      <c r="Q205" s="22"/>
      <c r="R205" s="53"/>
    </row>
    <row r="206" spans="1:18" s="118" customFormat="1" ht="48" thickTop="1" thickBot="1" x14ac:dyDescent="0.25">
      <c r="A206" s="546" t="s">
        <v>1346</v>
      </c>
      <c r="B206" s="546" t="s">
        <v>217</v>
      </c>
      <c r="C206" s="546" t="s">
        <v>218</v>
      </c>
      <c r="D206" s="546" t="s">
        <v>41</v>
      </c>
      <c r="E206" s="547">
        <f t="shared" ref="E206" si="207">F206</f>
        <v>0</v>
      </c>
      <c r="F206" s="389"/>
      <c r="G206" s="389"/>
      <c r="H206" s="389"/>
      <c r="I206" s="389"/>
      <c r="J206" s="547">
        <f>L206+O206</f>
        <v>2767235</v>
      </c>
      <c r="K206" s="389">
        <f>(800000+1205017)+762218</f>
        <v>2767235</v>
      </c>
      <c r="L206" s="389"/>
      <c r="M206" s="389"/>
      <c r="N206" s="389"/>
      <c r="O206" s="390">
        <f>K206</f>
        <v>2767235</v>
      </c>
      <c r="P206" s="547">
        <f>E206+J206</f>
        <v>2767235</v>
      </c>
      <c r="Q206" s="22"/>
      <c r="R206" s="53"/>
    </row>
    <row r="207" spans="1:18" ht="93" thickTop="1" thickBot="1" x14ac:dyDescent="0.25">
      <c r="A207" s="835" t="s">
        <v>930</v>
      </c>
      <c r="B207" s="835" t="s">
        <v>202</v>
      </c>
      <c r="C207" s="835" t="s">
        <v>171</v>
      </c>
      <c r="D207" s="835" t="s">
        <v>34</v>
      </c>
      <c r="E207" s="833">
        <f t="shared" ref="E207" si="208">F207</f>
        <v>0</v>
      </c>
      <c r="F207" s="389"/>
      <c r="G207" s="389"/>
      <c r="H207" s="389"/>
      <c r="I207" s="389"/>
      <c r="J207" s="833">
        <f t="shared" ref="J207" si="209">L207+O207</f>
        <v>940242</v>
      </c>
      <c r="K207" s="389">
        <v>940242</v>
      </c>
      <c r="L207" s="389"/>
      <c r="M207" s="389"/>
      <c r="N207" s="389"/>
      <c r="O207" s="841">
        <f t="shared" ref="O207" si="210">K207</f>
        <v>940242</v>
      </c>
      <c r="P207" s="833">
        <f t="shared" ref="P207" si="211">E207+J207</f>
        <v>940242</v>
      </c>
      <c r="Q207" s="22"/>
      <c r="R207" s="49"/>
    </row>
    <row r="208" spans="1:18" ht="47.25" hidden="1" thickTop="1" thickBot="1" x14ac:dyDescent="0.25">
      <c r="A208" s="180" t="s">
        <v>770</v>
      </c>
      <c r="B208" s="180" t="s">
        <v>711</v>
      </c>
      <c r="C208" s="180"/>
      <c r="D208" s="180" t="s">
        <v>712</v>
      </c>
      <c r="E208" s="45">
        <f>E209</f>
        <v>0</v>
      </c>
      <c r="F208" s="45">
        <f t="shared" ref="F208:P209" si="212">F209</f>
        <v>0</v>
      </c>
      <c r="G208" s="45">
        <f t="shared" si="212"/>
        <v>0</v>
      </c>
      <c r="H208" s="45">
        <f t="shared" si="212"/>
        <v>0</v>
      </c>
      <c r="I208" s="45">
        <f t="shared" si="212"/>
        <v>0</v>
      </c>
      <c r="J208" s="45">
        <f t="shared" si="212"/>
        <v>0</v>
      </c>
      <c r="K208" s="45">
        <f t="shared" si="212"/>
        <v>0</v>
      </c>
      <c r="L208" s="45">
        <f t="shared" si="212"/>
        <v>0</v>
      </c>
      <c r="M208" s="45">
        <f t="shared" si="212"/>
        <v>0</v>
      </c>
      <c r="N208" s="45">
        <f t="shared" si="212"/>
        <v>0</v>
      </c>
      <c r="O208" s="45">
        <f t="shared" si="212"/>
        <v>0</v>
      </c>
      <c r="P208" s="45">
        <f t="shared" si="212"/>
        <v>0</v>
      </c>
      <c r="Q208" s="22"/>
      <c r="R208" s="53"/>
    </row>
    <row r="209" spans="1:18" ht="271.5" hidden="1" thickTop="1" thickBot="1" x14ac:dyDescent="0.25">
      <c r="A209" s="181" t="s">
        <v>771</v>
      </c>
      <c r="B209" s="181" t="s">
        <v>714</v>
      </c>
      <c r="C209" s="181"/>
      <c r="D209" s="181" t="s">
        <v>715</v>
      </c>
      <c r="E209" s="182">
        <f>E210</f>
        <v>0</v>
      </c>
      <c r="F209" s="182">
        <f t="shared" si="212"/>
        <v>0</v>
      </c>
      <c r="G209" s="182">
        <f t="shared" si="212"/>
        <v>0</v>
      </c>
      <c r="H209" s="182">
        <f t="shared" si="212"/>
        <v>0</v>
      </c>
      <c r="I209" s="182">
        <f t="shared" si="212"/>
        <v>0</v>
      </c>
      <c r="J209" s="182">
        <f t="shared" si="212"/>
        <v>0</v>
      </c>
      <c r="K209" s="182">
        <f t="shared" si="212"/>
        <v>0</v>
      </c>
      <c r="L209" s="182">
        <f t="shared" si="212"/>
        <v>0</v>
      </c>
      <c r="M209" s="182">
        <f t="shared" si="212"/>
        <v>0</v>
      </c>
      <c r="N209" s="182">
        <f t="shared" si="212"/>
        <v>0</v>
      </c>
      <c r="O209" s="182">
        <f t="shared" si="212"/>
        <v>0</v>
      </c>
      <c r="P209" s="182">
        <f t="shared" si="212"/>
        <v>0</v>
      </c>
      <c r="Q209" s="22"/>
      <c r="R209" s="53"/>
    </row>
    <row r="210" spans="1:18" ht="93" hidden="1" thickTop="1" thickBot="1" x14ac:dyDescent="0.25">
      <c r="A210" s="44" t="s">
        <v>592</v>
      </c>
      <c r="B210" s="44" t="s">
        <v>368</v>
      </c>
      <c r="C210" s="44" t="s">
        <v>43</v>
      </c>
      <c r="D210" s="44" t="s">
        <v>369</v>
      </c>
      <c r="E210" s="45">
        <f t="shared" ref="E210" si="213">F210</f>
        <v>0</v>
      </c>
      <c r="F210" s="46">
        <v>0</v>
      </c>
      <c r="G210" s="46"/>
      <c r="H210" s="46"/>
      <c r="I210" s="46"/>
      <c r="J210" s="45">
        <f>L210+O210</f>
        <v>0</v>
      </c>
      <c r="K210" s="46"/>
      <c r="L210" s="46"/>
      <c r="M210" s="46"/>
      <c r="N210" s="46"/>
      <c r="O210" s="47">
        <f>K210</f>
        <v>0</v>
      </c>
      <c r="P210" s="45">
        <f>E210+J210</f>
        <v>0</v>
      </c>
      <c r="Q210" s="22"/>
      <c r="R210" s="53"/>
    </row>
    <row r="211" spans="1:18" ht="136.5" thickTop="1" thickBot="1" x14ac:dyDescent="0.25">
      <c r="A211" s="460" t="s">
        <v>22</v>
      </c>
      <c r="B211" s="460"/>
      <c r="C211" s="460"/>
      <c r="D211" s="461" t="s">
        <v>23</v>
      </c>
      <c r="E211" s="463">
        <f>E212</f>
        <v>117457529</v>
      </c>
      <c r="F211" s="462">
        <f t="shared" ref="F211:G211" si="214">F212</f>
        <v>117457529</v>
      </c>
      <c r="G211" s="462">
        <f t="shared" si="214"/>
        <v>47738922.469999999</v>
      </c>
      <c r="H211" s="462">
        <f>H212</f>
        <v>5150735</v>
      </c>
      <c r="I211" s="462">
        <f t="shared" ref="I211" si="215">I212</f>
        <v>0</v>
      </c>
      <c r="J211" s="463">
        <f>J212</f>
        <v>38143025.479999997</v>
      </c>
      <c r="K211" s="462">
        <f>K212</f>
        <v>35902003.479999997</v>
      </c>
      <c r="L211" s="462">
        <f>L212</f>
        <v>2118642</v>
      </c>
      <c r="M211" s="462">
        <f t="shared" ref="M211" si="216">M212</f>
        <v>994780</v>
      </c>
      <c r="N211" s="462">
        <f>N212</f>
        <v>383875</v>
      </c>
      <c r="O211" s="463">
        <f>O212</f>
        <v>36024383.479999997</v>
      </c>
      <c r="P211" s="462">
        <f t="shared" ref="P211" si="217">P212</f>
        <v>155600554.47999999</v>
      </c>
      <c r="Q211" s="22"/>
    </row>
    <row r="212" spans="1:18" ht="178.5" customHeight="1" thickTop="1" thickBot="1" x14ac:dyDescent="0.25">
      <c r="A212" s="464" t="s">
        <v>21</v>
      </c>
      <c r="B212" s="464"/>
      <c r="C212" s="464"/>
      <c r="D212" s="465" t="s">
        <v>35</v>
      </c>
      <c r="E212" s="466">
        <f>E213+E219+E234+E237+E244</f>
        <v>117457529</v>
      </c>
      <c r="F212" s="466">
        <f t="shared" ref="F212:I212" si="218">F213+F219+F234+F237+F244</f>
        <v>117457529</v>
      </c>
      <c r="G212" s="466">
        <f t="shared" si="218"/>
        <v>47738922.469999999</v>
      </c>
      <c r="H212" s="466">
        <f t="shared" si="218"/>
        <v>5150735</v>
      </c>
      <c r="I212" s="466">
        <f t="shared" si="218"/>
        <v>0</v>
      </c>
      <c r="J212" s="466">
        <f>L212+O212</f>
        <v>38143025.479999997</v>
      </c>
      <c r="K212" s="466">
        <f t="shared" ref="K212" si="219">K213+K219+K234+K237+K244</f>
        <v>35902003.479999997</v>
      </c>
      <c r="L212" s="466">
        <f t="shared" ref="L212" si="220">L213+L219+L234+L237+L244</f>
        <v>2118642</v>
      </c>
      <c r="M212" s="466">
        <f t="shared" ref="M212" si="221">M213+M219+M234+M237+M244</f>
        <v>994780</v>
      </c>
      <c r="N212" s="466">
        <f t="shared" ref="N212" si="222">N213+N219+N234+N237+N244</f>
        <v>383875</v>
      </c>
      <c r="O212" s="466">
        <f t="shared" ref="O212" si="223">O213+O219+O234+O237+O244</f>
        <v>36024383.479999997</v>
      </c>
      <c r="P212" s="466">
        <f>E212+J212</f>
        <v>155600554.47999999</v>
      </c>
      <c r="Q212" s="392" t="b">
        <f>P212=P217+P218+P221+P222+P224+P226+P227+P231+P232+P233+P236+P240+P242+P229+P243</f>
        <v>1</v>
      </c>
      <c r="R212" s="49"/>
    </row>
    <row r="213" spans="1:18" ht="91.5" thickTop="1" thickBot="1" x14ac:dyDescent="0.25">
      <c r="A213" s="385" t="s">
        <v>772</v>
      </c>
      <c r="B213" s="385" t="s">
        <v>720</v>
      </c>
      <c r="C213" s="385"/>
      <c r="D213" s="385" t="s">
        <v>721</v>
      </c>
      <c r="E213" s="541">
        <f>SUM(E214:E218)-E214-E216</f>
        <v>13200222</v>
      </c>
      <c r="F213" s="541">
        <f t="shared" ref="F213:P213" si="224">SUM(F214:F218)-F214-F216</f>
        <v>13200222</v>
      </c>
      <c r="G213" s="541">
        <f t="shared" si="224"/>
        <v>4574410</v>
      </c>
      <c r="H213" s="541">
        <f t="shared" si="224"/>
        <v>1073346</v>
      </c>
      <c r="I213" s="541">
        <f t="shared" si="224"/>
        <v>0</v>
      </c>
      <c r="J213" s="541">
        <f t="shared" si="224"/>
        <v>2407064.4</v>
      </c>
      <c r="K213" s="541">
        <f t="shared" si="224"/>
        <v>2009664.4</v>
      </c>
      <c r="L213" s="541">
        <f t="shared" si="224"/>
        <v>397400</v>
      </c>
      <c r="M213" s="541">
        <f t="shared" si="224"/>
        <v>210000</v>
      </c>
      <c r="N213" s="541">
        <f t="shared" si="224"/>
        <v>102595</v>
      </c>
      <c r="O213" s="541">
        <f t="shared" si="224"/>
        <v>2009664.4</v>
      </c>
      <c r="P213" s="541">
        <f t="shared" si="224"/>
        <v>15607286.4</v>
      </c>
      <c r="Q213" s="50"/>
      <c r="R213" s="49"/>
    </row>
    <row r="214" spans="1:18" s="35" customFormat="1" ht="138.75" hidden="1" thickTop="1" thickBot="1" x14ac:dyDescent="0.25">
      <c r="A214" s="455" t="s">
        <v>773</v>
      </c>
      <c r="B214" s="455" t="s">
        <v>774</v>
      </c>
      <c r="C214" s="455"/>
      <c r="D214" s="455" t="s">
        <v>775</v>
      </c>
      <c r="E214" s="542">
        <f>E215</f>
        <v>0</v>
      </c>
      <c r="F214" s="542">
        <f t="shared" ref="F214:P214" si="225">F215</f>
        <v>0</v>
      </c>
      <c r="G214" s="542">
        <f t="shared" si="225"/>
        <v>0</v>
      </c>
      <c r="H214" s="542">
        <f t="shared" si="225"/>
        <v>0</v>
      </c>
      <c r="I214" s="542">
        <f t="shared" si="225"/>
        <v>0</v>
      </c>
      <c r="J214" s="542">
        <f t="shared" si="225"/>
        <v>0</v>
      </c>
      <c r="K214" s="542">
        <f t="shared" si="225"/>
        <v>0</v>
      </c>
      <c r="L214" s="542">
        <f t="shared" si="225"/>
        <v>0</v>
      </c>
      <c r="M214" s="542">
        <f t="shared" si="225"/>
        <v>0</v>
      </c>
      <c r="N214" s="542">
        <f t="shared" si="225"/>
        <v>0</v>
      </c>
      <c r="O214" s="542">
        <f t="shared" si="225"/>
        <v>0</v>
      </c>
      <c r="P214" s="542">
        <f t="shared" si="225"/>
        <v>0</v>
      </c>
      <c r="Q214" s="191"/>
      <c r="R214" s="55"/>
    </row>
    <row r="215" spans="1:18" ht="138.75" hidden="1" thickTop="1" thickBot="1" x14ac:dyDescent="0.25">
      <c r="A215" s="445" t="s">
        <v>188</v>
      </c>
      <c r="B215" s="445" t="s">
        <v>189</v>
      </c>
      <c r="C215" s="445" t="s">
        <v>190</v>
      </c>
      <c r="D215" s="445" t="s">
        <v>647</v>
      </c>
      <c r="E215" s="386">
        <f t="shared" ref="E215:E232" si="226">F215</f>
        <v>0</v>
      </c>
      <c r="F215" s="441">
        <f>(6040461)-6040461</f>
        <v>0</v>
      </c>
      <c r="G215" s="441">
        <f>(4559615)-4559615</f>
        <v>0</v>
      </c>
      <c r="H215" s="441">
        <f>(96665+5295+31600+3840)-137400</f>
        <v>0</v>
      </c>
      <c r="I215" s="441"/>
      <c r="J215" s="670">
        <f t="shared" ref="J215:J243" si="227">L215+O215</f>
        <v>0</v>
      </c>
      <c r="K215" s="441"/>
      <c r="L215" s="442"/>
      <c r="M215" s="442"/>
      <c r="N215" s="442"/>
      <c r="O215" s="390">
        <f t="shared" ref="O215:O243" si="228">K215</f>
        <v>0</v>
      </c>
      <c r="P215" s="446">
        <f>+J215+E215</f>
        <v>0</v>
      </c>
      <c r="Q215" s="53"/>
      <c r="R215" s="53"/>
    </row>
    <row r="216" spans="1:18" s="35" customFormat="1" ht="93" thickTop="1" thickBot="1" x14ac:dyDescent="0.25">
      <c r="A216" s="455" t="s">
        <v>776</v>
      </c>
      <c r="B216" s="455" t="s">
        <v>777</v>
      </c>
      <c r="C216" s="455"/>
      <c r="D216" s="455" t="s">
        <v>778</v>
      </c>
      <c r="E216" s="502">
        <f>SUM(E217:E218)</f>
        <v>13200222</v>
      </c>
      <c r="F216" s="502">
        <f t="shared" ref="F216:P216" si="229">SUM(F217:F218)</f>
        <v>13200222</v>
      </c>
      <c r="G216" s="502">
        <f t="shared" si="229"/>
        <v>4574410</v>
      </c>
      <c r="H216" s="502">
        <f t="shared" si="229"/>
        <v>1073346</v>
      </c>
      <c r="I216" s="502">
        <f t="shared" si="229"/>
        <v>0</v>
      </c>
      <c r="J216" s="502">
        <f t="shared" si="229"/>
        <v>2407064.4</v>
      </c>
      <c r="K216" s="502">
        <f t="shared" si="229"/>
        <v>2009664.4</v>
      </c>
      <c r="L216" s="502">
        <f t="shared" si="229"/>
        <v>397400</v>
      </c>
      <c r="M216" s="502">
        <f t="shared" si="229"/>
        <v>210000</v>
      </c>
      <c r="N216" s="502">
        <f t="shared" si="229"/>
        <v>102595</v>
      </c>
      <c r="O216" s="502">
        <f t="shared" si="229"/>
        <v>2009664.4</v>
      </c>
      <c r="P216" s="502">
        <f t="shared" si="229"/>
        <v>15607286.4</v>
      </c>
      <c r="Q216" s="54"/>
      <c r="R216" s="54"/>
    </row>
    <row r="217" spans="1:18" ht="93" thickTop="1" thickBot="1" x14ac:dyDescent="0.25">
      <c r="A217" s="445" t="s">
        <v>194</v>
      </c>
      <c r="B217" s="445" t="s">
        <v>195</v>
      </c>
      <c r="C217" s="445" t="s">
        <v>190</v>
      </c>
      <c r="D217" s="445" t="s">
        <v>10</v>
      </c>
      <c r="E217" s="386">
        <f t="shared" si="226"/>
        <v>5445868</v>
      </c>
      <c r="F217" s="441">
        <f>((5368723)+1300)+75845</f>
        <v>5445868</v>
      </c>
      <c r="G217" s="441">
        <v>3105542</v>
      </c>
      <c r="H217" s="441">
        <f>628430+7726+230000+3090</f>
        <v>869246</v>
      </c>
      <c r="I217" s="441"/>
      <c r="J217" s="670">
        <f t="shared" si="227"/>
        <v>2351438.4</v>
      </c>
      <c r="K217" s="441">
        <f>(((21340)+24993.4)+74000)+388092+1445613</f>
        <v>1954038.4</v>
      </c>
      <c r="L217" s="442">
        <v>397400</v>
      </c>
      <c r="M217" s="442">
        <v>210000</v>
      </c>
      <c r="N217" s="442">
        <v>102595</v>
      </c>
      <c r="O217" s="390">
        <f>K217</f>
        <v>1954038.4</v>
      </c>
      <c r="P217" s="446">
        <f t="shared" ref="P217:P243" si="230">E217+J217</f>
        <v>7797306.4000000004</v>
      </c>
      <c r="Q217" s="22"/>
      <c r="R217" s="49"/>
    </row>
    <row r="218" spans="1:18" ht="93" thickTop="1" thickBot="1" x14ac:dyDescent="0.25">
      <c r="A218" s="445" t="s">
        <v>356</v>
      </c>
      <c r="B218" s="445" t="s">
        <v>357</v>
      </c>
      <c r="C218" s="445" t="s">
        <v>190</v>
      </c>
      <c r="D218" s="445" t="s">
        <v>358</v>
      </c>
      <c r="E218" s="386">
        <f t="shared" si="226"/>
        <v>7754354</v>
      </c>
      <c r="F218" s="441">
        <f>(7675433)+78921</f>
        <v>7754354</v>
      </c>
      <c r="G218" s="441">
        <v>1468868</v>
      </c>
      <c r="H218" s="441">
        <f>99760+6560+95860+1920</f>
        <v>204100</v>
      </c>
      <c r="I218" s="441"/>
      <c r="J218" s="670">
        <f t="shared" si="227"/>
        <v>55626</v>
      </c>
      <c r="K218" s="441">
        <v>55626</v>
      </c>
      <c r="L218" s="442"/>
      <c r="M218" s="442"/>
      <c r="N218" s="442"/>
      <c r="O218" s="390">
        <f t="shared" si="228"/>
        <v>55626</v>
      </c>
      <c r="P218" s="446">
        <f t="shared" si="230"/>
        <v>7809980</v>
      </c>
      <c r="Q218" s="22"/>
      <c r="R218" s="49"/>
    </row>
    <row r="219" spans="1:18" ht="47.25" thickTop="1" thickBot="1" x14ac:dyDescent="0.25">
      <c r="A219" s="385" t="s">
        <v>779</v>
      </c>
      <c r="B219" s="385" t="s">
        <v>780</v>
      </c>
      <c r="C219" s="445"/>
      <c r="D219" s="385" t="s">
        <v>781</v>
      </c>
      <c r="E219" s="386">
        <f t="shared" ref="E219:P219" si="231">SUM(E220:E233)-E220-E223-E225-E230-E228</f>
        <v>104218307</v>
      </c>
      <c r="F219" s="386">
        <f t="shared" si="231"/>
        <v>104218307</v>
      </c>
      <c r="G219" s="386">
        <f t="shared" si="231"/>
        <v>43164512.469999999</v>
      </c>
      <c r="H219" s="386">
        <f t="shared" si="231"/>
        <v>4077389</v>
      </c>
      <c r="I219" s="386">
        <f t="shared" si="231"/>
        <v>0</v>
      </c>
      <c r="J219" s="386">
        <f t="shared" si="231"/>
        <v>30399870.079999998</v>
      </c>
      <c r="K219" s="386">
        <f t="shared" si="231"/>
        <v>28556248.079999998</v>
      </c>
      <c r="L219" s="386">
        <f t="shared" si="231"/>
        <v>1721242</v>
      </c>
      <c r="M219" s="386">
        <f t="shared" si="231"/>
        <v>784780</v>
      </c>
      <c r="N219" s="386">
        <f t="shared" si="231"/>
        <v>281280</v>
      </c>
      <c r="O219" s="386">
        <f t="shared" si="231"/>
        <v>28678628.079999998</v>
      </c>
      <c r="P219" s="386">
        <f t="shared" si="231"/>
        <v>134618177.07999998</v>
      </c>
      <c r="Q219" s="22"/>
      <c r="R219" s="49"/>
    </row>
    <row r="220" spans="1:18" s="35" customFormat="1" ht="93" thickTop="1" thickBot="1" x14ac:dyDescent="0.25">
      <c r="A220" s="455" t="s">
        <v>782</v>
      </c>
      <c r="B220" s="455" t="s">
        <v>783</v>
      </c>
      <c r="C220" s="455"/>
      <c r="D220" s="455" t="s">
        <v>784</v>
      </c>
      <c r="E220" s="502">
        <f>SUM(E221:E222)</f>
        <v>29233742</v>
      </c>
      <c r="F220" s="502">
        <f t="shared" ref="F220:P220" si="232">SUM(F221:F222)</f>
        <v>29233742</v>
      </c>
      <c r="G220" s="502">
        <f t="shared" si="232"/>
        <v>0</v>
      </c>
      <c r="H220" s="502">
        <f t="shared" si="232"/>
        <v>0</v>
      </c>
      <c r="I220" s="502">
        <f t="shared" si="232"/>
        <v>0</v>
      </c>
      <c r="J220" s="502">
        <f t="shared" si="232"/>
        <v>0</v>
      </c>
      <c r="K220" s="502">
        <f t="shared" si="232"/>
        <v>0</v>
      </c>
      <c r="L220" s="502">
        <f t="shared" si="232"/>
        <v>0</v>
      </c>
      <c r="M220" s="502">
        <f t="shared" si="232"/>
        <v>0</v>
      </c>
      <c r="N220" s="502">
        <f t="shared" si="232"/>
        <v>0</v>
      </c>
      <c r="O220" s="502">
        <f t="shared" si="232"/>
        <v>0</v>
      </c>
      <c r="P220" s="502">
        <f t="shared" si="232"/>
        <v>29233742</v>
      </c>
      <c r="Q220" s="39"/>
      <c r="R220" s="55"/>
    </row>
    <row r="221" spans="1:18" ht="138.75" thickTop="1" thickBot="1" x14ac:dyDescent="0.25">
      <c r="A221" s="445" t="s">
        <v>44</v>
      </c>
      <c r="B221" s="445" t="s">
        <v>191</v>
      </c>
      <c r="C221" s="445" t="s">
        <v>200</v>
      </c>
      <c r="D221" s="445" t="s">
        <v>45</v>
      </c>
      <c r="E221" s="386">
        <f t="shared" si="226"/>
        <v>25132670</v>
      </c>
      <c r="F221" s="441">
        <f>(23981670)+1000+1150000</f>
        <v>25132670</v>
      </c>
      <c r="G221" s="389"/>
      <c r="H221" s="389"/>
      <c r="I221" s="389"/>
      <c r="J221" s="446">
        <f t="shared" si="227"/>
        <v>0</v>
      </c>
      <c r="K221" s="389"/>
      <c r="L221" s="389"/>
      <c r="M221" s="389"/>
      <c r="N221" s="389"/>
      <c r="O221" s="390">
        <f t="shared" si="228"/>
        <v>0</v>
      </c>
      <c r="P221" s="446">
        <f t="shared" si="230"/>
        <v>25132670</v>
      </c>
      <c r="Q221" s="22"/>
      <c r="R221" s="49"/>
    </row>
    <row r="222" spans="1:18" ht="138.75" thickTop="1" thickBot="1" x14ac:dyDescent="0.25">
      <c r="A222" s="445" t="s">
        <v>46</v>
      </c>
      <c r="B222" s="445" t="s">
        <v>192</v>
      </c>
      <c r="C222" s="445" t="s">
        <v>200</v>
      </c>
      <c r="D222" s="445" t="s">
        <v>4</v>
      </c>
      <c r="E222" s="386">
        <f t="shared" si="226"/>
        <v>4101072</v>
      </c>
      <c r="F222" s="441">
        <f>(3798092)+2980+300000</f>
        <v>4101072</v>
      </c>
      <c r="G222" s="389"/>
      <c r="H222" s="389"/>
      <c r="I222" s="389"/>
      <c r="J222" s="446">
        <f t="shared" si="227"/>
        <v>0</v>
      </c>
      <c r="K222" s="389"/>
      <c r="L222" s="389"/>
      <c r="M222" s="389"/>
      <c r="N222" s="389"/>
      <c r="O222" s="390">
        <f t="shared" si="228"/>
        <v>0</v>
      </c>
      <c r="P222" s="446">
        <f t="shared" si="230"/>
        <v>4101072</v>
      </c>
      <c r="Q222" s="22"/>
      <c r="R222" s="49"/>
    </row>
    <row r="223" spans="1:18" s="35" customFormat="1" ht="184.5" thickTop="1" thickBot="1" x14ac:dyDescent="0.25">
      <c r="A223" s="455" t="s">
        <v>785</v>
      </c>
      <c r="B223" s="455" t="s">
        <v>786</v>
      </c>
      <c r="C223" s="455"/>
      <c r="D223" s="455" t="s">
        <v>787</v>
      </c>
      <c r="E223" s="502">
        <f>E224</f>
        <v>53300</v>
      </c>
      <c r="F223" s="502">
        <f t="shared" ref="F223:P223" si="233">F224</f>
        <v>53300</v>
      </c>
      <c r="G223" s="502">
        <f t="shared" si="233"/>
        <v>0</v>
      </c>
      <c r="H223" s="502">
        <f t="shared" si="233"/>
        <v>0</v>
      </c>
      <c r="I223" s="502">
        <f t="shared" si="233"/>
        <v>0</v>
      </c>
      <c r="J223" s="502">
        <f t="shared" si="233"/>
        <v>0</v>
      </c>
      <c r="K223" s="502">
        <f t="shared" si="233"/>
        <v>0</v>
      </c>
      <c r="L223" s="502">
        <f t="shared" si="233"/>
        <v>0</v>
      </c>
      <c r="M223" s="502">
        <f t="shared" si="233"/>
        <v>0</v>
      </c>
      <c r="N223" s="502">
        <f t="shared" si="233"/>
        <v>0</v>
      </c>
      <c r="O223" s="502">
        <f t="shared" si="233"/>
        <v>0</v>
      </c>
      <c r="P223" s="502">
        <f t="shared" si="233"/>
        <v>53300</v>
      </c>
      <c r="Q223" s="39"/>
      <c r="R223" s="56"/>
    </row>
    <row r="224" spans="1:18" ht="184.5" thickTop="1" thickBot="1" x14ac:dyDescent="0.25">
      <c r="A224" s="445" t="s">
        <v>47</v>
      </c>
      <c r="B224" s="445" t="s">
        <v>193</v>
      </c>
      <c r="C224" s="445" t="s">
        <v>200</v>
      </c>
      <c r="D224" s="445" t="s">
        <v>354</v>
      </c>
      <c r="E224" s="386">
        <f>F224</f>
        <v>53300</v>
      </c>
      <c r="F224" s="441">
        <v>53300</v>
      </c>
      <c r="G224" s="441"/>
      <c r="H224" s="441"/>
      <c r="I224" s="389"/>
      <c r="J224" s="446">
        <f t="shared" si="227"/>
        <v>0</v>
      </c>
      <c r="K224" s="389"/>
      <c r="L224" s="441"/>
      <c r="M224" s="441"/>
      <c r="N224" s="441"/>
      <c r="O224" s="390">
        <f t="shared" si="228"/>
        <v>0</v>
      </c>
      <c r="P224" s="446">
        <f t="shared" si="230"/>
        <v>53300</v>
      </c>
      <c r="Q224" s="22"/>
      <c r="R224" s="49"/>
    </row>
    <row r="225" spans="1:18" ht="93" thickTop="1" thickBot="1" x14ac:dyDescent="0.25">
      <c r="A225" s="455" t="s">
        <v>788</v>
      </c>
      <c r="B225" s="455" t="s">
        <v>789</v>
      </c>
      <c r="C225" s="455"/>
      <c r="D225" s="455" t="s">
        <v>790</v>
      </c>
      <c r="E225" s="502">
        <f>SUM(E226:E227)</f>
        <v>68109815</v>
      </c>
      <c r="F225" s="502">
        <f t="shared" ref="F225:P225" si="234">SUM(F226:F227)</f>
        <v>68109815</v>
      </c>
      <c r="G225" s="502">
        <f t="shared" si="234"/>
        <v>41781765</v>
      </c>
      <c r="H225" s="502">
        <f t="shared" si="234"/>
        <v>4077389</v>
      </c>
      <c r="I225" s="502">
        <f t="shared" si="234"/>
        <v>0</v>
      </c>
      <c r="J225" s="502">
        <f t="shared" si="234"/>
        <v>30349870.079999998</v>
      </c>
      <c r="K225" s="502">
        <f t="shared" si="234"/>
        <v>28556248.079999998</v>
      </c>
      <c r="L225" s="502">
        <f t="shared" si="234"/>
        <v>1671242</v>
      </c>
      <c r="M225" s="502">
        <f t="shared" si="234"/>
        <v>784780</v>
      </c>
      <c r="N225" s="502">
        <f t="shared" si="234"/>
        <v>281280</v>
      </c>
      <c r="O225" s="502">
        <f t="shared" si="234"/>
        <v>28678628.079999998</v>
      </c>
      <c r="P225" s="502">
        <f t="shared" si="234"/>
        <v>98459685.079999998</v>
      </c>
      <c r="Q225" s="22"/>
      <c r="R225" s="49"/>
    </row>
    <row r="226" spans="1:18" ht="184.5" thickTop="1" thickBot="1" x14ac:dyDescent="0.25">
      <c r="A226" s="445" t="s">
        <v>28</v>
      </c>
      <c r="B226" s="445" t="s">
        <v>197</v>
      </c>
      <c r="C226" s="445" t="s">
        <v>200</v>
      </c>
      <c r="D226" s="445" t="s">
        <v>48</v>
      </c>
      <c r="E226" s="386">
        <f t="shared" si="226"/>
        <v>61685476</v>
      </c>
      <c r="F226" s="441">
        <f>((59889005)+202668+42714+402374+130485+41184+2300+422)+75600+314625+384310+146800+52989</f>
        <v>61685476</v>
      </c>
      <c r="G226" s="441">
        <f>13877510+12442050+10977685+4484520</f>
        <v>41781765</v>
      </c>
      <c r="H226" s="441">
        <f>568195+155692+669442+67080+521160+67546+679930+60730+9320+25800+25896+220200+368000+5930+411080+9064+153630+57590+1104</f>
        <v>4077389</v>
      </c>
      <c r="I226" s="441"/>
      <c r="J226" s="446">
        <f t="shared" si="227"/>
        <v>30349870.079999998</v>
      </c>
      <c r="K226" s="441">
        <f>((947868)+99900+53954+29525+19619+129500+99900+10427935.08)+30143+10979381+2072733+240000+90190+300000+35600+3000000</f>
        <v>28556248.079999998</v>
      </c>
      <c r="L226" s="441">
        <v>1671242</v>
      </c>
      <c r="M226" s="441">
        <f>(862780)-78000</f>
        <v>784780</v>
      </c>
      <c r="N226" s="441">
        <v>281280</v>
      </c>
      <c r="O226" s="390">
        <f>(K226+122380)</f>
        <v>28678628.079999998</v>
      </c>
      <c r="P226" s="446">
        <f t="shared" si="230"/>
        <v>92035346.079999998</v>
      </c>
      <c r="Q226" s="22"/>
      <c r="R226" s="49"/>
    </row>
    <row r="227" spans="1:18" ht="184.5" thickTop="1" thickBot="1" x14ac:dyDescent="0.25">
      <c r="A227" s="445" t="s">
        <v>29</v>
      </c>
      <c r="B227" s="445" t="s">
        <v>198</v>
      </c>
      <c r="C227" s="445" t="s">
        <v>200</v>
      </c>
      <c r="D227" s="445" t="s">
        <v>49</v>
      </c>
      <c r="E227" s="386">
        <f t="shared" si="226"/>
        <v>6424339</v>
      </c>
      <c r="F227" s="441">
        <v>6424339</v>
      </c>
      <c r="G227" s="441"/>
      <c r="H227" s="441"/>
      <c r="I227" s="441"/>
      <c r="J227" s="446">
        <f t="shared" si="227"/>
        <v>0</v>
      </c>
      <c r="K227" s="441">
        <v>0</v>
      </c>
      <c r="L227" s="441"/>
      <c r="M227" s="441"/>
      <c r="N227" s="441"/>
      <c r="O227" s="390">
        <f t="shared" si="228"/>
        <v>0</v>
      </c>
      <c r="P227" s="446">
        <f t="shared" si="230"/>
        <v>6424339</v>
      </c>
      <c r="Q227" s="22"/>
      <c r="R227" s="49"/>
    </row>
    <row r="228" spans="1:18" s="118" customFormat="1" ht="93" thickTop="1" thickBot="1" x14ac:dyDescent="0.25">
      <c r="A228" s="537" t="s">
        <v>1501</v>
      </c>
      <c r="B228" s="455" t="s">
        <v>826</v>
      </c>
      <c r="C228" s="455"/>
      <c r="D228" s="455" t="s">
        <v>827</v>
      </c>
      <c r="E228" s="502">
        <f>E229</f>
        <v>88281</v>
      </c>
      <c r="F228" s="502">
        <f t="shared" ref="F228:P228" si="235">F229</f>
        <v>88281</v>
      </c>
      <c r="G228" s="502">
        <f t="shared" si="235"/>
        <v>72361.47</v>
      </c>
      <c r="H228" s="502">
        <f t="shared" si="235"/>
        <v>0</v>
      </c>
      <c r="I228" s="502">
        <f t="shared" si="235"/>
        <v>0</v>
      </c>
      <c r="J228" s="502">
        <f t="shared" si="235"/>
        <v>0</v>
      </c>
      <c r="K228" s="502">
        <f t="shared" si="235"/>
        <v>0</v>
      </c>
      <c r="L228" s="502">
        <f t="shared" si="235"/>
        <v>0</v>
      </c>
      <c r="M228" s="502">
        <f t="shared" si="235"/>
        <v>0</v>
      </c>
      <c r="N228" s="502">
        <f t="shared" si="235"/>
        <v>0</v>
      </c>
      <c r="O228" s="502">
        <f t="shared" si="235"/>
        <v>0</v>
      </c>
      <c r="P228" s="502">
        <f t="shared" si="235"/>
        <v>88281</v>
      </c>
      <c r="Q228" s="22"/>
      <c r="R228" s="778"/>
    </row>
    <row r="229" spans="1:18" s="118" customFormat="1" ht="184.5" thickTop="1" thickBot="1" x14ac:dyDescent="0.25">
      <c r="A229" s="776" t="s">
        <v>1502</v>
      </c>
      <c r="B229" s="776" t="s">
        <v>1503</v>
      </c>
      <c r="C229" s="776" t="s">
        <v>200</v>
      </c>
      <c r="D229" s="776" t="s">
        <v>1504</v>
      </c>
      <c r="E229" s="386">
        <f t="shared" ref="E229" si="236">F229</f>
        <v>88281</v>
      </c>
      <c r="F229" s="441">
        <v>88281</v>
      </c>
      <c r="G229" s="441">
        <v>72361.47</v>
      </c>
      <c r="H229" s="441"/>
      <c r="I229" s="441"/>
      <c r="J229" s="774">
        <f t="shared" ref="J229" si="237">L229+O229</f>
        <v>0</v>
      </c>
      <c r="K229" s="441">
        <v>0</v>
      </c>
      <c r="L229" s="441"/>
      <c r="M229" s="441"/>
      <c r="N229" s="441"/>
      <c r="O229" s="777">
        <f t="shared" ref="O229" si="238">K229</f>
        <v>0</v>
      </c>
      <c r="P229" s="774">
        <f t="shared" ref="P229" si="239">E229+J229</f>
        <v>88281</v>
      </c>
      <c r="Q229" s="22"/>
      <c r="R229" s="778"/>
    </row>
    <row r="230" spans="1:18" ht="93" thickTop="1" thickBot="1" x14ac:dyDescent="0.25">
      <c r="A230" s="537" t="s">
        <v>791</v>
      </c>
      <c r="B230" s="455" t="s">
        <v>792</v>
      </c>
      <c r="C230" s="455"/>
      <c r="D230" s="455" t="s">
        <v>793</v>
      </c>
      <c r="E230" s="502">
        <f>SUM(E231:E233)</f>
        <v>6733169</v>
      </c>
      <c r="F230" s="502">
        <f t="shared" ref="F230:P230" si="240">SUM(F231:F233)</f>
        <v>6733169</v>
      </c>
      <c r="G230" s="502">
        <f t="shared" si="240"/>
        <v>1310386</v>
      </c>
      <c r="H230" s="502">
        <f t="shared" si="240"/>
        <v>0</v>
      </c>
      <c r="I230" s="502">
        <f t="shared" si="240"/>
        <v>0</v>
      </c>
      <c r="J230" s="502">
        <f t="shared" si="240"/>
        <v>50000</v>
      </c>
      <c r="K230" s="502">
        <f t="shared" si="240"/>
        <v>0</v>
      </c>
      <c r="L230" s="502">
        <f t="shared" si="240"/>
        <v>50000</v>
      </c>
      <c r="M230" s="502">
        <f t="shared" si="240"/>
        <v>0</v>
      </c>
      <c r="N230" s="502">
        <f t="shared" si="240"/>
        <v>0</v>
      </c>
      <c r="O230" s="502">
        <f t="shared" si="240"/>
        <v>0</v>
      </c>
      <c r="P230" s="502">
        <f t="shared" si="240"/>
        <v>6783169</v>
      </c>
      <c r="Q230" s="22"/>
      <c r="R230" s="49"/>
    </row>
    <row r="231" spans="1:18" ht="276" thickTop="1" thickBot="1" x14ac:dyDescent="0.25">
      <c r="A231" s="503" t="s">
        <v>30</v>
      </c>
      <c r="B231" s="503" t="s">
        <v>199</v>
      </c>
      <c r="C231" s="503" t="s">
        <v>200</v>
      </c>
      <c r="D231" s="445" t="s">
        <v>31</v>
      </c>
      <c r="E231" s="386">
        <f t="shared" si="226"/>
        <v>1068095</v>
      </c>
      <c r="F231" s="441">
        <f>(1028095)+40000</f>
        <v>1068095</v>
      </c>
      <c r="G231" s="389"/>
      <c r="H231" s="389"/>
      <c r="I231" s="389"/>
      <c r="J231" s="446">
        <f t="shared" si="227"/>
        <v>0</v>
      </c>
      <c r="K231" s="389"/>
      <c r="L231" s="389"/>
      <c r="M231" s="389"/>
      <c r="N231" s="389"/>
      <c r="O231" s="390">
        <f t="shared" si="228"/>
        <v>0</v>
      </c>
      <c r="P231" s="446">
        <f t="shared" si="230"/>
        <v>1068095</v>
      </c>
      <c r="Q231" s="22"/>
      <c r="R231" s="49"/>
    </row>
    <row r="232" spans="1:18" ht="184.5" thickTop="1" thickBot="1" x14ac:dyDescent="0.25">
      <c r="A232" s="503" t="s">
        <v>517</v>
      </c>
      <c r="B232" s="503" t="s">
        <v>515</v>
      </c>
      <c r="C232" s="503" t="s">
        <v>200</v>
      </c>
      <c r="D232" s="445" t="s">
        <v>516</v>
      </c>
      <c r="E232" s="386">
        <f t="shared" si="226"/>
        <v>3791300</v>
      </c>
      <c r="F232" s="441">
        <f>(3710900)+80400</f>
        <v>3791300</v>
      </c>
      <c r="G232" s="389"/>
      <c r="H232" s="389"/>
      <c r="I232" s="389"/>
      <c r="J232" s="446">
        <f t="shared" si="227"/>
        <v>0</v>
      </c>
      <c r="K232" s="389"/>
      <c r="L232" s="389"/>
      <c r="M232" s="389"/>
      <c r="N232" s="389"/>
      <c r="O232" s="390">
        <f t="shared" si="228"/>
        <v>0</v>
      </c>
      <c r="P232" s="446">
        <f t="shared" si="230"/>
        <v>3791300</v>
      </c>
      <c r="Q232" s="22"/>
      <c r="R232" s="49"/>
    </row>
    <row r="233" spans="1:18" ht="93" thickTop="1" thickBot="1" x14ac:dyDescent="0.25">
      <c r="A233" s="503" t="s">
        <v>32</v>
      </c>
      <c r="B233" s="503" t="s">
        <v>201</v>
      </c>
      <c r="C233" s="503" t="s">
        <v>200</v>
      </c>
      <c r="D233" s="445" t="s">
        <v>33</v>
      </c>
      <c r="E233" s="386">
        <f>F233</f>
        <v>1873774</v>
      </c>
      <c r="F233" s="441">
        <v>1873774</v>
      </c>
      <c r="G233" s="389">
        <v>1310386</v>
      </c>
      <c r="H233" s="389"/>
      <c r="I233" s="389"/>
      <c r="J233" s="446">
        <f t="shared" si="227"/>
        <v>50000</v>
      </c>
      <c r="K233" s="389"/>
      <c r="L233" s="389">
        <v>50000</v>
      </c>
      <c r="M233" s="389"/>
      <c r="N233" s="389"/>
      <c r="O233" s="390">
        <f t="shared" si="228"/>
        <v>0</v>
      </c>
      <c r="P233" s="446">
        <f t="shared" si="230"/>
        <v>1923774</v>
      </c>
      <c r="Q233" s="22"/>
      <c r="R233" s="49"/>
    </row>
    <row r="234" spans="1:18" ht="91.5" thickTop="1" thickBot="1" x14ac:dyDescent="0.25">
      <c r="A234" s="385" t="s">
        <v>794</v>
      </c>
      <c r="B234" s="385" t="s">
        <v>751</v>
      </c>
      <c r="C234" s="385"/>
      <c r="D234" s="536" t="s">
        <v>752</v>
      </c>
      <c r="E234" s="386">
        <f>E235</f>
        <v>39000</v>
      </c>
      <c r="F234" s="386">
        <f t="shared" ref="F234:P235" si="241">F235</f>
        <v>39000</v>
      </c>
      <c r="G234" s="386">
        <f t="shared" si="241"/>
        <v>0</v>
      </c>
      <c r="H234" s="386">
        <f t="shared" si="241"/>
        <v>0</v>
      </c>
      <c r="I234" s="386">
        <f t="shared" si="241"/>
        <v>0</v>
      </c>
      <c r="J234" s="386">
        <f t="shared" si="241"/>
        <v>0</v>
      </c>
      <c r="K234" s="386">
        <f t="shared" si="241"/>
        <v>0</v>
      </c>
      <c r="L234" s="386">
        <f t="shared" si="241"/>
        <v>0</v>
      </c>
      <c r="M234" s="386">
        <f t="shared" si="241"/>
        <v>0</v>
      </c>
      <c r="N234" s="386">
        <f t="shared" si="241"/>
        <v>0</v>
      </c>
      <c r="O234" s="386">
        <f t="shared" si="241"/>
        <v>0</v>
      </c>
      <c r="P234" s="386">
        <f t="shared" si="241"/>
        <v>39000</v>
      </c>
      <c r="Q234" s="22"/>
      <c r="R234" s="49"/>
    </row>
    <row r="235" spans="1:18" ht="93" thickTop="1" thickBot="1" x14ac:dyDescent="0.25">
      <c r="A235" s="537" t="s">
        <v>795</v>
      </c>
      <c r="B235" s="537" t="s">
        <v>754</v>
      </c>
      <c r="C235" s="537"/>
      <c r="D235" s="455" t="s">
        <v>755</v>
      </c>
      <c r="E235" s="502">
        <f>E236</f>
        <v>39000</v>
      </c>
      <c r="F235" s="502">
        <f t="shared" si="241"/>
        <v>39000</v>
      </c>
      <c r="G235" s="502">
        <f t="shared" si="241"/>
        <v>0</v>
      </c>
      <c r="H235" s="502">
        <f t="shared" si="241"/>
        <v>0</v>
      </c>
      <c r="I235" s="502">
        <f t="shared" si="241"/>
        <v>0</v>
      </c>
      <c r="J235" s="502">
        <f t="shared" si="241"/>
        <v>0</v>
      </c>
      <c r="K235" s="502">
        <f t="shared" si="241"/>
        <v>0</v>
      </c>
      <c r="L235" s="502">
        <f t="shared" si="241"/>
        <v>0</v>
      </c>
      <c r="M235" s="502">
        <f t="shared" si="241"/>
        <v>0</v>
      </c>
      <c r="N235" s="502">
        <f t="shared" si="241"/>
        <v>0</v>
      </c>
      <c r="O235" s="502">
        <f t="shared" si="241"/>
        <v>0</v>
      </c>
      <c r="P235" s="502">
        <f t="shared" si="241"/>
        <v>39000</v>
      </c>
      <c r="Q235" s="22"/>
      <c r="R235" s="49"/>
    </row>
    <row r="236" spans="1:18" ht="276" thickTop="1" thickBot="1" x14ac:dyDescent="0.25">
      <c r="A236" s="503" t="s">
        <v>347</v>
      </c>
      <c r="B236" s="503" t="s">
        <v>346</v>
      </c>
      <c r="C236" s="503" t="s">
        <v>345</v>
      </c>
      <c r="D236" s="445" t="s">
        <v>648</v>
      </c>
      <c r="E236" s="386">
        <f>F236</f>
        <v>39000</v>
      </c>
      <c r="F236" s="441">
        <v>39000</v>
      </c>
      <c r="G236" s="389"/>
      <c r="H236" s="389"/>
      <c r="I236" s="389"/>
      <c r="J236" s="670">
        <f t="shared" si="227"/>
        <v>0</v>
      </c>
      <c r="K236" s="389"/>
      <c r="L236" s="389"/>
      <c r="M236" s="389"/>
      <c r="N236" s="389"/>
      <c r="O236" s="390">
        <f t="shared" si="228"/>
        <v>0</v>
      </c>
      <c r="P236" s="446">
        <f t="shared" si="230"/>
        <v>39000</v>
      </c>
      <c r="Q236" s="22"/>
      <c r="R236" s="53"/>
    </row>
    <row r="237" spans="1:18" ht="47.25" thickTop="1" thickBot="1" x14ac:dyDescent="0.25">
      <c r="A237" s="385" t="s">
        <v>796</v>
      </c>
      <c r="B237" s="385" t="s">
        <v>757</v>
      </c>
      <c r="C237" s="385"/>
      <c r="D237" s="385" t="s">
        <v>758</v>
      </c>
      <c r="E237" s="386">
        <f>E241+E238</f>
        <v>0</v>
      </c>
      <c r="F237" s="386">
        <f t="shared" ref="F237:P237" si="242">F241+F238</f>
        <v>0</v>
      </c>
      <c r="G237" s="386">
        <f t="shared" si="242"/>
        <v>0</v>
      </c>
      <c r="H237" s="386">
        <f t="shared" si="242"/>
        <v>0</v>
      </c>
      <c r="I237" s="386">
        <f t="shared" si="242"/>
        <v>0</v>
      </c>
      <c r="J237" s="386">
        <f t="shared" si="242"/>
        <v>5336091</v>
      </c>
      <c r="K237" s="386">
        <f t="shared" si="242"/>
        <v>5336091</v>
      </c>
      <c r="L237" s="386">
        <f t="shared" si="242"/>
        <v>0</v>
      </c>
      <c r="M237" s="386">
        <f t="shared" si="242"/>
        <v>0</v>
      </c>
      <c r="N237" s="386">
        <f t="shared" si="242"/>
        <v>0</v>
      </c>
      <c r="O237" s="386">
        <f t="shared" si="242"/>
        <v>5336091</v>
      </c>
      <c r="P237" s="386">
        <f t="shared" si="242"/>
        <v>5336091</v>
      </c>
      <c r="Q237" s="22"/>
      <c r="R237" s="53"/>
    </row>
    <row r="238" spans="1:18" ht="91.5" hidden="1" thickTop="1" thickBot="1" x14ac:dyDescent="0.25">
      <c r="A238" s="387" t="s">
        <v>1140</v>
      </c>
      <c r="B238" s="387" t="s">
        <v>813</v>
      </c>
      <c r="C238" s="387"/>
      <c r="D238" s="387" t="s">
        <v>814</v>
      </c>
      <c r="E238" s="391">
        <f>E239</f>
        <v>0</v>
      </c>
      <c r="F238" s="391">
        <f t="shared" ref="F238:P239" si="243">F239</f>
        <v>0</v>
      </c>
      <c r="G238" s="391">
        <f t="shared" si="243"/>
        <v>0</v>
      </c>
      <c r="H238" s="391">
        <f t="shared" si="243"/>
        <v>0</v>
      </c>
      <c r="I238" s="391">
        <f t="shared" si="243"/>
        <v>0</v>
      </c>
      <c r="J238" s="391">
        <f t="shared" si="243"/>
        <v>0</v>
      </c>
      <c r="K238" s="391">
        <f t="shared" si="243"/>
        <v>0</v>
      </c>
      <c r="L238" s="391">
        <f t="shared" si="243"/>
        <v>0</v>
      </c>
      <c r="M238" s="391">
        <f t="shared" si="243"/>
        <v>0</v>
      </c>
      <c r="N238" s="391">
        <f t="shared" si="243"/>
        <v>0</v>
      </c>
      <c r="O238" s="391">
        <f t="shared" si="243"/>
        <v>0</v>
      </c>
      <c r="P238" s="391">
        <f t="shared" si="243"/>
        <v>0</v>
      </c>
      <c r="Q238" s="22"/>
      <c r="R238" s="53"/>
    </row>
    <row r="239" spans="1:18" ht="145.5" hidden="1" thickTop="1" thickBot="1" x14ac:dyDescent="0.25">
      <c r="A239" s="455" t="s">
        <v>1141</v>
      </c>
      <c r="B239" s="455" t="s">
        <v>831</v>
      </c>
      <c r="C239" s="455"/>
      <c r="D239" s="455" t="s">
        <v>1318</v>
      </c>
      <c r="E239" s="440">
        <f>E240</f>
        <v>0</v>
      </c>
      <c r="F239" s="440">
        <f t="shared" si="243"/>
        <v>0</v>
      </c>
      <c r="G239" s="440">
        <f t="shared" si="243"/>
        <v>0</v>
      </c>
      <c r="H239" s="440">
        <f t="shared" si="243"/>
        <v>0</v>
      </c>
      <c r="I239" s="440">
        <f t="shared" si="243"/>
        <v>0</v>
      </c>
      <c r="J239" s="440">
        <f t="shared" si="243"/>
        <v>0</v>
      </c>
      <c r="K239" s="440">
        <f t="shared" si="243"/>
        <v>0</v>
      </c>
      <c r="L239" s="440">
        <f t="shared" si="243"/>
        <v>0</v>
      </c>
      <c r="M239" s="440">
        <f t="shared" si="243"/>
        <v>0</v>
      </c>
      <c r="N239" s="440">
        <f t="shared" si="243"/>
        <v>0</v>
      </c>
      <c r="O239" s="440">
        <f t="shared" si="243"/>
        <v>0</v>
      </c>
      <c r="P239" s="440">
        <f t="shared" si="243"/>
        <v>0</v>
      </c>
      <c r="Q239" s="22"/>
      <c r="R239" s="53"/>
    </row>
    <row r="240" spans="1:18" ht="145.5" hidden="1" thickTop="1" thickBot="1" x14ac:dyDescent="0.25">
      <c r="A240" s="445" t="s">
        <v>1142</v>
      </c>
      <c r="B240" s="445" t="s">
        <v>318</v>
      </c>
      <c r="C240" s="445" t="s">
        <v>309</v>
      </c>
      <c r="D240" s="445" t="s">
        <v>1327</v>
      </c>
      <c r="E240" s="446">
        <f t="shared" ref="E240" si="244">F240</f>
        <v>0</v>
      </c>
      <c r="F240" s="389"/>
      <c r="G240" s="389"/>
      <c r="H240" s="389"/>
      <c r="I240" s="389"/>
      <c r="J240" s="446">
        <f t="shared" ref="J240" si="245">L240+O240</f>
        <v>0</v>
      </c>
      <c r="K240" s="389">
        <f>49500-49500</f>
        <v>0</v>
      </c>
      <c r="L240" s="389"/>
      <c r="M240" s="389"/>
      <c r="N240" s="389"/>
      <c r="O240" s="390">
        <f t="shared" ref="O240" si="246">K240</f>
        <v>0</v>
      </c>
      <c r="P240" s="446">
        <f>E240+J240</f>
        <v>0</v>
      </c>
      <c r="Q240" s="22"/>
      <c r="R240" s="53"/>
    </row>
    <row r="241" spans="1:18" ht="136.5" thickTop="1" thickBot="1" x14ac:dyDescent="0.25">
      <c r="A241" s="387" t="s">
        <v>797</v>
      </c>
      <c r="B241" s="387" t="s">
        <v>700</v>
      </c>
      <c r="C241" s="387"/>
      <c r="D241" s="387" t="s">
        <v>698</v>
      </c>
      <c r="E241" s="388">
        <f>E243+E242</f>
        <v>0</v>
      </c>
      <c r="F241" s="388">
        <f t="shared" ref="F241:H241" si="247">F243+F242</f>
        <v>0</v>
      </c>
      <c r="G241" s="388">
        <f t="shared" si="247"/>
        <v>0</v>
      </c>
      <c r="H241" s="388">
        <f t="shared" si="247"/>
        <v>0</v>
      </c>
      <c r="I241" s="388">
        <f>I243+I242</f>
        <v>0</v>
      </c>
      <c r="J241" s="388">
        <f>J243+J242</f>
        <v>5336091</v>
      </c>
      <c r="K241" s="388">
        <f>K243+K242</f>
        <v>5336091</v>
      </c>
      <c r="L241" s="388">
        <f t="shared" ref="L241:O241" si="248">L243+L242</f>
        <v>0</v>
      </c>
      <c r="M241" s="388">
        <f t="shared" si="248"/>
        <v>0</v>
      </c>
      <c r="N241" s="388">
        <f t="shared" si="248"/>
        <v>0</v>
      </c>
      <c r="O241" s="388">
        <f t="shared" si="248"/>
        <v>5336091</v>
      </c>
      <c r="P241" s="388">
        <f>P243+P242</f>
        <v>5336091</v>
      </c>
      <c r="Q241" s="22"/>
      <c r="R241" s="53"/>
    </row>
    <row r="242" spans="1:18" s="118" customFormat="1" ht="48" thickTop="1" thickBot="1" x14ac:dyDescent="0.25">
      <c r="A242" s="503" t="s">
        <v>1454</v>
      </c>
      <c r="B242" s="503" t="s">
        <v>217</v>
      </c>
      <c r="C242" s="503"/>
      <c r="D242" s="738" t="s">
        <v>41</v>
      </c>
      <c r="E242" s="386">
        <f>F242</f>
        <v>0</v>
      </c>
      <c r="F242" s="441"/>
      <c r="G242" s="389"/>
      <c r="H242" s="389"/>
      <c r="I242" s="389"/>
      <c r="J242" s="741">
        <f t="shared" ref="J242" si="249">L242+O242</f>
        <v>5129000</v>
      </c>
      <c r="K242" s="389">
        <f>(4229000)+900000</f>
        <v>5129000</v>
      </c>
      <c r="L242" s="389"/>
      <c r="M242" s="389"/>
      <c r="N242" s="389"/>
      <c r="O242" s="740">
        <f t="shared" ref="O242" si="250">K242</f>
        <v>5129000</v>
      </c>
      <c r="P242" s="741">
        <f t="shared" ref="P242" si="251">E242+J242</f>
        <v>5129000</v>
      </c>
      <c r="Q242" s="22"/>
      <c r="R242" s="53"/>
    </row>
    <row r="243" spans="1:18" ht="93" thickTop="1" thickBot="1" x14ac:dyDescent="0.25">
      <c r="A243" s="825" t="s">
        <v>615</v>
      </c>
      <c r="B243" s="825" t="s">
        <v>202</v>
      </c>
      <c r="C243" s="825" t="s">
        <v>171</v>
      </c>
      <c r="D243" s="825" t="s">
        <v>34</v>
      </c>
      <c r="E243" s="828">
        <f t="shared" ref="E243" si="252">F243</f>
        <v>0</v>
      </c>
      <c r="F243" s="389"/>
      <c r="G243" s="389"/>
      <c r="H243" s="389"/>
      <c r="I243" s="389"/>
      <c r="J243" s="828">
        <f t="shared" si="227"/>
        <v>207091</v>
      </c>
      <c r="K243" s="389">
        <v>207091</v>
      </c>
      <c r="L243" s="389"/>
      <c r="M243" s="389"/>
      <c r="N243" s="389"/>
      <c r="O243" s="827">
        <f t="shared" si="228"/>
        <v>207091</v>
      </c>
      <c r="P243" s="828">
        <f t="shared" si="230"/>
        <v>207091</v>
      </c>
      <c r="Q243" s="22"/>
      <c r="R243" s="49"/>
    </row>
    <row r="244" spans="1:18" ht="47.25" hidden="1" thickTop="1" thickBot="1" x14ac:dyDescent="0.25">
      <c r="A244" s="180" t="s">
        <v>1149</v>
      </c>
      <c r="B244" s="180" t="s">
        <v>711</v>
      </c>
      <c r="C244" s="180"/>
      <c r="D244" s="180" t="s">
        <v>712</v>
      </c>
      <c r="E244" s="45">
        <f>E245</f>
        <v>0</v>
      </c>
      <c r="F244" s="45">
        <f t="shared" ref="F244:P245" si="253">F245</f>
        <v>0</v>
      </c>
      <c r="G244" s="45">
        <f t="shared" si="253"/>
        <v>0</v>
      </c>
      <c r="H244" s="45">
        <f t="shared" si="253"/>
        <v>0</v>
      </c>
      <c r="I244" s="45">
        <f t="shared" si="253"/>
        <v>0</v>
      </c>
      <c r="J244" s="45">
        <f t="shared" si="253"/>
        <v>0</v>
      </c>
      <c r="K244" s="45">
        <f t="shared" si="253"/>
        <v>0</v>
      </c>
      <c r="L244" s="45">
        <f t="shared" si="253"/>
        <v>0</v>
      </c>
      <c r="M244" s="45">
        <f t="shared" si="253"/>
        <v>0</v>
      </c>
      <c r="N244" s="45">
        <f t="shared" si="253"/>
        <v>0</v>
      </c>
      <c r="O244" s="45">
        <f t="shared" si="253"/>
        <v>0</v>
      </c>
      <c r="P244" s="45">
        <f t="shared" si="253"/>
        <v>0</v>
      </c>
      <c r="Q244" s="22"/>
      <c r="R244" s="49"/>
    </row>
    <row r="245" spans="1:18" ht="271.5" hidden="1" thickTop="1" thickBot="1" x14ac:dyDescent="0.25">
      <c r="A245" s="181" t="s">
        <v>1150</v>
      </c>
      <c r="B245" s="181" t="s">
        <v>714</v>
      </c>
      <c r="C245" s="181"/>
      <c r="D245" s="181" t="s">
        <v>715</v>
      </c>
      <c r="E245" s="182">
        <f>E246</f>
        <v>0</v>
      </c>
      <c r="F245" s="182">
        <f t="shared" si="253"/>
        <v>0</v>
      </c>
      <c r="G245" s="182">
        <f t="shared" si="253"/>
        <v>0</v>
      </c>
      <c r="H245" s="182">
        <f t="shared" si="253"/>
        <v>0</v>
      </c>
      <c r="I245" s="182">
        <f t="shared" si="253"/>
        <v>0</v>
      </c>
      <c r="J245" s="182">
        <f t="shared" si="253"/>
        <v>0</v>
      </c>
      <c r="K245" s="182">
        <f t="shared" si="253"/>
        <v>0</v>
      </c>
      <c r="L245" s="182">
        <f t="shared" si="253"/>
        <v>0</v>
      </c>
      <c r="M245" s="182">
        <f t="shared" si="253"/>
        <v>0</v>
      </c>
      <c r="N245" s="182">
        <f t="shared" si="253"/>
        <v>0</v>
      </c>
      <c r="O245" s="182">
        <f t="shared" si="253"/>
        <v>0</v>
      </c>
      <c r="P245" s="182">
        <f t="shared" si="253"/>
        <v>0</v>
      </c>
      <c r="Q245" s="22"/>
      <c r="R245" s="49"/>
    </row>
    <row r="246" spans="1:18" ht="93" hidden="1" thickTop="1" thickBot="1" x14ac:dyDescent="0.25">
      <c r="A246" s="44" t="s">
        <v>1151</v>
      </c>
      <c r="B246" s="44" t="s">
        <v>368</v>
      </c>
      <c r="C246" s="44" t="s">
        <v>43</v>
      </c>
      <c r="D246" s="44" t="s">
        <v>369</v>
      </c>
      <c r="E246" s="45">
        <f t="shared" ref="E246" si="254">F246</f>
        <v>0</v>
      </c>
      <c r="F246" s="46">
        <v>0</v>
      </c>
      <c r="G246" s="46"/>
      <c r="H246" s="46"/>
      <c r="I246" s="46"/>
      <c r="J246" s="45">
        <f>L246+O246</f>
        <v>0</v>
      </c>
      <c r="K246" s="46">
        <v>0</v>
      </c>
      <c r="L246" s="46"/>
      <c r="M246" s="46"/>
      <c r="N246" s="46"/>
      <c r="O246" s="47">
        <f>K246</f>
        <v>0</v>
      </c>
      <c r="P246" s="45">
        <f>E246+J246</f>
        <v>0</v>
      </c>
      <c r="Q246" s="22"/>
      <c r="R246" s="49"/>
    </row>
    <row r="247" spans="1:18" ht="181.5" thickTop="1" thickBot="1" x14ac:dyDescent="0.25">
      <c r="A247" s="460" t="s">
        <v>159</v>
      </c>
      <c r="B247" s="460"/>
      <c r="C247" s="460"/>
      <c r="D247" s="461" t="s">
        <v>567</v>
      </c>
      <c r="E247" s="463">
        <f>E248</f>
        <v>55494730</v>
      </c>
      <c r="F247" s="462">
        <f t="shared" ref="F247:G247" si="255">F248</f>
        <v>55494730</v>
      </c>
      <c r="G247" s="462">
        <f t="shared" si="255"/>
        <v>6530800</v>
      </c>
      <c r="H247" s="462">
        <f>H248</f>
        <v>495475</v>
      </c>
      <c r="I247" s="462">
        <f t="shared" ref="I247" si="256">I248</f>
        <v>0</v>
      </c>
      <c r="J247" s="463">
        <f>J248</f>
        <v>56332962.869999997</v>
      </c>
      <c r="K247" s="462">
        <f>K248</f>
        <v>55853237</v>
      </c>
      <c r="L247" s="462">
        <f>L248</f>
        <v>479725.87</v>
      </c>
      <c r="M247" s="462">
        <f t="shared" ref="M247" si="257">M248</f>
        <v>0</v>
      </c>
      <c r="N247" s="462">
        <f>N248</f>
        <v>0</v>
      </c>
      <c r="O247" s="463">
        <f>O248</f>
        <v>55853237</v>
      </c>
      <c r="P247" s="462">
        <f>P248</f>
        <v>111827692.87</v>
      </c>
      <c r="Q247" s="22"/>
      <c r="R247" s="53"/>
    </row>
    <row r="248" spans="1:18" ht="181.5" thickTop="1" thickBot="1" x14ac:dyDescent="0.25">
      <c r="A248" s="464" t="s">
        <v>160</v>
      </c>
      <c r="B248" s="464"/>
      <c r="C248" s="464"/>
      <c r="D248" s="465" t="s">
        <v>568</v>
      </c>
      <c r="E248" s="466">
        <f>E249+E253+E261+E270</f>
        <v>55494730</v>
      </c>
      <c r="F248" s="466">
        <f>F249+F253+F261+F270</f>
        <v>55494730</v>
      </c>
      <c r="G248" s="466">
        <f>G249+G253+G261+G270</f>
        <v>6530800</v>
      </c>
      <c r="H248" s="466">
        <f>H249+H253+H261+H270</f>
        <v>495475</v>
      </c>
      <c r="I248" s="466">
        <f>I249+I253+I261+I270</f>
        <v>0</v>
      </c>
      <c r="J248" s="466">
        <f t="shared" ref="J248:J268" si="258">L248+O248</f>
        <v>56332962.869999997</v>
      </c>
      <c r="K248" s="466">
        <f>K249+K253+K261+K270</f>
        <v>55853237</v>
      </c>
      <c r="L248" s="466">
        <f>L249+L253+L261+L270</f>
        <v>479725.87</v>
      </c>
      <c r="M248" s="466">
        <f>M249+M253+M261+M270</f>
        <v>0</v>
      </c>
      <c r="N248" s="466">
        <f>N249+N253+N261+N270</f>
        <v>0</v>
      </c>
      <c r="O248" s="466">
        <f>O249+O253+O261+O270</f>
        <v>55853237</v>
      </c>
      <c r="P248" s="466">
        <f>E248+J248</f>
        <v>111827692.87</v>
      </c>
      <c r="Q248" s="392" t="b">
        <f>P248=P250+P251+P255+P256+P260+P266+P265+P268+P258+P263+P259+P257+P252</f>
        <v>1</v>
      </c>
      <c r="R248" s="57"/>
    </row>
    <row r="249" spans="1:18" ht="47.25" thickTop="1" thickBot="1" x14ac:dyDescent="0.25">
      <c r="A249" s="385" t="s">
        <v>798</v>
      </c>
      <c r="B249" s="385" t="s">
        <v>693</v>
      </c>
      <c r="C249" s="385"/>
      <c r="D249" s="385" t="s">
        <v>694</v>
      </c>
      <c r="E249" s="670">
        <f>SUM(E250:E252)</f>
        <v>9852160</v>
      </c>
      <c r="F249" s="670">
        <f t="shared" ref="F249:N249" si="259">SUM(F250:F252)</f>
        <v>9852160</v>
      </c>
      <c r="G249" s="670">
        <f t="shared" si="259"/>
        <v>6530800</v>
      </c>
      <c r="H249" s="670">
        <f t="shared" si="259"/>
        <v>495475</v>
      </c>
      <c r="I249" s="670">
        <f t="shared" si="259"/>
        <v>0</v>
      </c>
      <c r="J249" s="670">
        <f t="shared" si="259"/>
        <v>25000</v>
      </c>
      <c r="K249" s="547">
        <f t="shared" si="259"/>
        <v>25000</v>
      </c>
      <c r="L249" s="547">
        <f t="shared" si="259"/>
        <v>0</v>
      </c>
      <c r="M249" s="547">
        <f t="shared" si="259"/>
        <v>0</v>
      </c>
      <c r="N249" s="547">
        <f t="shared" si="259"/>
        <v>0</v>
      </c>
      <c r="O249" s="547">
        <f>SUM(O250:O252)</f>
        <v>25000</v>
      </c>
      <c r="P249" s="547">
        <f>SUM(P250:P252)</f>
        <v>9877160</v>
      </c>
      <c r="Q249" s="50"/>
      <c r="R249" s="57"/>
    </row>
    <row r="250" spans="1:18" ht="230.25" thickTop="1" thickBot="1" x14ac:dyDescent="0.25">
      <c r="A250" s="546" t="s">
        <v>426</v>
      </c>
      <c r="B250" s="546" t="s">
        <v>241</v>
      </c>
      <c r="C250" s="546" t="s">
        <v>239</v>
      </c>
      <c r="D250" s="546" t="s">
        <v>240</v>
      </c>
      <c r="E250" s="386">
        <f>F250</f>
        <v>9840160</v>
      </c>
      <c r="F250" s="441">
        <f>(9296960)+43200+500000</f>
        <v>9840160</v>
      </c>
      <c r="G250" s="441">
        <v>6530800</v>
      </c>
      <c r="H250" s="441">
        <f>372455+5642+112884+4494</f>
        <v>495475</v>
      </c>
      <c r="I250" s="441"/>
      <c r="J250" s="670">
        <f t="shared" si="258"/>
        <v>25000</v>
      </c>
      <c r="K250" s="441">
        <f>0+25000</f>
        <v>25000</v>
      </c>
      <c r="L250" s="442"/>
      <c r="M250" s="442"/>
      <c r="N250" s="442"/>
      <c r="O250" s="390">
        <f t="shared" ref="O250:O265" si="260">K250</f>
        <v>25000</v>
      </c>
      <c r="P250" s="547">
        <f t="shared" ref="P250:P257" si="261">+J250+E250</f>
        <v>9865160</v>
      </c>
      <c r="Q250" s="22"/>
      <c r="R250" s="57"/>
    </row>
    <row r="251" spans="1:18" ht="184.5" thickTop="1" thickBot="1" x14ac:dyDescent="0.25">
      <c r="A251" s="546" t="s">
        <v>636</v>
      </c>
      <c r="B251" s="546" t="s">
        <v>367</v>
      </c>
      <c r="C251" s="546" t="s">
        <v>634</v>
      </c>
      <c r="D251" s="546" t="s">
        <v>635</v>
      </c>
      <c r="E251" s="547">
        <f t="shared" ref="E251:E252" si="262">F251</f>
        <v>12000</v>
      </c>
      <c r="F251" s="441">
        <v>12000</v>
      </c>
      <c r="G251" s="441"/>
      <c r="H251" s="441"/>
      <c r="I251" s="441"/>
      <c r="J251" s="547">
        <f t="shared" si="258"/>
        <v>0</v>
      </c>
      <c r="K251" s="441"/>
      <c r="L251" s="442"/>
      <c r="M251" s="451"/>
      <c r="N251" s="451"/>
      <c r="O251" s="390">
        <f t="shared" si="260"/>
        <v>0</v>
      </c>
      <c r="P251" s="547">
        <f>+J251+E251</f>
        <v>12000</v>
      </c>
      <c r="Q251" s="22"/>
      <c r="R251" s="57"/>
    </row>
    <row r="252" spans="1:18" ht="93" hidden="1" thickTop="1" thickBot="1" x14ac:dyDescent="0.25">
      <c r="A252" s="825" t="s">
        <v>1187</v>
      </c>
      <c r="B252" s="825" t="s">
        <v>43</v>
      </c>
      <c r="C252" s="825" t="s">
        <v>42</v>
      </c>
      <c r="D252" s="825" t="s">
        <v>253</v>
      </c>
      <c r="E252" s="828">
        <f t="shared" si="262"/>
        <v>0</v>
      </c>
      <c r="F252" s="441"/>
      <c r="G252" s="441"/>
      <c r="H252" s="441"/>
      <c r="I252" s="441"/>
      <c r="J252" s="828">
        <f t="shared" si="258"/>
        <v>0</v>
      </c>
      <c r="K252" s="441"/>
      <c r="L252" s="442"/>
      <c r="M252" s="451"/>
      <c r="N252" s="451"/>
      <c r="O252" s="827"/>
      <c r="P252" s="828">
        <f>+J252+E252</f>
        <v>0</v>
      </c>
      <c r="Q252" s="22"/>
      <c r="R252" s="57"/>
    </row>
    <row r="253" spans="1:18" ht="91.5" thickTop="1" thickBot="1" x14ac:dyDescent="0.25">
      <c r="A253" s="385" t="s">
        <v>799</v>
      </c>
      <c r="B253" s="385" t="s">
        <v>751</v>
      </c>
      <c r="C253" s="385"/>
      <c r="D253" s="536" t="s">
        <v>752</v>
      </c>
      <c r="E253" s="670">
        <f>SUM(E254:E260)-E254</f>
        <v>37091200</v>
      </c>
      <c r="F253" s="670">
        <f t="shared" ref="F253:P253" si="263">SUM(F254:F260)-F254</f>
        <v>37091200</v>
      </c>
      <c r="G253" s="670">
        <f t="shared" si="263"/>
        <v>0</v>
      </c>
      <c r="H253" s="670">
        <f t="shared" si="263"/>
        <v>0</v>
      </c>
      <c r="I253" s="670">
        <f t="shared" si="263"/>
        <v>0</v>
      </c>
      <c r="J253" s="670">
        <f>SUM(J254:J260)-J254</f>
        <v>35174311</v>
      </c>
      <c r="K253" s="547">
        <f t="shared" si="263"/>
        <v>35174311</v>
      </c>
      <c r="L253" s="547">
        <f t="shared" si="263"/>
        <v>0</v>
      </c>
      <c r="M253" s="547">
        <f t="shared" si="263"/>
        <v>0</v>
      </c>
      <c r="N253" s="547">
        <f t="shared" si="263"/>
        <v>0</v>
      </c>
      <c r="O253" s="547">
        <f t="shared" si="263"/>
        <v>35174311</v>
      </c>
      <c r="P253" s="547">
        <f t="shared" si="263"/>
        <v>72265511</v>
      </c>
      <c r="Q253" s="22"/>
      <c r="R253" s="57"/>
    </row>
    <row r="254" spans="1:18" s="35" customFormat="1" ht="184.5" thickTop="1" thickBot="1" x14ac:dyDescent="0.25">
      <c r="A254" s="455" t="s">
        <v>800</v>
      </c>
      <c r="B254" s="455" t="s">
        <v>801</v>
      </c>
      <c r="C254" s="455"/>
      <c r="D254" s="455" t="s">
        <v>802</v>
      </c>
      <c r="E254" s="440">
        <f>SUM(E255:E257)</f>
        <v>6483100</v>
      </c>
      <c r="F254" s="440">
        <f t="shared" ref="F254:P254" si="264">SUM(F255:F257)</f>
        <v>6483100</v>
      </c>
      <c r="G254" s="440">
        <f t="shared" si="264"/>
        <v>0</v>
      </c>
      <c r="H254" s="440">
        <f t="shared" si="264"/>
        <v>0</v>
      </c>
      <c r="I254" s="440">
        <f t="shared" si="264"/>
        <v>0</v>
      </c>
      <c r="J254" s="440">
        <f t="shared" si="264"/>
        <v>20914273</v>
      </c>
      <c r="K254" s="440">
        <f t="shared" si="264"/>
        <v>20914273</v>
      </c>
      <c r="L254" s="440">
        <f t="shared" si="264"/>
        <v>0</v>
      </c>
      <c r="M254" s="440">
        <f t="shared" si="264"/>
        <v>0</v>
      </c>
      <c r="N254" s="440">
        <f t="shared" si="264"/>
        <v>0</v>
      </c>
      <c r="O254" s="440">
        <f t="shared" si="264"/>
        <v>20914273</v>
      </c>
      <c r="P254" s="440">
        <f t="shared" si="264"/>
        <v>27397373</v>
      </c>
      <c r="Q254" s="39"/>
      <c r="R254" s="57"/>
    </row>
    <row r="255" spans="1:18" ht="138.75" thickTop="1" thickBot="1" x14ac:dyDescent="0.25">
      <c r="A255" s="546" t="s">
        <v>285</v>
      </c>
      <c r="B255" s="546" t="s">
        <v>286</v>
      </c>
      <c r="C255" s="546" t="s">
        <v>345</v>
      </c>
      <c r="D255" s="546" t="s">
        <v>287</v>
      </c>
      <c r="E255" s="386">
        <f>F255</f>
        <v>3983100</v>
      </c>
      <c r="F255" s="441">
        <f>((1833100)+150000)+2000000</f>
        <v>3983100</v>
      </c>
      <c r="G255" s="441"/>
      <c r="H255" s="441"/>
      <c r="I255" s="441"/>
      <c r="J255" s="670">
        <f t="shared" si="258"/>
        <v>6498281</v>
      </c>
      <c r="K255" s="441">
        <f>((745000)+3224055)+2529226</f>
        <v>6498281</v>
      </c>
      <c r="L255" s="442"/>
      <c r="M255" s="442"/>
      <c r="N255" s="442"/>
      <c r="O255" s="390">
        <f t="shared" si="260"/>
        <v>6498281</v>
      </c>
      <c r="P255" s="547">
        <f t="shared" si="261"/>
        <v>10481381</v>
      </c>
      <c r="Q255" s="22"/>
      <c r="R255" s="57"/>
    </row>
    <row r="256" spans="1:18" ht="138.75" thickTop="1" thickBot="1" x14ac:dyDescent="0.25">
      <c r="A256" s="546" t="s">
        <v>306</v>
      </c>
      <c r="B256" s="546" t="s">
        <v>307</v>
      </c>
      <c r="C256" s="546" t="s">
        <v>288</v>
      </c>
      <c r="D256" s="546" t="s">
        <v>308</v>
      </c>
      <c r="E256" s="386">
        <f t="shared" ref="E256:E268" si="265">F256</f>
        <v>0</v>
      </c>
      <c r="F256" s="441"/>
      <c r="G256" s="441"/>
      <c r="H256" s="441"/>
      <c r="I256" s="441"/>
      <c r="J256" s="670">
        <f t="shared" si="258"/>
        <v>11237500</v>
      </c>
      <c r="K256" s="441">
        <f>((5237500)+5000000)+1000000</f>
        <v>11237500</v>
      </c>
      <c r="L256" s="442"/>
      <c r="M256" s="442"/>
      <c r="N256" s="442"/>
      <c r="O256" s="390">
        <f t="shared" si="260"/>
        <v>11237500</v>
      </c>
      <c r="P256" s="547">
        <f t="shared" si="261"/>
        <v>11237500</v>
      </c>
      <c r="Q256" s="22"/>
      <c r="R256" s="57"/>
    </row>
    <row r="257" spans="1:18" ht="184.5" thickTop="1" thickBot="1" x14ac:dyDescent="0.25">
      <c r="A257" s="786" t="s">
        <v>289</v>
      </c>
      <c r="B257" s="786" t="s">
        <v>290</v>
      </c>
      <c r="C257" s="786" t="s">
        <v>288</v>
      </c>
      <c r="D257" s="786" t="s">
        <v>471</v>
      </c>
      <c r="E257" s="386">
        <f t="shared" si="265"/>
        <v>2500000</v>
      </c>
      <c r="F257" s="441">
        <f>(((16700000-15000000)-1000000)-700000)+2500000</f>
        <v>2500000</v>
      </c>
      <c r="G257" s="441"/>
      <c r="H257" s="441"/>
      <c r="I257" s="441"/>
      <c r="J257" s="789">
        <f t="shared" si="258"/>
        <v>3178492</v>
      </c>
      <c r="K257" s="441">
        <f>(378492)+2800000</f>
        <v>3178492</v>
      </c>
      <c r="L257" s="442"/>
      <c r="M257" s="442"/>
      <c r="N257" s="442"/>
      <c r="O257" s="788">
        <f t="shared" si="260"/>
        <v>3178492</v>
      </c>
      <c r="P257" s="789">
        <f t="shared" si="261"/>
        <v>5678492</v>
      </c>
      <c r="Q257" s="22"/>
      <c r="R257" s="57"/>
    </row>
    <row r="258" spans="1:18" ht="230.25" thickTop="1" thickBot="1" x14ac:dyDescent="0.25">
      <c r="A258" s="726" t="s">
        <v>942</v>
      </c>
      <c r="B258" s="726" t="s">
        <v>302</v>
      </c>
      <c r="C258" s="726" t="s">
        <v>288</v>
      </c>
      <c r="D258" s="726" t="s">
        <v>303</v>
      </c>
      <c r="E258" s="386">
        <f t="shared" ref="E258" si="266">F258</f>
        <v>5608100</v>
      </c>
      <c r="F258" s="441">
        <f>(600000)+5008100</f>
        <v>5608100</v>
      </c>
      <c r="G258" s="441"/>
      <c r="H258" s="441"/>
      <c r="I258" s="441"/>
      <c r="J258" s="727">
        <f t="shared" ref="J258" si="267">L258+O258</f>
        <v>0</v>
      </c>
      <c r="K258" s="441"/>
      <c r="L258" s="442"/>
      <c r="M258" s="442"/>
      <c r="N258" s="442"/>
      <c r="O258" s="390">
        <f t="shared" ref="O258" si="268">K258</f>
        <v>0</v>
      </c>
      <c r="P258" s="727">
        <f t="shared" ref="P258" si="269">+J258+E258</f>
        <v>5608100</v>
      </c>
      <c r="Q258" s="22"/>
      <c r="R258" s="57"/>
    </row>
    <row r="259" spans="1:18" ht="93" thickTop="1" thickBot="1" x14ac:dyDescent="0.25">
      <c r="A259" s="726" t="s">
        <v>293</v>
      </c>
      <c r="B259" s="726" t="s">
        <v>294</v>
      </c>
      <c r="C259" s="726" t="s">
        <v>288</v>
      </c>
      <c r="D259" s="726" t="s">
        <v>295</v>
      </c>
      <c r="E259" s="386">
        <f t="shared" si="265"/>
        <v>20000000</v>
      </c>
      <c r="F259" s="441">
        <f>((((0)+15000000)-10000000)-5000000)+20000000</f>
        <v>20000000</v>
      </c>
      <c r="G259" s="441"/>
      <c r="H259" s="441"/>
      <c r="I259" s="441"/>
      <c r="J259" s="727">
        <f t="shared" si="258"/>
        <v>14260038</v>
      </c>
      <c r="K259" s="389">
        <f>(3074000)+11186038</f>
        <v>14260038</v>
      </c>
      <c r="L259" s="441"/>
      <c r="M259" s="441"/>
      <c r="N259" s="441"/>
      <c r="O259" s="390">
        <f t="shared" si="260"/>
        <v>14260038</v>
      </c>
      <c r="P259" s="727">
        <f t="shared" ref="P259" si="270">E259+J259</f>
        <v>34260038</v>
      </c>
      <c r="Q259" s="22"/>
      <c r="R259" s="53"/>
    </row>
    <row r="260" spans="1:18" s="118" customFormat="1" ht="138.75" thickTop="1" thickBot="1" x14ac:dyDescent="0.25">
      <c r="A260" s="546" t="s">
        <v>1340</v>
      </c>
      <c r="B260" s="546" t="s">
        <v>1193</v>
      </c>
      <c r="C260" s="546" t="s">
        <v>1194</v>
      </c>
      <c r="D260" s="546" t="s">
        <v>1191</v>
      </c>
      <c r="E260" s="386">
        <f t="shared" ref="E260" si="271">F260</f>
        <v>5000000</v>
      </c>
      <c r="F260" s="441">
        <f>(2000000)+3000000</f>
        <v>5000000</v>
      </c>
      <c r="G260" s="441"/>
      <c r="H260" s="441"/>
      <c r="I260" s="441"/>
      <c r="J260" s="670">
        <f t="shared" ref="J260" si="272">L260+O260</f>
        <v>0</v>
      </c>
      <c r="K260" s="389"/>
      <c r="L260" s="441"/>
      <c r="M260" s="441"/>
      <c r="N260" s="441"/>
      <c r="O260" s="390">
        <f t="shared" ref="O260" si="273">K260</f>
        <v>0</v>
      </c>
      <c r="P260" s="547">
        <f t="shared" ref="P260" si="274">E260+J260</f>
        <v>5000000</v>
      </c>
      <c r="Q260" s="22"/>
      <c r="R260" s="53"/>
    </row>
    <row r="261" spans="1:18" ht="47.25" thickTop="1" thickBot="1" x14ac:dyDescent="0.25">
      <c r="A261" s="385" t="s">
        <v>803</v>
      </c>
      <c r="B261" s="385" t="s">
        <v>757</v>
      </c>
      <c r="C261" s="385"/>
      <c r="D261" s="385" t="s">
        <v>804</v>
      </c>
      <c r="E261" s="386">
        <f>E264+E262</f>
        <v>8551370</v>
      </c>
      <c r="F261" s="386">
        <f t="shared" ref="F261:P261" si="275">F264+F262</f>
        <v>8551370</v>
      </c>
      <c r="G261" s="386">
        <f t="shared" si="275"/>
        <v>0</v>
      </c>
      <c r="H261" s="386">
        <f t="shared" si="275"/>
        <v>0</v>
      </c>
      <c r="I261" s="386">
        <f t="shared" si="275"/>
        <v>0</v>
      </c>
      <c r="J261" s="386">
        <f t="shared" si="275"/>
        <v>21133651.869999997</v>
      </c>
      <c r="K261" s="386">
        <f t="shared" si="275"/>
        <v>20653926</v>
      </c>
      <c r="L261" s="386">
        <f t="shared" si="275"/>
        <v>479725.87</v>
      </c>
      <c r="M261" s="386">
        <f t="shared" si="275"/>
        <v>0</v>
      </c>
      <c r="N261" s="386">
        <f t="shared" si="275"/>
        <v>0</v>
      </c>
      <c r="O261" s="386">
        <f t="shared" si="275"/>
        <v>20653926</v>
      </c>
      <c r="P261" s="386">
        <f t="shared" si="275"/>
        <v>29685021.869999997</v>
      </c>
      <c r="Q261" s="22"/>
      <c r="R261" s="53"/>
    </row>
    <row r="262" spans="1:18" ht="91.5" thickTop="1" thickBot="1" x14ac:dyDescent="0.25">
      <c r="A262" s="387" t="s">
        <v>1189</v>
      </c>
      <c r="B262" s="387" t="s">
        <v>813</v>
      </c>
      <c r="C262" s="387"/>
      <c r="D262" s="387" t="s">
        <v>814</v>
      </c>
      <c r="E262" s="388">
        <f>E263</f>
        <v>0</v>
      </c>
      <c r="F262" s="388">
        <f t="shared" ref="F262:P262" si="276">F263</f>
        <v>0</v>
      </c>
      <c r="G262" s="388">
        <f t="shared" si="276"/>
        <v>0</v>
      </c>
      <c r="H262" s="388">
        <f t="shared" si="276"/>
        <v>0</v>
      </c>
      <c r="I262" s="388">
        <f t="shared" si="276"/>
        <v>0</v>
      </c>
      <c r="J262" s="388">
        <f t="shared" si="276"/>
        <v>4800000</v>
      </c>
      <c r="K262" s="388">
        <f t="shared" si="276"/>
        <v>4800000</v>
      </c>
      <c r="L262" s="388">
        <f t="shared" si="276"/>
        <v>0</v>
      </c>
      <c r="M262" s="388">
        <f t="shared" si="276"/>
        <v>0</v>
      </c>
      <c r="N262" s="388">
        <f t="shared" si="276"/>
        <v>0</v>
      </c>
      <c r="O262" s="388">
        <f t="shared" si="276"/>
        <v>4800000</v>
      </c>
      <c r="P262" s="388">
        <f t="shared" si="276"/>
        <v>4800000</v>
      </c>
      <c r="Q262" s="22"/>
      <c r="R262" s="53"/>
    </row>
    <row r="263" spans="1:18" ht="99.75" thickTop="1" thickBot="1" x14ac:dyDescent="0.25">
      <c r="A263" s="546" t="s">
        <v>1190</v>
      </c>
      <c r="B263" s="546" t="s">
        <v>310</v>
      </c>
      <c r="C263" s="546" t="s">
        <v>309</v>
      </c>
      <c r="D263" s="546" t="s">
        <v>1342</v>
      </c>
      <c r="E263" s="386">
        <f t="shared" ref="E263" si="277">F263</f>
        <v>0</v>
      </c>
      <c r="F263" s="441"/>
      <c r="G263" s="441"/>
      <c r="H263" s="441"/>
      <c r="I263" s="441"/>
      <c r="J263" s="670">
        <f>L263+O263</f>
        <v>4800000</v>
      </c>
      <c r="K263" s="389">
        <f>(4700000)+100000</f>
        <v>4800000</v>
      </c>
      <c r="L263" s="441"/>
      <c r="M263" s="441"/>
      <c r="N263" s="441"/>
      <c r="O263" s="390">
        <f>K263</f>
        <v>4800000</v>
      </c>
      <c r="P263" s="547">
        <f t="shared" ref="P263" si="278">E263+J263</f>
        <v>4800000</v>
      </c>
      <c r="Q263" s="22"/>
      <c r="R263" s="53"/>
    </row>
    <row r="264" spans="1:18" ht="136.5" thickTop="1" thickBot="1" x14ac:dyDescent="0.25">
      <c r="A264" s="387" t="s">
        <v>805</v>
      </c>
      <c r="B264" s="387" t="s">
        <v>700</v>
      </c>
      <c r="C264" s="387"/>
      <c r="D264" s="387" t="s">
        <v>698</v>
      </c>
      <c r="E264" s="388">
        <f>E265+E267+E266</f>
        <v>8551370</v>
      </c>
      <c r="F264" s="388">
        <f t="shared" ref="F264:P264" si="279">F265+F267+F266</f>
        <v>8551370</v>
      </c>
      <c r="G264" s="388">
        <f t="shared" si="279"/>
        <v>0</v>
      </c>
      <c r="H264" s="388">
        <f t="shared" si="279"/>
        <v>0</v>
      </c>
      <c r="I264" s="388">
        <f t="shared" si="279"/>
        <v>0</v>
      </c>
      <c r="J264" s="388">
        <f>J265+J267+J266</f>
        <v>16333651.869999999</v>
      </c>
      <c r="K264" s="388">
        <f t="shared" si="279"/>
        <v>15853926</v>
      </c>
      <c r="L264" s="388">
        <f t="shared" si="279"/>
        <v>479725.87</v>
      </c>
      <c r="M264" s="388">
        <f t="shared" si="279"/>
        <v>0</v>
      </c>
      <c r="N264" s="388">
        <f t="shared" si="279"/>
        <v>0</v>
      </c>
      <c r="O264" s="388">
        <f t="shared" si="279"/>
        <v>15853926</v>
      </c>
      <c r="P264" s="388">
        <f t="shared" si="279"/>
        <v>24885021.869999997</v>
      </c>
      <c r="Q264" s="22"/>
      <c r="R264" s="53"/>
    </row>
    <row r="265" spans="1:18" ht="48" thickTop="1" thickBot="1" x14ac:dyDescent="0.25">
      <c r="A265" s="546" t="s">
        <v>301</v>
      </c>
      <c r="B265" s="546" t="s">
        <v>217</v>
      </c>
      <c r="C265" s="546" t="s">
        <v>218</v>
      </c>
      <c r="D265" s="546" t="s">
        <v>41</v>
      </c>
      <c r="E265" s="386">
        <f t="shared" si="265"/>
        <v>8551370</v>
      </c>
      <c r="F265" s="441">
        <f>(5844220)+2707150</f>
        <v>8551370</v>
      </c>
      <c r="G265" s="441"/>
      <c r="H265" s="441"/>
      <c r="I265" s="441"/>
      <c r="J265" s="547">
        <f t="shared" si="258"/>
        <v>0</v>
      </c>
      <c r="K265" s="389"/>
      <c r="L265" s="441"/>
      <c r="M265" s="441"/>
      <c r="N265" s="441"/>
      <c r="O265" s="390">
        <f t="shared" si="260"/>
        <v>0</v>
      </c>
      <c r="P265" s="547">
        <f>E265+J265</f>
        <v>8551370</v>
      </c>
      <c r="Q265" s="22"/>
      <c r="R265" s="57"/>
    </row>
    <row r="266" spans="1:18" ht="93" thickTop="1" thickBot="1" x14ac:dyDescent="0.25">
      <c r="A266" s="546" t="s">
        <v>931</v>
      </c>
      <c r="B266" s="546" t="s">
        <v>202</v>
      </c>
      <c r="C266" s="546" t="s">
        <v>171</v>
      </c>
      <c r="D266" s="546" t="s">
        <v>34</v>
      </c>
      <c r="E266" s="386">
        <f t="shared" ref="E266" si="280">F266</f>
        <v>0</v>
      </c>
      <c r="F266" s="441"/>
      <c r="G266" s="441"/>
      <c r="H266" s="441"/>
      <c r="I266" s="441"/>
      <c r="J266" s="547">
        <f t="shared" ref="J266" si="281">L266+O266</f>
        <v>15853926</v>
      </c>
      <c r="K266" s="389">
        <f>(171034)+15682892</f>
        <v>15853926</v>
      </c>
      <c r="L266" s="441"/>
      <c r="M266" s="441"/>
      <c r="N266" s="441"/>
      <c r="O266" s="390">
        <f t="shared" ref="O266" si="282">K266</f>
        <v>15853926</v>
      </c>
      <c r="P266" s="547">
        <f>E266+J266</f>
        <v>15853926</v>
      </c>
      <c r="Q266" s="22"/>
      <c r="R266" s="57"/>
    </row>
    <row r="267" spans="1:18" ht="48" thickTop="1" thickBot="1" x14ac:dyDescent="0.25">
      <c r="A267" s="455" t="s">
        <v>806</v>
      </c>
      <c r="B267" s="455" t="s">
        <v>703</v>
      </c>
      <c r="C267" s="455"/>
      <c r="D267" s="455" t="s">
        <v>807</v>
      </c>
      <c r="E267" s="502">
        <f>E268</f>
        <v>0</v>
      </c>
      <c r="F267" s="502">
        <f t="shared" ref="F267:P267" si="283">F268</f>
        <v>0</v>
      </c>
      <c r="G267" s="502">
        <f t="shared" si="283"/>
        <v>0</v>
      </c>
      <c r="H267" s="502">
        <f t="shared" si="283"/>
        <v>0</v>
      </c>
      <c r="I267" s="502">
        <f t="shared" si="283"/>
        <v>0</v>
      </c>
      <c r="J267" s="502">
        <f t="shared" si="283"/>
        <v>479725.87</v>
      </c>
      <c r="K267" s="502">
        <f t="shared" si="283"/>
        <v>0</v>
      </c>
      <c r="L267" s="502">
        <f t="shared" si="283"/>
        <v>479725.87</v>
      </c>
      <c r="M267" s="502">
        <f t="shared" si="283"/>
        <v>0</v>
      </c>
      <c r="N267" s="502">
        <f t="shared" si="283"/>
        <v>0</v>
      </c>
      <c r="O267" s="502">
        <f t="shared" si="283"/>
        <v>0</v>
      </c>
      <c r="P267" s="502">
        <f t="shared" si="283"/>
        <v>479725.87</v>
      </c>
      <c r="Q267" s="22"/>
      <c r="R267" s="53"/>
    </row>
    <row r="268" spans="1:18" ht="409.6" thickTop="1" thickBot="1" x14ac:dyDescent="0.7">
      <c r="A268" s="895" t="s">
        <v>429</v>
      </c>
      <c r="B268" s="895" t="s">
        <v>343</v>
      </c>
      <c r="C268" s="895" t="s">
        <v>171</v>
      </c>
      <c r="D268" s="729" t="s">
        <v>445</v>
      </c>
      <c r="E268" s="893">
        <f t="shared" si="265"/>
        <v>0</v>
      </c>
      <c r="F268" s="894"/>
      <c r="G268" s="894"/>
      <c r="H268" s="894"/>
      <c r="I268" s="894"/>
      <c r="J268" s="893">
        <f t="shared" si="258"/>
        <v>479725.87</v>
      </c>
      <c r="K268" s="894"/>
      <c r="L268" s="894">
        <v>479725.87</v>
      </c>
      <c r="M268" s="894"/>
      <c r="N268" s="894"/>
      <c r="O268" s="915">
        <f>((K268+884000)-450000)-434000</f>
        <v>0</v>
      </c>
      <c r="P268" s="929">
        <f>E268+J268</f>
        <v>479725.87</v>
      </c>
      <c r="Q268" s="22"/>
      <c r="R268" s="53"/>
    </row>
    <row r="269" spans="1:18" ht="184.5" thickTop="1" thickBot="1" x14ac:dyDescent="0.25">
      <c r="A269" s="895"/>
      <c r="B269" s="895"/>
      <c r="C269" s="895"/>
      <c r="D269" s="730" t="s">
        <v>446</v>
      </c>
      <c r="E269" s="893"/>
      <c r="F269" s="894"/>
      <c r="G269" s="894"/>
      <c r="H269" s="894"/>
      <c r="I269" s="894"/>
      <c r="J269" s="893"/>
      <c r="K269" s="894"/>
      <c r="L269" s="894"/>
      <c r="M269" s="894"/>
      <c r="N269" s="894"/>
      <c r="O269" s="915"/>
      <c r="P269" s="929"/>
      <c r="Q269" s="22"/>
      <c r="R269" s="53"/>
    </row>
    <row r="270" spans="1:18" s="118" customFormat="1" ht="47.25" hidden="1" thickTop="1" thickBot="1" x14ac:dyDescent="0.25">
      <c r="A270" s="159" t="s">
        <v>1280</v>
      </c>
      <c r="B270" s="159" t="s">
        <v>705</v>
      </c>
      <c r="C270" s="159"/>
      <c r="D270" s="159" t="s">
        <v>706</v>
      </c>
      <c r="E270" s="161">
        <f t="shared" ref="E270:P270" si="284">E271</f>
        <v>0</v>
      </c>
      <c r="F270" s="161">
        <f t="shared" si="284"/>
        <v>0</v>
      </c>
      <c r="G270" s="161">
        <f t="shared" si="284"/>
        <v>0</v>
      </c>
      <c r="H270" s="161">
        <f t="shared" si="284"/>
        <v>0</v>
      </c>
      <c r="I270" s="161">
        <f t="shared" si="284"/>
        <v>0</v>
      </c>
      <c r="J270" s="161">
        <f t="shared" si="284"/>
        <v>0</v>
      </c>
      <c r="K270" s="161">
        <f t="shared" si="284"/>
        <v>0</v>
      </c>
      <c r="L270" s="161">
        <f t="shared" si="284"/>
        <v>0</v>
      </c>
      <c r="M270" s="161">
        <f t="shared" si="284"/>
        <v>0</v>
      </c>
      <c r="N270" s="161">
        <f t="shared" si="284"/>
        <v>0</v>
      </c>
      <c r="O270" s="161">
        <f t="shared" si="284"/>
        <v>0</v>
      </c>
      <c r="P270" s="161">
        <f t="shared" si="284"/>
        <v>0</v>
      </c>
      <c r="Q270" s="22"/>
      <c r="R270" s="53"/>
    </row>
    <row r="271" spans="1:18" s="118" customFormat="1" ht="91.5" hidden="1" thickTop="1" thickBot="1" x14ac:dyDescent="0.25">
      <c r="A271" s="170" t="s">
        <v>1281</v>
      </c>
      <c r="B271" s="170" t="s">
        <v>1234</v>
      </c>
      <c r="C271" s="170"/>
      <c r="D271" s="170" t="s">
        <v>1232</v>
      </c>
      <c r="E271" s="171">
        <f t="shared" ref="E271:P271" si="285">SUM(E272:E272)</f>
        <v>0</v>
      </c>
      <c r="F271" s="171">
        <f t="shared" si="285"/>
        <v>0</v>
      </c>
      <c r="G271" s="171">
        <f t="shared" si="285"/>
        <v>0</v>
      </c>
      <c r="H271" s="171">
        <f t="shared" si="285"/>
        <v>0</v>
      </c>
      <c r="I271" s="171">
        <f t="shared" si="285"/>
        <v>0</v>
      </c>
      <c r="J271" s="171">
        <f t="shared" si="285"/>
        <v>0</v>
      </c>
      <c r="K271" s="171">
        <f t="shared" si="285"/>
        <v>0</v>
      </c>
      <c r="L271" s="171">
        <f t="shared" si="285"/>
        <v>0</v>
      </c>
      <c r="M271" s="171">
        <f t="shared" si="285"/>
        <v>0</v>
      </c>
      <c r="N271" s="171">
        <f t="shared" si="285"/>
        <v>0</v>
      </c>
      <c r="O271" s="171">
        <f t="shared" si="285"/>
        <v>0</v>
      </c>
      <c r="P271" s="171">
        <f t="shared" si="285"/>
        <v>0</v>
      </c>
      <c r="Q271" s="22"/>
      <c r="R271" s="53"/>
    </row>
    <row r="272" spans="1:18" s="118" customFormat="1" ht="93" hidden="1" thickTop="1" thickBot="1" x14ac:dyDescent="0.25">
      <c r="A272" s="162" t="s">
        <v>1282</v>
      </c>
      <c r="B272" s="162" t="s">
        <v>1262</v>
      </c>
      <c r="C272" s="162" t="s">
        <v>1236</v>
      </c>
      <c r="D272" s="162" t="s">
        <v>1263</v>
      </c>
      <c r="E272" s="161">
        <f>F272</f>
        <v>0</v>
      </c>
      <c r="F272" s="168"/>
      <c r="G272" s="168"/>
      <c r="H272" s="168"/>
      <c r="I272" s="168"/>
      <c r="J272" s="161">
        <f>L272+O272</f>
        <v>0</v>
      </c>
      <c r="K272" s="168"/>
      <c r="L272" s="168"/>
      <c r="M272" s="168"/>
      <c r="N272" s="168"/>
      <c r="O272" s="166">
        <f>K272</f>
        <v>0</v>
      </c>
      <c r="P272" s="161">
        <f>E272+J272</f>
        <v>0</v>
      </c>
      <c r="Q272" s="22"/>
      <c r="R272" s="53"/>
    </row>
    <row r="273" spans="1:18" ht="181.5" thickTop="1" thickBot="1" x14ac:dyDescent="0.25">
      <c r="A273" s="460" t="s">
        <v>546</v>
      </c>
      <c r="B273" s="460"/>
      <c r="C273" s="460"/>
      <c r="D273" s="461" t="s">
        <v>565</v>
      </c>
      <c r="E273" s="463">
        <f>E274</f>
        <v>554044502</v>
      </c>
      <c r="F273" s="462">
        <f t="shared" ref="F273:G273" si="286">F274</f>
        <v>554044502</v>
      </c>
      <c r="G273" s="462">
        <f t="shared" si="286"/>
        <v>8405506</v>
      </c>
      <c r="H273" s="462">
        <f>H274</f>
        <v>338942</v>
      </c>
      <c r="I273" s="462">
        <f t="shared" ref="I273" si="287">I274</f>
        <v>0</v>
      </c>
      <c r="J273" s="463">
        <f>J274</f>
        <v>499763240.60000002</v>
      </c>
      <c r="K273" s="462">
        <f>K274</f>
        <v>498910298.60000002</v>
      </c>
      <c r="L273" s="462">
        <f>L274</f>
        <v>852942</v>
      </c>
      <c r="M273" s="462">
        <f t="shared" ref="M273" si="288">M274</f>
        <v>0</v>
      </c>
      <c r="N273" s="462">
        <f>N274</f>
        <v>0</v>
      </c>
      <c r="O273" s="463">
        <f>O274</f>
        <v>498910298.60000002</v>
      </c>
      <c r="P273" s="462">
        <f>P274</f>
        <v>1053807742.6</v>
      </c>
      <c r="Q273" s="22"/>
      <c r="R273" s="53"/>
    </row>
    <row r="274" spans="1:18" ht="181.5" thickTop="1" thickBot="1" x14ac:dyDescent="0.25">
      <c r="A274" s="464" t="s">
        <v>547</v>
      </c>
      <c r="B274" s="464"/>
      <c r="C274" s="464"/>
      <c r="D274" s="465" t="s">
        <v>566</v>
      </c>
      <c r="E274" s="466">
        <f>E275+E279+E287+E300</f>
        <v>554044502</v>
      </c>
      <c r="F274" s="466">
        <f t="shared" ref="F274:I274" si="289">F275+F279+F287+F300</f>
        <v>554044502</v>
      </c>
      <c r="G274" s="466">
        <f t="shared" si="289"/>
        <v>8405506</v>
      </c>
      <c r="H274" s="466">
        <f t="shared" si="289"/>
        <v>338942</v>
      </c>
      <c r="I274" s="466">
        <f t="shared" si="289"/>
        <v>0</v>
      </c>
      <c r="J274" s="466">
        <f t="shared" ref="J274:J297" si="290">L274+O274</f>
        <v>499763240.60000002</v>
      </c>
      <c r="K274" s="466">
        <f t="shared" ref="K274:O274" si="291">K275+K279+K287+K300</f>
        <v>498910298.60000002</v>
      </c>
      <c r="L274" s="466">
        <f t="shared" si="291"/>
        <v>852942</v>
      </c>
      <c r="M274" s="466">
        <f t="shared" si="291"/>
        <v>0</v>
      </c>
      <c r="N274" s="466">
        <f t="shared" si="291"/>
        <v>0</v>
      </c>
      <c r="O274" s="466">
        <f t="shared" si="291"/>
        <v>498910298.60000002</v>
      </c>
      <c r="P274" s="466">
        <f>E274+J274</f>
        <v>1053807742.6</v>
      </c>
      <c r="Q274" s="392" t="b">
        <f>P274=P276+P278+P281+P282+P284+P285+P292+P294+P295+P302+P303+P289+P286+P283+P297</f>
        <v>1</v>
      </c>
      <c r="R274" s="48"/>
    </row>
    <row r="275" spans="1:18" ht="47.25" thickTop="1" thickBot="1" x14ac:dyDescent="0.25">
      <c r="A275" s="385" t="s">
        <v>808</v>
      </c>
      <c r="B275" s="385" t="s">
        <v>693</v>
      </c>
      <c r="C275" s="385"/>
      <c r="D275" s="385" t="s">
        <v>694</v>
      </c>
      <c r="E275" s="670">
        <f>SUM(E276:E278)</f>
        <v>9028158</v>
      </c>
      <c r="F275" s="670">
        <f t="shared" ref="F275:P275" si="292">SUM(F276:F278)</f>
        <v>9028158</v>
      </c>
      <c r="G275" s="670">
        <f t="shared" si="292"/>
        <v>6736115</v>
      </c>
      <c r="H275" s="670">
        <f t="shared" si="292"/>
        <v>264613</v>
      </c>
      <c r="I275" s="670">
        <f t="shared" si="292"/>
        <v>0</v>
      </c>
      <c r="J275" s="670">
        <f t="shared" si="292"/>
        <v>36120</v>
      </c>
      <c r="K275" s="547">
        <f t="shared" si="292"/>
        <v>36120</v>
      </c>
      <c r="L275" s="547">
        <f t="shared" si="292"/>
        <v>0</v>
      </c>
      <c r="M275" s="547">
        <f t="shared" si="292"/>
        <v>0</v>
      </c>
      <c r="N275" s="547">
        <f t="shared" si="292"/>
        <v>0</v>
      </c>
      <c r="O275" s="547">
        <f t="shared" si="292"/>
        <v>36120</v>
      </c>
      <c r="P275" s="547">
        <f t="shared" si="292"/>
        <v>9064278</v>
      </c>
      <c r="Q275" s="50"/>
      <c r="R275" s="48"/>
    </row>
    <row r="276" spans="1:18" ht="230.25" thickTop="1" thickBot="1" x14ac:dyDescent="0.25">
      <c r="A276" s="546" t="s">
        <v>548</v>
      </c>
      <c r="B276" s="546" t="s">
        <v>241</v>
      </c>
      <c r="C276" s="546" t="s">
        <v>239</v>
      </c>
      <c r="D276" s="546" t="s">
        <v>240</v>
      </c>
      <c r="E276" s="386">
        <f>F276</f>
        <v>8991093</v>
      </c>
      <c r="F276" s="441">
        <f>(8955093)+36000</f>
        <v>8991093</v>
      </c>
      <c r="G276" s="441">
        <v>6736115</v>
      </c>
      <c r="H276" s="441">
        <f>168300+6553+84000+5760</f>
        <v>264613</v>
      </c>
      <c r="I276" s="441"/>
      <c r="J276" s="670">
        <f t="shared" si="290"/>
        <v>36120</v>
      </c>
      <c r="K276" s="441">
        <v>36120</v>
      </c>
      <c r="L276" s="442"/>
      <c r="M276" s="442"/>
      <c r="N276" s="442"/>
      <c r="O276" s="390">
        <f t="shared" ref="O276:O295" si="293">K276</f>
        <v>36120</v>
      </c>
      <c r="P276" s="547">
        <f t="shared" ref="P276:P282" si="294">+J276+E276</f>
        <v>9027213</v>
      </c>
      <c r="Q276" s="22"/>
      <c r="R276" s="48"/>
    </row>
    <row r="277" spans="1:18" ht="184.5" hidden="1" thickTop="1" thickBot="1" x14ac:dyDescent="0.25">
      <c r="A277" s="162" t="s">
        <v>638</v>
      </c>
      <c r="B277" s="162" t="s">
        <v>367</v>
      </c>
      <c r="C277" s="162" t="s">
        <v>634</v>
      </c>
      <c r="D277" s="162" t="s">
        <v>635</v>
      </c>
      <c r="E277" s="186">
        <f>F277</f>
        <v>0</v>
      </c>
      <c r="F277" s="163"/>
      <c r="G277" s="163"/>
      <c r="H277" s="163"/>
      <c r="I277" s="163"/>
      <c r="J277" s="668">
        <f t="shared" ref="J277" si="295">L277+O277</f>
        <v>0</v>
      </c>
      <c r="K277" s="163"/>
      <c r="L277" s="164"/>
      <c r="M277" s="164"/>
      <c r="N277" s="164"/>
      <c r="O277" s="166">
        <f t="shared" ref="O277" si="296">K277</f>
        <v>0</v>
      </c>
      <c r="P277" s="161">
        <f t="shared" ref="P277" si="297">+J277+E277</f>
        <v>0</v>
      </c>
      <c r="Q277" s="22"/>
      <c r="R277" s="48"/>
    </row>
    <row r="278" spans="1:18" ht="93" thickTop="1" thickBot="1" x14ac:dyDescent="0.25">
      <c r="A278" s="546" t="s">
        <v>549</v>
      </c>
      <c r="B278" s="546" t="s">
        <v>43</v>
      </c>
      <c r="C278" s="546" t="s">
        <v>42</v>
      </c>
      <c r="D278" s="546" t="s">
        <v>253</v>
      </c>
      <c r="E278" s="386">
        <f>F278</f>
        <v>37065</v>
      </c>
      <c r="F278" s="441">
        <f>(24700)+12365</f>
        <v>37065</v>
      </c>
      <c r="G278" s="163"/>
      <c r="H278" s="163"/>
      <c r="I278" s="163"/>
      <c r="J278" s="670">
        <f t="shared" si="290"/>
        <v>0</v>
      </c>
      <c r="K278" s="441"/>
      <c r="L278" s="442"/>
      <c r="M278" s="442"/>
      <c r="N278" s="442"/>
      <c r="O278" s="390">
        <f t="shared" si="293"/>
        <v>0</v>
      </c>
      <c r="P278" s="547">
        <f t="shared" si="294"/>
        <v>37065</v>
      </c>
      <c r="Q278" s="22"/>
      <c r="R278" s="53"/>
    </row>
    <row r="279" spans="1:18" ht="91.5" thickTop="1" thickBot="1" x14ac:dyDescent="0.25">
      <c r="A279" s="385" t="s">
        <v>809</v>
      </c>
      <c r="B279" s="385" t="s">
        <v>751</v>
      </c>
      <c r="C279" s="385"/>
      <c r="D279" s="536" t="s">
        <v>752</v>
      </c>
      <c r="E279" s="386">
        <f>SUM(E280:E286)-E280</f>
        <v>464517248</v>
      </c>
      <c r="F279" s="386">
        <f t="shared" ref="F279:P279" si="298">SUM(F280:F286)-F280</f>
        <v>464517248</v>
      </c>
      <c r="G279" s="386">
        <f t="shared" si="298"/>
        <v>0</v>
      </c>
      <c r="H279" s="386">
        <f t="shared" si="298"/>
        <v>5000</v>
      </c>
      <c r="I279" s="386">
        <f t="shared" si="298"/>
        <v>0</v>
      </c>
      <c r="J279" s="386">
        <f t="shared" si="298"/>
        <v>7583000</v>
      </c>
      <c r="K279" s="386">
        <f t="shared" si="298"/>
        <v>7583000</v>
      </c>
      <c r="L279" s="386">
        <f t="shared" si="298"/>
        <v>0</v>
      </c>
      <c r="M279" s="386">
        <f t="shared" si="298"/>
        <v>0</v>
      </c>
      <c r="N279" s="386">
        <f t="shared" si="298"/>
        <v>0</v>
      </c>
      <c r="O279" s="386">
        <f t="shared" si="298"/>
        <v>7583000</v>
      </c>
      <c r="P279" s="386">
        <f t="shared" si="298"/>
        <v>472100248</v>
      </c>
      <c r="Q279" s="22"/>
      <c r="R279" s="53"/>
    </row>
    <row r="280" spans="1:18" ht="184.5" thickTop="1" thickBot="1" x14ac:dyDescent="0.25">
      <c r="A280" s="455" t="s">
        <v>810</v>
      </c>
      <c r="B280" s="455" t="s">
        <v>801</v>
      </c>
      <c r="C280" s="455"/>
      <c r="D280" s="455" t="s">
        <v>802</v>
      </c>
      <c r="E280" s="502">
        <f>SUM(E281:E283)</f>
        <v>135986308</v>
      </c>
      <c r="F280" s="502">
        <f t="shared" ref="F280:P280" si="299">SUM(F281:F283)</f>
        <v>135986308</v>
      </c>
      <c r="G280" s="502">
        <f t="shared" si="299"/>
        <v>0</v>
      </c>
      <c r="H280" s="502">
        <f t="shared" si="299"/>
        <v>0</v>
      </c>
      <c r="I280" s="502">
        <f t="shared" si="299"/>
        <v>0</v>
      </c>
      <c r="J280" s="502">
        <f t="shared" si="299"/>
        <v>2100000</v>
      </c>
      <c r="K280" s="502">
        <f t="shared" si="299"/>
        <v>2100000</v>
      </c>
      <c r="L280" s="502">
        <f t="shared" si="299"/>
        <v>0</v>
      </c>
      <c r="M280" s="502">
        <f t="shared" si="299"/>
        <v>0</v>
      </c>
      <c r="N280" s="502">
        <f t="shared" si="299"/>
        <v>0</v>
      </c>
      <c r="O280" s="502">
        <f t="shared" si="299"/>
        <v>2100000</v>
      </c>
      <c r="P280" s="502">
        <f t="shared" si="299"/>
        <v>138086308</v>
      </c>
      <c r="Q280" s="22"/>
      <c r="R280" s="53"/>
    </row>
    <row r="281" spans="1:18" ht="184.5" thickTop="1" thickBot="1" x14ac:dyDescent="0.25">
      <c r="A281" s="546" t="s">
        <v>550</v>
      </c>
      <c r="B281" s="546" t="s">
        <v>381</v>
      </c>
      <c r="C281" s="546" t="s">
        <v>288</v>
      </c>
      <c r="D281" s="546" t="s">
        <v>382</v>
      </c>
      <c r="E281" s="386">
        <f t="shared" ref="E281:E295" si="300">F281</f>
        <v>100000000</v>
      </c>
      <c r="F281" s="441">
        <f>(20000000)+80000000</f>
        <v>100000000</v>
      </c>
      <c r="G281" s="441"/>
      <c r="H281" s="441"/>
      <c r="I281" s="441"/>
      <c r="J281" s="547">
        <f t="shared" si="290"/>
        <v>0</v>
      </c>
      <c r="K281" s="441"/>
      <c r="L281" s="442"/>
      <c r="M281" s="442"/>
      <c r="N281" s="442"/>
      <c r="O281" s="390">
        <f t="shared" si="293"/>
        <v>0</v>
      </c>
      <c r="P281" s="547">
        <f t="shared" si="294"/>
        <v>100000000</v>
      </c>
      <c r="Q281" s="22"/>
      <c r="R281" s="53"/>
    </row>
    <row r="282" spans="1:18" ht="138.75" thickTop="1" thickBot="1" x14ac:dyDescent="0.25">
      <c r="A282" s="546" t="s">
        <v>551</v>
      </c>
      <c r="B282" s="546" t="s">
        <v>291</v>
      </c>
      <c r="C282" s="546" t="s">
        <v>288</v>
      </c>
      <c r="D282" s="546" t="s">
        <v>292</v>
      </c>
      <c r="E282" s="386">
        <f t="shared" si="300"/>
        <v>32259100</v>
      </c>
      <c r="F282" s="441">
        <f>((650000)+24400000)+7209100</f>
        <v>32259100</v>
      </c>
      <c r="G282" s="441"/>
      <c r="H282" s="441"/>
      <c r="I282" s="441"/>
      <c r="J282" s="547">
        <f t="shared" si="290"/>
        <v>2100000</v>
      </c>
      <c r="K282" s="441">
        <f>(2000000)+100000</f>
        <v>2100000</v>
      </c>
      <c r="L282" s="442"/>
      <c r="M282" s="442"/>
      <c r="N282" s="442"/>
      <c r="O282" s="390">
        <f t="shared" si="293"/>
        <v>2100000</v>
      </c>
      <c r="P282" s="547">
        <f t="shared" si="294"/>
        <v>34359100</v>
      </c>
      <c r="Q282" s="22"/>
      <c r="R282" s="53"/>
    </row>
    <row r="283" spans="1:18" s="118" customFormat="1" ht="184.5" thickTop="1" thickBot="1" x14ac:dyDescent="0.25">
      <c r="A283" s="825" t="s">
        <v>1541</v>
      </c>
      <c r="B283" s="825" t="s">
        <v>1542</v>
      </c>
      <c r="C283" s="825" t="s">
        <v>288</v>
      </c>
      <c r="D283" s="825" t="s">
        <v>1543</v>
      </c>
      <c r="E283" s="386">
        <f t="shared" ref="E283" si="301">F283</f>
        <v>3727208</v>
      </c>
      <c r="F283" s="441">
        <v>3727208</v>
      </c>
      <c r="G283" s="441"/>
      <c r="H283" s="441"/>
      <c r="I283" s="441"/>
      <c r="J283" s="828">
        <f t="shared" ref="J283" si="302">L283+O283</f>
        <v>0</v>
      </c>
      <c r="K283" s="441"/>
      <c r="L283" s="442"/>
      <c r="M283" s="442"/>
      <c r="N283" s="442"/>
      <c r="O283" s="827">
        <f t="shared" ref="O283" si="303">K283</f>
        <v>0</v>
      </c>
      <c r="P283" s="828">
        <f t="shared" ref="P283" si="304">+J283+E283</f>
        <v>3727208</v>
      </c>
      <c r="Q283" s="22"/>
      <c r="R283" s="53"/>
    </row>
    <row r="284" spans="1:18" ht="230.25" thickTop="1" thickBot="1" x14ac:dyDescent="0.25">
      <c r="A284" s="546" t="s">
        <v>552</v>
      </c>
      <c r="B284" s="546" t="s">
        <v>302</v>
      </c>
      <c r="C284" s="546" t="s">
        <v>288</v>
      </c>
      <c r="D284" s="546" t="s">
        <v>303</v>
      </c>
      <c r="E284" s="386">
        <f t="shared" si="300"/>
        <v>1300000</v>
      </c>
      <c r="F284" s="441">
        <v>1300000</v>
      </c>
      <c r="G284" s="441"/>
      <c r="H284" s="441"/>
      <c r="I284" s="441"/>
      <c r="J284" s="547">
        <f t="shared" si="290"/>
        <v>0</v>
      </c>
      <c r="K284" s="389"/>
      <c r="L284" s="441"/>
      <c r="M284" s="441"/>
      <c r="N284" s="441"/>
      <c r="O284" s="390">
        <f t="shared" si="293"/>
        <v>0</v>
      </c>
      <c r="P284" s="547">
        <f t="shared" ref="P284:P289" si="305">E284+J284</f>
        <v>1300000</v>
      </c>
      <c r="Q284" s="22"/>
      <c r="R284" s="53"/>
    </row>
    <row r="285" spans="1:18" ht="93" thickTop="1" thickBot="1" x14ac:dyDescent="0.25">
      <c r="A285" s="546" t="s">
        <v>553</v>
      </c>
      <c r="B285" s="546" t="s">
        <v>294</v>
      </c>
      <c r="C285" s="546" t="s">
        <v>288</v>
      </c>
      <c r="D285" s="546" t="s">
        <v>295</v>
      </c>
      <c r="E285" s="386">
        <f t="shared" si="300"/>
        <v>323181355</v>
      </c>
      <c r="F285" s="441">
        <f>((324847930)-23469000-1000000+15000000)+7802425</f>
        <v>323181355</v>
      </c>
      <c r="G285" s="441"/>
      <c r="H285" s="441">
        <v>5000</v>
      </c>
      <c r="I285" s="441"/>
      <c r="J285" s="670">
        <f t="shared" si="290"/>
        <v>5483000</v>
      </c>
      <c r="K285" s="389">
        <f>((250000)+1000000+1000000+1343000)+1890000</f>
        <v>5483000</v>
      </c>
      <c r="L285" s="441"/>
      <c r="M285" s="441"/>
      <c r="N285" s="441"/>
      <c r="O285" s="390">
        <f t="shared" si="293"/>
        <v>5483000</v>
      </c>
      <c r="P285" s="547">
        <f t="shared" si="305"/>
        <v>328664355</v>
      </c>
      <c r="Q285" s="22"/>
      <c r="R285" s="48"/>
    </row>
    <row r="286" spans="1:18" ht="138.75" thickTop="1" thickBot="1" x14ac:dyDescent="0.25">
      <c r="A286" s="749" t="s">
        <v>1192</v>
      </c>
      <c r="B286" s="749" t="s">
        <v>1193</v>
      </c>
      <c r="C286" s="749" t="s">
        <v>1194</v>
      </c>
      <c r="D286" s="749" t="s">
        <v>1191</v>
      </c>
      <c r="E286" s="386">
        <f t="shared" si="300"/>
        <v>4049585</v>
      </c>
      <c r="F286" s="441">
        <v>4049585</v>
      </c>
      <c r="G286" s="441"/>
      <c r="H286" s="441"/>
      <c r="I286" s="441"/>
      <c r="J286" s="752">
        <f t="shared" si="290"/>
        <v>0</v>
      </c>
      <c r="K286" s="389"/>
      <c r="L286" s="441"/>
      <c r="M286" s="441"/>
      <c r="N286" s="441"/>
      <c r="O286" s="751">
        <f t="shared" si="293"/>
        <v>0</v>
      </c>
      <c r="P286" s="752">
        <f t="shared" si="305"/>
        <v>4049585</v>
      </c>
      <c r="Q286" s="22"/>
      <c r="R286" s="48"/>
    </row>
    <row r="287" spans="1:18" ht="47.25" thickTop="1" thickBot="1" x14ac:dyDescent="0.25">
      <c r="A287" s="385" t="s">
        <v>811</v>
      </c>
      <c r="B287" s="385" t="s">
        <v>757</v>
      </c>
      <c r="C287" s="385"/>
      <c r="D287" s="385" t="s">
        <v>758</v>
      </c>
      <c r="E287" s="386">
        <f>E288+E290+E293</f>
        <v>73907412</v>
      </c>
      <c r="F287" s="386">
        <f t="shared" ref="F287:P287" si="306">F288+F290+F293</f>
        <v>73907412</v>
      </c>
      <c r="G287" s="386">
        <f t="shared" si="306"/>
        <v>0</v>
      </c>
      <c r="H287" s="386">
        <f t="shared" si="306"/>
        <v>0</v>
      </c>
      <c r="I287" s="386">
        <f t="shared" si="306"/>
        <v>0</v>
      </c>
      <c r="J287" s="386">
        <f>J288+J290+J293</f>
        <v>491144120.60000002</v>
      </c>
      <c r="K287" s="386">
        <f t="shared" si="306"/>
        <v>490291178.60000002</v>
      </c>
      <c r="L287" s="386">
        <f t="shared" si="306"/>
        <v>852942</v>
      </c>
      <c r="M287" s="386">
        <f t="shared" si="306"/>
        <v>0</v>
      </c>
      <c r="N287" s="386">
        <f t="shared" si="306"/>
        <v>0</v>
      </c>
      <c r="O287" s="386">
        <f t="shared" si="306"/>
        <v>490291178.60000002</v>
      </c>
      <c r="P287" s="386">
        <f t="shared" si="306"/>
        <v>565051532.60000002</v>
      </c>
      <c r="Q287" s="22"/>
      <c r="R287" s="53"/>
    </row>
    <row r="288" spans="1:18" ht="91.5" thickTop="1" thickBot="1" x14ac:dyDescent="0.25">
      <c r="A288" s="387" t="s">
        <v>812</v>
      </c>
      <c r="B288" s="387" t="s">
        <v>813</v>
      </c>
      <c r="C288" s="387"/>
      <c r="D288" s="387" t="s">
        <v>814</v>
      </c>
      <c r="E288" s="388">
        <f>E289</f>
        <v>0</v>
      </c>
      <c r="F288" s="388">
        <f t="shared" ref="F288:P288" si="307">F289</f>
        <v>0</v>
      </c>
      <c r="G288" s="388">
        <f t="shared" si="307"/>
        <v>0</v>
      </c>
      <c r="H288" s="388">
        <f t="shared" si="307"/>
        <v>0</v>
      </c>
      <c r="I288" s="388">
        <f t="shared" si="307"/>
        <v>0</v>
      </c>
      <c r="J288" s="388">
        <f t="shared" si="307"/>
        <v>6872064</v>
      </c>
      <c r="K288" s="388">
        <f t="shared" si="307"/>
        <v>6872064</v>
      </c>
      <c r="L288" s="388">
        <f t="shared" si="307"/>
        <v>0</v>
      </c>
      <c r="M288" s="388">
        <f t="shared" si="307"/>
        <v>0</v>
      </c>
      <c r="N288" s="388">
        <f t="shared" si="307"/>
        <v>0</v>
      </c>
      <c r="O288" s="388">
        <f t="shared" si="307"/>
        <v>6872064</v>
      </c>
      <c r="P288" s="388">
        <f t="shared" si="307"/>
        <v>6872064</v>
      </c>
      <c r="Q288" s="22"/>
      <c r="R288" s="53"/>
    </row>
    <row r="289" spans="1:18" ht="99.75" thickTop="1" thickBot="1" x14ac:dyDescent="0.25">
      <c r="A289" s="546" t="s">
        <v>554</v>
      </c>
      <c r="B289" s="546" t="s">
        <v>310</v>
      </c>
      <c r="C289" s="546" t="s">
        <v>309</v>
      </c>
      <c r="D289" s="546" t="s">
        <v>1342</v>
      </c>
      <c r="E289" s="386">
        <f t="shared" si="300"/>
        <v>0</v>
      </c>
      <c r="F289" s="441"/>
      <c r="G289" s="441"/>
      <c r="H289" s="441"/>
      <c r="I289" s="441"/>
      <c r="J289" s="670">
        <f>L289+O289</f>
        <v>6872064</v>
      </c>
      <c r="K289" s="389">
        <f>(226400)+6645664</f>
        <v>6872064</v>
      </c>
      <c r="L289" s="441"/>
      <c r="M289" s="441"/>
      <c r="N289" s="441"/>
      <c r="O289" s="390">
        <f>K289</f>
        <v>6872064</v>
      </c>
      <c r="P289" s="547">
        <f t="shared" si="305"/>
        <v>6872064</v>
      </c>
      <c r="Q289" s="22"/>
      <c r="R289" s="48"/>
    </row>
    <row r="290" spans="1:18" ht="136.5" thickTop="1" thickBot="1" x14ac:dyDescent="0.25">
      <c r="A290" s="387" t="s">
        <v>815</v>
      </c>
      <c r="B290" s="387" t="s">
        <v>816</v>
      </c>
      <c r="C290" s="387"/>
      <c r="D290" s="387" t="s">
        <v>817</v>
      </c>
      <c r="E290" s="388">
        <f t="shared" ref="E290:P291" si="308">E291</f>
        <v>73907412</v>
      </c>
      <c r="F290" s="388">
        <f t="shared" si="308"/>
        <v>73907412</v>
      </c>
      <c r="G290" s="388">
        <f t="shared" si="308"/>
        <v>0</v>
      </c>
      <c r="H290" s="388">
        <f t="shared" si="308"/>
        <v>0</v>
      </c>
      <c r="I290" s="388">
        <f t="shared" si="308"/>
        <v>0</v>
      </c>
      <c r="J290" s="388">
        <f t="shared" si="308"/>
        <v>94061021</v>
      </c>
      <c r="K290" s="388">
        <f t="shared" si="308"/>
        <v>94061021</v>
      </c>
      <c r="L290" s="388">
        <f t="shared" si="308"/>
        <v>0</v>
      </c>
      <c r="M290" s="388">
        <f t="shared" si="308"/>
        <v>0</v>
      </c>
      <c r="N290" s="388">
        <f t="shared" si="308"/>
        <v>0</v>
      </c>
      <c r="O290" s="388">
        <f t="shared" si="308"/>
        <v>94061021</v>
      </c>
      <c r="P290" s="388">
        <f t="shared" si="308"/>
        <v>167968433</v>
      </c>
      <c r="Q290" s="22"/>
      <c r="R290" s="53"/>
    </row>
    <row r="291" spans="1:18" ht="138.75" thickTop="1" thickBot="1" x14ac:dyDescent="0.25">
      <c r="A291" s="546" t="s">
        <v>975</v>
      </c>
      <c r="B291" s="455" t="s">
        <v>976</v>
      </c>
      <c r="C291" s="387"/>
      <c r="D291" s="455" t="s">
        <v>977</v>
      </c>
      <c r="E291" s="502">
        <f t="shared" si="308"/>
        <v>73907412</v>
      </c>
      <c r="F291" s="502">
        <f t="shared" si="308"/>
        <v>73907412</v>
      </c>
      <c r="G291" s="502">
        <f t="shared" si="308"/>
        <v>0</v>
      </c>
      <c r="H291" s="502">
        <f t="shared" si="308"/>
        <v>0</v>
      </c>
      <c r="I291" s="502">
        <f t="shared" si="308"/>
        <v>0</v>
      </c>
      <c r="J291" s="502">
        <f t="shared" si="308"/>
        <v>94061021</v>
      </c>
      <c r="K291" s="502">
        <f t="shared" si="308"/>
        <v>94061021</v>
      </c>
      <c r="L291" s="502">
        <f t="shared" si="308"/>
        <v>0</v>
      </c>
      <c r="M291" s="502">
        <f t="shared" si="308"/>
        <v>0</v>
      </c>
      <c r="N291" s="502">
        <f t="shared" si="308"/>
        <v>0</v>
      </c>
      <c r="O291" s="502">
        <f t="shared" si="308"/>
        <v>94061021</v>
      </c>
      <c r="P291" s="502">
        <f t="shared" si="308"/>
        <v>167968433</v>
      </c>
      <c r="Q291" s="22"/>
      <c r="R291" s="53"/>
    </row>
    <row r="292" spans="1:18" ht="230.25" thickTop="1" thickBot="1" x14ac:dyDescent="0.25">
      <c r="A292" s="546" t="s">
        <v>555</v>
      </c>
      <c r="B292" s="546" t="s">
        <v>298</v>
      </c>
      <c r="C292" s="546" t="s">
        <v>300</v>
      </c>
      <c r="D292" s="546" t="s">
        <v>299</v>
      </c>
      <c r="E292" s="386">
        <f t="shared" si="300"/>
        <v>73907412</v>
      </c>
      <c r="F292" s="441">
        <f>((30300000)+24000000+24250400)-4642988</f>
        <v>73907412</v>
      </c>
      <c r="G292" s="441"/>
      <c r="H292" s="441"/>
      <c r="I292" s="441"/>
      <c r="J292" s="670">
        <f t="shared" si="290"/>
        <v>94061021</v>
      </c>
      <c r="K292" s="441">
        <f>(((38500000)-1000000)+38192622+277268)+18091131</f>
        <v>94061021</v>
      </c>
      <c r="L292" s="442"/>
      <c r="M292" s="442"/>
      <c r="N292" s="442"/>
      <c r="O292" s="390">
        <f>K292</f>
        <v>94061021</v>
      </c>
      <c r="P292" s="547">
        <f>+J292+E292</f>
        <v>167968433</v>
      </c>
      <c r="Q292" s="22"/>
      <c r="R292" s="48"/>
    </row>
    <row r="293" spans="1:18" ht="136.5" thickTop="1" thickBot="1" x14ac:dyDescent="0.25">
      <c r="A293" s="387" t="s">
        <v>818</v>
      </c>
      <c r="B293" s="387" t="s">
        <v>700</v>
      </c>
      <c r="C293" s="387"/>
      <c r="D293" s="387" t="s">
        <v>698</v>
      </c>
      <c r="E293" s="388">
        <f>SUM(E294:E299)-E296</f>
        <v>0</v>
      </c>
      <c r="F293" s="388">
        <f t="shared" ref="F293:P293" si="309">SUM(F294:F299)-F296</f>
        <v>0</v>
      </c>
      <c r="G293" s="388">
        <f t="shared" si="309"/>
        <v>0</v>
      </c>
      <c r="H293" s="388">
        <f t="shared" si="309"/>
        <v>0</v>
      </c>
      <c r="I293" s="388">
        <f t="shared" si="309"/>
        <v>0</v>
      </c>
      <c r="J293" s="388">
        <f t="shared" si="309"/>
        <v>390211035.60000002</v>
      </c>
      <c r="K293" s="388">
        <f t="shared" si="309"/>
        <v>389358093.60000002</v>
      </c>
      <c r="L293" s="388">
        <f t="shared" si="309"/>
        <v>852942</v>
      </c>
      <c r="M293" s="388">
        <f t="shared" si="309"/>
        <v>0</v>
      </c>
      <c r="N293" s="388">
        <f t="shared" si="309"/>
        <v>0</v>
      </c>
      <c r="O293" s="388">
        <f t="shared" si="309"/>
        <v>389358093.60000002</v>
      </c>
      <c r="P293" s="388">
        <f t="shared" si="309"/>
        <v>390211035.60000002</v>
      </c>
      <c r="Q293" s="22"/>
      <c r="R293" s="48"/>
    </row>
    <row r="294" spans="1:18" ht="48" thickTop="1" thickBot="1" x14ac:dyDescent="0.25">
      <c r="A294" s="546" t="s">
        <v>556</v>
      </c>
      <c r="B294" s="546" t="s">
        <v>217</v>
      </c>
      <c r="C294" s="546" t="s">
        <v>218</v>
      </c>
      <c r="D294" s="546" t="s">
        <v>41</v>
      </c>
      <c r="E294" s="386">
        <f t="shared" si="300"/>
        <v>0</v>
      </c>
      <c r="F294" s="441"/>
      <c r="G294" s="441"/>
      <c r="H294" s="441"/>
      <c r="I294" s="441"/>
      <c r="J294" s="670">
        <f t="shared" si="290"/>
        <v>16434368</v>
      </c>
      <c r="K294" s="389">
        <v>16434368</v>
      </c>
      <c r="L294" s="441"/>
      <c r="M294" s="441"/>
      <c r="N294" s="441"/>
      <c r="O294" s="390">
        <f t="shared" si="293"/>
        <v>16434368</v>
      </c>
      <c r="P294" s="547">
        <f>E294+J294</f>
        <v>16434368</v>
      </c>
      <c r="Q294" s="22"/>
      <c r="R294" s="48"/>
    </row>
    <row r="295" spans="1:18" ht="93" thickTop="1" thickBot="1" x14ac:dyDescent="0.25">
      <c r="A295" s="546" t="s">
        <v>557</v>
      </c>
      <c r="B295" s="546" t="s">
        <v>202</v>
      </c>
      <c r="C295" s="546" t="s">
        <v>171</v>
      </c>
      <c r="D295" s="546" t="s">
        <v>34</v>
      </c>
      <c r="E295" s="386">
        <f t="shared" si="300"/>
        <v>0</v>
      </c>
      <c r="F295" s="441"/>
      <c r="G295" s="163"/>
      <c r="H295" s="163"/>
      <c r="I295" s="163"/>
      <c r="J295" s="670">
        <f t="shared" si="290"/>
        <v>372923725.60000002</v>
      </c>
      <c r="K295" s="389">
        <f>((51987000-18000000)+239528622.6+5891152+630000-3198000+2092500+108523)+93883928</f>
        <v>372923725.60000002</v>
      </c>
      <c r="L295" s="441"/>
      <c r="M295" s="441"/>
      <c r="N295" s="441"/>
      <c r="O295" s="390">
        <f t="shared" si="293"/>
        <v>372923725.60000002</v>
      </c>
      <c r="P295" s="547">
        <f>E295+J295</f>
        <v>372923725.60000002</v>
      </c>
      <c r="Q295" s="22"/>
      <c r="R295" s="48"/>
    </row>
    <row r="296" spans="1:18" ht="48" thickTop="1" thickBot="1" x14ac:dyDescent="0.25">
      <c r="A296" s="455" t="s">
        <v>819</v>
      </c>
      <c r="B296" s="455" t="s">
        <v>703</v>
      </c>
      <c r="C296" s="455"/>
      <c r="D296" s="455" t="s">
        <v>807</v>
      </c>
      <c r="E296" s="502">
        <f t="shared" ref="E296:P296" si="310">E297+E299</f>
        <v>0</v>
      </c>
      <c r="F296" s="502">
        <f t="shared" si="310"/>
        <v>0</v>
      </c>
      <c r="G296" s="502">
        <f t="shared" si="310"/>
        <v>0</v>
      </c>
      <c r="H296" s="502">
        <f t="shared" si="310"/>
        <v>0</v>
      </c>
      <c r="I296" s="502">
        <f t="shared" si="310"/>
        <v>0</v>
      </c>
      <c r="J296" s="502">
        <f t="shared" si="310"/>
        <v>852942</v>
      </c>
      <c r="K296" s="502">
        <f t="shared" si="310"/>
        <v>0</v>
      </c>
      <c r="L296" s="502">
        <f t="shared" si="310"/>
        <v>852942</v>
      </c>
      <c r="M296" s="502">
        <f t="shared" si="310"/>
        <v>0</v>
      </c>
      <c r="N296" s="502">
        <f t="shared" si="310"/>
        <v>0</v>
      </c>
      <c r="O296" s="502">
        <f t="shared" si="310"/>
        <v>0</v>
      </c>
      <c r="P296" s="502">
        <f t="shared" si="310"/>
        <v>852942</v>
      </c>
      <c r="Q296" s="22"/>
      <c r="R296" s="53"/>
    </row>
    <row r="297" spans="1:18" ht="382.5" customHeight="1" thickTop="1" thickBot="1" x14ac:dyDescent="0.7">
      <c r="A297" s="895" t="s">
        <v>558</v>
      </c>
      <c r="B297" s="895" t="s">
        <v>343</v>
      </c>
      <c r="C297" s="895" t="s">
        <v>171</v>
      </c>
      <c r="D297" s="729" t="s">
        <v>445</v>
      </c>
      <c r="E297" s="893"/>
      <c r="F297" s="894"/>
      <c r="G297" s="894"/>
      <c r="H297" s="894"/>
      <c r="I297" s="894"/>
      <c r="J297" s="893">
        <f t="shared" si="290"/>
        <v>852942</v>
      </c>
      <c r="K297" s="894"/>
      <c r="L297" s="894">
        <f>0+852942</f>
        <v>852942</v>
      </c>
      <c r="M297" s="894"/>
      <c r="N297" s="894"/>
      <c r="O297" s="915"/>
      <c r="P297" s="929">
        <f>E297+J297</f>
        <v>852942</v>
      </c>
      <c r="Q297" s="22"/>
      <c r="R297" s="53"/>
    </row>
    <row r="298" spans="1:18" ht="184.5" thickTop="1" thickBot="1" x14ac:dyDescent="0.25">
      <c r="A298" s="895"/>
      <c r="B298" s="895"/>
      <c r="C298" s="895"/>
      <c r="D298" s="730" t="s">
        <v>446</v>
      </c>
      <c r="E298" s="893"/>
      <c r="F298" s="894"/>
      <c r="G298" s="894"/>
      <c r="H298" s="894"/>
      <c r="I298" s="894"/>
      <c r="J298" s="893"/>
      <c r="K298" s="894"/>
      <c r="L298" s="894"/>
      <c r="M298" s="894"/>
      <c r="N298" s="894"/>
      <c r="O298" s="915"/>
      <c r="P298" s="929"/>
      <c r="Q298" s="22"/>
      <c r="R298" s="53"/>
    </row>
    <row r="299" spans="1:18" s="114" customFormat="1" ht="93" hidden="1" thickTop="1" thickBot="1" x14ac:dyDescent="0.25">
      <c r="A299" s="162" t="s">
        <v>1231</v>
      </c>
      <c r="B299" s="162" t="s">
        <v>262</v>
      </c>
      <c r="C299" s="162" t="s">
        <v>171</v>
      </c>
      <c r="D299" s="190" t="s">
        <v>260</v>
      </c>
      <c r="E299" s="186">
        <f t="shared" ref="E299" si="311">F299</f>
        <v>0</v>
      </c>
      <c r="F299" s="163"/>
      <c r="G299" s="163"/>
      <c r="H299" s="163"/>
      <c r="I299" s="163"/>
      <c r="J299" s="668">
        <f t="shared" ref="J299" si="312">L299+O299</f>
        <v>0</v>
      </c>
      <c r="K299" s="168"/>
      <c r="L299" s="163"/>
      <c r="M299" s="163"/>
      <c r="N299" s="163"/>
      <c r="O299" s="166">
        <f t="shared" ref="O299" si="313">K299</f>
        <v>0</v>
      </c>
      <c r="P299" s="161">
        <f>E299+J299</f>
        <v>0</v>
      </c>
      <c r="Q299" s="22"/>
      <c r="R299" s="53"/>
    </row>
    <row r="300" spans="1:18" ht="47.25" thickTop="1" thickBot="1" x14ac:dyDescent="0.25">
      <c r="A300" s="385" t="s">
        <v>820</v>
      </c>
      <c r="B300" s="385" t="s">
        <v>705</v>
      </c>
      <c r="C300" s="385"/>
      <c r="D300" s="560" t="s">
        <v>706</v>
      </c>
      <c r="E300" s="670">
        <f>E301</f>
        <v>6591684</v>
      </c>
      <c r="F300" s="670">
        <f t="shared" ref="F300:P300" si="314">F301</f>
        <v>6591684</v>
      </c>
      <c r="G300" s="670">
        <f t="shared" si="314"/>
        <v>1669391</v>
      </c>
      <c r="H300" s="670">
        <f t="shared" si="314"/>
        <v>69329</v>
      </c>
      <c r="I300" s="670">
        <f t="shared" si="314"/>
        <v>0</v>
      </c>
      <c r="J300" s="670">
        <f t="shared" si="314"/>
        <v>1000000</v>
      </c>
      <c r="K300" s="547">
        <f t="shared" si="314"/>
        <v>1000000</v>
      </c>
      <c r="L300" s="547">
        <f t="shared" si="314"/>
        <v>0</v>
      </c>
      <c r="M300" s="547">
        <f t="shared" si="314"/>
        <v>0</v>
      </c>
      <c r="N300" s="547">
        <f t="shared" si="314"/>
        <v>0</v>
      </c>
      <c r="O300" s="547">
        <f t="shared" si="314"/>
        <v>1000000</v>
      </c>
      <c r="P300" s="547">
        <f t="shared" si="314"/>
        <v>7591684</v>
      </c>
      <c r="Q300" s="22"/>
      <c r="R300" s="53"/>
    </row>
    <row r="301" spans="1:18" ht="136.5" thickTop="1" thickBot="1" x14ac:dyDescent="0.25">
      <c r="A301" s="387" t="s">
        <v>821</v>
      </c>
      <c r="B301" s="387" t="s">
        <v>822</v>
      </c>
      <c r="C301" s="387"/>
      <c r="D301" s="697" t="s">
        <v>1368</v>
      </c>
      <c r="E301" s="391">
        <f>SUM(E302:E304)</f>
        <v>6591684</v>
      </c>
      <c r="F301" s="391">
        <f t="shared" ref="F301:P301" si="315">SUM(F302:F304)</f>
        <v>6591684</v>
      </c>
      <c r="G301" s="391">
        <f t="shared" si="315"/>
        <v>1669391</v>
      </c>
      <c r="H301" s="391">
        <f t="shared" si="315"/>
        <v>69329</v>
      </c>
      <c r="I301" s="391">
        <f t="shared" si="315"/>
        <v>0</v>
      </c>
      <c r="J301" s="391">
        <f t="shared" si="315"/>
        <v>1000000</v>
      </c>
      <c r="K301" s="391">
        <f t="shared" si="315"/>
        <v>1000000</v>
      </c>
      <c r="L301" s="391">
        <f t="shared" si="315"/>
        <v>0</v>
      </c>
      <c r="M301" s="391">
        <f t="shared" si="315"/>
        <v>0</v>
      </c>
      <c r="N301" s="391">
        <f t="shared" si="315"/>
        <v>0</v>
      </c>
      <c r="O301" s="391">
        <f t="shared" si="315"/>
        <v>1000000</v>
      </c>
      <c r="P301" s="391">
        <f t="shared" si="315"/>
        <v>7591684</v>
      </c>
      <c r="Q301" s="22"/>
      <c r="R301" s="53"/>
    </row>
    <row r="302" spans="1:18" ht="184.5" thickTop="1" thickBot="1" x14ac:dyDescent="0.25">
      <c r="A302" s="546" t="s">
        <v>559</v>
      </c>
      <c r="B302" s="546" t="s">
        <v>523</v>
      </c>
      <c r="C302" s="546" t="s">
        <v>256</v>
      </c>
      <c r="D302" s="546" t="s">
        <v>524</v>
      </c>
      <c r="E302" s="386">
        <f>F302</f>
        <v>4361250</v>
      </c>
      <c r="F302" s="441">
        <f>((1000000)+500000)+2861250</f>
        <v>4361250</v>
      </c>
      <c r="G302" s="441"/>
      <c r="H302" s="441"/>
      <c r="I302" s="441"/>
      <c r="J302" s="547">
        <f>L302+O302</f>
        <v>1000000</v>
      </c>
      <c r="K302" s="389">
        <f>((8100000)-8100000)+1000000</f>
        <v>1000000</v>
      </c>
      <c r="L302" s="441"/>
      <c r="M302" s="441"/>
      <c r="N302" s="441"/>
      <c r="O302" s="390">
        <f>K302</f>
        <v>1000000</v>
      </c>
      <c r="P302" s="547">
        <f>E302+J302</f>
        <v>5361250</v>
      </c>
      <c r="Q302" s="22"/>
      <c r="R302" s="53"/>
    </row>
    <row r="303" spans="1:18" ht="93" thickTop="1" thickBot="1" x14ac:dyDescent="0.25">
      <c r="A303" s="546" t="s">
        <v>560</v>
      </c>
      <c r="B303" s="546" t="s">
        <v>255</v>
      </c>
      <c r="C303" s="546" t="s">
        <v>256</v>
      </c>
      <c r="D303" s="546" t="s">
        <v>254</v>
      </c>
      <c r="E303" s="386">
        <f t="shared" ref="E303:E304" si="316">F303</f>
        <v>2230434</v>
      </c>
      <c r="F303" s="441">
        <v>2230434</v>
      </c>
      <c r="G303" s="441">
        <v>1669391</v>
      </c>
      <c r="H303" s="441">
        <f>2825+50400+16104</f>
        <v>69329</v>
      </c>
      <c r="I303" s="441"/>
      <c r="J303" s="547">
        <f>L303+O303</f>
        <v>0</v>
      </c>
      <c r="K303" s="389"/>
      <c r="L303" s="441"/>
      <c r="M303" s="441"/>
      <c r="N303" s="441"/>
      <c r="O303" s="390">
        <f>K303</f>
        <v>0</v>
      </c>
      <c r="P303" s="547">
        <f>E303+J303</f>
        <v>2230434</v>
      </c>
      <c r="Q303" s="22"/>
      <c r="R303" s="49"/>
    </row>
    <row r="304" spans="1:18" ht="93" hidden="1" thickTop="1" thickBot="1" x14ac:dyDescent="0.25">
      <c r="A304" s="44" t="s">
        <v>561</v>
      </c>
      <c r="B304" s="44" t="s">
        <v>562</v>
      </c>
      <c r="C304" s="44" t="s">
        <v>256</v>
      </c>
      <c r="D304" s="44" t="s">
        <v>563</v>
      </c>
      <c r="E304" s="194">
        <f t="shared" si="316"/>
        <v>0</v>
      </c>
      <c r="F304" s="195">
        <f>(1219000)-1219000</f>
        <v>0</v>
      </c>
      <c r="G304" s="195">
        <f>(354000+540000)-894000</f>
        <v>0</v>
      </c>
      <c r="H304" s="195">
        <f>(6000+3000)-9000</f>
        <v>0</v>
      </c>
      <c r="I304" s="195"/>
      <c r="J304" s="45">
        <f>L304+O304</f>
        <v>0</v>
      </c>
      <c r="K304" s="46"/>
      <c r="L304" s="195"/>
      <c r="M304" s="195"/>
      <c r="N304" s="195"/>
      <c r="O304" s="47">
        <f>K304</f>
        <v>0</v>
      </c>
      <c r="P304" s="45">
        <f>E304+J304</f>
        <v>0</v>
      </c>
      <c r="Q304" s="22"/>
      <c r="R304" s="53"/>
    </row>
    <row r="305" spans="1:18" ht="181.5" thickTop="1" thickBot="1" x14ac:dyDescent="0.25">
      <c r="A305" s="460" t="s">
        <v>25</v>
      </c>
      <c r="B305" s="460"/>
      <c r="C305" s="460"/>
      <c r="D305" s="461" t="s">
        <v>1466</v>
      </c>
      <c r="E305" s="463">
        <f>E306</f>
        <v>3862358</v>
      </c>
      <c r="F305" s="462">
        <f t="shared" ref="F305:G305" si="317">F306</f>
        <v>3862358</v>
      </c>
      <c r="G305" s="462">
        <f t="shared" si="317"/>
        <v>2744545</v>
      </c>
      <c r="H305" s="462">
        <f>H306</f>
        <v>147298</v>
      </c>
      <c r="I305" s="462">
        <f t="shared" ref="I305" si="318">I306</f>
        <v>0</v>
      </c>
      <c r="J305" s="463">
        <f>J306</f>
        <v>104876684</v>
      </c>
      <c r="K305" s="462">
        <f>K306</f>
        <v>104876684</v>
      </c>
      <c r="L305" s="462">
        <f>L306</f>
        <v>0</v>
      </c>
      <c r="M305" s="462">
        <f t="shared" ref="M305" si="319">M306</f>
        <v>0</v>
      </c>
      <c r="N305" s="462">
        <f>N306</f>
        <v>0</v>
      </c>
      <c r="O305" s="463">
        <f>O306</f>
        <v>104876684</v>
      </c>
      <c r="P305" s="462">
        <f t="shared" ref="P305" si="320">P306</f>
        <v>108739042</v>
      </c>
      <c r="Q305" s="22"/>
    </row>
    <row r="306" spans="1:18" ht="181.5" thickTop="1" thickBot="1" x14ac:dyDescent="0.25">
      <c r="A306" s="464" t="s">
        <v>26</v>
      </c>
      <c r="B306" s="464"/>
      <c r="C306" s="464"/>
      <c r="D306" s="465" t="s">
        <v>905</v>
      </c>
      <c r="E306" s="466">
        <f>E307+E313+E316+E311</f>
        <v>3862358</v>
      </c>
      <c r="F306" s="466">
        <f>F307+F313+F316+F311</f>
        <v>3862358</v>
      </c>
      <c r="G306" s="466">
        <f>G307+G313+G316+G311</f>
        <v>2744545</v>
      </c>
      <c r="H306" s="466">
        <f>H307+H313+H316+H311</f>
        <v>147298</v>
      </c>
      <c r="I306" s="466">
        <f>I307+I313+I316+I311</f>
        <v>0</v>
      </c>
      <c r="J306" s="466">
        <f>L306+O306</f>
        <v>104876684</v>
      </c>
      <c r="K306" s="466">
        <f>K307+K313+K316+K311</f>
        <v>104876684</v>
      </c>
      <c r="L306" s="466">
        <f>L307+L313+L316+L311</f>
        <v>0</v>
      </c>
      <c r="M306" s="466">
        <f>M307+M313+M316+M311</f>
        <v>0</v>
      </c>
      <c r="N306" s="466">
        <f>N307+N313+N316+N311</f>
        <v>0</v>
      </c>
      <c r="O306" s="466">
        <f>O307+O313+O316+O311</f>
        <v>104876684</v>
      </c>
      <c r="P306" s="466">
        <f>E306+J306</f>
        <v>108739042</v>
      </c>
      <c r="Q306" s="392" t="b">
        <f>P306=P308+P309+P312+P315+P318+P320+P321+P323</f>
        <v>1</v>
      </c>
      <c r="R306" s="49"/>
    </row>
    <row r="307" spans="1:18" ht="47.25" thickTop="1" thickBot="1" x14ac:dyDescent="0.25">
      <c r="A307" s="385" t="s">
        <v>823</v>
      </c>
      <c r="B307" s="385" t="s">
        <v>693</v>
      </c>
      <c r="C307" s="385"/>
      <c r="D307" s="385" t="s">
        <v>694</v>
      </c>
      <c r="E307" s="670">
        <f t="shared" ref="E307:P307" si="321">SUM(E308:E310)</f>
        <v>3862358</v>
      </c>
      <c r="F307" s="670">
        <f t="shared" si="321"/>
        <v>3862358</v>
      </c>
      <c r="G307" s="670">
        <f t="shared" si="321"/>
        <v>2744545</v>
      </c>
      <c r="H307" s="670">
        <f t="shared" si="321"/>
        <v>147298</v>
      </c>
      <c r="I307" s="670">
        <f t="shared" si="321"/>
        <v>0</v>
      </c>
      <c r="J307" s="670">
        <f t="shared" si="321"/>
        <v>0</v>
      </c>
      <c r="K307" s="547">
        <f t="shared" si="321"/>
        <v>0</v>
      </c>
      <c r="L307" s="547">
        <f t="shared" si="321"/>
        <v>0</v>
      </c>
      <c r="M307" s="547">
        <f t="shared" si="321"/>
        <v>0</v>
      </c>
      <c r="N307" s="547">
        <f t="shared" si="321"/>
        <v>0</v>
      </c>
      <c r="O307" s="547">
        <f t="shared" si="321"/>
        <v>0</v>
      </c>
      <c r="P307" s="547">
        <f t="shared" si="321"/>
        <v>3862358</v>
      </c>
      <c r="Q307" s="50"/>
      <c r="R307" s="49"/>
    </row>
    <row r="308" spans="1:18" ht="230.25" thickTop="1" thickBot="1" x14ac:dyDescent="0.25">
      <c r="A308" s="546" t="s">
        <v>422</v>
      </c>
      <c r="B308" s="546" t="s">
        <v>241</v>
      </c>
      <c r="C308" s="546" t="s">
        <v>239</v>
      </c>
      <c r="D308" s="546" t="s">
        <v>240</v>
      </c>
      <c r="E308" s="670">
        <f>F308</f>
        <v>3852358</v>
      </c>
      <c r="F308" s="389">
        <v>3852358</v>
      </c>
      <c r="G308" s="389">
        <v>2744545</v>
      </c>
      <c r="H308" s="389">
        <f>3963+73000+70335</f>
        <v>147298</v>
      </c>
      <c r="I308" s="389"/>
      <c r="J308" s="670">
        <f t="shared" ref="J308:J324" si="322">L308+O308</f>
        <v>0</v>
      </c>
      <c r="K308" s="389"/>
      <c r="L308" s="389"/>
      <c r="M308" s="389"/>
      <c r="N308" s="389"/>
      <c r="O308" s="390">
        <f>K308</f>
        <v>0</v>
      </c>
      <c r="P308" s="547">
        <f t="shared" ref="P308:P324" si="323">E308+J308</f>
        <v>3852358</v>
      </c>
      <c r="Q308" s="50"/>
      <c r="R308" s="53"/>
    </row>
    <row r="309" spans="1:18" ht="184.5" thickTop="1" thickBot="1" x14ac:dyDescent="0.25">
      <c r="A309" s="546" t="s">
        <v>639</v>
      </c>
      <c r="B309" s="546" t="s">
        <v>367</v>
      </c>
      <c r="C309" s="546" t="s">
        <v>634</v>
      </c>
      <c r="D309" s="546" t="s">
        <v>635</v>
      </c>
      <c r="E309" s="386">
        <f>F309</f>
        <v>10000</v>
      </c>
      <c r="F309" s="441">
        <v>10000</v>
      </c>
      <c r="G309" s="441"/>
      <c r="H309" s="441"/>
      <c r="I309" s="441"/>
      <c r="J309" s="670">
        <f t="shared" si="322"/>
        <v>0</v>
      </c>
      <c r="K309" s="441"/>
      <c r="L309" s="442"/>
      <c r="M309" s="442"/>
      <c r="N309" s="442"/>
      <c r="O309" s="390">
        <f t="shared" ref="O309" si="324">K309</f>
        <v>0</v>
      </c>
      <c r="P309" s="547">
        <f t="shared" ref="P309" si="325">+J309+E309</f>
        <v>10000</v>
      </c>
      <c r="Q309" s="50"/>
      <c r="R309" s="53"/>
    </row>
    <row r="310" spans="1:18" ht="93" hidden="1" thickTop="1" thickBot="1" x14ac:dyDescent="0.25">
      <c r="A310" s="162" t="s">
        <v>941</v>
      </c>
      <c r="B310" s="162" t="s">
        <v>43</v>
      </c>
      <c r="C310" s="162" t="s">
        <v>42</v>
      </c>
      <c r="D310" s="162" t="s">
        <v>253</v>
      </c>
      <c r="E310" s="668">
        <f>F310</f>
        <v>0</v>
      </c>
      <c r="F310" s="168">
        <v>0</v>
      </c>
      <c r="G310" s="168"/>
      <c r="H310" s="168"/>
      <c r="I310" s="168"/>
      <c r="J310" s="668">
        <f t="shared" ref="J310" si="326">L310+O310</f>
        <v>0</v>
      </c>
      <c r="K310" s="163"/>
      <c r="L310" s="164"/>
      <c r="M310" s="164"/>
      <c r="N310" s="164"/>
      <c r="O310" s="166">
        <f t="shared" ref="O310" si="327">K310</f>
        <v>0</v>
      </c>
      <c r="P310" s="161">
        <f t="shared" ref="P310" si="328">+J310+E310</f>
        <v>0</v>
      </c>
      <c r="Q310" s="50"/>
      <c r="R310" s="53"/>
    </row>
    <row r="311" spans="1:18" s="118" customFormat="1" ht="91.5" thickTop="1" thickBot="1" x14ac:dyDescent="0.25">
      <c r="A311" s="385" t="s">
        <v>1285</v>
      </c>
      <c r="B311" s="385" t="s">
        <v>720</v>
      </c>
      <c r="C311" s="385"/>
      <c r="D311" s="385" t="s">
        <v>721</v>
      </c>
      <c r="E311" s="670">
        <f t="shared" ref="E311:P311" si="329">SUM(E312:E312)</f>
        <v>0</v>
      </c>
      <c r="F311" s="670">
        <f t="shared" si="329"/>
        <v>0</v>
      </c>
      <c r="G311" s="670">
        <f t="shared" si="329"/>
        <v>0</v>
      </c>
      <c r="H311" s="670">
        <f t="shared" si="329"/>
        <v>0</v>
      </c>
      <c r="I311" s="670">
        <f t="shared" si="329"/>
        <v>0</v>
      </c>
      <c r="J311" s="670">
        <f t="shared" si="329"/>
        <v>5098000</v>
      </c>
      <c r="K311" s="547">
        <f t="shared" si="329"/>
        <v>5098000</v>
      </c>
      <c r="L311" s="547">
        <f t="shared" si="329"/>
        <v>0</v>
      </c>
      <c r="M311" s="547">
        <f t="shared" si="329"/>
        <v>0</v>
      </c>
      <c r="N311" s="547">
        <f t="shared" si="329"/>
        <v>0</v>
      </c>
      <c r="O311" s="547">
        <f t="shared" si="329"/>
        <v>5098000</v>
      </c>
      <c r="P311" s="547">
        <f t="shared" si="329"/>
        <v>5098000</v>
      </c>
      <c r="Q311" s="50"/>
      <c r="R311" s="53"/>
    </row>
    <row r="312" spans="1:18" s="118" customFormat="1" ht="230.25" thickTop="1" thickBot="1" x14ac:dyDescent="0.25">
      <c r="A312" s="546" t="s">
        <v>1286</v>
      </c>
      <c r="B312" s="546" t="s">
        <v>1249</v>
      </c>
      <c r="C312" s="546" t="s">
        <v>211</v>
      </c>
      <c r="D312" s="470" t="s">
        <v>1250</v>
      </c>
      <c r="E312" s="670">
        <f t="shared" ref="E312" si="330">F312</f>
        <v>0</v>
      </c>
      <c r="F312" s="389">
        <v>0</v>
      </c>
      <c r="G312" s="389"/>
      <c r="H312" s="389"/>
      <c r="I312" s="389"/>
      <c r="J312" s="670">
        <f>L312+O312</f>
        <v>5098000</v>
      </c>
      <c r="K312" s="389">
        <f>((1350000)+4700000)-952000</f>
        <v>5098000</v>
      </c>
      <c r="L312" s="389"/>
      <c r="M312" s="389"/>
      <c r="N312" s="389"/>
      <c r="O312" s="390">
        <f>K312</f>
        <v>5098000</v>
      </c>
      <c r="P312" s="547">
        <f>E312+J312</f>
        <v>5098000</v>
      </c>
      <c r="Q312" s="50"/>
      <c r="R312" s="53"/>
    </row>
    <row r="313" spans="1:18" ht="47.25" thickTop="1" thickBot="1" x14ac:dyDescent="0.25">
      <c r="A313" s="385" t="s">
        <v>824</v>
      </c>
      <c r="B313" s="385" t="s">
        <v>780</v>
      </c>
      <c r="C313" s="546"/>
      <c r="D313" s="385" t="s">
        <v>781</v>
      </c>
      <c r="E313" s="386">
        <f>E314</f>
        <v>0</v>
      </c>
      <c r="F313" s="386">
        <f t="shared" ref="F313:P314" si="331">F314</f>
        <v>0</v>
      </c>
      <c r="G313" s="386">
        <f t="shared" si="331"/>
        <v>0</v>
      </c>
      <c r="H313" s="386">
        <f t="shared" si="331"/>
        <v>0</v>
      </c>
      <c r="I313" s="386">
        <f t="shared" si="331"/>
        <v>0</v>
      </c>
      <c r="J313" s="386">
        <f t="shared" si="331"/>
        <v>3000000</v>
      </c>
      <c r="K313" s="386">
        <f t="shared" si="331"/>
        <v>3000000</v>
      </c>
      <c r="L313" s="386">
        <f t="shared" si="331"/>
        <v>0</v>
      </c>
      <c r="M313" s="386">
        <f t="shared" si="331"/>
        <v>0</v>
      </c>
      <c r="N313" s="386">
        <f t="shared" si="331"/>
        <v>0</v>
      </c>
      <c r="O313" s="386">
        <f t="shared" si="331"/>
        <v>3000000</v>
      </c>
      <c r="P313" s="386">
        <f t="shared" si="331"/>
        <v>3000000</v>
      </c>
      <c r="Q313" s="50"/>
      <c r="R313" s="53"/>
    </row>
    <row r="314" spans="1:18" ht="93" thickTop="1" thickBot="1" x14ac:dyDescent="0.25">
      <c r="A314" s="455" t="s">
        <v>825</v>
      </c>
      <c r="B314" s="455" t="s">
        <v>826</v>
      </c>
      <c r="C314" s="455"/>
      <c r="D314" s="455" t="s">
        <v>827</v>
      </c>
      <c r="E314" s="502">
        <f>E315</f>
        <v>0</v>
      </c>
      <c r="F314" s="502">
        <f t="shared" si="331"/>
        <v>0</v>
      </c>
      <c r="G314" s="502">
        <f t="shared" si="331"/>
        <v>0</v>
      </c>
      <c r="H314" s="502">
        <f t="shared" si="331"/>
        <v>0</v>
      </c>
      <c r="I314" s="502">
        <f t="shared" si="331"/>
        <v>0</v>
      </c>
      <c r="J314" s="502">
        <f t="shared" si="331"/>
        <v>3000000</v>
      </c>
      <c r="K314" s="502">
        <f t="shared" si="331"/>
        <v>3000000</v>
      </c>
      <c r="L314" s="502">
        <f t="shared" si="331"/>
        <v>0</v>
      </c>
      <c r="M314" s="502">
        <f t="shared" si="331"/>
        <v>0</v>
      </c>
      <c r="N314" s="502">
        <f t="shared" si="331"/>
        <v>0</v>
      </c>
      <c r="O314" s="502">
        <f t="shared" si="331"/>
        <v>3000000</v>
      </c>
      <c r="P314" s="502">
        <f t="shared" si="331"/>
        <v>3000000</v>
      </c>
      <c r="Q314" s="50"/>
      <c r="R314" s="53"/>
    </row>
    <row r="315" spans="1:18" ht="409.6" thickTop="1" thickBot="1" x14ac:dyDescent="0.25">
      <c r="A315" s="546" t="s">
        <v>438</v>
      </c>
      <c r="B315" s="546" t="s">
        <v>439</v>
      </c>
      <c r="C315" s="546" t="s">
        <v>200</v>
      </c>
      <c r="D315" s="546" t="s">
        <v>1226</v>
      </c>
      <c r="E315" s="670">
        <f t="shared" ref="E315:E322" si="332">F315</f>
        <v>0</v>
      </c>
      <c r="F315" s="389"/>
      <c r="G315" s="389"/>
      <c r="H315" s="389"/>
      <c r="I315" s="389"/>
      <c r="J315" s="670">
        <f t="shared" si="322"/>
        <v>3000000</v>
      </c>
      <c r="K315" s="389">
        <v>3000000</v>
      </c>
      <c r="L315" s="389"/>
      <c r="M315" s="389"/>
      <c r="N315" s="389"/>
      <c r="O315" s="390">
        <f t="shared" ref="O315" si="333">K315</f>
        <v>3000000</v>
      </c>
      <c r="P315" s="547">
        <f t="shared" si="323"/>
        <v>3000000</v>
      </c>
      <c r="Q315" s="50"/>
      <c r="R315" s="49"/>
    </row>
    <row r="316" spans="1:18" ht="47.25" thickTop="1" thickBot="1" x14ac:dyDescent="0.25">
      <c r="A316" s="385" t="s">
        <v>828</v>
      </c>
      <c r="B316" s="385" t="s">
        <v>757</v>
      </c>
      <c r="C316" s="546"/>
      <c r="D316" s="385" t="s">
        <v>804</v>
      </c>
      <c r="E316" s="670">
        <f>E317+E325</f>
        <v>0</v>
      </c>
      <c r="F316" s="670">
        <f t="shared" ref="F316:I316" si="334">F317+F325</f>
        <v>0</v>
      </c>
      <c r="G316" s="670">
        <f t="shared" si="334"/>
        <v>0</v>
      </c>
      <c r="H316" s="670">
        <f t="shared" si="334"/>
        <v>0</v>
      </c>
      <c r="I316" s="670">
        <f t="shared" si="334"/>
        <v>0</v>
      </c>
      <c r="J316" s="670">
        <f t="shared" ref="J316" si="335">J317+J325</f>
        <v>96778684</v>
      </c>
      <c r="K316" s="547">
        <f t="shared" ref="K316" si="336">K317+K325</f>
        <v>96778684</v>
      </c>
      <c r="L316" s="547">
        <f t="shared" ref="L316" si="337">L317+L325</f>
        <v>0</v>
      </c>
      <c r="M316" s="547">
        <f t="shared" ref="M316" si="338">M317+M325</f>
        <v>0</v>
      </c>
      <c r="N316" s="547">
        <f t="shared" ref="N316" si="339">N317+N325</f>
        <v>0</v>
      </c>
      <c r="O316" s="547">
        <f t="shared" ref="O316" si="340">O317+O325</f>
        <v>96778684</v>
      </c>
      <c r="P316" s="547">
        <f t="shared" ref="P316" si="341">P317+P325</f>
        <v>96778684</v>
      </c>
      <c r="Q316" s="50"/>
      <c r="R316" s="53"/>
    </row>
    <row r="317" spans="1:18" ht="91.5" thickTop="1" thickBot="1" x14ac:dyDescent="0.25">
      <c r="A317" s="387" t="s">
        <v>829</v>
      </c>
      <c r="B317" s="387" t="s">
        <v>813</v>
      </c>
      <c r="C317" s="387"/>
      <c r="D317" s="387" t="s">
        <v>814</v>
      </c>
      <c r="E317" s="391">
        <f t="shared" ref="E317:P317" si="342">SUM(E318:E324)-E319</f>
        <v>0</v>
      </c>
      <c r="F317" s="391">
        <f t="shared" si="342"/>
        <v>0</v>
      </c>
      <c r="G317" s="391">
        <f t="shared" si="342"/>
        <v>0</v>
      </c>
      <c r="H317" s="391">
        <f t="shared" si="342"/>
        <v>0</v>
      </c>
      <c r="I317" s="391">
        <f t="shared" si="342"/>
        <v>0</v>
      </c>
      <c r="J317" s="391">
        <f t="shared" si="342"/>
        <v>96778684</v>
      </c>
      <c r="K317" s="391">
        <f t="shared" si="342"/>
        <v>96778684</v>
      </c>
      <c r="L317" s="391">
        <f t="shared" si="342"/>
        <v>0</v>
      </c>
      <c r="M317" s="391">
        <f t="shared" si="342"/>
        <v>0</v>
      </c>
      <c r="N317" s="391">
        <f t="shared" si="342"/>
        <v>0</v>
      </c>
      <c r="O317" s="391">
        <f t="shared" si="342"/>
        <v>96778684</v>
      </c>
      <c r="P317" s="391">
        <f t="shared" si="342"/>
        <v>96778684</v>
      </c>
      <c r="Q317" s="50"/>
      <c r="R317" s="53"/>
    </row>
    <row r="318" spans="1:18" ht="99.75" thickTop="1" thickBot="1" x14ac:dyDescent="0.25">
      <c r="A318" s="546" t="s">
        <v>940</v>
      </c>
      <c r="B318" s="546" t="s">
        <v>310</v>
      </c>
      <c r="C318" s="546" t="s">
        <v>309</v>
      </c>
      <c r="D318" s="546" t="s">
        <v>1342</v>
      </c>
      <c r="E318" s="670">
        <f t="shared" ref="E318" si="343">F318</f>
        <v>0</v>
      </c>
      <c r="F318" s="389"/>
      <c r="G318" s="389"/>
      <c r="H318" s="389"/>
      <c r="I318" s="389"/>
      <c r="J318" s="670">
        <f t="shared" ref="J318" si="344">L318+O318</f>
        <v>4500000</v>
      </c>
      <c r="K318" s="389">
        <f>((100000)+1000000)+3400000</f>
        <v>4500000</v>
      </c>
      <c r="L318" s="389"/>
      <c r="M318" s="389"/>
      <c r="N318" s="389"/>
      <c r="O318" s="390">
        <f>K318</f>
        <v>4500000</v>
      </c>
      <c r="P318" s="547">
        <f t="shared" ref="P318" si="345">E318+J318</f>
        <v>4500000</v>
      </c>
      <c r="Q318" s="50"/>
      <c r="R318" s="49"/>
    </row>
    <row r="319" spans="1:18" ht="146.25" thickTop="1" thickBot="1" x14ac:dyDescent="0.25">
      <c r="A319" s="455" t="s">
        <v>830</v>
      </c>
      <c r="B319" s="455" t="s">
        <v>831</v>
      </c>
      <c r="C319" s="455"/>
      <c r="D319" s="455" t="s">
        <v>1335</v>
      </c>
      <c r="E319" s="440">
        <f>SUM(E320:E321)</f>
        <v>0</v>
      </c>
      <c r="F319" s="440">
        <f t="shared" ref="F319:P319" si="346">SUM(F320:F321)</f>
        <v>0</v>
      </c>
      <c r="G319" s="440">
        <f t="shared" si="346"/>
        <v>0</v>
      </c>
      <c r="H319" s="440">
        <f t="shared" si="346"/>
        <v>0</v>
      </c>
      <c r="I319" s="440">
        <f t="shared" si="346"/>
        <v>0</v>
      </c>
      <c r="J319" s="440">
        <f t="shared" si="346"/>
        <v>53533650</v>
      </c>
      <c r="K319" s="440">
        <f t="shared" si="346"/>
        <v>53533650</v>
      </c>
      <c r="L319" s="440">
        <f t="shared" si="346"/>
        <v>0</v>
      </c>
      <c r="M319" s="440">
        <f t="shared" si="346"/>
        <v>0</v>
      </c>
      <c r="N319" s="440">
        <f t="shared" si="346"/>
        <v>0</v>
      </c>
      <c r="O319" s="440">
        <f t="shared" si="346"/>
        <v>53533650</v>
      </c>
      <c r="P319" s="440">
        <f t="shared" si="346"/>
        <v>53533650</v>
      </c>
      <c r="Q319" s="50"/>
      <c r="R319" s="53"/>
    </row>
    <row r="320" spans="1:18" ht="99.75" thickTop="1" thickBot="1" x14ac:dyDescent="0.25">
      <c r="A320" s="546" t="s">
        <v>315</v>
      </c>
      <c r="B320" s="546" t="s">
        <v>316</v>
      </c>
      <c r="C320" s="546" t="s">
        <v>309</v>
      </c>
      <c r="D320" s="546" t="s">
        <v>1319</v>
      </c>
      <c r="E320" s="547">
        <f t="shared" si="332"/>
        <v>0</v>
      </c>
      <c r="F320" s="389"/>
      <c r="G320" s="389"/>
      <c r="H320" s="389"/>
      <c r="I320" s="389"/>
      <c r="J320" s="547">
        <f t="shared" si="322"/>
        <v>52133650</v>
      </c>
      <c r="K320" s="389">
        <f>((700000)+50933650)+500000</f>
        <v>52133650</v>
      </c>
      <c r="L320" s="389"/>
      <c r="M320" s="389"/>
      <c r="N320" s="389"/>
      <c r="O320" s="390">
        <f>K320</f>
        <v>52133650</v>
      </c>
      <c r="P320" s="547">
        <f t="shared" si="323"/>
        <v>52133650</v>
      </c>
      <c r="Q320" s="160"/>
      <c r="R320" s="49"/>
    </row>
    <row r="321" spans="1:18" ht="99.75" thickTop="1" thickBot="1" x14ac:dyDescent="0.25">
      <c r="A321" s="546" t="s">
        <v>521</v>
      </c>
      <c r="B321" s="546" t="s">
        <v>522</v>
      </c>
      <c r="C321" s="546" t="s">
        <v>309</v>
      </c>
      <c r="D321" s="546" t="s">
        <v>1348</v>
      </c>
      <c r="E321" s="547">
        <f t="shared" si="332"/>
        <v>0</v>
      </c>
      <c r="F321" s="389"/>
      <c r="G321" s="389"/>
      <c r="H321" s="389"/>
      <c r="I321" s="389"/>
      <c r="J321" s="547">
        <f t="shared" si="322"/>
        <v>1400000</v>
      </c>
      <c r="K321" s="389">
        <f>(500000)+900000</f>
        <v>1400000</v>
      </c>
      <c r="L321" s="389"/>
      <c r="M321" s="389"/>
      <c r="N321" s="389"/>
      <c r="O321" s="390">
        <f>K321</f>
        <v>1400000</v>
      </c>
      <c r="P321" s="547">
        <f t="shared" si="323"/>
        <v>1400000</v>
      </c>
      <c r="Q321" s="160"/>
      <c r="R321" s="49"/>
    </row>
    <row r="322" spans="1:18" ht="145.5" hidden="1" thickTop="1" thickBot="1" x14ac:dyDescent="0.25">
      <c r="A322" s="162" t="s">
        <v>317</v>
      </c>
      <c r="B322" s="162" t="s">
        <v>318</v>
      </c>
      <c r="C322" s="162" t="s">
        <v>309</v>
      </c>
      <c r="D322" s="162" t="s">
        <v>1289</v>
      </c>
      <c r="E322" s="161">
        <f t="shared" si="332"/>
        <v>0</v>
      </c>
      <c r="F322" s="168"/>
      <c r="G322" s="168"/>
      <c r="H322" s="168"/>
      <c r="I322" s="168"/>
      <c r="J322" s="161">
        <f t="shared" si="322"/>
        <v>0</v>
      </c>
      <c r="K322" s="168"/>
      <c r="L322" s="168"/>
      <c r="M322" s="168"/>
      <c r="N322" s="168"/>
      <c r="O322" s="166">
        <f>K322</f>
        <v>0</v>
      </c>
      <c r="P322" s="161">
        <f t="shared" si="323"/>
        <v>0</v>
      </c>
      <c r="Q322" s="160"/>
    </row>
    <row r="323" spans="1:18" ht="99.75" thickTop="1" thickBot="1" x14ac:dyDescent="0.3">
      <c r="A323" s="546" t="s">
        <v>319</v>
      </c>
      <c r="B323" s="546" t="s">
        <v>320</v>
      </c>
      <c r="C323" s="546" t="s">
        <v>309</v>
      </c>
      <c r="D323" s="546" t="s">
        <v>1349</v>
      </c>
      <c r="E323" s="547">
        <f>F323</f>
        <v>0</v>
      </c>
      <c r="F323" s="389"/>
      <c r="G323" s="389"/>
      <c r="H323" s="389"/>
      <c r="I323" s="389"/>
      <c r="J323" s="547">
        <f t="shared" si="322"/>
        <v>38745034</v>
      </c>
      <c r="K323" s="389">
        <f>((2050000)+8581051)+25104429-1553000+4362554+200000</f>
        <v>38745034</v>
      </c>
      <c r="L323" s="389"/>
      <c r="M323" s="389"/>
      <c r="N323" s="389"/>
      <c r="O323" s="390">
        <f>K323</f>
        <v>38745034</v>
      </c>
      <c r="P323" s="547">
        <f t="shared" si="323"/>
        <v>38745034</v>
      </c>
      <c r="Q323" s="196"/>
      <c r="R323" s="49"/>
    </row>
    <row r="324" spans="1:18" ht="138.75" hidden="1" thickTop="1" thickBot="1" x14ac:dyDescent="0.25">
      <c r="A324" s="44" t="s">
        <v>442</v>
      </c>
      <c r="B324" s="44" t="s">
        <v>355</v>
      </c>
      <c r="C324" s="44" t="s">
        <v>171</v>
      </c>
      <c r="D324" s="44" t="s">
        <v>267</v>
      </c>
      <c r="E324" s="45">
        <f>F324</f>
        <v>0</v>
      </c>
      <c r="F324" s="46"/>
      <c r="G324" s="46"/>
      <c r="H324" s="46"/>
      <c r="I324" s="46"/>
      <c r="J324" s="45">
        <f t="shared" si="322"/>
        <v>0</v>
      </c>
      <c r="K324" s="46">
        <v>0</v>
      </c>
      <c r="L324" s="46"/>
      <c r="M324" s="46"/>
      <c r="N324" s="46"/>
      <c r="O324" s="47">
        <f>K324</f>
        <v>0</v>
      </c>
      <c r="P324" s="45">
        <f t="shared" si="323"/>
        <v>0</v>
      </c>
      <c r="Q324" s="22"/>
      <c r="R324" s="49"/>
    </row>
    <row r="325" spans="1:18" ht="136.5" hidden="1" thickTop="1" thickBot="1" x14ac:dyDescent="0.25">
      <c r="A325" s="170" t="s">
        <v>1007</v>
      </c>
      <c r="B325" s="170" t="s">
        <v>700</v>
      </c>
      <c r="C325" s="170"/>
      <c r="D325" s="170" t="s">
        <v>698</v>
      </c>
      <c r="E325" s="193">
        <f>E326</f>
        <v>0</v>
      </c>
      <c r="F325" s="193">
        <f>F326</f>
        <v>0</v>
      </c>
      <c r="G325" s="193">
        <f>G326</f>
        <v>0</v>
      </c>
      <c r="H325" s="193">
        <f>H326</f>
        <v>0</v>
      </c>
      <c r="I325" s="193">
        <f>I326</f>
        <v>0</v>
      </c>
      <c r="J325" s="193">
        <f t="shared" ref="J325:O325" si="347">J326</f>
        <v>0</v>
      </c>
      <c r="K325" s="193">
        <f t="shared" si="347"/>
        <v>0</v>
      </c>
      <c r="L325" s="193">
        <f t="shared" si="347"/>
        <v>0</v>
      </c>
      <c r="M325" s="193">
        <f t="shared" si="347"/>
        <v>0</v>
      </c>
      <c r="N325" s="193">
        <f t="shared" si="347"/>
        <v>0</v>
      </c>
      <c r="O325" s="193">
        <f t="shared" si="347"/>
        <v>0</v>
      </c>
      <c r="P325" s="193">
        <f>P326</f>
        <v>0</v>
      </c>
      <c r="Q325" s="22"/>
      <c r="R325" s="49"/>
    </row>
    <row r="326" spans="1:18" ht="48" hidden="1" thickTop="1" thickBot="1" x14ac:dyDescent="0.25">
      <c r="A326" s="174" t="s">
        <v>1008</v>
      </c>
      <c r="B326" s="174" t="s">
        <v>703</v>
      </c>
      <c r="C326" s="174"/>
      <c r="D326" s="174" t="s">
        <v>807</v>
      </c>
      <c r="E326" s="192">
        <f>E327+E329</f>
        <v>0</v>
      </c>
      <c r="F326" s="192">
        <f t="shared" ref="F326:P326" si="348">F327+F329</f>
        <v>0</v>
      </c>
      <c r="G326" s="192">
        <f t="shared" si="348"/>
        <v>0</v>
      </c>
      <c r="H326" s="192">
        <f t="shared" si="348"/>
        <v>0</v>
      </c>
      <c r="I326" s="192">
        <f t="shared" si="348"/>
        <v>0</v>
      </c>
      <c r="J326" s="192">
        <f t="shared" si="348"/>
        <v>0</v>
      </c>
      <c r="K326" s="192">
        <f t="shared" si="348"/>
        <v>0</v>
      </c>
      <c r="L326" s="192">
        <f t="shared" si="348"/>
        <v>0</v>
      </c>
      <c r="M326" s="192">
        <f t="shared" si="348"/>
        <v>0</v>
      </c>
      <c r="N326" s="192">
        <f t="shared" si="348"/>
        <v>0</v>
      </c>
      <c r="O326" s="192">
        <f t="shared" si="348"/>
        <v>0</v>
      </c>
      <c r="P326" s="192">
        <f t="shared" si="348"/>
        <v>0</v>
      </c>
      <c r="Q326" s="22"/>
      <c r="R326" s="49"/>
    </row>
    <row r="327" spans="1:18" ht="409.6" hidden="1" thickTop="1" thickBot="1" x14ac:dyDescent="0.7">
      <c r="A327" s="935" t="s">
        <v>1009</v>
      </c>
      <c r="B327" s="935" t="s">
        <v>343</v>
      </c>
      <c r="C327" s="935" t="s">
        <v>171</v>
      </c>
      <c r="D327" s="197" t="s">
        <v>445</v>
      </c>
      <c r="E327" s="936">
        <f t="shared" ref="E327" si="349">F327</f>
        <v>0</v>
      </c>
      <c r="F327" s="930"/>
      <c r="G327" s="930"/>
      <c r="H327" s="930"/>
      <c r="I327" s="930"/>
      <c r="J327" s="936">
        <f t="shared" ref="J327" si="350">L327+O327</f>
        <v>0</v>
      </c>
      <c r="K327" s="930"/>
      <c r="L327" s="930"/>
      <c r="M327" s="930"/>
      <c r="N327" s="930"/>
      <c r="O327" s="931">
        <f>K327</f>
        <v>0</v>
      </c>
      <c r="P327" s="933">
        <f>E327+J327</f>
        <v>0</v>
      </c>
      <c r="Q327" s="22"/>
      <c r="R327" s="49"/>
    </row>
    <row r="328" spans="1:18" ht="184.5" hidden="1" thickTop="1" thickBot="1" x14ac:dyDescent="0.25">
      <c r="A328" s="935"/>
      <c r="B328" s="935"/>
      <c r="C328" s="935"/>
      <c r="D328" s="198" t="s">
        <v>446</v>
      </c>
      <c r="E328" s="936"/>
      <c r="F328" s="930"/>
      <c r="G328" s="930"/>
      <c r="H328" s="930"/>
      <c r="I328" s="930"/>
      <c r="J328" s="936"/>
      <c r="K328" s="930"/>
      <c r="L328" s="930"/>
      <c r="M328" s="930"/>
      <c r="N328" s="930"/>
      <c r="O328" s="931"/>
      <c r="P328" s="933"/>
      <c r="Q328" s="22"/>
      <c r="R328" s="49"/>
    </row>
    <row r="329" spans="1:18" s="118" customFormat="1" ht="93" hidden="1" thickTop="1" thickBot="1" x14ac:dyDescent="0.25">
      <c r="A329" s="162" t="s">
        <v>1242</v>
      </c>
      <c r="B329" s="162" t="s">
        <v>262</v>
      </c>
      <c r="C329" s="162" t="s">
        <v>171</v>
      </c>
      <c r="D329" s="190" t="s">
        <v>260</v>
      </c>
      <c r="E329" s="161">
        <f>F329</f>
        <v>0</v>
      </c>
      <c r="F329" s="168"/>
      <c r="G329" s="168"/>
      <c r="H329" s="168"/>
      <c r="I329" s="168"/>
      <c r="J329" s="161">
        <f t="shared" ref="J329" si="351">L329+O329</f>
        <v>0</v>
      </c>
      <c r="K329" s="168"/>
      <c r="L329" s="168"/>
      <c r="M329" s="168"/>
      <c r="N329" s="168"/>
      <c r="O329" s="166">
        <f>K329</f>
        <v>0</v>
      </c>
      <c r="P329" s="161">
        <f t="shared" ref="P329" si="352">E329+J329</f>
        <v>0</v>
      </c>
      <c r="Q329" s="22"/>
      <c r="R329" s="117"/>
    </row>
    <row r="330" spans="1:18" ht="181.5" thickTop="1" thickBot="1" x14ac:dyDescent="0.25">
      <c r="A330" s="460" t="s">
        <v>161</v>
      </c>
      <c r="B330" s="460"/>
      <c r="C330" s="460"/>
      <c r="D330" s="461" t="s">
        <v>906</v>
      </c>
      <c r="E330" s="463">
        <f>E331</f>
        <v>10909796.810000001</v>
      </c>
      <c r="F330" s="462">
        <f t="shared" ref="F330:G330" si="353">F331</f>
        <v>10909796.810000001</v>
      </c>
      <c r="G330" s="462">
        <f t="shared" si="353"/>
        <v>6132550</v>
      </c>
      <c r="H330" s="462">
        <f>H331</f>
        <v>401600</v>
      </c>
      <c r="I330" s="462">
        <f t="shared" ref="I330" si="354">I331</f>
        <v>0</v>
      </c>
      <c r="J330" s="463">
        <f>J331</f>
        <v>1575000</v>
      </c>
      <c r="K330" s="462">
        <f>K331</f>
        <v>1575000</v>
      </c>
      <c r="L330" s="462">
        <f>L331</f>
        <v>0</v>
      </c>
      <c r="M330" s="462">
        <f t="shared" ref="M330" si="355">M331</f>
        <v>0</v>
      </c>
      <c r="N330" s="462">
        <f>N331</f>
        <v>0</v>
      </c>
      <c r="O330" s="463">
        <f>O331</f>
        <v>1575000</v>
      </c>
      <c r="P330" s="462">
        <f t="shared" ref="P330" si="356">P331</f>
        <v>12484796.810000001</v>
      </c>
      <c r="Q330" s="22"/>
    </row>
    <row r="331" spans="1:18" ht="181.5" thickTop="1" thickBot="1" x14ac:dyDescent="0.25">
      <c r="A331" s="464" t="s">
        <v>162</v>
      </c>
      <c r="B331" s="464"/>
      <c r="C331" s="464"/>
      <c r="D331" s="465" t="s">
        <v>907</v>
      </c>
      <c r="E331" s="466">
        <f>E332+E336</f>
        <v>10909796.810000001</v>
      </c>
      <c r="F331" s="466">
        <f>F332+F336</f>
        <v>10909796.810000001</v>
      </c>
      <c r="G331" s="466">
        <f>G332+G336</f>
        <v>6132550</v>
      </c>
      <c r="H331" s="466">
        <f>H332+H336</f>
        <v>401600</v>
      </c>
      <c r="I331" s="466">
        <f>I332+I336</f>
        <v>0</v>
      </c>
      <c r="J331" s="466">
        <f>L331+O331</f>
        <v>1575000</v>
      </c>
      <c r="K331" s="466">
        <f>K332+K336</f>
        <v>1575000</v>
      </c>
      <c r="L331" s="466">
        <f>L332+L336</f>
        <v>0</v>
      </c>
      <c r="M331" s="466">
        <f>M332+M336</f>
        <v>0</v>
      </c>
      <c r="N331" s="466">
        <f>N332+N336</f>
        <v>0</v>
      </c>
      <c r="O331" s="466">
        <f>O332+O336</f>
        <v>1575000</v>
      </c>
      <c r="P331" s="466">
        <f>E331+J331</f>
        <v>12484796.810000001</v>
      </c>
      <c r="Q331" s="392" t="b">
        <f>P331=P333+P334+P335+P338</f>
        <v>1</v>
      </c>
      <c r="R331" s="49"/>
    </row>
    <row r="332" spans="1:18" ht="47.25" thickTop="1" thickBot="1" x14ac:dyDescent="0.25">
      <c r="A332" s="385" t="s">
        <v>832</v>
      </c>
      <c r="B332" s="385" t="s">
        <v>693</v>
      </c>
      <c r="C332" s="385"/>
      <c r="D332" s="385" t="s">
        <v>694</v>
      </c>
      <c r="E332" s="670">
        <f>SUM(E333:E335)</f>
        <v>10909796.810000001</v>
      </c>
      <c r="F332" s="670">
        <f t="shared" ref="F332:N332" si="357">SUM(F333:F335)</f>
        <v>10909796.810000001</v>
      </c>
      <c r="G332" s="670">
        <f t="shared" si="357"/>
        <v>6132550</v>
      </c>
      <c r="H332" s="670">
        <f t="shared" si="357"/>
        <v>401600</v>
      </c>
      <c r="I332" s="670">
        <f t="shared" si="357"/>
        <v>0</v>
      </c>
      <c r="J332" s="670">
        <f t="shared" si="357"/>
        <v>125000</v>
      </c>
      <c r="K332" s="547">
        <f t="shared" si="357"/>
        <v>125000</v>
      </c>
      <c r="L332" s="547">
        <f t="shared" si="357"/>
        <v>0</v>
      </c>
      <c r="M332" s="547">
        <f t="shared" si="357"/>
        <v>0</v>
      </c>
      <c r="N332" s="547">
        <f t="shared" si="357"/>
        <v>0</v>
      </c>
      <c r="O332" s="547">
        <f>SUM(O333:O335)</f>
        <v>125000</v>
      </c>
      <c r="P332" s="547">
        <f>SUM(P333:P335)</f>
        <v>11034796.810000001</v>
      </c>
      <c r="Q332" s="50"/>
      <c r="R332" s="49"/>
    </row>
    <row r="333" spans="1:18" ht="230.25" thickTop="1" thickBot="1" x14ac:dyDescent="0.25">
      <c r="A333" s="546" t="s">
        <v>424</v>
      </c>
      <c r="B333" s="546" t="s">
        <v>241</v>
      </c>
      <c r="C333" s="546" t="s">
        <v>239</v>
      </c>
      <c r="D333" s="546" t="s">
        <v>240</v>
      </c>
      <c r="E333" s="670">
        <f>F333</f>
        <v>8729800</v>
      </c>
      <c r="F333" s="389">
        <f>((8244900)+22000+55000+44000+4400+20000+144000)+5000+5000+27500+58000+100000</f>
        <v>8729800</v>
      </c>
      <c r="G333" s="389">
        <v>6132550</v>
      </c>
      <c r="H333" s="389">
        <f>(151000+4400+97800)+4400+144000</f>
        <v>401600</v>
      </c>
      <c r="I333" s="389"/>
      <c r="J333" s="670">
        <f>L333+O333</f>
        <v>125000</v>
      </c>
      <c r="K333" s="389">
        <f>(30000)+50000+45000</f>
        <v>125000</v>
      </c>
      <c r="L333" s="389"/>
      <c r="M333" s="389"/>
      <c r="N333" s="389"/>
      <c r="O333" s="390">
        <f>K333</f>
        <v>125000</v>
      </c>
      <c r="P333" s="547">
        <f>E333+J333</f>
        <v>8854800</v>
      </c>
      <c r="Q333" s="50"/>
      <c r="R333" s="49"/>
    </row>
    <row r="334" spans="1:18" ht="184.5" thickTop="1" thickBot="1" x14ac:dyDescent="0.25">
      <c r="A334" s="546" t="s">
        <v>640</v>
      </c>
      <c r="B334" s="546" t="s">
        <v>367</v>
      </c>
      <c r="C334" s="546" t="s">
        <v>634</v>
      </c>
      <c r="D334" s="546" t="s">
        <v>635</v>
      </c>
      <c r="E334" s="386">
        <f>F334</f>
        <v>10000</v>
      </c>
      <c r="F334" s="441">
        <v>10000</v>
      </c>
      <c r="G334" s="441"/>
      <c r="H334" s="441"/>
      <c r="I334" s="441"/>
      <c r="J334" s="547">
        <f t="shared" ref="J334:J335" si="358">L334+O334</f>
        <v>0</v>
      </c>
      <c r="K334" s="441"/>
      <c r="L334" s="442"/>
      <c r="M334" s="442"/>
      <c r="N334" s="442"/>
      <c r="O334" s="390">
        <f t="shared" ref="O334:O335" si="359">K334</f>
        <v>0</v>
      </c>
      <c r="P334" s="547">
        <f t="shared" ref="P334" si="360">+J334+E334</f>
        <v>10000</v>
      </c>
      <c r="Q334" s="50"/>
      <c r="R334" s="49"/>
    </row>
    <row r="335" spans="1:18" s="118" customFormat="1" ht="93" thickTop="1" thickBot="1" x14ac:dyDescent="0.25">
      <c r="A335" s="706" t="s">
        <v>1339</v>
      </c>
      <c r="B335" s="706" t="s">
        <v>43</v>
      </c>
      <c r="C335" s="706" t="s">
        <v>42</v>
      </c>
      <c r="D335" s="706" t="s">
        <v>253</v>
      </c>
      <c r="E335" s="707">
        <f t="shared" ref="E335" si="361">F335</f>
        <v>2169996.81</v>
      </c>
      <c r="F335" s="389">
        <f>(1254100)+915896.81</f>
        <v>2169996.81</v>
      </c>
      <c r="G335" s="389"/>
      <c r="H335" s="389"/>
      <c r="I335" s="389"/>
      <c r="J335" s="707">
        <f t="shared" si="358"/>
        <v>0</v>
      </c>
      <c r="K335" s="389"/>
      <c r="L335" s="389"/>
      <c r="M335" s="389"/>
      <c r="N335" s="389"/>
      <c r="O335" s="390">
        <f t="shared" si="359"/>
        <v>0</v>
      </c>
      <c r="P335" s="707">
        <f>E335+J335</f>
        <v>2169996.81</v>
      </c>
      <c r="Q335" s="50"/>
      <c r="R335" s="548"/>
    </row>
    <row r="336" spans="1:18" ht="47.25" thickTop="1" thickBot="1" x14ac:dyDescent="0.25">
      <c r="A336" s="385" t="s">
        <v>922</v>
      </c>
      <c r="B336" s="385" t="s">
        <v>757</v>
      </c>
      <c r="C336" s="706"/>
      <c r="D336" s="385" t="s">
        <v>804</v>
      </c>
      <c r="E336" s="707">
        <f>E337</f>
        <v>0</v>
      </c>
      <c r="F336" s="707">
        <f t="shared" ref="F336:P337" si="362">F337</f>
        <v>0</v>
      </c>
      <c r="G336" s="707">
        <f t="shared" si="362"/>
        <v>0</v>
      </c>
      <c r="H336" s="707">
        <f t="shared" si="362"/>
        <v>0</v>
      </c>
      <c r="I336" s="707">
        <f t="shared" si="362"/>
        <v>0</v>
      </c>
      <c r="J336" s="707">
        <f t="shared" si="362"/>
        <v>1450000</v>
      </c>
      <c r="K336" s="707">
        <f t="shared" si="362"/>
        <v>1450000</v>
      </c>
      <c r="L336" s="707">
        <f t="shared" si="362"/>
        <v>0</v>
      </c>
      <c r="M336" s="707">
        <f t="shared" si="362"/>
        <v>0</v>
      </c>
      <c r="N336" s="707">
        <f t="shared" si="362"/>
        <v>0</v>
      </c>
      <c r="O336" s="707">
        <f t="shared" si="362"/>
        <v>1450000</v>
      </c>
      <c r="P336" s="707">
        <f t="shared" si="362"/>
        <v>1450000</v>
      </c>
      <c r="Q336" s="50"/>
      <c r="R336" s="49"/>
    </row>
    <row r="337" spans="1:18" ht="91.5" thickTop="1" thickBot="1" x14ac:dyDescent="0.25">
      <c r="A337" s="387" t="s">
        <v>923</v>
      </c>
      <c r="B337" s="387" t="s">
        <v>813</v>
      </c>
      <c r="C337" s="387"/>
      <c r="D337" s="387" t="s">
        <v>814</v>
      </c>
      <c r="E337" s="391">
        <f>E338</f>
        <v>0</v>
      </c>
      <c r="F337" s="391">
        <f t="shared" si="362"/>
        <v>0</v>
      </c>
      <c r="G337" s="391">
        <f t="shared" si="362"/>
        <v>0</v>
      </c>
      <c r="H337" s="391">
        <f t="shared" si="362"/>
        <v>0</v>
      </c>
      <c r="I337" s="391">
        <f t="shared" si="362"/>
        <v>0</v>
      </c>
      <c r="J337" s="391">
        <f t="shared" si="362"/>
        <v>1450000</v>
      </c>
      <c r="K337" s="391">
        <f t="shared" si="362"/>
        <v>1450000</v>
      </c>
      <c r="L337" s="391">
        <f t="shared" si="362"/>
        <v>0</v>
      </c>
      <c r="M337" s="391">
        <f t="shared" si="362"/>
        <v>0</v>
      </c>
      <c r="N337" s="391">
        <f t="shared" si="362"/>
        <v>0</v>
      </c>
      <c r="O337" s="391">
        <f t="shared" si="362"/>
        <v>1450000</v>
      </c>
      <c r="P337" s="391">
        <f t="shared" si="362"/>
        <v>1450000</v>
      </c>
      <c r="Q337" s="50"/>
      <c r="R337" s="49"/>
    </row>
    <row r="338" spans="1:18" ht="138.75" thickTop="1" thickBot="1" x14ac:dyDescent="0.25">
      <c r="A338" s="706" t="s">
        <v>924</v>
      </c>
      <c r="B338" s="706" t="s">
        <v>925</v>
      </c>
      <c r="C338" s="706" t="s">
        <v>309</v>
      </c>
      <c r="D338" s="706" t="s">
        <v>926</v>
      </c>
      <c r="E338" s="386">
        <f>F338</f>
        <v>0</v>
      </c>
      <c r="F338" s="441"/>
      <c r="G338" s="441"/>
      <c r="H338" s="441"/>
      <c r="I338" s="441"/>
      <c r="J338" s="707">
        <f t="shared" ref="J338" si="363">L338+O338</f>
        <v>1450000</v>
      </c>
      <c r="K338" s="441">
        <f>(1000000)+450000</f>
        <v>1450000</v>
      </c>
      <c r="L338" s="442"/>
      <c r="M338" s="442"/>
      <c r="N338" s="442"/>
      <c r="O338" s="390">
        <f t="shared" ref="O338" si="364">K338</f>
        <v>1450000</v>
      </c>
      <c r="P338" s="707">
        <f t="shared" ref="P338" si="365">+J338+E338</f>
        <v>1450000</v>
      </c>
      <c r="Q338" s="50"/>
      <c r="R338" s="49"/>
    </row>
    <row r="339" spans="1:18" ht="136.5" thickTop="1" thickBot="1" x14ac:dyDescent="0.25">
      <c r="A339" s="460" t="s">
        <v>449</v>
      </c>
      <c r="B339" s="460"/>
      <c r="C339" s="460"/>
      <c r="D339" s="461" t="s">
        <v>451</v>
      </c>
      <c r="E339" s="463">
        <f>E340</f>
        <v>152655217.40000001</v>
      </c>
      <c r="F339" s="462">
        <f t="shared" ref="F339:G339" si="366">F340</f>
        <v>152655217.40000001</v>
      </c>
      <c r="G339" s="462">
        <f t="shared" si="366"/>
        <v>4332271</v>
      </c>
      <c r="H339" s="462">
        <f>H340</f>
        <v>173325</v>
      </c>
      <c r="I339" s="462">
        <f t="shared" ref="I339" si="367">I340</f>
        <v>0</v>
      </c>
      <c r="J339" s="463">
        <f>J340</f>
        <v>46177760</v>
      </c>
      <c r="K339" s="462">
        <f>K340</f>
        <v>46177760</v>
      </c>
      <c r="L339" s="462">
        <f>L340</f>
        <v>0</v>
      </c>
      <c r="M339" s="462">
        <f t="shared" ref="M339" si="368">M340</f>
        <v>0</v>
      </c>
      <c r="N339" s="462">
        <f>N340</f>
        <v>0</v>
      </c>
      <c r="O339" s="463">
        <f>O340</f>
        <v>46177760</v>
      </c>
      <c r="P339" s="462">
        <f t="shared" ref="P339" si="369">P340</f>
        <v>198832977.40000001</v>
      </c>
      <c r="Q339" s="22"/>
    </row>
    <row r="340" spans="1:18" ht="181.5" thickTop="1" thickBot="1" x14ac:dyDescent="0.25">
      <c r="A340" s="464" t="s">
        <v>450</v>
      </c>
      <c r="B340" s="464"/>
      <c r="C340" s="464"/>
      <c r="D340" s="465" t="s">
        <v>452</v>
      </c>
      <c r="E340" s="466">
        <f t="shared" ref="E340:O340" si="370">E341+E344+E353+E356</f>
        <v>152655217.40000001</v>
      </c>
      <c r="F340" s="466">
        <f t="shared" si="370"/>
        <v>152655217.40000001</v>
      </c>
      <c r="G340" s="466">
        <f t="shared" si="370"/>
        <v>4332271</v>
      </c>
      <c r="H340" s="466">
        <f t="shared" si="370"/>
        <v>173325</v>
      </c>
      <c r="I340" s="466">
        <f t="shared" si="370"/>
        <v>0</v>
      </c>
      <c r="J340" s="466">
        <f t="shared" si="370"/>
        <v>46177760</v>
      </c>
      <c r="K340" s="466">
        <f t="shared" si="370"/>
        <v>46177760</v>
      </c>
      <c r="L340" s="466">
        <f t="shared" si="370"/>
        <v>0</v>
      </c>
      <c r="M340" s="466">
        <f t="shared" si="370"/>
        <v>0</v>
      </c>
      <c r="N340" s="466">
        <f t="shared" si="370"/>
        <v>0</v>
      </c>
      <c r="O340" s="466">
        <f t="shared" si="370"/>
        <v>46177760</v>
      </c>
      <c r="P340" s="466">
        <f>E340+J340</f>
        <v>198832977.40000001</v>
      </c>
      <c r="Q340" s="392" t="b">
        <f>P340=P342+P349+P355+P352+P357+P347</f>
        <v>1</v>
      </c>
      <c r="R340" s="49"/>
    </row>
    <row r="341" spans="1:18" ht="47.25" thickTop="1" thickBot="1" x14ac:dyDescent="0.25">
      <c r="A341" s="385" t="s">
        <v>833</v>
      </c>
      <c r="B341" s="385" t="s">
        <v>693</v>
      </c>
      <c r="C341" s="385"/>
      <c r="D341" s="385" t="s">
        <v>694</v>
      </c>
      <c r="E341" s="670">
        <f>SUM(E342:E343)</f>
        <v>10496456.4</v>
      </c>
      <c r="F341" s="670">
        <f t="shared" ref="F341" si="371">SUM(F342:F343)</f>
        <v>10496456.4</v>
      </c>
      <c r="G341" s="670">
        <f t="shared" ref="G341" si="372">SUM(G342:G343)</f>
        <v>4332271</v>
      </c>
      <c r="H341" s="670">
        <f t="shared" ref="H341" si="373">SUM(H342:H343)</f>
        <v>173325</v>
      </c>
      <c r="I341" s="670">
        <f t="shared" ref="I341" si="374">SUM(I342:I343)</f>
        <v>0</v>
      </c>
      <c r="J341" s="670">
        <f t="shared" ref="J341" si="375">SUM(J342:J343)</f>
        <v>153760</v>
      </c>
      <c r="K341" s="547">
        <f t="shared" ref="K341" si="376">SUM(K342:K343)</f>
        <v>153760</v>
      </c>
      <c r="L341" s="547">
        <f t="shared" ref="L341" si="377">SUM(L342:L343)</f>
        <v>0</v>
      </c>
      <c r="M341" s="547">
        <f t="shared" ref="M341" si="378">SUM(M342:M343)</f>
        <v>0</v>
      </c>
      <c r="N341" s="547">
        <f t="shared" ref="N341" si="379">SUM(N342:N343)</f>
        <v>0</v>
      </c>
      <c r="O341" s="547">
        <f t="shared" ref="O341" si="380">SUM(O342:O343)</f>
        <v>153760</v>
      </c>
      <c r="P341" s="547">
        <f t="shared" ref="P341" si="381">SUM(P342:P343)</f>
        <v>10650216.4</v>
      </c>
      <c r="Q341" s="50"/>
      <c r="R341" s="49"/>
    </row>
    <row r="342" spans="1:18" ht="230.25" thickTop="1" thickBot="1" x14ac:dyDescent="0.25">
      <c r="A342" s="546" t="s">
        <v>453</v>
      </c>
      <c r="B342" s="546" t="s">
        <v>241</v>
      </c>
      <c r="C342" s="546" t="s">
        <v>239</v>
      </c>
      <c r="D342" s="546" t="s">
        <v>240</v>
      </c>
      <c r="E342" s="670">
        <f>F342</f>
        <v>10496456.4</v>
      </c>
      <c r="F342" s="389">
        <f>(10496036)+420.4</f>
        <v>10496456.4</v>
      </c>
      <c r="G342" s="389">
        <v>4332271</v>
      </c>
      <c r="H342" s="389">
        <f>86000+5000+80000+2325</f>
        <v>173325</v>
      </c>
      <c r="I342" s="389"/>
      <c r="J342" s="670">
        <f>L342+O342</f>
        <v>153760</v>
      </c>
      <c r="K342" s="389">
        <f>153760</f>
        <v>153760</v>
      </c>
      <c r="L342" s="389"/>
      <c r="M342" s="389"/>
      <c r="N342" s="389"/>
      <c r="O342" s="390">
        <f>K342</f>
        <v>153760</v>
      </c>
      <c r="P342" s="547">
        <f>E342+J342</f>
        <v>10650216.4</v>
      </c>
      <c r="Q342" s="50"/>
      <c r="R342" s="49"/>
    </row>
    <row r="343" spans="1:18" ht="184.5" hidden="1" thickTop="1" thickBot="1" x14ac:dyDescent="0.25">
      <c r="A343" s="44" t="s">
        <v>641</v>
      </c>
      <c r="B343" s="44" t="s">
        <v>367</v>
      </c>
      <c r="C343" s="44" t="s">
        <v>634</v>
      </c>
      <c r="D343" s="44" t="s">
        <v>635</v>
      </c>
      <c r="E343" s="186">
        <f>F343</f>
        <v>0</v>
      </c>
      <c r="F343" s="163"/>
      <c r="G343" s="163"/>
      <c r="H343" s="163"/>
      <c r="I343" s="163"/>
      <c r="J343" s="668">
        <f t="shared" ref="J343" si="382">L343+O343</f>
        <v>0</v>
      </c>
      <c r="K343" s="195"/>
      <c r="L343" s="199"/>
      <c r="M343" s="199"/>
      <c r="N343" s="199"/>
      <c r="O343" s="47">
        <f t="shared" ref="O343" si="383">K343</f>
        <v>0</v>
      </c>
      <c r="P343" s="45">
        <f t="shared" ref="P343" si="384">+J343+E343</f>
        <v>0</v>
      </c>
      <c r="Q343" s="50"/>
      <c r="R343" s="49"/>
    </row>
    <row r="344" spans="1:18" ht="47.25" thickTop="1" thickBot="1" x14ac:dyDescent="0.25">
      <c r="A344" s="385" t="s">
        <v>834</v>
      </c>
      <c r="B344" s="385" t="s">
        <v>757</v>
      </c>
      <c r="C344" s="546"/>
      <c r="D344" s="385" t="s">
        <v>804</v>
      </c>
      <c r="E344" s="670">
        <f>E345+E351</f>
        <v>137288761</v>
      </c>
      <c r="F344" s="670">
        <f t="shared" ref="F344:P344" si="385">F345+F351</f>
        <v>137288761</v>
      </c>
      <c r="G344" s="670">
        <f t="shared" si="385"/>
        <v>0</v>
      </c>
      <c r="H344" s="670">
        <f t="shared" si="385"/>
        <v>0</v>
      </c>
      <c r="I344" s="670">
        <f t="shared" si="385"/>
        <v>0</v>
      </c>
      <c r="J344" s="670">
        <f t="shared" si="385"/>
        <v>46024000</v>
      </c>
      <c r="K344" s="547">
        <f t="shared" si="385"/>
        <v>46024000</v>
      </c>
      <c r="L344" s="547">
        <f t="shared" si="385"/>
        <v>0</v>
      </c>
      <c r="M344" s="547">
        <f t="shared" si="385"/>
        <v>0</v>
      </c>
      <c r="N344" s="547">
        <f t="shared" si="385"/>
        <v>0</v>
      </c>
      <c r="O344" s="547">
        <f t="shared" si="385"/>
        <v>46024000</v>
      </c>
      <c r="P344" s="547">
        <f t="shared" si="385"/>
        <v>183312761</v>
      </c>
      <c r="Q344" s="50"/>
      <c r="R344" s="53"/>
    </row>
    <row r="345" spans="1:18" ht="136.5" thickTop="1" thickBot="1" x14ac:dyDescent="0.25">
      <c r="A345" s="387" t="s">
        <v>835</v>
      </c>
      <c r="B345" s="387" t="s">
        <v>816</v>
      </c>
      <c r="C345" s="387"/>
      <c r="D345" s="387" t="s">
        <v>817</v>
      </c>
      <c r="E345" s="391">
        <f>E348+E350+E346</f>
        <v>137288761</v>
      </c>
      <c r="F345" s="391">
        <f t="shared" ref="F345:P345" si="386">F348+F350+F346</f>
        <v>137288761</v>
      </c>
      <c r="G345" s="391">
        <f t="shared" si="386"/>
        <v>0</v>
      </c>
      <c r="H345" s="391">
        <f t="shared" si="386"/>
        <v>0</v>
      </c>
      <c r="I345" s="391">
        <f t="shared" si="386"/>
        <v>0</v>
      </c>
      <c r="J345" s="391">
        <f t="shared" si="386"/>
        <v>0</v>
      </c>
      <c r="K345" s="391">
        <f t="shared" si="386"/>
        <v>0</v>
      </c>
      <c r="L345" s="391">
        <f t="shared" si="386"/>
        <v>0</v>
      </c>
      <c r="M345" s="391">
        <f t="shared" si="386"/>
        <v>0</v>
      </c>
      <c r="N345" s="391">
        <f t="shared" si="386"/>
        <v>0</v>
      </c>
      <c r="O345" s="391">
        <f t="shared" si="386"/>
        <v>0</v>
      </c>
      <c r="P345" s="391">
        <f t="shared" si="386"/>
        <v>137288761</v>
      </c>
      <c r="Q345" s="50"/>
      <c r="R345" s="53"/>
    </row>
    <row r="346" spans="1:18" ht="138.75" thickTop="1" thickBot="1" x14ac:dyDescent="0.25">
      <c r="A346" s="455" t="s">
        <v>1034</v>
      </c>
      <c r="B346" s="455" t="s">
        <v>1035</v>
      </c>
      <c r="C346" s="455"/>
      <c r="D346" s="455" t="s">
        <v>1033</v>
      </c>
      <c r="E346" s="440">
        <f>E347</f>
        <v>505540</v>
      </c>
      <c r="F346" s="440">
        <f t="shared" ref="F346:O346" si="387">F347</f>
        <v>505540</v>
      </c>
      <c r="G346" s="440">
        <f t="shared" si="387"/>
        <v>0</v>
      </c>
      <c r="H346" s="440">
        <f t="shared" si="387"/>
        <v>0</v>
      </c>
      <c r="I346" s="440">
        <f t="shared" si="387"/>
        <v>0</v>
      </c>
      <c r="J346" s="440">
        <f t="shared" si="387"/>
        <v>0</v>
      </c>
      <c r="K346" s="440">
        <f t="shared" si="387"/>
        <v>0</v>
      </c>
      <c r="L346" s="440">
        <f t="shared" si="387"/>
        <v>0</v>
      </c>
      <c r="M346" s="440">
        <f t="shared" si="387"/>
        <v>0</v>
      </c>
      <c r="N346" s="440">
        <f t="shared" si="387"/>
        <v>0</v>
      </c>
      <c r="O346" s="440">
        <f t="shared" si="387"/>
        <v>0</v>
      </c>
      <c r="P346" s="440">
        <f t="shared" ref="F346:P348" si="388">P347</f>
        <v>505540</v>
      </c>
      <c r="Q346" s="50"/>
      <c r="R346" s="53"/>
    </row>
    <row r="347" spans="1:18" ht="93" thickTop="1" thickBot="1" x14ac:dyDescent="0.25">
      <c r="A347" s="546" t="s">
        <v>472</v>
      </c>
      <c r="B347" s="546" t="s">
        <v>417</v>
      </c>
      <c r="C347" s="546" t="s">
        <v>418</v>
      </c>
      <c r="D347" s="546" t="s">
        <v>419</v>
      </c>
      <c r="E347" s="670">
        <f>F347</f>
        <v>505540</v>
      </c>
      <c r="F347" s="389">
        <v>505540</v>
      </c>
      <c r="G347" s="389"/>
      <c r="H347" s="389"/>
      <c r="I347" s="389"/>
      <c r="J347" s="670">
        <f>L347+O347</f>
        <v>0</v>
      </c>
      <c r="K347" s="389"/>
      <c r="L347" s="389"/>
      <c r="M347" s="389"/>
      <c r="N347" s="389"/>
      <c r="O347" s="390">
        <f>K347</f>
        <v>0</v>
      </c>
      <c r="P347" s="547">
        <f>E347+J347</f>
        <v>505540</v>
      </c>
      <c r="Q347" s="50"/>
      <c r="R347" s="53"/>
    </row>
    <row r="348" spans="1:18" ht="138.75" thickTop="1" thickBot="1" x14ac:dyDescent="0.25">
      <c r="A348" s="455" t="s">
        <v>836</v>
      </c>
      <c r="B348" s="455" t="s">
        <v>837</v>
      </c>
      <c r="C348" s="455"/>
      <c r="D348" s="455" t="s">
        <v>838</v>
      </c>
      <c r="E348" s="440">
        <f>E349</f>
        <v>136783221</v>
      </c>
      <c r="F348" s="440">
        <f t="shared" si="388"/>
        <v>136783221</v>
      </c>
      <c r="G348" s="440">
        <f t="shared" si="388"/>
        <v>0</v>
      </c>
      <c r="H348" s="440">
        <f t="shared" si="388"/>
        <v>0</v>
      </c>
      <c r="I348" s="440">
        <f t="shared" si="388"/>
        <v>0</v>
      </c>
      <c r="J348" s="440">
        <f t="shared" si="388"/>
        <v>0</v>
      </c>
      <c r="K348" s="440">
        <f t="shared" si="388"/>
        <v>0</v>
      </c>
      <c r="L348" s="440">
        <f t="shared" si="388"/>
        <v>0</v>
      </c>
      <c r="M348" s="440">
        <f t="shared" si="388"/>
        <v>0</v>
      </c>
      <c r="N348" s="440">
        <f t="shared" si="388"/>
        <v>0</v>
      </c>
      <c r="O348" s="440">
        <f t="shared" si="388"/>
        <v>0</v>
      </c>
      <c r="P348" s="440">
        <f t="shared" si="388"/>
        <v>136783221</v>
      </c>
      <c r="Q348" s="50"/>
      <c r="R348" s="53"/>
    </row>
    <row r="349" spans="1:18" ht="93" thickTop="1" thickBot="1" x14ac:dyDescent="0.25">
      <c r="A349" s="546" t="s">
        <v>473</v>
      </c>
      <c r="B349" s="546" t="s">
        <v>296</v>
      </c>
      <c r="C349" s="546" t="s">
        <v>1490</v>
      </c>
      <c r="D349" s="546" t="s">
        <v>297</v>
      </c>
      <c r="E349" s="670">
        <f>F349</f>
        <v>136783221</v>
      </c>
      <c r="F349" s="389">
        <f>(((124730000)+6953221)+5000000)+100000</f>
        <v>136783221</v>
      </c>
      <c r="G349" s="389"/>
      <c r="H349" s="389"/>
      <c r="I349" s="389"/>
      <c r="J349" s="670">
        <f>L349+O349</f>
        <v>0</v>
      </c>
      <c r="K349" s="389"/>
      <c r="L349" s="389"/>
      <c r="M349" s="389"/>
      <c r="N349" s="389"/>
      <c r="O349" s="390">
        <f>K349</f>
        <v>0</v>
      </c>
      <c r="P349" s="547">
        <f>E349+J349</f>
        <v>136783221</v>
      </c>
      <c r="Q349" s="50"/>
      <c r="R349" s="53"/>
    </row>
    <row r="350" spans="1:18" s="118" customFormat="1" ht="93" hidden="1" thickTop="1" thickBot="1" x14ac:dyDescent="0.25">
      <c r="A350" s="162" t="s">
        <v>1138</v>
      </c>
      <c r="B350" s="162" t="s">
        <v>1139</v>
      </c>
      <c r="C350" s="162" t="s">
        <v>300</v>
      </c>
      <c r="D350" s="162" t="s">
        <v>1137</v>
      </c>
      <c r="E350" s="668">
        <f>F350</f>
        <v>0</v>
      </c>
      <c r="F350" s="168"/>
      <c r="G350" s="168"/>
      <c r="H350" s="168"/>
      <c r="I350" s="168"/>
      <c r="J350" s="668">
        <f>L350+O350</f>
        <v>0</v>
      </c>
      <c r="K350" s="168"/>
      <c r="L350" s="168"/>
      <c r="M350" s="168"/>
      <c r="N350" s="168"/>
      <c r="O350" s="166">
        <f>K350</f>
        <v>0</v>
      </c>
      <c r="P350" s="161">
        <f>E350+J350</f>
        <v>0</v>
      </c>
      <c r="Q350" s="50"/>
      <c r="R350" s="53"/>
    </row>
    <row r="351" spans="1:18" s="114" customFormat="1" ht="136.5" thickTop="1" thickBot="1" x14ac:dyDescent="0.25">
      <c r="A351" s="387" t="s">
        <v>1221</v>
      </c>
      <c r="B351" s="387" t="s">
        <v>700</v>
      </c>
      <c r="C351" s="387"/>
      <c r="D351" s="387" t="s">
        <v>698</v>
      </c>
      <c r="E351" s="391">
        <f>E352</f>
        <v>0</v>
      </c>
      <c r="F351" s="391">
        <f t="shared" ref="F351:P351" si="389">F352</f>
        <v>0</v>
      </c>
      <c r="G351" s="391">
        <f t="shared" si="389"/>
        <v>0</v>
      </c>
      <c r="H351" s="391">
        <f t="shared" si="389"/>
        <v>0</v>
      </c>
      <c r="I351" s="391">
        <f t="shared" si="389"/>
        <v>0</v>
      </c>
      <c r="J351" s="391">
        <f t="shared" si="389"/>
        <v>46024000</v>
      </c>
      <c r="K351" s="391">
        <f t="shared" si="389"/>
        <v>46024000</v>
      </c>
      <c r="L351" s="391">
        <f t="shared" si="389"/>
        <v>0</v>
      </c>
      <c r="M351" s="391">
        <f t="shared" si="389"/>
        <v>0</v>
      </c>
      <c r="N351" s="391">
        <f t="shared" si="389"/>
        <v>0</v>
      </c>
      <c r="O351" s="391">
        <f t="shared" si="389"/>
        <v>46024000</v>
      </c>
      <c r="P351" s="391">
        <f t="shared" si="389"/>
        <v>46024000</v>
      </c>
      <c r="Q351" s="50"/>
      <c r="R351" s="53"/>
    </row>
    <row r="352" spans="1:18" ht="93" thickTop="1" thickBot="1" x14ac:dyDescent="0.25">
      <c r="A352" s="722" t="s">
        <v>1222</v>
      </c>
      <c r="B352" s="722" t="s">
        <v>202</v>
      </c>
      <c r="C352" s="722" t="s">
        <v>171</v>
      </c>
      <c r="D352" s="722" t="s">
        <v>1223</v>
      </c>
      <c r="E352" s="723">
        <f>F352</f>
        <v>0</v>
      </c>
      <c r="F352" s="389">
        <v>0</v>
      </c>
      <c r="G352" s="389"/>
      <c r="H352" s="389"/>
      <c r="I352" s="389"/>
      <c r="J352" s="723">
        <f>L352+O352</f>
        <v>46024000</v>
      </c>
      <c r="K352" s="389">
        <f>(39060000)+6964000</f>
        <v>46024000</v>
      </c>
      <c r="L352" s="389"/>
      <c r="M352" s="389"/>
      <c r="N352" s="389"/>
      <c r="O352" s="390">
        <f>K352</f>
        <v>46024000</v>
      </c>
      <c r="P352" s="723">
        <f>E352+J352</f>
        <v>46024000</v>
      </c>
      <c r="Q352" s="50"/>
      <c r="R352" s="53"/>
    </row>
    <row r="353" spans="1:18" s="118" customFormat="1" ht="47.25" thickTop="1" thickBot="1" x14ac:dyDescent="0.25">
      <c r="A353" s="385" t="s">
        <v>1268</v>
      </c>
      <c r="B353" s="385" t="s">
        <v>705</v>
      </c>
      <c r="C353" s="385"/>
      <c r="D353" s="385" t="s">
        <v>706</v>
      </c>
      <c r="E353" s="670">
        <f>E354</f>
        <v>4750000</v>
      </c>
      <c r="F353" s="670">
        <f t="shared" ref="F353:P353" si="390">F354</f>
        <v>4750000</v>
      </c>
      <c r="G353" s="670">
        <f t="shared" si="390"/>
        <v>0</v>
      </c>
      <c r="H353" s="670">
        <f t="shared" si="390"/>
        <v>0</v>
      </c>
      <c r="I353" s="670">
        <f t="shared" si="390"/>
        <v>0</v>
      </c>
      <c r="J353" s="670">
        <f t="shared" si="390"/>
        <v>0</v>
      </c>
      <c r="K353" s="547">
        <f t="shared" si="390"/>
        <v>0</v>
      </c>
      <c r="L353" s="547">
        <f t="shared" si="390"/>
        <v>0</v>
      </c>
      <c r="M353" s="547">
        <f t="shared" si="390"/>
        <v>0</v>
      </c>
      <c r="N353" s="547">
        <f t="shared" si="390"/>
        <v>0</v>
      </c>
      <c r="O353" s="547">
        <f t="shared" si="390"/>
        <v>0</v>
      </c>
      <c r="P353" s="547">
        <f t="shared" si="390"/>
        <v>4750000</v>
      </c>
      <c r="Q353" s="50"/>
      <c r="R353" s="53"/>
    </row>
    <row r="354" spans="1:18" s="118" customFormat="1" ht="91.5" thickTop="1" thickBot="1" x14ac:dyDescent="0.25">
      <c r="A354" s="387" t="s">
        <v>1269</v>
      </c>
      <c r="B354" s="387" t="s">
        <v>1234</v>
      </c>
      <c r="C354" s="387"/>
      <c r="D354" s="387" t="s">
        <v>1232</v>
      </c>
      <c r="E354" s="391">
        <f>E355</f>
        <v>4750000</v>
      </c>
      <c r="F354" s="391">
        <f>F355</f>
        <v>4750000</v>
      </c>
      <c r="G354" s="391">
        <f t="shared" ref="G354:O354" si="391">G355</f>
        <v>0</v>
      </c>
      <c r="H354" s="391">
        <f t="shared" si="391"/>
        <v>0</v>
      </c>
      <c r="I354" s="391">
        <f t="shared" si="391"/>
        <v>0</v>
      </c>
      <c r="J354" s="391">
        <f t="shared" si="391"/>
        <v>0</v>
      </c>
      <c r="K354" s="391">
        <f t="shared" si="391"/>
        <v>0</v>
      </c>
      <c r="L354" s="391">
        <f t="shared" si="391"/>
        <v>0</v>
      </c>
      <c r="M354" s="391">
        <f t="shared" si="391"/>
        <v>0</v>
      </c>
      <c r="N354" s="391">
        <f t="shared" si="391"/>
        <v>0</v>
      </c>
      <c r="O354" s="391">
        <f t="shared" si="391"/>
        <v>0</v>
      </c>
      <c r="P354" s="391">
        <f>P355</f>
        <v>4750000</v>
      </c>
      <c r="Q354" s="50"/>
      <c r="R354" s="53"/>
    </row>
    <row r="355" spans="1:18" s="118" customFormat="1" ht="138.75" thickTop="1" thickBot="1" x14ac:dyDescent="0.25">
      <c r="A355" s="546" t="s">
        <v>1270</v>
      </c>
      <c r="B355" s="546" t="s">
        <v>1271</v>
      </c>
      <c r="C355" s="546" t="s">
        <v>1236</v>
      </c>
      <c r="D355" s="546" t="s">
        <v>1272</v>
      </c>
      <c r="E355" s="670">
        <f>F355</f>
        <v>4750000</v>
      </c>
      <c r="F355" s="389">
        <f>(1800000)+2950000</f>
        <v>4750000</v>
      </c>
      <c r="G355" s="389"/>
      <c r="H355" s="389"/>
      <c r="I355" s="389"/>
      <c r="J355" s="670">
        <f>L355+O355</f>
        <v>0</v>
      </c>
      <c r="K355" s="389"/>
      <c r="L355" s="389"/>
      <c r="M355" s="389"/>
      <c r="N355" s="389"/>
      <c r="O355" s="390">
        <f>K355</f>
        <v>0</v>
      </c>
      <c r="P355" s="547">
        <f>E355+J355</f>
        <v>4750000</v>
      </c>
      <c r="Q355" s="50"/>
      <c r="R355" s="53"/>
    </row>
    <row r="356" spans="1:18" s="118" customFormat="1" ht="47.25" thickTop="1" thickBot="1" x14ac:dyDescent="0.25">
      <c r="A356" s="385" t="s">
        <v>1452</v>
      </c>
      <c r="B356" s="385" t="s">
        <v>711</v>
      </c>
      <c r="C356" s="385"/>
      <c r="D356" s="385" t="s">
        <v>712</v>
      </c>
      <c r="E356" s="741">
        <f t="shared" ref="E356:P356" si="392">E357</f>
        <v>120000</v>
      </c>
      <c r="F356" s="741">
        <f t="shared" si="392"/>
        <v>120000</v>
      </c>
      <c r="G356" s="741">
        <f t="shared" si="392"/>
        <v>0</v>
      </c>
      <c r="H356" s="741">
        <f t="shared" si="392"/>
        <v>0</v>
      </c>
      <c r="I356" s="741">
        <f t="shared" si="392"/>
        <v>0</v>
      </c>
      <c r="J356" s="741">
        <f t="shared" si="392"/>
        <v>0</v>
      </c>
      <c r="K356" s="741">
        <f t="shared" si="392"/>
        <v>0</v>
      </c>
      <c r="L356" s="741">
        <f t="shared" si="392"/>
        <v>0</v>
      </c>
      <c r="M356" s="741">
        <f t="shared" si="392"/>
        <v>0</v>
      </c>
      <c r="N356" s="741">
        <f t="shared" si="392"/>
        <v>0</v>
      </c>
      <c r="O356" s="741">
        <f t="shared" si="392"/>
        <v>0</v>
      </c>
      <c r="P356" s="741">
        <f t="shared" si="392"/>
        <v>120000</v>
      </c>
      <c r="Q356" s="50"/>
      <c r="R356" s="53"/>
    </row>
    <row r="357" spans="1:18" s="118" customFormat="1" ht="271.5" thickTop="1" thickBot="1" x14ac:dyDescent="0.25">
      <c r="A357" s="387" t="s">
        <v>1453</v>
      </c>
      <c r="B357" s="387" t="s">
        <v>519</v>
      </c>
      <c r="C357" s="387" t="s">
        <v>43</v>
      </c>
      <c r="D357" s="387" t="s">
        <v>520</v>
      </c>
      <c r="E357" s="391">
        <f t="shared" ref="E357" si="393">F357</f>
        <v>120000</v>
      </c>
      <c r="F357" s="391">
        <v>120000</v>
      </c>
      <c r="G357" s="391"/>
      <c r="H357" s="391"/>
      <c r="I357" s="391"/>
      <c r="J357" s="391">
        <f>L357+O357</f>
        <v>0</v>
      </c>
      <c r="K357" s="389"/>
      <c r="L357" s="391"/>
      <c r="M357" s="391"/>
      <c r="N357" s="391"/>
      <c r="O357" s="391">
        <f>(K357+0)</f>
        <v>0</v>
      </c>
      <c r="P357" s="391">
        <f>E357+J357</f>
        <v>120000</v>
      </c>
      <c r="Q357" s="50"/>
      <c r="R357" s="53"/>
    </row>
    <row r="358" spans="1:18" ht="136.5" thickTop="1" thickBot="1" x14ac:dyDescent="0.25">
      <c r="A358" s="460" t="s">
        <v>167</v>
      </c>
      <c r="B358" s="460"/>
      <c r="C358" s="460"/>
      <c r="D358" s="461" t="s">
        <v>359</v>
      </c>
      <c r="E358" s="463">
        <f>E359</f>
        <v>8113238</v>
      </c>
      <c r="F358" s="462">
        <f t="shared" ref="F358:G358" si="394">F359</f>
        <v>8113238</v>
      </c>
      <c r="G358" s="462">
        <f t="shared" si="394"/>
        <v>0</v>
      </c>
      <c r="H358" s="462">
        <f>H359</f>
        <v>0</v>
      </c>
      <c r="I358" s="462">
        <f t="shared" ref="I358" si="395">I359</f>
        <v>0</v>
      </c>
      <c r="J358" s="463">
        <f>J359</f>
        <v>582732</v>
      </c>
      <c r="K358" s="462">
        <f>K359</f>
        <v>582732</v>
      </c>
      <c r="L358" s="462">
        <f>L359</f>
        <v>0</v>
      </c>
      <c r="M358" s="462">
        <f t="shared" ref="M358" si="396">M359</f>
        <v>0</v>
      </c>
      <c r="N358" s="462">
        <f>N359</f>
        <v>0</v>
      </c>
      <c r="O358" s="463">
        <f>O359</f>
        <v>582732</v>
      </c>
      <c r="P358" s="462">
        <f t="shared" ref="P358" si="397">P359</f>
        <v>8695970</v>
      </c>
      <c r="Q358" s="22"/>
    </row>
    <row r="359" spans="1:18" ht="136.5" thickTop="1" thickBot="1" x14ac:dyDescent="0.25">
      <c r="A359" s="464" t="s">
        <v>168</v>
      </c>
      <c r="B359" s="464"/>
      <c r="C359" s="464"/>
      <c r="D359" s="465" t="s">
        <v>360</v>
      </c>
      <c r="E359" s="466">
        <f>E362+E374+E371+E360</f>
        <v>8113238</v>
      </c>
      <c r="F359" s="466">
        <f>F362+F374+F371+F360</f>
        <v>8113238</v>
      </c>
      <c r="G359" s="466">
        <f>G362+G374+G371+G360</f>
        <v>0</v>
      </c>
      <c r="H359" s="466">
        <f>H362+H374+H371+H360</f>
        <v>0</v>
      </c>
      <c r="I359" s="466">
        <f>I362+I374+I371+I360</f>
        <v>0</v>
      </c>
      <c r="J359" s="466">
        <f>L359+O359</f>
        <v>582732</v>
      </c>
      <c r="K359" s="466">
        <f>K362+K374+K371+K360</f>
        <v>582732</v>
      </c>
      <c r="L359" s="466">
        <f>L362+L374+L371+L360</f>
        <v>0</v>
      </c>
      <c r="M359" s="466">
        <f>M362+M374+M371+M360</f>
        <v>0</v>
      </c>
      <c r="N359" s="466">
        <f>N362+N374+N371+N360</f>
        <v>0</v>
      </c>
      <c r="O359" s="466">
        <f>O362+O374+O371+O360</f>
        <v>582732</v>
      </c>
      <c r="P359" s="466">
        <f>E359+J359</f>
        <v>8695970</v>
      </c>
      <c r="Q359" s="392" t="b">
        <f>P359=P364+P366+P367+P368+P361+P370+P373</f>
        <v>1</v>
      </c>
      <c r="R359" s="49"/>
    </row>
    <row r="360" spans="1:18" s="118" customFormat="1" ht="91.5" thickTop="1" thickBot="1" x14ac:dyDescent="0.25">
      <c r="A360" s="385" t="s">
        <v>1409</v>
      </c>
      <c r="B360" s="385" t="s">
        <v>720</v>
      </c>
      <c r="C360" s="385"/>
      <c r="D360" s="385" t="s">
        <v>721</v>
      </c>
      <c r="E360" s="707">
        <f t="shared" ref="E360:P360" si="398">SUM(E361:E361)</f>
        <v>794919</v>
      </c>
      <c r="F360" s="707">
        <f t="shared" si="398"/>
        <v>794919</v>
      </c>
      <c r="G360" s="707">
        <f t="shared" si="398"/>
        <v>0</v>
      </c>
      <c r="H360" s="707">
        <f t="shared" si="398"/>
        <v>0</v>
      </c>
      <c r="I360" s="707">
        <f t="shared" si="398"/>
        <v>0</v>
      </c>
      <c r="J360" s="707">
        <f t="shared" si="398"/>
        <v>156881</v>
      </c>
      <c r="K360" s="707">
        <f t="shared" si="398"/>
        <v>156881</v>
      </c>
      <c r="L360" s="707">
        <f t="shared" si="398"/>
        <v>0</v>
      </c>
      <c r="M360" s="707">
        <f t="shared" si="398"/>
        <v>0</v>
      </c>
      <c r="N360" s="707">
        <f t="shared" si="398"/>
        <v>0</v>
      </c>
      <c r="O360" s="707">
        <f t="shared" si="398"/>
        <v>156881</v>
      </c>
      <c r="P360" s="707">
        <f t="shared" si="398"/>
        <v>951800</v>
      </c>
      <c r="Q360" s="392"/>
      <c r="R360" s="708"/>
    </row>
    <row r="361" spans="1:18" s="118" customFormat="1" ht="230.25" thickTop="1" thickBot="1" x14ac:dyDescent="0.25">
      <c r="A361" s="706" t="s">
        <v>1410</v>
      </c>
      <c r="B361" s="706" t="s">
        <v>1249</v>
      </c>
      <c r="C361" s="706" t="s">
        <v>211</v>
      </c>
      <c r="D361" s="470" t="s">
        <v>1250</v>
      </c>
      <c r="E361" s="707">
        <f t="shared" ref="E361" si="399">F361</f>
        <v>794919</v>
      </c>
      <c r="F361" s="389">
        <f>563860+231059</f>
        <v>794919</v>
      </c>
      <c r="G361" s="389"/>
      <c r="H361" s="389"/>
      <c r="I361" s="389"/>
      <c r="J361" s="707">
        <f>L361+O361</f>
        <v>156881</v>
      </c>
      <c r="K361" s="389">
        <v>156881</v>
      </c>
      <c r="L361" s="389"/>
      <c r="M361" s="389"/>
      <c r="N361" s="389"/>
      <c r="O361" s="390">
        <f>K361</f>
        <v>156881</v>
      </c>
      <c r="P361" s="707">
        <f>E361+J361</f>
        <v>951800</v>
      </c>
      <c r="Q361" s="392"/>
      <c r="R361" s="708"/>
    </row>
    <row r="362" spans="1:18" ht="44.25" customHeight="1" thickTop="1" thickBot="1" x14ac:dyDescent="0.25">
      <c r="A362" s="385" t="s">
        <v>839</v>
      </c>
      <c r="B362" s="385" t="s">
        <v>757</v>
      </c>
      <c r="C362" s="546"/>
      <c r="D362" s="385" t="s">
        <v>804</v>
      </c>
      <c r="E362" s="541">
        <f t="shared" ref="E362:P362" si="400">E365+E363</f>
        <v>7132254</v>
      </c>
      <c r="F362" s="541">
        <f t="shared" si="400"/>
        <v>7132254</v>
      </c>
      <c r="G362" s="541">
        <f t="shared" si="400"/>
        <v>0</v>
      </c>
      <c r="H362" s="541">
        <f t="shared" si="400"/>
        <v>0</v>
      </c>
      <c r="I362" s="541">
        <f t="shared" si="400"/>
        <v>0</v>
      </c>
      <c r="J362" s="541">
        <f t="shared" si="400"/>
        <v>275396</v>
      </c>
      <c r="K362" s="541">
        <f t="shared" si="400"/>
        <v>275396</v>
      </c>
      <c r="L362" s="541">
        <f t="shared" si="400"/>
        <v>0</v>
      </c>
      <c r="M362" s="541">
        <f t="shared" si="400"/>
        <v>0</v>
      </c>
      <c r="N362" s="541">
        <f t="shared" si="400"/>
        <v>0</v>
      </c>
      <c r="O362" s="541">
        <f t="shared" si="400"/>
        <v>275396</v>
      </c>
      <c r="P362" s="541">
        <f t="shared" si="400"/>
        <v>7407650</v>
      </c>
      <c r="Q362" s="50"/>
      <c r="R362" s="49"/>
    </row>
    <row r="363" spans="1:18" s="37" customFormat="1" ht="91.5" thickTop="1" thickBot="1" x14ac:dyDescent="0.25">
      <c r="A363" s="387" t="s">
        <v>1031</v>
      </c>
      <c r="B363" s="387" t="s">
        <v>813</v>
      </c>
      <c r="C363" s="387"/>
      <c r="D363" s="387" t="s">
        <v>814</v>
      </c>
      <c r="E363" s="601">
        <f>E364</f>
        <v>50000</v>
      </c>
      <c r="F363" s="601">
        <f>F364</f>
        <v>50000</v>
      </c>
      <c r="G363" s="601">
        <f t="shared" ref="G363:O363" si="401">G364</f>
        <v>0</v>
      </c>
      <c r="H363" s="601">
        <f t="shared" si="401"/>
        <v>0</v>
      </c>
      <c r="I363" s="601">
        <f t="shared" si="401"/>
        <v>0</v>
      </c>
      <c r="J363" s="601">
        <f t="shared" si="401"/>
        <v>0</v>
      </c>
      <c r="K363" s="601">
        <f t="shared" si="401"/>
        <v>0</v>
      </c>
      <c r="L363" s="601">
        <f t="shared" si="401"/>
        <v>0</v>
      </c>
      <c r="M363" s="601">
        <f t="shared" si="401"/>
        <v>0</v>
      </c>
      <c r="N363" s="601">
        <f t="shared" si="401"/>
        <v>0</v>
      </c>
      <c r="O363" s="601">
        <f t="shared" si="401"/>
        <v>0</v>
      </c>
      <c r="P363" s="601">
        <f>P364</f>
        <v>50000</v>
      </c>
      <c r="Q363" s="48"/>
      <c r="R363" s="548"/>
    </row>
    <row r="364" spans="1:18" s="37" customFormat="1" ht="138.75" thickTop="1" thickBot="1" x14ac:dyDescent="0.25">
      <c r="A364" s="546" t="s">
        <v>1032</v>
      </c>
      <c r="B364" s="546" t="s">
        <v>355</v>
      </c>
      <c r="C364" s="546" t="s">
        <v>171</v>
      </c>
      <c r="D364" s="546" t="s">
        <v>267</v>
      </c>
      <c r="E364" s="547">
        <f t="shared" ref="E364" si="402">F364</f>
        <v>50000</v>
      </c>
      <c r="F364" s="389">
        <v>50000</v>
      </c>
      <c r="G364" s="389"/>
      <c r="H364" s="389"/>
      <c r="I364" s="389"/>
      <c r="J364" s="547">
        <f t="shared" ref="J364" si="403">L364+O364</f>
        <v>0</v>
      </c>
      <c r="K364" s="389"/>
      <c r="L364" s="389"/>
      <c r="M364" s="389"/>
      <c r="N364" s="389"/>
      <c r="O364" s="390">
        <f>K364</f>
        <v>0</v>
      </c>
      <c r="P364" s="547">
        <f t="shared" ref="P364" si="404">E364+J364</f>
        <v>50000</v>
      </c>
      <c r="Q364" s="48"/>
      <c r="R364" s="548"/>
    </row>
    <row r="365" spans="1:18" ht="136.5" thickTop="1" thickBot="1" x14ac:dyDescent="0.25">
      <c r="A365" s="387" t="s">
        <v>840</v>
      </c>
      <c r="B365" s="387" t="s">
        <v>700</v>
      </c>
      <c r="C365" s="387"/>
      <c r="D365" s="387" t="s">
        <v>698</v>
      </c>
      <c r="E365" s="601">
        <f>SUM(E366:E370)-E369</f>
        <v>7082254</v>
      </c>
      <c r="F365" s="601">
        <f t="shared" ref="F365:P365" si="405">SUM(F366:F370)-F369</f>
        <v>7082254</v>
      </c>
      <c r="G365" s="601">
        <f t="shared" si="405"/>
        <v>0</v>
      </c>
      <c r="H365" s="601">
        <f t="shared" si="405"/>
        <v>0</v>
      </c>
      <c r="I365" s="601">
        <f t="shared" si="405"/>
        <v>0</v>
      </c>
      <c r="J365" s="601">
        <f>SUM(J366:J370)-J369</f>
        <v>275396</v>
      </c>
      <c r="K365" s="601">
        <f t="shared" si="405"/>
        <v>275396</v>
      </c>
      <c r="L365" s="601">
        <f t="shared" si="405"/>
        <v>0</v>
      </c>
      <c r="M365" s="601">
        <f t="shared" si="405"/>
        <v>0</v>
      </c>
      <c r="N365" s="601">
        <f t="shared" si="405"/>
        <v>0</v>
      </c>
      <c r="O365" s="601">
        <f t="shared" si="405"/>
        <v>275396</v>
      </c>
      <c r="P365" s="601">
        <f t="shared" si="405"/>
        <v>7357650</v>
      </c>
      <c r="Q365" s="50"/>
      <c r="R365" s="49"/>
    </row>
    <row r="366" spans="1:18" ht="93" thickTop="1" thickBot="1" x14ac:dyDescent="0.25">
      <c r="A366" s="546" t="s">
        <v>265</v>
      </c>
      <c r="B366" s="546" t="s">
        <v>266</v>
      </c>
      <c r="C366" s="546" t="s">
        <v>264</v>
      </c>
      <c r="D366" s="546" t="s">
        <v>263</v>
      </c>
      <c r="E366" s="547">
        <f t="shared" ref="E366:E370" si="406">F366</f>
        <v>5865000</v>
      </c>
      <c r="F366" s="389">
        <f>(((2555000)+3000000)+650000)-340000</f>
        <v>5865000</v>
      </c>
      <c r="G366" s="389"/>
      <c r="H366" s="389"/>
      <c r="I366" s="389"/>
      <c r="J366" s="547">
        <f t="shared" ref="J366:J370" si="407">L366+O366</f>
        <v>0</v>
      </c>
      <c r="K366" s="389"/>
      <c r="L366" s="389"/>
      <c r="M366" s="389"/>
      <c r="N366" s="389"/>
      <c r="O366" s="390">
        <f>K366</f>
        <v>0</v>
      </c>
      <c r="P366" s="547">
        <f t="shared" ref="P366:P370" si="408">E366+J366</f>
        <v>5865000</v>
      </c>
      <c r="Q366" s="22"/>
      <c r="R366" s="49"/>
    </row>
    <row r="367" spans="1:18" ht="138.75" thickTop="1" thickBot="1" x14ac:dyDescent="0.25">
      <c r="A367" s="546" t="s">
        <v>257</v>
      </c>
      <c r="B367" s="546" t="s">
        <v>259</v>
      </c>
      <c r="C367" s="546" t="s">
        <v>218</v>
      </c>
      <c r="D367" s="546" t="s">
        <v>258</v>
      </c>
      <c r="E367" s="547">
        <f t="shared" si="406"/>
        <v>955000</v>
      </c>
      <c r="F367" s="389">
        <f>(615000)+340000</f>
        <v>955000</v>
      </c>
      <c r="G367" s="389"/>
      <c r="H367" s="389"/>
      <c r="I367" s="389"/>
      <c r="J367" s="547">
        <f t="shared" si="407"/>
        <v>0</v>
      </c>
      <c r="K367" s="389"/>
      <c r="L367" s="389"/>
      <c r="M367" s="389"/>
      <c r="N367" s="389"/>
      <c r="O367" s="390">
        <f>K367</f>
        <v>0</v>
      </c>
      <c r="P367" s="547">
        <f t="shared" si="408"/>
        <v>955000</v>
      </c>
      <c r="Q367" s="22"/>
      <c r="R367" s="49"/>
    </row>
    <row r="368" spans="1:18" s="118" customFormat="1" ht="48" thickTop="1" thickBot="1" x14ac:dyDescent="0.25">
      <c r="A368" s="706" t="s">
        <v>1404</v>
      </c>
      <c r="B368" s="706" t="s">
        <v>217</v>
      </c>
      <c r="C368" s="706" t="s">
        <v>218</v>
      </c>
      <c r="D368" s="706" t="s">
        <v>41</v>
      </c>
      <c r="E368" s="707">
        <f t="shared" ref="E368" si="409">F368</f>
        <v>42254</v>
      </c>
      <c r="F368" s="389">
        <f>12504+29750</f>
        <v>42254</v>
      </c>
      <c r="G368" s="389"/>
      <c r="H368" s="389"/>
      <c r="I368" s="389"/>
      <c r="J368" s="707">
        <f t="shared" ref="J368" si="410">L368+O368</f>
        <v>195396</v>
      </c>
      <c r="K368" s="389">
        <v>195396</v>
      </c>
      <c r="L368" s="389"/>
      <c r="M368" s="389"/>
      <c r="N368" s="389"/>
      <c r="O368" s="390">
        <f>K368</f>
        <v>195396</v>
      </c>
      <c r="P368" s="707">
        <f t="shared" ref="P368" si="411">E368+J368</f>
        <v>237650</v>
      </c>
      <c r="Q368" s="22"/>
      <c r="R368" s="708"/>
    </row>
    <row r="369" spans="1:18" ht="48" thickTop="1" thickBot="1" x14ac:dyDescent="0.25">
      <c r="A369" s="455" t="s">
        <v>841</v>
      </c>
      <c r="B369" s="455" t="s">
        <v>703</v>
      </c>
      <c r="C369" s="455"/>
      <c r="D369" s="455" t="s">
        <v>701</v>
      </c>
      <c r="E369" s="440">
        <f>E370</f>
        <v>220000</v>
      </c>
      <c r="F369" s="440">
        <f t="shared" ref="F369:P369" si="412">F370</f>
        <v>220000</v>
      </c>
      <c r="G369" s="440">
        <f t="shared" si="412"/>
        <v>0</v>
      </c>
      <c r="H369" s="440">
        <f t="shared" si="412"/>
        <v>0</v>
      </c>
      <c r="I369" s="440">
        <f t="shared" si="412"/>
        <v>0</v>
      </c>
      <c r="J369" s="440">
        <f t="shared" si="412"/>
        <v>80000</v>
      </c>
      <c r="K369" s="440">
        <f t="shared" si="412"/>
        <v>80000</v>
      </c>
      <c r="L369" s="440">
        <f t="shared" si="412"/>
        <v>0</v>
      </c>
      <c r="M369" s="440">
        <f t="shared" si="412"/>
        <v>0</v>
      </c>
      <c r="N369" s="440">
        <f t="shared" si="412"/>
        <v>0</v>
      </c>
      <c r="O369" s="440">
        <f t="shared" si="412"/>
        <v>80000</v>
      </c>
      <c r="P369" s="440">
        <f t="shared" si="412"/>
        <v>300000</v>
      </c>
      <c r="Q369" s="22"/>
      <c r="R369" s="49"/>
    </row>
    <row r="370" spans="1:18" ht="93" thickTop="1" thickBot="1" x14ac:dyDescent="0.25">
      <c r="A370" s="706" t="s">
        <v>261</v>
      </c>
      <c r="B370" s="706" t="s">
        <v>262</v>
      </c>
      <c r="C370" s="706" t="s">
        <v>171</v>
      </c>
      <c r="D370" s="706" t="s">
        <v>260</v>
      </c>
      <c r="E370" s="707">
        <f t="shared" si="406"/>
        <v>220000</v>
      </c>
      <c r="F370" s="389">
        <f>(300000)-80000</f>
        <v>220000</v>
      </c>
      <c r="G370" s="389"/>
      <c r="H370" s="389"/>
      <c r="I370" s="389"/>
      <c r="J370" s="707">
        <f t="shared" si="407"/>
        <v>80000</v>
      </c>
      <c r="K370" s="389">
        <f>0+80000</f>
        <v>80000</v>
      </c>
      <c r="L370" s="389"/>
      <c r="M370" s="389"/>
      <c r="N370" s="389"/>
      <c r="O370" s="390">
        <f>K370</f>
        <v>80000</v>
      </c>
      <c r="P370" s="707">
        <f t="shared" si="408"/>
        <v>300000</v>
      </c>
      <c r="Q370" s="22"/>
      <c r="R370" s="49"/>
    </row>
    <row r="371" spans="1:18" s="118" customFormat="1" ht="47.25" thickTop="1" thickBot="1" x14ac:dyDescent="0.25">
      <c r="A371" s="385" t="s">
        <v>1406</v>
      </c>
      <c r="B371" s="385" t="s">
        <v>705</v>
      </c>
      <c r="C371" s="385"/>
      <c r="D371" s="385" t="s">
        <v>706</v>
      </c>
      <c r="E371" s="707">
        <f t="shared" ref="E371:P372" si="413">E372</f>
        <v>186065</v>
      </c>
      <c r="F371" s="707">
        <f t="shared" si="413"/>
        <v>186065</v>
      </c>
      <c r="G371" s="707">
        <f t="shared" si="413"/>
        <v>0</v>
      </c>
      <c r="H371" s="707">
        <f t="shared" si="413"/>
        <v>0</v>
      </c>
      <c r="I371" s="707">
        <f t="shared" si="413"/>
        <v>0</v>
      </c>
      <c r="J371" s="707">
        <f t="shared" si="413"/>
        <v>150455</v>
      </c>
      <c r="K371" s="707">
        <f t="shared" si="413"/>
        <v>150455</v>
      </c>
      <c r="L371" s="707">
        <f t="shared" si="413"/>
        <v>0</v>
      </c>
      <c r="M371" s="707">
        <f t="shared" si="413"/>
        <v>0</v>
      </c>
      <c r="N371" s="707">
        <f t="shared" si="413"/>
        <v>0</v>
      </c>
      <c r="O371" s="707">
        <f t="shared" si="413"/>
        <v>150455</v>
      </c>
      <c r="P371" s="707">
        <f t="shared" si="413"/>
        <v>336520</v>
      </c>
      <c r="Q371" s="22"/>
      <c r="R371" s="708"/>
    </row>
    <row r="372" spans="1:18" s="118" customFormat="1" ht="91.5" thickTop="1" thickBot="1" x14ac:dyDescent="0.25">
      <c r="A372" s="387" t="s">
        <v>1407</v>
      </c>
      <c r="B372" s="387" t="s">
        <v>1234</v>
      </c>
      <c r="C372" s="387"/>
      <c r="D372" s="387" t="s">
        <v>1232</v>
      </c>
      <c r="E372" s="391">
        <f t="shared" si="413"/>
        <v>186065</v>
      </c>
      <c r="F372" s="391">
        <f t="shared" si="413"/>
        <v>186065</v>
      </c>
      <c r="G372" s="391">
        <f t="shared" si="413"/>
        <v>0</v>
      </c>
      <c r="H372" s="391">
        <f t="shared" si="413"/>
        <v>0</v>
      </c>
      <c r="I372" s="391">
        <f t="shared" si="413"/>
        <v>0</v>
      </c>
      <c r="J372" s="391">
        <f t="shared" si="413"/>
        <v>150455</v>
      </c>
      <c r="K372" s="391">
        <f t="shared" si="413"/>
        <v>150455</v>
      </c>
      <c r="L372" s="391">
        <f t="shared" si="413"/>
        <v>0</v>
      </c>
      <c r="M372" s="391">
        <f t="shared" si="413"/>
        <v>0</v>
      </c>
      <c r="N372" s="391">
        <f t="shared" si="413"/>
        <v>0</v>
      </c>
      <c r="O372" s="391">
        <f t="shared" si="413"/>
        <v>150455</v>
      </c>
      <c r="P372" s="391">
        <f t="shared" si="413"/>
        <v>336520</v>
      </c>
      <c r="Q372" s="22"/>
      <c r="R372" s="708"/>
    </row>
    <row r="373" spans="1:18" s="118" customFormat="1" ht="93" thickTop="1" thickBot="1" x14ac:dyDescent="0.25">
      <c r="A373" s="706" t="s">
        <v>1408</v>
      </c>
      <c r="B373" s="706" t="s">
        <v>1238</v>
      </c>
      <c r="C373" s="706" t="s">
        <v>1236</v>
      </c>
      <c r="D373" s="706" t="s">
        <v>1235</v>
      </c>
      <c r="E373" s="707">
        <f>F373</f>
        <v>186065</v>
      </c>
      <c r="F373" s="389">
        <f>166065+20000</f>
        <v>186065</v>
      </c>
      <c r="G373" s="389"/>
      <c r="H373" s="389"/>
      <c r="I373" s="389"/>
      <c r="J373" s="707">
        <f>L373+O373</f>
        <v>150455</v>
      </c>
      <c r="K373" s="389">
        <v>150455</v>
      </c>
      <c r="L373" s="389"/>
      <c r="M373" s="389"/>
      <c r="N373" s="389"/>
      <c r="O373" s="390">
        <f>K373</f>
        <v>150455</v>
      </c>
      <c r="P373" s="707">
        <f>E373+J373</f>
        <v>336520</v>
      </c>
      <c r="Q373" s="22"/>
      <c r="R373" s="708"/>
    </row>
    <row r="374" spans="1:18" ht="47.25" hidden="1" thickTop="1" thickBot="1" x14ac:dyDescent="0.25">
      <c r="A374" s="180" t="s">
        <v>919</v>
      </c>
      <c r="B374" s="180" t="s">
        <v>711</v>
      </c>
      <c r="C374" s="180"/>
      <c r="D374" s="180" t="s">
        <v>712</v>
      </c>
      <c r="E374" s="45">
        <f>E375</f>
        <v>0</v>
      </c>
      <c r="F374" s="45">
        <f t="shared" ref="F374:P375" si="414">F375</f>
        <v>0</v>
      </c>
      <c r="G374" s="45">
        <f t="shared" si="414"/>
        <v>0</v>
      </c>
      <c r="H374" s="45">
        <f t="shared" si="414"/>
        <v>0</v>
      </c>
      <c r="I374" s="45">
        <f t="shared" si="414"/>
        <v>0</v>
      </c>
      <c r="J374" s="45">
        <f t="shared" si="414"/>
        <v>0</v>
      </c>
      <c r="K374" s="45">
        <f t="shared" si="414"/>
        <v>0</v>
      </c>
      <c r="L374" s="45">
        <f t="shared" si="414"/>
        <v>0</v>
      </c>
      <c r="M374" s="45">
        <f t="shared" si="414"/>
        <v>0</v>
      </c>
      <c r="N374" s="45">
        <f t="shared" si="414"/>
        <v>0</v>
      </c>
      <c r="O374" s="45">
        <f t="shared" si="414"/>
        <v>0</v>
      </c>
      <c r="P374" s="45">
        <f t="shared" si="414"/>
        <v>0</v>
      </c>
      <c r="Q374" s="22"/>
      <c r="R374" s="49"/>
    </row>
    <row r="375" spans="1:18" ht="271.5" hidden="1" thickTop="1" thickBot="1" x14ac:dyDescent="0.25">
      <c r="A375" s="181" t="s">
        <v>920</v>
      </c>
      <c r="B375" s="181" t="s">
        <v>714</v>
      </c>
      <c r="C375" s="181"/>
      <c r="D375" s="181" t="s">
        <v>715</v>
      </c>
      <c r="E375" s="182">
        <f>E376</f>
        <v>0</v>
      </c>
      <c r="F375" s="182">
        <f t="shared" si="414"/>
        <v>0</v>
      </c>
      <c r="G375" s="182">
        <f t="shared" si="414"/>
        <v>0</v>
      </c>
      <c r="H375" s="182">
        <f t="shared" si="414"/>
        <v>0</v>
      </c>
      <c r="I375" s="182">
        <f t="shared" si="414"/>
        <v>0</v>
      </c>
      <c r="J375" s="182">
        <f t="shared" si="414"/>
        <v>0</v>
      </c>
      <c r="K375" s="182">
        <f t="shared" si="414"/>
        <v>0</v>
      </c>
      <c r="L375" s="182">
        <f t="shared" si="414"/>
        <v>0</v>
      </c>
      <c r="M375" s="182">
        <f t="shared" si="414"/>
        <v>0</v>
      </c>
      <c r="N375" s="182">
        <f t="shared" si="414"/>
        <v>0</v>
      </c>
      <c r="O375" s="182">
        <f t="shared" si="414"/>
        <v>0</v>
      </c>
      <c r="P375" s="182">
        <f t="shared" si="414"/>
        <v>0</v>
      </c>
      <c r="Q375" s="22"/>
      <c r="R375" s="49"/>
    </row>
    <row r="376" spans="1:18" ht="93" hidden="1" thickTop="1" thickBot="1" x14ac:dyDescent="0.25">
      <c r="A376" s="44" t="s">
        <v>921</v>
      </c>
      <c r="B376" s="44" t="s">
        <v>368</v>
      </c>
      <c r="C376" s="44" t="s">
        <v>43</v>
      </c>
      <c r="D376" s="44" t="s">
        <v>369</v>
      </c>
      <c r="E376" s="45">
        <f t="shared" ref="E376" si="415">F376</f>
        <v>0</v>
      </c>
      <c r="F376" s="46">
        <v>0</v>
      </c>
      <c r="G376" s="46"/>
      <c r="H376" s="46"/>
      <c r="I376" s="46"/>
      <c r="J376" s="45">
        <f>L376+O376</f>
        <v>0</v>
      </c>
      <c r="K376" s="46">
        <v>0</v>
      </c>
      <c r="L376" s="46"/>
      <c r="M376" s="46"/>
      <c r="N376" s="46"/>
      <c r="O376" s="47">
        <f>K376</f>
        <v>0</v>
      </c>
      <c r="P376" s="45">
        <f>E376+J376</f>
        <v>0</v>
      </c>
      <c r="Q376" s="22"/>
      <c r="R376" s="49"/>
    </row>
    <row r="377" spans="1:18" ht="226.5" thickTop="1" thickBot="1" x14ac:dyDescent="0.25">
      <c r="A377" s="460" t="s">
        <v>165</v>
      </c>
      <c r="B377" s="460"/>
      <c r="C377" s="460"/>
      <c r="D377" s="461" t="s">
        <v>898</v>
      </c>
      <c r="E377" s="463">
        <f>E378</f>
        <v>7407294</v>
      </c>
      <c r="F377" s="462">
        <f t="shared" ref="F377:G377" si="416">F378</f>
        <v>7407294</v>
      </c>
      <c r="G377" s="462">
        <f t="shared" si="416"/>
        <v>5498880</v>
      </c>
      <c r="H377" s="462">
        <f>H378</f>
        <v>229363</v>
      </c>
      <c r="I377" s="462">
        <f t="shared" ref="I377" si="417">I378</f>
        <v>0</v>
      </c>
      <c r="J377" s="463">
        <f>J378</f>
        <v>4109303</v>
      </c>
      <c r="K377" s="462">
        <f>K378</f>
        <v>152869</v>
      </c>
      <c r="L377" s="462">
        <f>L378</f>
        <v>2080434</v>
      </c>
      <c r="M377" s="462">
        <f t="shared" ref="M377" si="418">M378</f>
        <v>0</v>
      </c>
      <c r="N377" s="462">
        <f>N378</f>
        <v>0</v>
      </c>
      <c r="O377" s="463">
        <f>O378</f>
        <v>2028869</v>
      </c>
      <c r="P377" s="462">
        <f t="shared" ref="P377" si="419">P378</f>
        <v>11516597</v>
      </c>
      <c r="Q377" s="22"/>
    </row>
    <row r="378" spans="1:18" ht="226.5" thickTop="1" thickBot="1" x14ac:dyDescent="0.25">
      <c r="A378" s="464" t="s">
        <v>166</v>
      </c>
      <c r="B378" s="464"/>
      <c r="C378" s="464"/>
      <c r="D378" s="465" t="s">
        <v>897</v>
      </c>
      <c r="E378" s="466">
        <f>E379+E382+E385</f>
        <v>7407294</v>
      </c>
      <c r="F378" s="466">
        <f t="shared" ref="F378:P378" si="420">F379+F382+F385</f>
        <v>7407294</v>
      </c>
      <c r="G378" s="466">
        <f>G379+G382+G385</f>
        <v>5498880</v>
      </c>
      <c r="H378" s="466">
        <f t="shared" si="420"/>
        <v>229363</v>
      </c>
      <c r="I378" s="466">
        <f t="shared" si="420"/>
        <v>0</v>
      </c>
      <c r="J378" s="466">
        <f>J379+J382+J385</f>
        <v>4109303</v>
      </c>
      <c r="K378" s="466">
        <f t="shared" si="420"/>
        <v>152869</v>
      </c>
      <c r="L378" s="466">
        <f>L379+L382+L385</f>
        <v>2080434</v>
      </c>
      <c r="M378" s="466">
        <f t="shared" si="420"/>
        <v>0</v>
      </c>
      <c r="N378" s="466">
        <f t="shared" si="420"/>
        <v>0</v>
      </c>
      <c r="O378" s="466">
        <f t="shared" si="420"/>
        <v>2028869</v>
      </c>
      <c r="P378" s="466">
        <f t="shared" si="420"/>
        <v>11516597</v>
      </c>
      <c r="Q378" s="392" t="b">
        <f>P378=P380+P384+P386</f>
        <v>1</v>
      </c>
      <c r="R378" s="49"/>
    </row>
    <row r="379" spans="1:18" ht="47.25" thickTop="1" thickBot="1" x14ac:dyDescent="0.25">
      <c r="A379" s="385" t="s">
        <v>842</v>
      </c>
      <c r="B379" s="385" t="s">
        <v>693</v>
      </c>
      <c r="C379" s="385"/>
      <c r="D379" s="385" t="s">
        <v>694</v>
      </c>
      <c r="E379" s="670">
        <f>SUM(E380:E381)</f>
        <v>7371163</v>
      </c>
      <c r="F379" s="670">
        <f t="shared" ref="F379" si="421">SUM(F380:F381)</f>
        <v>7371163</v>
      </c>
      <c r="G379" s="670">
        <f t="shared" ref="G379" si="422">SUM(G380:G381)</f>
        <v>5498880</v>
      </c>
      <c r="H379" s="670">
        <f t="shared" ref="H379" si="423">SUM(H380:H381)</f>
        <v>229363</v>
      </c>
      <c r="I379" s="670">
        <f t="shared" ref="I379" si="424">SUM(I380:I381)</f>
        <v>0</v>
      </c>
      <c r="J379" s="670">
        <f t="shared" ref="J379" si="425">SUM(J380:J381)</f>
        <v>0</v>
      </c>
      <c r="K379" s="670">
        <f t="shared" ref="K379" si="426">SUM(K380:K381)</f>
        <v>0</v>
      </c>
      <c r="L379" s="670">
        <f t="shared" ref="L379" si="427">SUM(L380:L381)</f>
        <v>0</v>
      </c>
      <c r="M379" s="670">
        <f t="shared" ref="M379" si="428">SUM(M380:M381)</f>
        <v>0</v>
      </c>
      <c r="N379" s="670">
        <f t="shared" ref="N379" si="429">SUM(N380:N381)</f>
        <v>0</v>
      </c>
      <c r="O379" s="670">
        <f>SUM(O380:O381)</f>
        <v>0</v>
      </c>
      <c r="P379" s="670">
        <f t="shared" ref="P379" si="430">SUM(P380:P381)</f>
        <v>7371163</v>
      </c>
      <c r="Q379" s="50"/>
      <c r="R379" s="49"/>
    </row>
    <row r="380" spans="1:18" ht="230.25" thickTop="1" thickBot="1" x14ac:dyDescent="0.25">
      <c r="A380" s="546" t="s">
        <v>427</v>
      </c>
      <c r="B380" s="546" t="s">
        <v>241</v>
      </c>
      <c r="C380" s="546" t="s">
        <v>239</v>
      </c>
      <c r="D380" s="546" t="s">
        <v>240</v>
      </c>
      <c r="E380" s="670">
        <f>F380</f>
        <v>7371163</v>
      </c>
      <c r="F380" s="389">
        <v>7371163</v>
      </c>
      <c r="G380" s="389">
        <v>5498880</v>
      </c>
      <c r="H380" s="389">
        <f>146200+15123+64380+3660</f>
        <v>229363</v>
      </c>
      <c r="I380" s="389"/>
      <c r="J380" s="670">
        <f t="shared" ref="J380:J384" si="431">L380+O380</f>
        <v>0</v>
      </c>
      <c r="K380" s="389"/>
      <c r="L380" s="389"/>
      <c r="M380" s="389"/>
      <c r="N380" s="389"/>
      <c r="O380" s="390">
        <f>K380</f>
        <v>0</v>
      </c>
      <c r="P380" s="670">
        <f t="shared" ref="P380:P384" si="432">E380+J380</f>
        <v>7371163</v>
      </c>
      <c r="Q380" s="50"/>
      <c r="R380" s="49"/>
    </row>
    <row r="381" spans="1:18" ht="184.5" hidden="1" thickTop="1" thickBot="1" x14ac:dyDescent="0.25">
      <c r="A381" s="44" t="s">
        <v>642</v>
      </c>
      <c r="B381" s="44" t="s">
        <v>367</v>
      </c>
      <c r="C381" s="44" t="s">
        <v>634</v>
      </c>
      <c r="D381" s="44" t="s">
        <v>635</v>
      </c>
      <c r="E381" s="186">
        <f>F381</f>
        <v>0</v>
      </c>
      <c r="F381" s="163">
        <v>0</v>
      </c>
      <c r="G381" s="163"/>
      <c r="H381" s="163"/>
      <c r="I381" s="163"/>
      <c r="J381" s="668">
        <f t="shared" si="431"/>
        <v>0</v>
      </c>
      <c r="K381" s="163"/>
      <c r="L381" s="164"/>
      <c r="M381" s="164"/>
      <c r="N381" s="164"/>
      <c r="O381" s="673">
        <f t="shared" ref="O381" si="433">K381</f>
        <v>0</v>
      </c>
      <c r="P381" s="668">
        <f t="shared" ref="P381" si="434">+J381+E381</f>
        <v>0</v>
      </c>
      <c r="Q381" s="50"/>
      <c r="R381" s="49"/>
    </row>
    <row r="382" spans="1:18" ht="47.25" thickTop="1" thickBot="1" x14ac:dyDescent="0.25">
      <c r="A382" s="385" t="s">
        <v>843</v>
      </c>
      <c r="B382" s="385" t="s">
        <v>705</v>
      </c>
      <c r="C382" s="385"/>
      <c r="D382" s="385" t="s">
        <v>706</v>
      </c>
      <c r="E382" s="386">
        <f>E383</f>
        <v>0</v>
      </c>
      <c r="F382" s="386">
        <f t="shared" ref="F382:P383" si="435">F383</f>
        <v>0</v>
      </c>
      <c r="G382" s="386">
        <f t="shared" si="435"/>
        <v>0</v>
      </c>
      <c r="H382" s="386">
        <f t="shared" si="435"/>
        <v>0</v>
      </c>
      <c r="I382" s="386">
        <f t="shared" si="435"/>
        <v>0</v>
      </c>
      <c r="J382" s="386">
        <f t="shared" si="435"/>
        <v>3956434</v>
      </c>
      <c r="K382" s="386">
        <f t="shared" si="435"/>
        <v>0</v>
      </c>
      <c r="L382" s="386">
        <f t="shared" si="435"/>
        <v>2080434</v>
      </c>
      <c r="M382" s="386">
        <f t="shared" si="435"/>
        <v>0</v>
      </c>
      <c r="N382" s="386">
        <f t="shared" si="435"/>
        <v>0</v>
      </c>
      <c r="O382" s="386">
        <f t="shared" si="435"/>
        <v>1876000</v>
      </c>
      <c r="P382" s="386">
        <f t="shared" si="435"/>
        <v>3956434</v>
      </c>
      <c r="Q382" s="50"/>
      <c r="R382" s="49"/>
    </row>
    <row r="383" spans="1:18" ht="91.5" thickTop="1" thickBot="1" x14ac:dyDescent="0.25">
      <c r="A383" s="387" t="s">
        <v>844</v>
      </c>
      <c r="B383" s="387" t="s">
        <v>845</v>
      </c>
      <c r="C383" s="387"/>
      <c r="D383" s="387" t="s">
        <v>846</v>
      </c>
      <c r="E383" s="388">
        <f>E384</f>
        <v>0</v>
      </c>
      <c r="F383" s="388">
        <f t="shared" si="435"/>
        <v>0</v>
      </c>
      <c r="G383" s="388">
        <f t="shared" si="435"/>
        <v>0</v>
      </c>
      <c r="H383" s="388">
        <f t="shared" si="435"/>
        <v>0</v>
      </c>
      <c r="I383" s="388">
        <f t="shared" si="435"/>
        <v>0</v>
      </c>
      <c r="J383" s="388">
        <f t="shared" si="435"/>
        <v>3956434</v>
      </c>
      <c r="K383" s="388">
        <f t="shared" ref="K383:P383" si="436">K384</f>
        <v>0</v>
      </c>
      <c r="L383" s="388">
        <f t="shared" si="436"/>
        <v>2080434</v>
      </c>
      <c r="M383" s="388">
        <f t="shared" si="436"/>
        <v>0</v>
      </c>
      <c r="N383" s="388">
        <f t="shared" si="436"/>
        <v>0</v>
      </c>
      <c r="O383" s="388">
        <f t="shared" si="436"/>
        <v>1876000</v>
      </c>
      <c r="P383" s="388">
        <f t="shared" si="436"/>
        <v>3956434</v>
      </c>
      <c r="Q383" s="50"/>
      <c r="R383" s="49"/>
    </row>
    <row r="384" spans="1:18" ht="93" thickTop="1" thickBot="1" x14ac:dyDescent="0.25">
      <c r="A384" s="130" t="s">
        <v>1170</v>
      </c>
      <c r="B384" s="130" t="s">
        <v>1171</v>
      </c>
      <c r="C384" s="130" t="s">
        <v>51</v>
      </c>
      <c r="D384" s="130" t="s">
        <v>1172</v>
      </c>
      <c r="E384" s="670">
        <v>0</v>
      </c>
      <c r="F384" s="389"/>
      <c r="G384" s="389"/>
      <c r="H384" s="389"/>
      <c r="I384" s="389"/>
      <c r="J384" s="670">
        <f t="shared" si="431"/>
        <v>3956434</v>
      </c>
      <c r="K384" s="670"/>
      <c r="L384" s="389">
        <f>(((476000)+46434+40000+520000+100000+78000)+120000)-80000+20000-20000-40000-100000+220000+100000+600000</f>
        <v>2080434</v>
      </c>
      <c r="M384" s="389"/>
      <c r="N384" s="389"/>
      <c r="O384" s="390">
        <f>(((K384+874000)+13000+420000+1200000+189000)-120000)-1200000+500000</f>
        <v>1876000</v>
      </c>
      <c r="P384" s="670">
        <f t="shared" si="432"/>
        <v>3956434</v>
      </c>
      <c r="Q384" s="392" t="b">
        <f>J384='d9'!F27</f>
        <v>1</v>
      </c>
    </row>
    <row r="385" spans="1:19" s="118" customFormat="1" ht="47.25" thickTop="1" thickBot="1" x14ac:dyDescent="0.25">
      <c r="A385" s="385" t="s">
        <v>1306</v>
      </c>
      <c r="B385" s="385" t="s">
        <v>711</v>
      </c>
      <c r="C385" s="385"/>
      <c r="D385" s="385" t="s">
        <v>712</v>
      </c>
      <c r="E385" s="670">
        <f t="shared" ref="E385:L385" si="437">E386</f>
        <v>36131</v>
      </c>
      <c r="F385" s="670">
        <f t="shared" si="437"/>
        <v>36131</v>
      </c>
      <c r="G385" s="670">
        <f t="shared" si="437"/>
        <v>0</v>
      </c>
      <c r="H385" s="670">
        <f t="shared" si="437"/>
        <v>0</v>
      </c>
      <c r="I385" s="670">
        <f t="shared" si="437"/>
        <v>0</v>
      </c>
      <c r="J385" s="670">
        <f t="shared" si="437"/>
        <v>152869</v>
      </c>
      <c r="K385" s="670">
        <f t="shared" si="437"/>
        <v>152869</v>
      </c>
      <c r="L385" s="670">
        <f t="shared" si="437"/>
        <v>0</v>
      </c>
      <c r="M385" s="670">
        <f t="shared" ref="M385:P385" si="438">M386</f>
        <v>0</v>
      </c>
      <c r="N385" s="670">
        <f t="shared" si="438"/>
        <v>0</v>
      </c>
      <c r="O385" s="670">
        <f t="shared" si="438"/>
        <v>152869</v>
      </c>
      <c r="P385" s="670">
        <f t="shared" si="438"/>
        <v>189000</v>
      </c>
      <c r="Q385" s="50"/>
      <c r="R385" s="22"/>
    </row>
    <row r="386" spans="1:19" s="118" customFormat="1" ht="271.5" thickTop="1" thickBot="1" x14ac:dyDescent="0.25">
      <c r="A386" s="387" t="s">
        <v>1305</v>
      </c>
      <c r="B386" s="387" t="s">
        <v>519</v>
      </c>
      <c r="C386" s="387" t="s">
        <v>43</v>
      </c>
      <c r="D386" s="387" t="s">
        <v>520</v>
      </c>
      <c r="E386" s="391">
        <f t="shared" ref="E386" si="439">F386</f>
        <v>36131</v>
      </c>
      <c r="F386" s="391">
        <f>(19000+13000)+4131</f>
        <v>36131</v>
      </c>
      <c r="G386" s="391"/>
      <c r="H386" s="391"/>
      <c r="I386" s="391"/>
      <c r="J386" s="391">
        <f>L386+O386</f>
        <v>152869</v>
      </c>
      <c r="K386" s="389">
        <f>(77000+80000)-4131</f>
        <v>152869</v>
      </c>
      <c r="L386" s="391"/>
      <c r="M386" s="391"/>
      <c r="N386" s="391"/>
      <c r="O386" s="391">
        <f>(K386+0)</f>
        <v>152869</v>
      </c>
      <c r="P386" s="391">
        <f>E386+J386</f>
        <v>189000</v>
      </c>
      <c r="Q386" s="50"/>
      <c r="R386" s="22"/>
    </row>
    <row r="387" spans="1:19" ht="181.5" thickTop="1" thickBot="1" x14ac:dyDescent="0.25">
      <c r="A387" s="460" t="s">
        <v>163</v>
      </c>
      <c r="B387" s="460"/>
      <c r="C387" s="460"/>
      <c r="D387" s="461" t="s">
        <v>909</v>
      </c>
      <c r="E387" s="463">
        <f>E388</f>
        <v>10611580</v>
      </c>
      <c r="F387" s="462">
        <f t="shared" ref="F387:G387" si="440">F388</f>
        <v>10611580</v>
      </c>
      <c r="G387" s="462">
        <f t="shared" si="440"/>
        <v>7843804</v>
      </c>
      <c r="H387" s="462">
        <f>H388</f>
        <v>304000</v>
      </c>
      <c r="I387" s="462">
        <f t="shared" ref="I387" si="441">I388</f>
        <v>0</v>
      </c>
      <c r="J387" s="463">
        <f>J388</f>
        <v>1430500</v>
      </c>
      <c r="K387" s="462">
        <f>K388</f>
        <v>1430500</v>
      </c>
      <c r="L387" s="462">
        <f>L388</f>
        <v>0</v>
      </c>
      <c r="M387" s="462">
        <f t="shared" ref="M387" si="442">M388</f>
        <v>0</v>
      </c>
      <c r="N387" s="462">
        <f>N388</f>
        <v>0</v>
      </c>
      <c r="O387" s="463">
        <f>O388</f>
        <v>1430500</v>
      </c>
      <c r="P387" s="462">
        <f t="shared" ref="P387" si="443">P388</f>
        <v>12042080</v>
      </c>
      <c r="Q387" s="22"/>
    </row>
    <row r="388" spans="1:19" ht="181.5" thickTop="1" thickBot="1" x14ac:dyDescent="0.25">
      <c r="A388" s="464" t="s">
        <v>164</v>
      </c>
      <c r="B388" s="464"/>
      <c r="C388" s="464"/>
      <c r="D388" s="465" t="s">
        <v>908</v>
      </c>
      <c r="E388" s="466">
        <f>E389+E391</f>
        <v>10611580</v>
      </c>
      <c r="F388" s="466">
        <f t="shared" ref="F388:I388" si="444">F389+F391</f>
        <v>10611580</v>
      </c>
      <c r="G388" s="466">
        <f t="shared" si="444"/>
        <v>7843804</v>
      </c>
      <c r="H388" s="466">
        <f t="shared" si="444"/>
        <v>304000</v>
      </c>
      <c r="I388" s="466">
        <f t="shared" si="444"/>
        <v>0</v>
      </c>
      <c r="J388" s="466">
        <f>L388+O388</f>
        <v>1430500</v>
      </c>
      <c r="K388" s="466">
        <f t="shared" ref="K388:O388" si="445">K389+K391</f>
        <v>1430500</v>
      </c>
      <c r="L388" s="466">
        <f t="shared" si="445"/>
        <v>0</v>
      </c>
      <c r="M388" s="466">
        <f t="shared" si="445"/>
        <v>0</v>
      </c>
      <c r="N388" s="466">
        <f t="shared" si="445"/>
        <v>0</v>
      </c>
      <c r="O388" s="466">
        <f t="shared" si="445"/>
        <v>1430500</v>
      </c>
      <c r="P388" s="466">
        <f>E388+J388</f>
        <v>12042080</v>
      </c>
      <c r="Q388" s="392" t="b">
        <f>P388=P393+P395+P390</f>
        <v>1</v>
      </c>
      <c r="R388" s="48"/>
    </row>
    <row r="389" spans="1:19" ht="47.25" thickTop="1" thickBot="1" x14ac:dyDescent="0.25">
      <c r="A389" s="385" t="s">
        <v>847</v>
      </c>
      <c r="B389" s="385" t="s">
        <v>693</v>
      </c>
      <c r="C389" s="385"/>
      <c r="D389" s="385" t="s">
        <v>694</v>
      </c>
      <c r="E389" s="670">
        <f>SUM(E390)</f>
        <v>10421580</v>
      </c>
      <c r="F389" s="670">
        <f t="shared" ref="F389:P389" si="446">SUM(F390)</f>
        <v>10421580</v>
      </c>
      <c r="G389" s="670">
        <f t="shared" si="446"/>
        <v>7843804</v>
      </c>
      <c r="H389" s="670">
        <f t="shared" si="446"/>
        <v>304000</v>
      </c>
      <c r="I389" s="670">
        <f t="shared" si="446"/>
        <v>0</v>
      </c>
      <c r="J389" s="670">
        <f t="shared" si="446"/>
        <v>108000</v>
      </c>
      <c r="K389" s="670">
        <f t="shared" si="446"/>
        <v>108000</v>
      </c>
      <c r="L389" s="670">
        <f t="shared" si="446"/>
        <v>0</v>
      </c>
      <c r="M389" s="670">
        <f t="shared" si="446"/>
        <v>0</v>
      </c>
      <c r="N389" s="670">
        <f t="shared" si="446"/>
        <v>0</v>
      </c>
      <c r="O389" s="670">
        <f t="shared" si="446"/>
        <v>108000</v>
      </c>
      <c r="P389" s="670">
        <f t="shared" si="446"/>
        <v>10529580</v>
      </c>
      <c r="Q389" s="50"/>
      <c r="R389" s="48"/>
    </row>
    <row r="390" spans="1:19" ht="230.25" thickTop="1" thickBot="1" x14ac:dyDescent="0.25">
      <c r="A390" s="546" t="s">
        <v>423</v>
      </c>
      <c r="B390" s="546" t="s">
        <v>241</v>
      </c>
      <c r="C390" s="546" t="s">
        <v>239</v>
      </c>
      <c r="D390" s="546" t="s">
        <v>240</v>
      </c>
      <c r="E390" s="670">
        <f>F390</f>
        <v>10421580</v>
      </c>
      <c r="F390" s="389">
        <f>((10277600)+40000+20000+50000)+15000+18980</f>
        <v>10421580</v>
      </c>
      <c r="G390" s="389">
        <v>7843804</v>
      </c>
      <c r="H390" s="389">
        <f>240000+4000+60000</f>
        <v>304000</v>
      </c>
      <c r="I390" s="389"/>
      <c r="J390" s="670">
        <f>L390+O390</f>
        <v>108000</v>
      </c>
      <c r="K390" s="389">
        <f>(85500)+22500</f>
        <v>108000</v>
      </c>
      <c r="L390" s="389"/>
      <c r="M390" s="389"/>
      <c r="N390" s="389"/>
      <c r="O390" s="390">
        <f>K390</f>
        <v>108000</v>
      </c>
      <c r="P390" s="670">
        <f>E390+J390</f>
        <v>10529580</v>
      </c>
      <c r="Q390" s="22"/>
      <c r="R390" s="48"/>
    </row>
    <row r="391" spans="1:19" ht="47.25" thickTop="1" thickBot="1" x14ac:dyDescent="0.25">
      <c r="A391" s="385" t="s">
        <v>848</v>
      </c>
      <c r="B391" s="385" t="s">
        <v>757</v>
      </c>
      <c r="C391" s="546"/>
      <c r="D391" s="385" t="s">
        <v>804</v>
      </c>
      <c r="E391" s="670">
        <f t="shared" ref="E391:P391" si="447">E392+E394</f>
        <v>190000</v>
      </c>
      <c r="F391" s="670">
        <f t="shared" si="447"/>
        <v>190000</v>
      </c>
      <c r="G391" s="670">
        <f t="shared" si="447"/>
        <v>0</v>
      </c>
      <c r="H391" s="670">
        <f t="shared" si="447"/>
        <v>0</v>
      </c>
      <c r="I391" s="670">
        <f t="shared" si="447"/>
        <v>0</v>
      </c>
      <c r="J391" s="670">
        <f t="shared" si="447"/>
        <v>1322500</v>
      </c>
      <c r="K391" s="670">
        <f t="shared" si="447"/>
        <v>1322500</v>
      </c>
      <c r="L391" s="670">
        <f t="shared" si="447"/>
        <v>0</v>
      </c>
      <c r="M391" s="670">
        <f t="shared" si="447"/>
        <v>0</v>
      </c>
      <c r="N391" s="670">
        <f t="shared" si="447"/>
        <v>0</v>
      </c>
      <c r="O391" s="670">
        <f t="shared" si="447"/>
        <v>1322500</v>
      </c>
      <c r="P391" s="670">
        <f t="shared" si="447"/>
        <v>1512500</v>
      </c>
      <c r="Q391" s="22"/>
      <c r="R391" s="50"/>
    </row>
    <row r="392" spans="1:19" ht="91.5" thickTop="1" thickBot="1" x14ac:dyDescent="0.25">
      <c r="A392" s="387" t="s">
        <v>849</v>
      </c>
      <c r="B392" s="387" t="s">
        <v>850</v>
      </c>
      <c r="C392" s="387"/>
      <c r="D392" s="387" t="s">
        <v>851</v>
      </c>
      <c r="E392" s="391">
        <f>SUM(E393)</f>
        <v>190000</v>
      </c>
      <c r="F392" s="391">
        <f t="shared" ref="F392:P392" si="448">SUM(F393)</f>
        <v>190000</v>
      </c>
      <c r="G392" s="391">
        <f t="shared" si="448"/>
        <v>0</v>
      </c>
      <c r="H392" s="391">
        <f t="shared" si="448"/>
        <v>0</v>
      </c>
      <c r="I392" s="391">
        <f t="shared" si="448"/>
        <v>0</v>
      </c>
      <c r="J392" s="391">
        <f t="shared" si="448"/>
        <v>1210000</v>
      </c>
      <c r="K392" s="391">
        <f t="shared" si="448"/>
        <v>1210000</v>
      </c>
      <c r="L392" s="391">
        <f t="shared" si="448"/>
        <v>0</v>
      </c>
      <c r="M392" s="391">
        <f t="shared" si="448"/>
        <v>0</v>
      </c>
      <c r="N392" s="391">
        <f t="shared" si="448"/>
        <v>0</v>
      </c>
      <c r="O392" s="391">
        <f t="shared" si="448"/>
        <v>1210000</v>
      </c>
      <c r="P392" s="391">
        <f t="shared" si="448"/>
        <v>1400000</v>
      </c>
      <c r="Q392" s="22"/>
      <c r="R392" s="50"/>
    </row>
    <row r="393" spans="1:19" ht="93" thickTop="1" thickBot="1" x14ac:dyDescent="0.25">
      <c r="A393" s="546" t="s">
        <v>311</v>
      </c>
      <c r="B393" s="546" t="s">
        <v>312</v>
      </c>
      <c r="C393" s="546" t="s">
        <v>313</v>
      </c>
      <c r="D393" s="546" t="s">
        <v>466</v>
      </c>
      <c r="E393" s="670">
        <f>F393</f>
        <v>190000</v>
      </c>
      <c r="F393" s="389">
        <v>190000</v>
      </c>
      <c r="G393" s="389"/>
      <c r="H393" s="389"/>
      <c r="I393" s="389"/>
      <c r="J393" s="670">
        <f>L393+O393</f>
        <v>1210000</v>
      </c>
      <c r="K393" s="389">
        <f>(210000)+1000000</f>
        <v>1210000</v>
      </c>
      <c r="L393" s="389"/>
      <c r="M393" s="389"/>
      <c r="N393" s="389"/>
      <c r="O393" s="390">
        <f>K393</f>
        <v>1210000</v>
      </c>
      <c r="P393" s="670">
        <f>E393+J393</f>
        <v>1400000</v>
      </c>
      <c r="Q393" s="22"/>
      <c r="R393" s="48"/>
    </row>
    <row r="394" spans="1:19" ht="136.5" thickTop="1" thickBot="1" x14ac:dyDescent="0.25">
      <c r="A394" s="387" t="s">
        <v>852</v>
      </c>
      <c r="B394" s="387" t="s">
        <v>700</v>
      </c>
      <c r="C394" s="546"/>
      <c r="D394" s="387" t="s">
        <v>853</v>
      </c>
      <c r="E394" s="391">
        <f>SUM(E395)</f>
        <v>0</v>
      </c>
      <c r="F394" s="391">
        <f t="shared" ref="F394:P394" si="449">SUM(F395)</f>
        <v>0</v>
      </c>
      <c r="G394" s="391">
        <f t="shared" si="449"/>
        <v>0</v>
      </c>
      <c r="H394" s="391">
        <f t="shared" si="449"/>
        <v>0</v>
      </c>
      <c r="I394" s="391">
        <f t="shared" si="449"/>
        <v>0</v>
      </c>
      <c r="J394" s="391">
        <f t="shared" si="449"/>
        <v>112500</v>
      </c>
      <c r="K394" s="391">
        <f t="shared" si="449"/>
        <v>112500</v>
      </c>
      <c r="L394" s="391">
        <f t="shared" si="449"/>
        <v>0</v>
      </c>
      <c r="M394" s="391">
        <f t="shared" si="449"/>
        <v>0</v>
      </c>
      <c r="N394" s="391">
        <f t="shared" si="449"/>
        <v>0</v>
      </c>
      <c r="O394" s="391">
        <f t="shared" si="449"/>
        <v>112500</v>
      </c>
      <c r="P394" s="391">
        <f t="shared" si="449"/>
        <v>112500</v>
      </c>
      <c r="Q394" s="22"/>
    </row>
    <row r="395" spans="1:19" ht="138.75" thickTop="1" thickBot="1" x14ac:dyDescent="0.25">
      <c r="A395" s="546" t="s">
        <v>373</v>
      </c>
      <c r="B395" s="546" t="s">
        <v>374</v>
      </c>
      <c r="C395" s="546" t="s">
        <v>171</v>
      </c>
      <c r="D395" s="546" t="s">
        <v>375</v>
      </c>
      <c r="E395" s="670">
        <f>F395</f>
        <v>0</v>
      </c>
      <c r="F395" s="389"/>
      <c r="G395" s="389"/>
      <c r="H395" s="389"/>
      <c r="I395" s="389"/>
      <c r="J395" s="670">
        <f>L395+O395</f>
        <v>112500</v>
      </c>
      <c r="K395" s="389">
        <f>(90000)+22500</f>
        <v>112500</v>
      </c>
      <c r="L395" s="389"/>
      <c r="M395" s="389"/>
      <c r="N395" s="389"/>
      <c r="O395" s="390">
        <f>K395</f>
        <v>112500</v>
      </c>
      <c r="P395" s="670">
        <f>E395+J395</f>
        <v>112500</v>
      </c>
      <c r="Q395" s="22"/>
      <c r="R395" s="48"/>
    </row>
    <row r="396" spans="1:19" ht="136.5" thickTop="1" thickBot="1" x14ac:dyDescent="0.25">
      <c r="A396" s="460" t="s">
        <v>169</v>
      </c>
      <c r="B396" s="460"/>
      <c r="C396" s="460"/>
      <c r="D396" s="461" t="s">
        <v>27</v>
      </c>
      <c r="E396" s="463">
        <f>E397</f>
        <v>365829302.58999997</v>
      </c>
      <c r="F396" s="462">
        <f t="shared" ref="F396:G396" si="450">F397</f>
        <v>365829302.58999997</v>
      </c>
      <c r="G396" s="462">
        <f t="shared" si="450"/>
        <v>8214383</v>
      </c>
      <c r="H396" s="462">
        <f>H397</f>
        <v>319894</v>
      </c>
      <c r="I396" s="462">
        <f t="shared" ref="I396" si="451">I397</f>
        <v>0</v>
      </c>
      <c r="J396" s="463">
        <f>J397</f>
        <v>45000</v>
      </c>
      <c r="K396" s="462">
        <f>K397</f>
        <v>45000</v>
      </c>
      <c r="L396" s="462">
        <f>L397</f>
        <v>0</v>
      </c>
      <c r="M396" s="462">
        <f t="shared" ref="M396" si="452">M397</f>
        <v>0</v>
      </c>
      <c r="N396" s="462">
        <f>N397</f>
        <v>0</v>
      </c>
      <c r="O396" s="463">
        <f>O397</f>
        <v>45000</v>
      </c>
      <c r="P396" s="462">
        <f t="shared" ref="P396" si="453">P397</f>
        <v>365874302.58999997</v>
      </c>
      <c r="Q396" s="22"/>
    </row>
    <row r="397" spans="1:19" ht="136.5" thickTop="1" thickBot="1" x14ac:dyDescent="0.25">
      <c r="A397" s="464" t="s">
        <v>170</v>
      </c>
      <c r="B397" s="464"/>
      <c r="C397" s="464"/>
      <c r="D397" s="465" t="s">
        <v>40</v>
      </c>
      <c r="E397" s="466">
        <f>E398+E404+E411+E401</f>
        <v>365829302.58999997</v>
      </c>
      <c r="F397" s="466">
        <f t="shared" ref="F397:P397" si="454">F398+F404+F411+F401</f>
        <v>365829302.58999997</v>
      </c>
      <c r="G397" s="466">
        <f t="shared" si="454"/>
        <v>8214383</v>
      </c>
      <c r="H397" s="466">
        <f t="shared" si="454"/>
        <v>319894</v>
      </c>
      <c r="I397" s="466">
        <f t="shared" si="454"/>
        <v>0</v>
      </c>
      <c r="J397" s="466">
        <f t="shared" si="454"/>
        <v>45000</v>
      </c>
      <c r="K397" s="466">
        <f t="shared" si="454"/>
        <v>45000</v>
      </c>
      <c r="L397" s="466">
        <f t="shared" si="454"/>
        <v>0</v>
      </c>
      <c r="M397" s="466">
        <f t="shared" si="454"/>
        <v>0</v>
      </c>
      <c r="N397" s="466">
        <f t="shared" si="454"/>
        <v>0</v>
      </c>
      <c r="O397" s="466">
        <f t="shared" si="454"/>
        <v>45000</v>
      </c>
      <c r="P397" s="466">
        <f t="shared" si="454"/>
        <v>365874302.58999997</v>
      </c>
      <c r="Q397" s="392" t="b">
        <f>P397=P399+P405+P407+P413</f>
        <v>1</v>
      </c>
      <c r="R397" s="48"/>
    </row>
    <row r="398" spans="1:19" ht="47.25" thickTop="1" thickBot="1" x14ac:dyDescent="0.25">
      <c r="A398" s="385" t="s">
        <v>854</v>
      </c>
      <c r="B398" s="385" t="s">
        <v>693</v>
      </c>
      <c r="C398" s="385"/>
      <c r="D398" s="385" t="s">
        <v>694</v>
      </c>
      <c r="E398" s="670">
        <f>SUM(E399:E400)</f>
        <v>10694200</v>
      </c>
      <c r="F398" s="670">
        <f t="shared" ref="F398:P398" si="455">SUM(F399:F400)</f>
        <v>10694200</v>
      </c>
      <c r="G398" s="670">
        <f t="shared" si="455"/>
        <v>8214383</v>
      </c>
      <c r="H398" s="670">
        <f t="shared" si="455"/>
        <v>319894</v>
      </c>
      <c r="I398" s="670">
        <f t="shared" si="455"/>
        <v>0</v>
      </c>
      <c r="J398" s="670">
        <f t="shared" si="455"/>
        <v>45000</v>
      </c>
      <c r="K398" s="670">
        <f t="shared" si="455"/>
        <v>45000</v>
      </c>
      <c r="L398" s="670">
        <f t="shared" si="455"/>
        <v>0</v>
      </c>
      <c r="M398" s="670">
        <f t="shared" si="455"/>
        <v>0</v>
      </c>
      <c r="N398" s="670">
        <f t="shared" si="455"/>
        <v>0</v>
      </c>
      <c r="O398" s="670">
        <f t="shared" si="455"/>
        <v>45000</v>
      </c>
      <c r="P398" s="670">
        <f t="shared" si="455"/>
        <v>10739200</v>
      </c>
      <c r="Q398" s="50"/>
      <c r="R398" s="53"/>
    </row>
    <row r="399" spans="1:19" ht="230.25" thickTop="1" thickBot="1" x14ac:dyDescent="0.25">
      <c r="A399" s="546" t="s">
        <v>425</v>
      </c>
      <c r="B399" s="546" t="s">
        <v>241</v>
      </c>
      <c r="C399" s="546" t="s">
        <v>239</v>
      </c>
      <c r="D399" s="669" t="s">
        <v>240</v>
      </c>
      <c r="E399" s="670">
        <f>F399</f>
        <v>10694200</v>
      </c>
      <c r="F399" s="389">
        <f>(10739200)-45000</f>
        <v>10694200</v>
      </c>
      <c r="G399" s="389">
        <v>8214383</v>
      </c>
      <c r="H399" s="389">
        <f>144480+6318+160000+9096</f>
        <v>319894</v>
      </c>
      <c r="I399" s="389"/>
      <c r="J399" s="670">
        <f>L399+O399</f>
        <v>45000</v>
      </c>
      <c r="K399" s="389">
        <v>45000</v>
      </c>
      <c r="L399" s="389"/>
      <c r="M399" s="389"/>
      <c r="N399" s="389"/>
      <c r="O399" s="390">
        <f>K399</f>
        <v>45000</v>
      </c>
      <c r="P399" s="670">
        <f>E399+J399</f>
        <v>10739200</v>
      </c>
      <c r="Q399" s="50"/>
      <c r="R399" s="53"/>
      <c r="S399" s="50"/>
    </row>
    <row r="400" spans="1:19" ht="184.5" hidden="1" thickTop="1" thickBot="1" x14ac:dyDescent="0.25">
      <c r="A400" s="162" t="s">
        <v>643</v>
      </c>
      <c r="B400" s="162" t="s">
        <v>367</v>
      </c>
      <c r="C400" s="162" t="s">
        <v>634</v>
      </c>
      <c r="D400" s="672" t="s">
        <v>635</v>
      </c>
      <c r="E400" s="186">
        <f>F400</f>
        <v>0</v>
      </c>
      <c r="F400" s="163"/>
      <c r="G400" s="163"/>
      <c r="H400" s="163"/>
      <c r="I400" s="163"/>
      <c r="J400" s="668">
        <f t="shared" ref="J400" si="456">L400+O400</f>
        <v>0</v>
      </c>
      <c r="K400" s="163"/>
      <c r="L400" s="164"/>
      <c r="M400" s="164"/>
      <c r="N400" s="164"/>
      <c r="O400" s="673">
        <f t="shared" ref="O400" si="457">K400</f>
        <v>0</v>
      </c>
      <c r="P400" s="668">
        <f t="shared" ref="P400" si="458">+J400+E400</f>
        <v>0</v>
      </c>
      <c r="Q400" s="50"/>
      <c r="R400" s="53"/>
    </row>
    <row r="401" spans="1:18" s="118" customFormat="1" ht="136.5" hidden="1" thickTop="1" thickBot="1" x14ac:dyDescent="0.25">
      <c r="A401" s="170" t="s">
        <v>1253</v>
      </c>
      <c r="B401" s="170" t="s">
        <v>700</v>
      </c>
      <c r="C401" s="170"/>
      <c r="D401" s="170" t="s">
        <v>698</v>
      </c>
      <c r="E401" s="200">
        <f>E402</f>
        <v>0</v>
      </c>
      <c r="F401" s="200">
        <f t="shared" ref="F401:P402" si="459">F402</f>
        <v>0</v>
      </c>
      <c r="G401" s="200">
        <f t="shared" si="459"/>
        <v>0</v>
      </c>
      <c r="H401" s="200">
        <f t="shared" si="459"/>
        <v>0</v>
      </c>
      <c r="I401" s="200">
        <f t="shared" si="459"/>
        <v>0</v>
      </c>
      <c r="J401" s="200">
        <f t="shared" si="459"/>
        <v>0</v>
      </c>
      <c r="K401" s="200">
        <f t="shared" si="459"/>
        <v>0</v>
      </c>
      <c r="L401" s="200">
        <f t="shared" si="459"/>
        <v>0</v>
      </c>
      <c r="M401" s="200">
        <f t="shared" si="459"/>
        <v>0</v>
      </c>
      <c r="N401" s="200">
        <f t="shared" si="459"/>
        <v>0</v>
      </c>
      <c r="O401" s="200">
        <f t="shared" si="459"/>
        <v>0</v>
      </c>
      <c r="P401" s="200">
        <f t="shared" si="459"/>
        <v>0</v>
      </c>
      <c r="Q401" s="50"/>
      <c r="R401" s="53"/>
    </row>
    <row r="402" spans="1:18" s="118" customFormat="1" ht="48" hidden="1" thickTop="1" thickBot="1" x14ac:dyDescent="0.25">
      <c r="A402" s="174" t="s">
        <v>1254</v>
      </c>
      <c r="B402" s="174" t="s">
        <v>703</v>
      </c>
      <c r="C402" s="174"/>
      <c r="D402" s="174" t="s">
        <v>701</v>
      </c>
      <c r="E402" s="175">
        <f>E403</f>
        <v>0</v>
      </c>
      <c r="F402" s="175">
        <f t="shared" si="459"/>
        <v>0</v>
      </c>
      <c r="G402" s="175">
        <f t="shared" si="459"/>
        <v>0</v>
      </c>
      <c r="H402" s="175">
        <f t="shared" si="459"/>
        <v>0</v>
      </c>
      <c r="I402" s="175">
        <f t="shared" si="459"/>
        <v>0</v>
      </c>
      <c r="J402" s="175">
        <f t="shared" si="459"/>
        <v>0</v>
      </c>
      <c r="K402" s="175">
        <f t="shared" si="459"/>
        <v>0</v>
      </c>
      <c r="L402" s="175">
        <f t="shared" si="459"/>
        <v>0</v>
      </c>
      <c r="M402" s="175">
        <f t="shared" si="459"/>
        <v>0</v>
      </c>
      <c r="N402" s="175">
        <f t="shared" si="459"/>
        <v>0</v>
      </c>
      <c r="O402" s="175">
        <f t="shared" si="459"/>
        <v>0</v>
      </c>
      <c r="P402" s="175">
        <f t="shared" si="459"/>
        <v>0</v>
      </c>
      <c r="Q402" s="50"/>
      <c r="R402" s="53"/>
    </row>
    <row r="403" spans="1:18" s="118" customFormat="1" ht="93" hidden="1" thickTop="1" thickBot="1" x14ac:dyDescent="0.25">
      <c r="A403" s="162" t="s">
        <v>1255</v>
      </c>
      <c r="B403" s="162" t="s">
        <v>262</v>
      </c>
      <c r="C403" s="162" t="s">
        <v>171</v>
      </c>
      <c r="D403" s="672" t="s">
        <v>260</v>
      </c>
      <c r="E403" s="668">
        <f t="shared" ref="E403" si="460">F403</f>
        <v>0</v>
      </c>
      <c r="F403" s="168"/>
      <c r="G403" s="168"/>
      <c r="H403" s="168"/>
      <c r="I403" s="168"/>
      <c r="J403" s="668">
        <f t="shared" ref="J403" si="461">L403+O403</f>
        <v>0</v>
      </c>
      <c r="K403" s="168"/>
      <c r="L403" s="168"/>
      <c r="M403" s="168"/>
      <c r="N403" s="168"/>
      <c r="O403" s="673">
        <f>K403</f>
        <v>0</v>
      </c>
      <c r="P403" s="668">
        <f t="shared" ref="P403" si="462">E403+J403</f>
        <v>0</v>
      </c>
      <c r="Q403" s="50"/>
      <c r="R403" s="53"/>
    </row>
    <row r="404" spans="1:18" ht="47.25" thickTop="1" thickBot="1" x14ac:dyDescent="0.25">
      <c r="A404" s="385" t="s">
        <v>855</v>
      </c>
      <c r="B404" s="385" t="s">
        <v>705</v>
      </c>
      <c r="C404" s="385"/>
      <c r="D404" s="385" t="s">
        <v>706</v>
      </c>
      <c r="E404" s="386">
        <f t="shared" ref="E404:P404" si="463">E405+E406+E408</f>
        <v>27034402.589999996</v>
      </c>
      <c r="F404" s="386">
        <f t="shared" si="463"/>
        <v>27034402.589999996</v>
      </c>
      <c r="G404" s="386">
        <f t="shared" si="463"/>
        <v>0</v>
      </c>
      <c r="H404" s="386">
        <f t="shared" si="463"/>
        <v>0</v>
      </c>
      <c r="I404" s="386">
        <f t="shared" si="463"/>
        <v>0</v>
      </c>
      <c r="J404" s="386">
        <f t="shared" si="463"/>
        <v>0</v>
      </c>
      <c r="K404" s="386">
        <f t="shared" si="463"/>
        <v>0</v>
      </c>
      <c r="L404" s="386">
        <f t="shared" si="463"/>
        <v>0</v>
      </c>
      <c r="M404" s="386">
        <f t="shared" si="463"/>
        <v>0</v>
      </c>
      <c r="N404" s="386">
        <f t="shared" si="463"/>
        <v>0</v>
      </c>
      <c r="O404" s="386">
        <f t="shared" si="463"/>
        <v>0</v>
      </c>
      <c r="P404" s="386">
        <f t="shared" si="463"/>
        <v>27034402.589999996</v>
      </c>
      <c r="Q404" s="50"/>
      <c r="R404" s="53"/>
    </row>
    <row r="405" spans="1:18" ht="91.5" thickTop="1" thickBot="1" x14ac:dyDescent="0.25">
      <c r="A405" s="576">
        <v>3718600</v>
      </c>
      <c r="B405" s="576">
        <v>8600</v>
      </c>
      <c r="C405" s="387" t="s">
        <v>367</v>
      </c>
      <c r="D405" s="576" t="s">
        <v>457</v>
      </c>
      <c r="E405" s="391">
        <f>F405</f>
        <v>1306400</v>
      </c>
      <c r="F405" s="391">
        <f>1306400</f>
        <v>1306400</v>
      </c>
      <c r="G405" s="391"/>
      <c r="H405" s="391"/>
      <c r="I405" s="391"/>
      <c r="J405" s="391">
        <f>L405+O405</f>
        <v>0</v>
      </c>
      <c r="K405" s="391"/>
      <c r="L405" s="391"/>
      <c r="M405" s="391"/>
      <c r="N405" s="391"/>
      <c r="O405" s="588">
        <f>K405</f>
        <v>0</v>
      </c>
      <c r="P405" s="391">
        <f>E405+J405</f>
        <v>1306400</v>
      </c>
      <c r="Q405" s="22"/>
    </row>
    <row r="406" spans="1:18" ht="47.25" thickTop="1" thickBot="1" x14ac:dyDescent="0.25">
      <c r="A406" s="576">
        <v>3718700</v>
      </c>
      <c r="B406" s="576">
        <v>8700</v>
      </c>
      <c r="C406" s="387"/>
      <c r="D406" s="576" t="s">
        <v>856</v>
      </c>
      <c r="E406" s="391">
        <f t="shared" ref="E406:P406" si="464">E407</f>
        <v>25728002.589999996</v>
      </c>
      <c r="F406" s="391">
        <f t="shared" si="464"/>
        <v>25728002.589999996</v>
      </c>
      <c r="G406" s="391">
        <f t="shared" si="464"/>
        <v>0</v>
      </c>
      <c r="H406" s="391">
        <f t="shared" si="464"/>
        <v>0</v>
      </c>
      <c r="I406" s="391">
        <f t="shared" si="464"/>
        <v>0</v>
      </c>
      <c r="J406" s="391">
        <f t="shared" si="464"/>
        <v>0</v>
      </c>
      <c r="K406" s="391">
        <f t="shared" si="464"/>
        <v>0</v>
      </c>
      <c r="L406" s="391">
        <f t="shared" si="464"/>
        <v>0</v>
      </c>
      <c r="M406" s="391">
        <f t="shared" si="464"/>
        <v>0</v>
      </c>
      <c r="N406" s="391">
        <f t="shared" si="464"/>
        <v>0</v>
      </c>
      <c r="O406" s="391">
        <f t="shared" si="464"/>
        <v>0</v>
      </c>
      <c r="P406" s="391">
        <f t="shared" si="464"/>
        <v>25728002.589999996</v>
      </c>
      <c r="Q406" s="22"/>
    </row>
    <row r="407" spans="1:18" ht="93" thickTop="1" thickBot="1" x14ac:dyDescent="0.25">
      <c r="A407" s="457">
        <v>3718710</v>
      </c>
      <c r="B407" s="457">
        <v>8710</v>
      </c>
      <c r="C407" s="546" t="s">
        <v>42</v>
      </c>
      <c r="D407" s="470" t="s">
        <v>649</v>
      </c>
      <c r="E407" s="670">
        <f>F407</f>
        <v>25728002.589999996</v>
      </c>
      <c r="F407" s="389">
        <f>(((((10570000+18000000-10000000)-10775230)+61721624.88-1208523)-1013222.5-5000000)-41030724.79+410000)+4054078</f>
        <v>25728002.589999996</v>
      </c>
      <c r="G407" s="389"/>
      <c r="H407" s="389"/>
      <c r="I407" s="389"/>
      <c r="J407" s="670">
        <f>L407+O407</f>
        <v>0</v>
      </c>
      <c r="K407" s="389"/>
      <c r="L407" s="389"/>
      <c r="M407" s="389"/>
      <c r="N407" s="389"/>
      <c r="O407" s="390">
        <f>K407</f>
        <v>0</v>
      </c>
      <c r="P407" s="670">
        <f>E407+J407</f>
        <v>25728002.589999996</v>
      </c>
      <c r="Q407" s="22"/>
    </row>
    <row r="408" spans="1:18" ht="47.25" hidden="1" thickTop="1" thickBot="1" x14ac:dyDescent="0.25">
      <c r="A408" s="201">
        <v>3718800</v>
      </c>
      <c r="B408" s="201">
        <v>8800</v>
      </c>
      <c r="C408" s="170"/>
      <c r="D408" s="201" t="s">
        <v>864</v>
      </c>
      <c r="E408" s="171">
        <f>E409</f>
        <v>0</v>
      </c>
      <c r="F408" s="171">
        <f>F409</f>
        <v>0</v>
      </c>
      <c r="G408" s="171">
        <f t="shared" ref="G408:P409" si="465">G409</f>
        <v>0</v>
      </c>
      <c r="H408" s="171">
        <f t="shared" si="465"/>
        <v>0</v>
      </c>
      <c r="I408" s="171">
        <f t="shared" si="465"/>
        <v>0</v>
      </c>
      <c r="J408" s="171">
        <f t="shared" si="465"/>
        <v>0</v>
      </c>
      <c r="K408" s="171">
        <f t="shared" si="465"/>
        <v>0</v>
      </c>
      <c r="L408" s="171">
        <f t="shared" si="465"/>
        <v>0</v>
      </c>
      <c r="M408" s="171">
        <f t="shared" si="465"/>
        <v>0</v>
      </c>
      <c r="N408" s="171">
        <f t="shared" si="465"/>
        <v>0</v>
      </c>
      <c r="O408" s="171">
        <f t="shared" si="465"/>
        <v>0</v>
      </c>
      <c r="P408" s="171">
        <f t="shared" si="465"/>
        <v>0</v>
      </c>
      <c r="Q408" s="22"/>
    </row>
    <row r="409" spans="1:18" ht="184.5" hidden="1" thickTop="1" thickBot="1" x14ac:dyDescent="0.25">
      <c r="A409" s="202">
        <v>3718880</v>
      </c>
      <c r="B409" s="202">
        <v>8880</v>
      </c>
      <c r="C409" s="174"/>
      <c r="D409" s="187" t="s">
        <v>1199</v>
      </c>
      <c r="E409" s="175">
        <f>E410</f>
        <v>0</v>
      </c>
      <c r="F409" s="175">
        <f t="shared" ref="F409" si="466">F410</f>
        <v>0</v>
      </c>
      <c r="G409" s="175">
        <f t="shared" si="465"/>
        <v>0</v>
      </c>
      <c r="H409" s="175">
        <f t="shared" si="465"/>
        <v>0</v>
      </c>
      <c r="I409" s="175">
        <f t="shared" si="465"/>
        <v>0</v>
      </c>
      <c r="J409" s="175">
        <f t="shared" si="465"/>
        <v>0</v>
      </c>
      <c r="K409" s="175">
        <f t="shared" si="465"/>
        <v>0</v>
      </c>
      <c r="L409" s="175">
        <f t="shared" si="465"/>
        <v>0</v>
      </c>
      <c r="M409" s="175">
        <f t="shared" si="465"/>
        <v>0</v>
      </c>
      <c r="N409" s="175">
        <f t="shared" si="465"/>
        <v>0</v>
      </c>
      <c r="O409" s="175">
        <f t="shared" si="465"/>
        <v>0</v>
      </c>
      <c r="P409" s="175">
        <f t="shared" si="465"/>
        <v>0</v>
      </c>
      <c r="Q409" s="22"/>
    </row>
    <row r="410" spans="1:18" ht="230.25" hidden="1" thickTop="1" thickBot="1" x14ac:dyDescent="0.25">
      <c r="A410" s="162">
        <v>3718881</v>
      </c>
      <c r="B410" s="162">
        <v>8881</v>
      </c>
      <c r="C410" s="162" t="s">
        <v>171</v>
      </c>
      <c r="D410" s="672" t="s">
        <v>1200</v>
      </c>
      <c r="E410" s="186">
        <f>F410</f>
        <v>0</v>
      </c>
      <c r="F410" s="163">
        <f>(2500000)-2500000</f>
        <v>0</v>
      </c>
      <c r="G410" s="163"/>
      <c r="H410" s="163"/>
      <c r="I410" s="163"/>
      <c r="J410" s="668">
        <f t="shared" ref="J410" si="467">L410+O410</f>
        <v>0</v>
      </c>
      <c r="K410" s="163"/>
      <c r="L410" s="164"/>
      <c r="M410" s="164"/>
      <c r="N410" s="164"/>
      <c r="O410" s="673">
        <f t="shared" ref="O410" si="468">K410</f>
        <v>0</v>
      </c>
      <c r="P410" s="668">
        <f t="shared" ref="P410" si="469">+J410+E410</f>
        <v>0</v>
      </c>
      <c r="Q410" s="22"/>
    </row>
    <row r="411" spans="1:18" ht="47.25" thickTop="1" thickBot="1" x14ac:dyDescent="0.25">
      <c r="A411" s="385" t="s">
        <v>857</v>
      </c>
      <c r="B411" s="385" t="s">
        <v>711</v>
      </c>
      <c r="C411" s="385"/>
      <c r="D411" s="385" t="s">
        <v>712</v>
      </c>
      <c r="E411" s="670">
        <f>E412</f>
        <v>328100700</v>
      </c>
      <c r="F411" s="670">
        <f t="shared" ref="F411:P412" si="470">F412</f>
        <v>328100700</v>
      </c>
      <c r="G411" s="670">
        <f t="shared" si="470"/>
        <v>0</v>
      </c>
      <c r="H411" s="670">
        <f t="shared" si="470"/>
        <v>0</v>
      </c>
      <c r="I411" s="670">
        <f t="shared" si="470"/>
        <v>0</v>
      </c>
      <c r="J411" s="670">
        <f t="shared" si="470"/>
        <v>0</v>
      </c>
      <c r="K411" s="670">
        <f t="shared" si="470"/>
        <v>0</v>
      </c>
      <c r="L411" s="670">
        <f t="shared" si="470"/>
        <v>0</v>
      </c>
      <c r="M411" s="670">
        <f t="shared" si="470"/>
        <v>0</v>
      </c>
      <c r="N411" s="670">
        <f t="shared" si="470"/>
        <v>0</v>
      </c>
      <c r="O411" s="670">
        <f t="shared" si="470"/>
        <v>0</v>
      </c>
      <c r="P411" s="670">
        <f t="shared" si="470"/>
        <v>328100700</v>
      </c>
      <c r="Q411" s="22"/>
    </row>
    <row r="412" spans="1:18" ht="91.5" thickTop="1" thickBot="1" x14ac:dyDescent="0.25">
      <c r="A412" s="576">
        <v>3719100</v>
      </c>
      <c r="B412" s="387" t="s">
        <v>859</v>
      </c>
      <c r="C412" s="387"/>
      <c r="D412" s="387" t="s">
        <v>858</v>
      </c>
      <c r="E412" s="391">
        <f>E413</f>
        <v>328100700</v>
      </c>
      <c r="F412" s="391">
        <f t="shared" si="470"/>
        <v>328100700</v>
      </c>
      <c r="G412" s="391">
        <f t="shared" si="470"/>
        <v>0</v>
      </c>
      <c r="H412" s="391">
        <f t="shared" si="470"/>
        <v>0</v>
      </c>
      <c r="I412" s="391">
        <f t="shared" si="470"/>
        <v>0</v>
      </c>
      <c r="J412" s="391">
        <f t="shared" si="470"/>
        <v>0</v>
      </c>
      <c r="K412" s="391">
        <f t="shared" si="470"/>
        <v>0</v>
      </c>
      <c r="L412" s="391">
        <f t="shared" si="470"/>
        <v>0</v>
      </c>
      <c r="M412" s="391">
        <f t="shared" si="470"/>
        <v>0</v>
      </c>
      <c r="N412" s="391">
        <f t="shared" si="470"/>
        <v>0</v>
      </c>
      <c r="O412" s="391">
        <f t="shared" si="470"/>
        <v>0</v>
      </c>
      <c r="P412" s="391">
        <f t="shared" si="470"/>
        <v>328100700</v>
      </c>
      <c r="Q412" s="22"/>
    </row>
    <row r="413" spans="1:18" ht="51" customHeight="1" thickTop="1" thickBot="1" x14ac:dyDescent="0.25">
      <c r="A413" s="457">
        <v>3719110</v>
      </c>
      <c r="B413" s="457">
        <v>9110</v>
      </c>
      <c r="C413" s="546" t="s">
        <v>43</v>
      </c>
      <c r="D413" s="470" t="s">
        <v>456</v>
      </c>
      <c r="E413" s="670">
        <f>F413</f>
        <v>328100700</v>
      </c>
      <c r="F413" s="389">
        <v>328100700</v>
      </c>
      <c r="G413" s="389"/>
      <c r="H413" s="389"/>
      <c r="I413" s="389"/>
      <c r="J413" s="670">
        <f>L413+O413</f>
        <v>0</v>
      </c>
      <c r="K413" s="389"/>
      <c r="L413" s="389"/>
      <c r="M413" s="389"/>
      <c r="N413" s="389"/>
      <c r="O413" s="390">
        <f>K413</f>
        <v>0</v>
      </c>
      <c r="P413" s="670">
        <f>E413+J413</f>
        <v>328100700</v>
      </c>
      <c r="Q413" s="22"/>
    </row>
    <row r="414" spans="1:18" ht="159.75" customHeight="1" thickTop="1" thickBot="1" x14ac:dyDescent="0.25">
      <c r="A414" s="648" t="s">
        <v>386</v>
      </c>
      <c r="B414" s="648" t="s">
        <v>386</v>
      </c>
      <c r="C414" s="648" t="s">
        <v>386</v>
      </c>
      <c r="D414" s="648" t="s">
        <v>396</v>
      </c>
      <c r="E414" s="649">
        <f t="shared" ref="E414:P414" si="471">E16+E46+E212+E101+E131+E190++E306+E331+E397+E359+E378+E388+E340+E274+E248</f>
        <v>4199762548.9899998</v>
      </c>
      <c r="F414" s="649">
        <f t="shared" si="471"/>
        <v>4199762548.9899998</v>
      </c>
      <c r="G414" s="649">
        <f t="shared" si="471"/>
        <v>1609910174.47</v>
      </c>
      <c r="H414" s="649">
        <f t="shared" si="471"/>
        <v>229963899.21000001</v>
      </c>
      <c r="I414" s="649">
        <f t="shared" si="471"/>
        <v>0</v>
      </c>
      <c r="J414" s="649">
        <f t="shared" si="471"/>
        <v>1568464708.96</v>
      </c>
      <c r="K414" s="649">
        <f t="shared" si="471"/>
        <v>1364046144.8800001</v>
      </c>
      <c r="L414" s="649">
        <f t="shared" si="471"/>
        <v>197863817.08000001</v>
      </c>
      <c r="M414" s="649">
        <f t="shared" si="471"/>
        <v>49947065</v>
      </c>
      <c r="N414" s="649">
        <f t="shared" si="471"/>
        <v>17003655</v>
      </c>
      <c r="O414" s="649">
        <f t="shared" si="471"/>
        <v>1370600891.8800001</v>
      </c>
      <c r="P414" s="649">
        <f t="shared" si="471"/>
        <v>5768227257.9499989</v>
      </c>
      <c r="Q414" s="94" t="b">
        <f>P414=J414+E414</f>
        <v>1</v>
      </c>
    </row>
    <row r="415" spans="1:18" ht="46.5" thickTop="1" x14ac:dyDescent="0.2">
      <c r="A415" s="884" t="s">
        <v>1359</v>
      </c>
      <c r="B415" s="885"/>
      <c r="C415" s="885"/>
      <c r="D415" s="885"/>
      <c r="E415" s="885"/>
      <c r="F415" s="885"/>
      <c r="G415" s="885"/>
      <c r="H415" s="885"/>
      <c r="I415" s="885"/>
      <c r="J415" s="885"/>
      <c r="K415" s="885"/>
      <c r="L415" s="885"/>
      <c r="M415" s="885"/>
      <c r="N415" s="885"/>
      <c r="O415" s="885"/>
      <c r="P415" s="885"/>
      <c r="Q415" s="98"/>
    </row>
    <row r="416" spans="1:18" ht="60.75" hidden="1" x14ac:dyDescent="0.2">
      <c r="A416" s="203"/>
      <c r="B416" s="204"/>
      <c r="C416" s="204"/>
      <c r="D416" s="204"/>
      <c r="E416" s="450">
        <f>F416</f>
        <v>4199762548.9900002</v>
      </c>
      <c r="F416" s="450">
        <f>((((((3042022336.28+630802893+8260086)-9359911-150000-4895000)+408547246.84-3366523)-1013222.5)+88281-36901152.46-451590-500000))+166679104.83</f>
        <v>4199762548.9900002</v>
      </c>
      <c r="G416" s="450">
        <f>(((97820900+700442852+88293048+2636610+43398010+109636660+47666561+1669391+510343880+3045420)+13450+3532532)+840600)+72361.47+497899</f>
        <v>1609910174.47</v>
      </c>
      <c r="H416" s="450">
        <f>((7110100+195613308+216098+5150735+74329+8494910+3165886+4570553+4601586)+142020.09+148400+52329.48)+134764.64+243030+245850</f>
        <v>229963899.20999998</v>
      </c>
      <c r="I416" s="450">
        <v>0</v>
      </c>
      <c r="J416" s="450">
        <f>((((411784702.72+'d2'!E37-'d4'!N17)+13686000+150000+4895000)+715534375.97+3366523)+36901152.46+451590+500000)+(392213224.81-(7972860-45000))</f>
        <v>1568464708.96</v>
      </c>
      <c r="K416" s="450">
        <f>((((411784702.72+'d2'!F37-'d4'!N17-2950700-1350000-188624447)+13686000+150000+4895000)+715534375.97-6350319-2606434-1286664.08+3366523)+36901152.46+451590+500000)+(392213224.81-(7972860-45000)-1250000)</f>
        <v>1364046144.8800001</v>
      </c>
      <c r="L416" s="450">
        <f>(((3326700+171685130+2118642+1000000+640000+211210+9125775)+784434+6275319+506938.21+479725.87-50000)+127001)+80000+852942+700000</f>
        <v>197863817.08000001</v>
      </c>
      <c r="M416" s="450">
        <f>((39544820+350000+361000+5000+1072780+6635445)+1468040)+587980-78000</f>
        <v>49947065</v>
      </c>
      <c r="N416" s="450">
        <f>((15551110+158000+55000+195110+383875+290560)+350000)+20000</f>
        <v>17003655</v>
      </c>
      <c r="O416" s="450">
        <f>((((411784702.72+'d2'!F37-'d4'!N17-188624447-2950700-1350000+(90000+122380+3445630+185680)+974000)+13686000+150000+4895000)+(715534375.97-6350319-2606434-1286664.08)+1822000+75000+300000+50000+3366523)+36901152.46-127001+451590+500000)+(392213224.81-(7972860-45000)-1250000)-80000-700000+397058</f>
        <v>1370600891.8800001</v>
      </c>
      <c r="P416" s="450">
        <f>(((((3453807039+'d2'!E37-'d4'!Q28+630802893+8260086)+16400+4309689)+1124081622.81)+88281)+558892329.64)</f>
        <v>5768227257.9499998</v>
      </c>
      <c r="Q416" s="94" t="b">
        <f>E416+J416=P416</f>
        <v>1</v>
      </c>
      <c r="R416" s="59"/>
    </row>
    <row r="417" spans="1:18" ht="75.75" customHeight="1" x14ac:dyDescent="0.65">
      <c r="A417" s="17"/>
      <c r="B417" s="18"/>
      <c r="C417" s="18"/>
      <c r="D417" s="854" t="s">
        <v>1558</v>
      </c>
      <c r="E417" s="400"/>
      <c r="F417" s="400"/>
      <c r="G417" s="756"/>
      <c r="H417" s="3"/>
      <c r="I417" s="2"/>
      <c r="J417" s="3"/>
      <c r="K417" s="756" t="s">
        <v>1559</v>
      </c>
      <c r="L417" s="85"/>
      <c r="M417" s="85"/>
      <c r="N417" s="85"/>
      <c r="O417" s="85"/>
      <c r="P417" s="85"/>
      <c r="Q417" s="98"/>
    </row>
    <row r="418" spans="1:18" ht="45.75" x14ac:dyDescent="0.65">
      <c r="A418" s="17"/>
      <c r="B418" s="18"/>
      <c r="C418" s="18"/>
      <c r="D418" s="928"/>
      <c r="E418" s="928"/>
      <c r="F418" s="928"/>
      <c r="G418" s="928"/>
      <c r="H418" s="928"/>
      <c r="I418" s="928"/>
      <c r="J418" s="928"/>
      <c r="K418" s="928"/>
      <c r="L418" s="928"/>
      <c r="M418" s="928"/>
      <c r="N418" s="928"/>
      <c r="O418" s="928"/>
      <c r="P418" s="928"/>
      <c r="Q418" s="98"/>
    </row>
    <row r="419" spans="1:18" ht="46.5" thickBot="1" x14ac:dyDescent="0.7">
      <c r="A419" s="17"/>
      <c r="B419" s="18"/>
      <c r="C419" s="18"/>
      <c r="D419" s="941" t="s">
        <v>529</v>
      </c>
      <c r="E419" s="942"/>
      <c r="F419" s="942"/>
      <c r="G419" s="757"/>
      <c r="H419" s="757"/>
      <c r="I419" s="85"/>
      <c r="J419" s="85"/>
      <c r="K419" s="3" t="s">
        <v>1465</v>
      </c>
      <c r="L419" s="85"/>
      <c r="M419" s="85"/>
      <c r="N419" s="85"/>
      <c r="O419" s="85"/>
      <c r="P419" s="85"/>
      <c r="Q419" s="98"/>
    </row>
    <row r="420" spans="1:18" ht="47.25" thickTop="1" thickBot="1" x14ac:dyDescent="0.7">
      <c r="A420" s="21"/>
      <c r="B420" s="21"/>
      <c r="C420" s="21"/>
      <c r="D420" s="886"/>
      <c r="E420" s="886"/>
      <c r="F420" s="886"/>
      <c r="G420" s="886"/>
      <c r="H420" s="886"/>
      <c r="I420" s="886"/>
      <c r="J420" s="886"/>
      <c r="K420" s="886"/>
      <c r="L420" s="886"/>
      <c r="M420" s="886"/>
      <c r="N420" s="886"/>
      <c r="O420" s="886"/>
      <c r="P420" s="886"/>
      <c r="Q420" s="99"/>
    </row>
    <row r="421" spans="1:18" ht="95.25" customHeight="1" thickTop="1" x14ac:dyDescent="0.55000000000000004">
      <c r="G421" s="61"/>
      <c r="H421" s="61"/>
      <c r="I421" s="107"/>
      <c r="J421" s="108"/>
      <c r="K421" s="108"/>
      <c r="L421" s="107"/>
      <c r="M421" s="107"/>
      <c r="N421" s="107"/>
      <c r="O421" s="107"/>
      <c r="P421" s="108"/>
      <c r="Q421" s="97"/>
    </row>
    <row r="422" spans="1:18" hidden="1" x14ac:dyDescent="0.2">
      <c r="E422" s="62"/>
      <c r="F422" s="63"/>
      <c r="G422" s="61"/>
      <c r="H422" s="61"/>
      <c r="I422" s="107"/>
      <c r="J422" s="109"/>
      <c r="K422" s="109"/>
      <c r="L422" s="107"/>
      <c r="M422" s="107"/>
      <c r="N422" s="107"/>
      <c r="O422" s="107"/>
      <c r="P422" s="108"/>
    </row>
    <row r="423" spans="1:18" hidden="1" x14ac:dyDescent="0.2">
      <c r="E423" s="62"/>
      <c r="F423" s="63"/>
      <c r="G423" s="61"/>
      <c r="H423" s="61"/>
      <c r="I423" s="107"/>
      <c r="J423" s="109"/>
      <c r="K423" s="109"/>
      <c r="L423" s="107"/>
      <c r="M423" s="107"/>
      <c r="N423" s="107"/>
      <c r="O423" s="107"/>
      <c r="P423" s="108"/>
    </row>
    <row r="424" spans="1:18" ht="60.75" x14ac:dyDescent="0.2">
      <c r="E424" s="94" t="b">
        <f>E416=E414</f>
        <v>1</v>
      </c>
      <c r="F424" s="94" t="b">
        <f>F416=F414</f>
        <v>1</v>
      </c>
      <c r="G424" s="94" t="b">
        <f>G416=G414</f>
        <v>1</v>
      </c>
      <c r="H424" s="94" t="b">
        <f t="shared" ref="H424:O424" si="472">H416=H414</f>
        <v>1</v>
      </c>
      <c r="I424" s="94" t="b">
        <f>I416=I414</f>
        <v>1</v>
      </c>
      <c r="J424" s="94" t="b">
        <f>J416=J414</f>
        <v>1</v>
      </c>
      <c r="K424" s="94" t="b">
        <f>K416=K414</f>
        <v>1</v>
      </c>
      <c r="L424" s="94" t="b">
        <f t="shared" si="472"/>
        <v>1</v>
      </c>
      <c r="M424" s="94" t="b">
        <f t="shared" si="472"/>
        <v>1</v>
      </c>
      <c r="N424" s="94" t="b">
        <f>N416=N414</f>
        <v>1</v>
      </c>
      <c r="O424" s="94" t="b">
        <f t="shared" si="472"/>
        <v>1</v>
      </c>
      <c r="P424" s="94" t="b">
        <f>P416=P414</f>
        <v>1</v>
      </c>
    </row>
    <row r="425" spans="1:18" ht="61.5" x14ac:dyDescent="0.2">
      <c r="E425" s="94" t="b">
        <f>E414=F414</f>
        <v>1</v>
      </c>
      <c r="F425" s="122">
        <f>F407/E414</f>
        <v>6.1260612451023736E-3</v>
      </c>
      <c r="G425" s="101"/>
      <c r="H425" s="102"/>
      <c r="I425" s="103"/>
      <c r="J425" s="94" t="b">
        <f>J416=L416+O416</f>
        <v>1</v>
      </c>
      <c r="K425" s="110"/>
      <c r="L425" s="94"/>
      <c r="M425" s="103"/>
      <c r="N425" s="103"/>
      <c r="O425" s="94"/>
      <c r="P425" s="94" t="b">
        <f>E414+J414=P414</f>
        <v>1</v>
      </c>
    </row>
    <row r="426" spans="1:18" ht="60.75" x14ac:dyDescent="0.2">
      <c r="E426" s="104"/>
      <c r="F426" s="105"/>
      <c r="G426" s="104"/>
      <c r="H426" s="106"/>
      <c r="I426" s="104"/>
      <c r="J426" s="62"/>
      <c r="K426" s="62"/>
    </row>
    <row r="427" spans="1:18" ht="61.5" x14ac:dyDescent="0.2">
      <c r="A427" s="23"/>
      <c r="B427" s="23"/>
      <c r="C427" s="23"/>
      <c r="D427" s="24"/>
      <c r="E427" s="40">
        <f>E414-E416</f>
        <v>0</v>
      </c>
      <c r="F427" s="122">
        <f>400000/E414</f>
        <v>9.5243479919167323E-5</v>
      </c>
      <c r="G427" s="101"/>
      <c r="H427" s="64"/>
      <c r="I427" s="24"/>
      <c r="J427" s="40">
        <f>J414-J416</f>
        <v>0</v>
      </c>
      <c r="K427" s="40">
        <f>K414-K416</f>
        <v>0</v>
      </c>
      <c r="L427" s="40"/>
      <c r="M427" s="40"/>
      <c r="N427" s="40"/>
      <c r="O427" s="40">
        <f>O414-O416</f>
        <v>0</v>
      </c>
      <c r="P427" s="40"/>
    </row>
    <row r="428" spans="1:18" ht="61.5" x14ac:dyDescent="0.2">
      <c r="D428" s="24"/>
      <c r="E428" s="40"/>
      <c r="F428" s="66"/>
      <c r="G428" s="58"/>
      <c r="H428" s="64"/>
      <c r="I428" s="24"/>
      <c r="J428" s="40"/>
      <c r="K428" s="40"/>
      <c r="L428" s="67"/>
      <c r="P428" s="58"/>
      <c r="Q428" s="100"/>
      <c r="R428" s="68"/>
    </row>
    <row r="429" spans="1:18" ht="60.75" x14ac:dyDescent="0.2">
      <c r="A429" s="23"/>
      <c r="B429" s="23"/>
      <c r="C429" s="23"/>
      <c r="D429" s="24"/>
      <c r="E429" s="28"/>
      <c r="F429" s="28"/>
      <c r="G429" s="28"/>
      <c r="H429" s="28"/>
      <c r="I429" s="69"/>
      <c r="J429" s="28"/>
      <c r="K429" s="28"/>
      <c r="L429" s="28"/>
      <c r="M429" s="28"/>
      <c r="N429" s="28"/>
      <c r="O429" s="28"/>
      <c r="P429" s="28"/>
      <c r="Q429" s="100"/>
      <c r="R429" s="68"/>
    </row>
    <row r="430" spans="1:18" ht="60.75" x14ac:dyDescent="0.2">
      <c r="D430" s="24"/>
      <c r="E430" s="40"/>
      <c r="F430" s="70"/>
      <c r="G430" s="71"/>
      <c r="O430" s="58"/>
      <c r="P430" s="58"/>
    </row>
    <row r="431" spans="1:18" ht="60.75" x14ac:dyDescent="0.2">
      <c r="A431" s="23"/>
      <c r="B431" s="23"/>
      <c r="C431" s="23"/>
      <c r="D431" s="24"/>
      <c r="E431" s="40"/>
      <c r="F431" s="65"/>
      <c r="G431" s="67"/>
      <c r="I431" s="72"/>
      <c r="J431" s="62"/>
      <c r="K431" s="62"/>
      <c r="L431" s="23"/>
      <c r="M431" s="23"/>
      <c r="N431" s="23"/>
      <c r="O431" s="23"/>
      <c r="P431" s="58"/>
    </row>
    <row r="432" spans="1:18" ht="62.25" x14ac:dyDescent="0.8">
      <c r="A432" s="23"/>
      <c r="B432" s="23"/>
      <c r="C432" s="23"/>
      <c r="D432" s="23"/>
      <c r="E432" s="73"/>
      <c r="F432" s="65"/>
      <c r="J432" s="62"/>
      <c r="K432" s="62"/>
      <c r="L432" s="23"/>
      <c r="M432" s="23"/>
      <c r="N432" s="23"/>
      <c r="O432" s="23"/>
      <c r="P432" s="74"/>
    </row>
    <row r="433" spans="1:16" ht="45.75" x14ac:dyDescent="0.2">
      <c r="E433" s="75"/>
      <c r="F433" s="70"/>
    </row>
    <row r="434" spans="1:16" ht="45.75" x14ac:dyDescent="0.2">
      <c r="A434" s="23"/>
      <c r="B434" s="23"/>
      <c r="C434" s="23"/>
      <c r="D434" s="23"/>
      <c r="E434" s="73"/>
      <c r="F434" s="65"/>
      <c r="L434" s="23"/>
      <c r="M434" s="23"/>
      <c r="N434" s="23"/>
      <c r="O434" s="23"/>
      <c r="P434" s="23"/>
    </row>
    <row r="435" spans="1:16" ht="45.75" x14ac:dyDescent="0.2">
      <c r="E435" s="76"/>
      <c r="F435" s="70"/>
    </row>
    <row r="436" spans="1:16" ht="45.75" x14ac:dyDescent="0.2">
      <c r="E436" s="76"/>
      <c r="F436" s="70"/>
    </row>
    <row r="437" spans="1:16" ht="45.75" x14ac:dyDescent="0.2">
      <c r="E437" s="76"/>
      <c r="F437" s="70"/>
    </row>
    <row r="438" spans="1:16" ht="45.75" x14ac:dyDescent="0.2">
      <c r="A438" s="23"/>
      <c r="B438" s="23"/>
      <c r="C438" s="23"/>
      <c r="D438" s="23"/>
      <c r="E438" s="76"/>
      <c r="F438" s="70"/>
      <c r="G438" s="23"/>
      <c r="H438" s="23"/>
      <c r="I438" s="23"/>
      <c r="J438" s="23"/>
      <c r="K438" s="23"/>
      <c r="L438" s="23"/>
      <c r="M438" s="23"/>
      <c r="N438" s="23"/>
      <c r="O438" s="23"/>
      <c r="P438" s="23"/>
    </row>
    <row r="439" spans="1:16" ht="45.75" x14ac:dyDescent="0.2">
      <c r="A439" s="23"/>
      <c r="B439" s="23"/>
      <c r="C439" s="23"/>
      <c r="D439" s="23"/>
      <c r="E439" s="76"/>
      <c r="F439" s="70"/>
      <c r="G439" s="23"/>
      <c r="H439" s="23"/>
      <c r="I439" s="23"/>
      <c r="J439" s="23"/>
      <c r="K439" s="23"/>
      <c r="L439" s="23"/>
      <c r="M439" s="23"/>
      <c r="N439" s="23"/>
      <c r="O439" s="23"/>
      <c r="P439" s="23"/>
    </row>
    <row r="440" spans="1:16" ht="45.75" x14ac:dyDescent="0.2">
      <c r="A440" s="23"/>
      <c r="B440" s="23"/>
      <c r="C440" s="23"/>
      <c r="D440" s="23"/>
      <c r="E440" s="76"/>
      <c r="F440" s="70"/>
      <c r="G440" s="23"/>
      <c r="H440" s="23"/>
      <c r="I440" s="23"/>
      <c r="J440" s="23"/>
      <c r="K440" s="23"/>
      <c r="L440" s="23"/>
      <c r="M440" s="23"/>
      <c r="N440" s="23"/>
      <c r="O440" s="23"/>
      <c r="P440" s="23"/>
    </row>
    <row r="441" spans="1:16" ht="45.75" x14ac:dyDescent="0.2">
      <c r="A441" s="23"/>
      <c r="B441" s="23"/>
      <c r="C441" s="23"/>
      <c r="D441" s="23"/>
      <c r="E441" s="76"/>
      <c r="F441" s="70"/>
      <c r="G441" s="23"/>
      <c r="H441" s="23"/>
      <c r="I441" s="23"/>
      <c r="J441" s="23"/>
      <c r="K441" s="23"/>
      <c r="L441" s="23"/>
      <c r="M441" s="23"/>
      <c r="N441" s="23"/>
      <c r="O441" s="23"/>
      <c r="P441" s="23"/>
    </row>
  </sheetData>
  <mergeCells count="198">
    <mergeCell ref="D419:F419"/>
    <mergeCell ref="M169:M171"/>
    <mergeCell ref="N169:N171"/>
    <mergeCell ref="O169:O171"/>
    <mergeCell ref="P169:P171"/>
    <mergeCell ref="R169:R171"/>
    <mergeCell ref="C169:C171"/>
    <mergeCell ref="E169:E171"/>
    <mergeCell ref="F169:F171"/>
    <mergeCell ref="G169:G171"/>
    <mergeCell ref="H169:H171"/>
    <mergeCell ref="I169:I171"/>
    <mergeCell ref="J169:J171"/>
    <mergeCell ref="K169:K171"/>
    <mergeCell ref="L169:L171"/>
    <mergeCell ref="H297:H298"/>
    <mergeCell ref="I297:I298"/>
    <mergeCell ref="P268:P269"/>
    <mergeCell ref="K187:K188"/>
    <mergeCell ref="L187:L188"/>
    <mergeCell ref="M187:M188"/>
    <mergeCell ref="N187:N188"/>
    <mergeCell ref="O187:O188"/>
    <mergeCell ref="P187:P188"/>
    <mergeCell ref="R159:R161"/>
    <mergeCell ref="R166:R168"/>
    <mergeCell ref="A166:A168"/>
    <mergeCell ref="B166:B168"/>
    <mergeCell ref="C166:C168"/>
    <mergeCell ref="E166:E168"/>
    <mergeCell ref="F166:F168"/>
    <mergeCell ref="G166:G168"/>
    <mergeCell ref="H166:H168"/>
    <mergeCell ref="I166:I168"/>
    <mergeCell ref="J166:J168"/>
    <mergeCell ref="K166:K168"/>
    <mergeCell ref="L166:L168"/>
    <mergeCell ref="M166:M168"/>
    <mergeCell ref="N166:N168"/>
    <mergeCell ref="O166:O168"/>
    <mergeCell ref="P166:P168"/>
    <mergeCell ref="R162:R165"/>
    <mergeCell ref="B162:B165"/>
    <mergeCell ref="C162:C165"/>
    <mergeCell ref="E162:E165"/>
    <mergeCell ref="F162:F165"/>
    <mergeCell ref="G162:G165"/>
    <mergeCell ref="H162:H165"/>
    <mergeCell ref="O162:O165"/>
    <mergeCell ref="P162:P165"/>
    <mergeCell ref="J159:J161"/>
    <mergeCell ref="K159:K161"/>
    <mergeCell ref="L159:L161"/>
    <mergeCell ref="M159:M161"/>
    <mergeCell ref="N159:N161"/>
    <mergeCell ref="O159:O161"/>
    <mergeCell ref="P159:P161"/>
    <mergeCell ref="K162:K165"/>
    <mergeCell ref="L162:L165"/>
    <mergeCell ref="M162:M165"/>
    <mergeCell ref="N162:N165"/>
    <mergeCell ref="Q159:Q161"/>
    <mergeCell ref="A162:A165"/>
    <mergeCell ref="P327:P328"/>
    <mergeCell ref="I75:I76"/>
    <mergeCell ref="J75:J76"/>
    <mergeCell ref="K75:K76"/>
    <mergeCell ref="L75:L76"/>
    <mergeCell ref="A327:A328"/>
    <mergeCell ref="B327:B328"/>
    <mergeCell ref="C327:C328"/>
    <mergeCell ref="E327:E328"/>
    <mergeCell ref="F327:F328"/>
    <mergeCell ref="G327:G328"/>
    <mergeCell ref="H327:H328"/>
    <mergeCell ref="I327:I328"/>
    <mergeCell ref="J327:J328"/>
    <mergeCell ref="F75:F76"/>
    <mergeCell ref="G75:G76"/>
    <mergeCell ref="H75:H76"/>
    <mergeCell ref="M75:M76"/>
    <mergeCell ref="N75:N76"/>
    <mergeCell ref="B297:B298"/>
    <mergeCell ref="C297:C298"/>
    <mergeCell ref="O75:O76"/>
    <mergeCell ref="P75:P76"/>
    <mergeCell ref="A159:A161"/>
    <mergeCell ref="D418:P418"/>
    <mergeCell ref="O56:O57"/>
    <mergeCell ref="P56:P57"/>
    <mergeCell ref="G56:G57"/>
    <mergeCell ref="H56:H57"/>
    <mergeCell ref="I56:I57"/>
    <mergeCell ref="J56:J57"/>
    <mergeCell ref="K56:K57"/>
    <mergeCell ref="O297:O298"/>
    <mergeCell ref="P297:P298"/>
    <mergeCell ref="K297:K298"/>
    <mergeCell ref="L297:L298"/>
    <mergeCell ref="M297:M298"/>
    <mergeCell ref="N297:N298"/>
    <mergeCell ref="K327:K328"/>
    <mergeCell ref="L327:L328"/>
    <mergeCell ref="M327:M328"/>
    <mergeCell ref="N327:N328"/>
    <mergeCell ref="O327:O328"/>
    <mergeCell ref="E297:E298"/>
    <mergeCell ref="F297:F298"/>
    <mergeCell ref="G297:G298"/>
    <mergeCell ref="I30:I31"/>
    <mergeCell ref="B30:B31"/>
    <mergeCell ref="C30:C31"/>
    <mergeCell ref="J297:J298"/>
    <mergeCell ref="A268:A269"/>
    <mergeCell ref="B268:B269"/>
    <mergeCell ref="C268:C269"/>
    <mergeCell ref="J187:J188"/>
    <mergeCell ref="A187:A188"/>
    <mergeCell ref="B187:B188"/>
    <mergeCell ref="A75:A76"/>
    <mergeCell ref="B75:B76"/>
    <mergeCell ref="B159:B161"/>
    <mergeCell ref="A169:A171"/>
    <mergeCell ref="B169:B171"/>
    <mergeCell ref="I162:I165"/>
    <mergeCell ref="J162:J165"/>
    <mergeCell ref="I159:I161"/>
    <mergeCell ref="K268:K269"/>
    <mergeCell ref="L268:L269"/>
    <mergeCell ref="M268:M269"/>
    <mergeCell ref="N268:N269"/>
    <mergeCell ref="O268:O269"/>
    <mergeCell ref="M56:M57"/>
    <mergeCell ref="N56:N57"/>
    <mergeCell ref="G187:G188"/>
    <mergeCell ref="C56:C57"/>
    <mergeCell ref="E56:E57"/>
    <mergeCell ref="F56:F57"/>
    <mergeCell ref="H187:H188"/>
    <mergeCell ref="I187:I188"/>
    <mergeCell ref="C187:C188"/>
    <mergeCell ref="E187:E188"/>
    <mergeCell ref="F187:F188"/>
    <mergeCell ref="C75:C76"/>
    <mergeCell ref="D75:D76"/>
    <mergeCell ref="E75:E76"/>
    <mergeCell ref="C159:C161"/>
    <mergeCell ref="E159:E161"/>
    <mergeCell ref="F159:F161"/>
    <mergeCell ref="G159:G161"/>
    <mergeCell ref="H159:H16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A415:P415"/>
    <mergeCell ref="D420:P420"/>
    <mergeCell ref="K30:K31"/>
    <mergeCell ref="L30:L31"/>
    <mergeCell ref="M30:M31"/>
    <mergeCell ref="N30:N31"/>
    <mergeCell ref="O30:O31"/>
    <mergeCell ref="P30:P31"/>
    <mergeCell ref="E268:E269"/>
    <mergeCell ref="F268:F269"/>
    <mergeCell ref="G268:G269"/>
    <mergeCell ref="H268:H269"/>
    <mergeCell ref="I268:I269"/>
    <mergeCell ref="J268:J269"/>
    <mergeCell ref="A30:A31"/>
    <mergeCell ref="E30:E31"/>
    <mergeCell ref="F30:F31"/>
    <mergeCell ref="G30:G31"/>
    <mergeCell ref="H30:H31"/>
    <mergeCell ref="J30:J31"/>
    <mergeCell ref="A297:A298"/>
    <mergeCell ref="A56:A57"/>
    <mergeCell ref="B56:B57"/>
    <mergeCell ref="L56:L57"/>
  </mergeCells>
  <conditionalFormatting sqref="Q397:Q398 Q400:R404 R399:S399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90:R392 Q388:R389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98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40:Q34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40:R34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31:R33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31:Q338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33:R338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78:R379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66:R376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84:Q386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9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9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9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95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80:R383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78:Q383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42:Q357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42:R357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Q359:R365">
    <cfRule type="iconSet" priority="53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R175"/>
  <sheetViews>
    <sheetView showGridLines="0" view="pageBreakPreview" topLeftCell="B16" zoomScale="85" zoomScaleNormal="85" zoomScaleSheetLayoutView="85" workbookViewId="0">
      <selection activeCell="E25" sqref="E25"/>
    </sheetView>
  </sheetViews>
  <sheetFormatPr defaultColWidth="7.85546875" defaultRowHeight="12.75" x14ac:dyDescent="0.2"/>
  <cols>
    <col min="1" max="1" width="0" style="205" hidden="1" customWidth="1"/>
    <col min="2" max="2" width="13" style="7" customWidth="1"/>
    <col min="3" max="3" width="13.5703125" style="7" customWidth="1"/>
    <col min="4" max="4" width="15.28515625" style="7" customWidth="1"/>
    <col min="5" max="5" width="38.85546875" style="7" customWidth="1"/>
    <col min="6" max="6" width="11.85546875" style="7" bestFit="1" customWidth="1"/>
    <col min="7" max="7" width="11.85546875" style="7" customWidth="1"/>
    <col min="8" max="8" width="13.28515625" style="7" customWidth="1"/>
    <col min="9" max="9" width="12.5703125" style="7" customWidth="1"/>
    <col min="10" max="10" width="12.140625" style="7" customWidth="1"/>
    <col min="11" max="11" width="18.140625" style="7" customWidth="1"/>
    <col min="12" max="12" width="13.5703125" style="7" customWidth="1"/>
    <col min="13" max="13" width="13" style="7" customWidth="1"/>
    <col min="14" max="14" width="11.42578125" style="7" customWidth="1"/>
    <col min="15" max="15" width="12.7109375" style="7" customWidth="1"/>
    <col min="16" max="16" width="12.5703125" style="7" customWidth="1"/>
    <col min="17" max="17" width="12.7109375" style="7" customWidth="1"/>
    <col min="18" max="18" width="10" style="7" bestFit="1" customWidth="1"/>
    <col min="19" max="16384" width="7.85546875" style="7"/>
  </cols>
  <sheetData>
    <row r="1" spans="1:18" x14ac:dyDescent="0.2"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</row>
    <row r="2" spans="1:18" ht="64.5" customHeight="1" x14ac:dyDescent="0.2">
      <c r="B2" s="505"/>
      <c r="C2" s="505"/>
      <c r="D2" s="505"/>
      <c r="E2" s="504"/>
      <c r="F2" s="504"/>
      <c r="G2" s="504"/>
      <c r="H2" s="504"/>
      <c r="I2" s="504"/>
      <c r="J2" s="504"/>
      <c r="K2" s="504"/>
      <c r="L2" s="504"/>
      <c r="M2" s="963" t="s">
        <v>1394</v>
      </c>
      <c r="N2" s="963"/>
      <c r="O2" s="963"/>
      <c r="P2" s="963"/>
      <c r="Q2" s="963"/>
    </row>
    <row r="3" spans="1:18" ht="18.75" x14ac:dyDescent="0.2">
      <c r="B3" s="947"/>
      <c r="C3" s="947"/>
      <c r="D3" s="505"/>
      <c r="E3" s="958" t="s">
        <v>577</v>
      </c>
      <c r="F3" s="958"/>
      <c r="G3" s="958"/>
      <c r="H3" s="958"/>
      <c r="I3" s="958"/>
      <c r="J3" s="958"/>
      <c r="K3" s="958"/>
      <c r="L3" s="958"/>
      <c r="M3" s="958"/>
      <c r="N3" s="506"/>
      <c r="O3" s="506"/>
      <c r="P3" s="506"/>
      <c r="Q3" s="506"/>
    </row>
    <row r="4" spans="1:18" ht="21" customHeight="1" x14ac:dyDescent="0.2">
      <c r="B4" s="507"/>
      <c r="C4" s="449"/>
      <c r="D4" s="508"/>
      <c r="E4" s="958" t="s">
        <v>1325</v>
      </c>
      <c r="F4" s="959"/>
      <c r="G4" s="959"/>
      <c r="H4" s="959"/>
      <c r="I4" s="959"/>
      <c r="J4" s="959"/>
      <c r="K4" s="959"/>
      <c r="L4" s="959"/>
      <c r="M4" s="959"/>
      <c r="N4" s="505"/>
      <c r="O4" s="505"/>
      <c r="P4" s="505"/>
      <c r="Q4" s="509"/>
    </row>
    <row r="5" spans="1:18" ht="12" customHeight="1" x14ac:dyDescent="0.2">
      <c r="B5" s="948">
        <v>2256400000</v>
      </c>
      <c r="C5" s="949"/>
      <c r="D5" s="508"/>
      <c r="E5" s="510"/>
      <c r="F5" s="510"/>
      <c r="G5" s="510"/>
      <c r="H5" s="510"/>
      <c r="I5" s="510"/>
      <c r="J5" s="510"/>
      <c r="K5" s="510"/>
      <c r="L5" s="510"/>
      <c r="M5" s="510"/>
      <c r="N5" s="505"/>
      <c r="O5" s="505"/>
      <c r="P5" s="505"/>
      <c r="Q5" s="509"/>
    </row>
    <row r="6" spans="1:18" ht="12" customHeight="1" x14ac:dyDescent="0.2">
      <c r="B6" s="950" t="s">
        <v>495</v>
      </c>
      <c r="C6" s="951"/>
      <c r="D6" s="508"/>
      <c r="E6" s="510"/>
      <c r="F6" s="510"/>
      <c r="G6" s="510"/>
      <c r="H6" s="510"/>
      <c r="I6" s="510"/>
      <c r="J6" s="510"/>
      <c r="K6" s="510"/>
      <c r="L6" s="510"/>
      <c r="M6" s="510"/>
      <c r="N6" s="505"/>
      <c r="O6" s="505"/>
      <c r="P6" s="505"/>
      <c r="Q6" s="509"/>
    </row>
    <row r="7" spans="1:18" ht="21" customHeight="1" thickBot="1" x14ac:dyDescent="0.35">
      <c r="B7" s="511"/>
      <c r="C7" s="511"/>
      <c r="D7" s="508"/>
      <c r="E7" s="510"/>
      <c r="F7" s="510"/>
      <c r="G7" s="510"/>
      <c r="H7" s="510"/>
      <c r="I7" s="510"/>
      <c r="J7" s="510"/>
      <c r="K7" s="510"/>
      <c r="L7" s="510"/>
      <c r="M7" s="510"/>
      <c r="N7" s="505"/>
      <c r="O7" s="505"/>
      <c r="P7" s="505"/>
      <c r="Q7" s="512" t="s">
        <v>409</v>
      </c>
    </row>
    <row r="8" spans="1:18" ht="17.45" customHeight="1" thickTop="1" thickBot="1" x14ac:dyDescent="0.25">
      <c r="A8" s="207"/>
      <c r="B8" s="954" t="s">
        <v>496</v>
      </c>
      <c r="C8" s="955" t="s">
        <v>497</v>
      </c>
      <c r="D8" s="955" t="s">
        <v>395</v>
      </c>
      <c r="E8" s="955" t="s">
        <v>579</v>
      </c>
      <c r="F8" s="954" t="s">
        <v>125</v>
      </c>
      <c r="G8" s="954"/>
      <c r="H8" s="954"/>
      <c r="I8" s="954"/>
      <c r="J8" s="954" t="s">
        <v>126</v>
      </c>
      <c r="K8" s="954"/>
      <c r="L8" s="954"/>
      <c r="M8" s="954"/>
      <c r="N8" s="954" t="s">
        <v>394</v>
      </c>
      <c r="O8" s="954"/>
      <c r="P8" s="954"/>
      <c r="Q8" s="954"/>
    </row>
    <row r="9" spans="1:18" ht="28.5" customHeight="1" thickTop="1" thickBot="1" x14ac:dyDescent="0.25">
      <c r="A9" s="208"/>
      <c r="B9" s="954"/>
      <c r="C9" s="914"/>
      <c r="D9" s="914"/>
      <c r="E9" s="956"/>
      <c r="F9" s="957" t="s">
        <v>391</v>
      </c>
      <c r="G9" s="957" t="s">
        <v>392</v>
      </c>
      <c r="H9" s="961"/>
      <c r="I9" s="957" t="s">
        <v>393</v>
      </c>
      <c r="J9" s="957" t="s">
        <v>391</v>
      </c>
      <c r="K9" s="957" t="s">
        <v>392</v>
      </c>
      <c r="L9" s="961"/>
      <c r="M9" s="957" t="s">
        <v>393</v>
      </c>
      <c r="N9" s="957" t="s">
        <v>391</v>
      </c>
      <c r="O9" s="957" t="s">
        <v>392</v>
      </c>
      <c r="P9" s="961"/>
      <c r="Q9" s="957" t="s">
        <v>393</v>
      </c>
    </row>
    <row r="10" spans="1:18" ht="65.25" customHeight="1" thickTop="1" thickBot="1" x14ac:dyDescent="0.25">
      <c r="A10" s="9"/>
      <c r="B10" s="954"/>
      <c r="C10" s="914"/>
      <c r="D10" s="914"/>
      <c r="E10" s="914"/>
      <c r="F10" s="957"/>
      <c r="G10" s="513" t="s">
        <v>389</v>
      </c>
      <c r="H10" s="513" t="s">
        <v>390</v>
      </c>
      <c r="I10" s="957"/>
      <c r="J10" s="957"/>
      <c r="K10" s="513" t="s">
        <v>389</v>
      </c>
      <c r="L10" s="513" t="s">
        <v>390</v>
      </c>
      <c r="M10" s="957"/>
      <c r="N10" s="957"/>
      <c r="O10" s="513" t="s">
        <v>389</v>
      </c>
      <c r="P10" s="513" t="s">
        <v>390</v>
      </c>
      <c r="Q10" s="957"/>
    </row>
    <row r="11" spans="1:18" ht="15" customHeight="1" thickTop="1" thickBot="1" x14ac:dyDescent="0.25">
      <c r="A11" s="9"/>
      <c r="B11" s="514">
        <v>1</v>
      </c>
      <c r="C11" s="515">
        <v>2</v>
      </c>
      <c r="D11" s="514">
        <v>3</v>
      </c>
      <c r="E11" s="515">
        <v>4</v>
      </c>
      <c r="F11" s="514">
        <v>5</v>
      </c>
      <c r="G11" s="515">
        <v>6</v>
      </c>
      <c r="H11" s="514">
        <v>7</v>
      </c>
      <c r="I11" s="515">
        <v>8</v>
      </c>
      <c r="J11" s="514">
        <v>9</v>
      </c>
      <c r="K11" s="515">
        <v>10</v>
      </c>
      <c r="L11" s="514">
        <v>11</v>
      </c>
      <c r="M11" s="515">
        <v>12</v>
      </c>
      <c r="N11" s="514">
        <v>13</v>
      </c>
      <c r="O11" s="515">
        <v>14</v>
      </c>
      <c r="P11" s="514">
        <v>15</v>
      </c>
      <c r="Q11" s="515">
        <v>16</v>
      </c>
    </row>
    <row r="12" spans="1:18" s="213" customFormat="1" ht="46.5" thickTop="1" thickBot="1" x14ac:dyDescent="0.25">
      <c r="A12" s="209"/>
      <c r="B12" s="494" t="s">
        <v>22</v>
      </c>
      <c r="C12" s="494"/>
      <c r="D12" s="494"/>
      <c r="E12" s="495" t="s">
        <v>23</v>
      </c>
      <c r="F12" s="496">
        <f>F13</f>
        <v>390000</v>
      </c>
      <c r="G12" s="496">
        <f t="shared" ref="G12:Q12" si="0">G13</f>
        <v>260000</v>
      </c>
      <c r="H12" s="496">
        <f t="shared" si="0"/>
        <v>0</v>
      </c>
      <c r="I12" s="516">
        <f>I13</f>
        <v>650000</v>
      </c>
      <c r="J12" s="496">
        <f t="shared" si="0"/>
        <v>0</v>
      </c>
      <c r="K12" s="496">
        <f t="shared" si="0"/>
        <v>-260000</v>
      </c>
      <c r="L12" s="496">
        <f t="shared" si="0"/>
        <v>0</v>
      </c>
      <c r="M12" s="516">
        <f>M13</f>
        <v>-260000</v>
      </c>
      <c r="N12" s="496">
        <f t="shared" si="0"/>
        <v>390000</v>
      </c>
      <c r="O12" s="496">
        <f t="shared" si="0"/>
        <v>0</v>
      </c>
      <c r="P12" s="496">
        <f t="shared" si="0"/>
        <v>0</v>
      </c>
      <c r="Q12" s="516">
        <f t="shared" si="0"/>
        <v>390000</v>
      </c>
      <c r="R12" s="8"/>
    </row>
    <row r="13" spans="1:18" ht="44.25" thickTop="1" thickBot="1" x14ac:dyDescent="0.25">
      <c r="B13" s="498" t="s">
        <v>21</v>
      </c>
      <c r="C13" s="498"/>
      <c r="D13" s="498"/>
      <c r="E13" s="499" t="s">
        <v>35</v>
      </c>
      <c r="F13" s="517">
        <f t="shared" ref="F13:Q13" si="1">F18+F17+F19</f>
        <v>390000</v>
      </c>
      <c r="G13" s="517">
        <f t="shared" si="1"/>
        <v>260000</v>
      </c>
      <c r="H13" s="517">
        <f t="shared" si="1"/>
        <v>0</v>
      </c>
      <c r="I13" s="517">
        <f t="shared" si="1"/>
        <v>650000</v>
      </c>
      <c r="J13" s="517">
        <f t="shared" si="1"/>
        <v>0</v>
      </c>
      <c r="K13" s="517">
        <f t="shared" si="1"/>
        <v>-260000</v>
      </c>
      <c r="L13" s="517">
        <f t="shared" si="1"/>
        <v>0</v>
      </c>
      <c r="M13" s="517">
        <f t="shared" si="1"/>
        <v>-260000</v>
      </c>
      <c r="N13" s="500">
        <f t="shared" si="1"/>
        <v>390000</v>
      </c>
      <c r="O13" s="500">
        <f t="shared" si="1"/>
        <v>0</v>
      </c>
      <c r="P13" s="500">
        <f t="shared" si="1"/>
        <v>0</v>
      </c>
      <c r="Q13" s="517">
        <f t="shared" si="1"/>
        <v>390000</v>
      </c>
    </row>
    <row r="14" spans="1:18" ht="15.75" thickTop="1" thickBot="1" x14ac:dyDescent="0.25">
      <c r="B14" s="518" t="s">
        <v>860</v>
      </c>
      <c r="C14" s="518" t="s">
        <v>705</v>
      </c>
      <c r="D14" s="518"/>
      <c r="E14" s="519" t="s">
        <v>861</v>
      </c>
      <c r="F14" s="520">
        <f>F15</f>
        <v>390000</v>
      </c>
      <c r="G14" s="520">
        <f t="shared" ref="G14:Q15" si="2">G15</f>
        <v>260000</v>
      </c>
      <c r="H14" s="520">
        <f t="shared" si="2"/>
        <v>0</v>
      </c>
      <c r="I14" s="520">
        <f t="shared" si="2"/>
        <v>650000</v>
      </c>
      <c r="J14" s="520">
        <f t="shared" si="2"/>
        <v>0</v>
      </c>
      <c r="K14" s="520">
        <f t="shared" si="2"/>
        <v>-260000</v>
      </c>
      <c r="L14" s="520">
        <f t="shared" si="2"/>
        <v>0</v>
      </c>
      <c r="M14" s="520">
        <f t="shared" si="2"/>
        <v>-260000</v>
      </c>
      <c r="N14" s="520">
        <f t="shared" si="2"/>
        <v>390000</v>
      </c>
      <c r="O14" s="520">
        <f t="shared" si="2"/>
        <v>0</v>
      </c>
      <c r="P14" s="520">
        <f t="shared" si="2"/>
        <v>0</v>
      </c>
      <c r="Q14" s="520">
        <f t="shared" si="2"/>
        <v>390000</v>
      </c>
    </row>
    <row r="15" spans="1:18" ht="16.5" thickTop="1" thickBot="1" x14ac:dyDescent="0.25">
      <c r="B15" s="521" t="s">
        <v>862</v>
      </c>
      <c r="C15" s="521" t="s">
        <v>863</v>
      </c>
      <c r="D15" s="521"/>
      <c r="E15" s="522" t="s">
        <v>864</v>
      </c>
      <c r="F15" s="523">
        <f>F16</f>
        <v>390000</v>
      </c>
      <c r="G15" s="523">
        <f t="shared" si="2"/>
        <v>260000</v>
      </c>
      <c r="H15" s="523">
        <f t="shared" si="2"/>
        <v>0</v>
      </c>
      <c r="I15" s="523">
        <f t="shared" si="2"/>
        <v>650000</v>
      </c>
      <c r="J15" s="523">
        <f t="shared" si="2"/>
        <v>0</v>
      </c>
      <c r="K15" s="523">
        <f t="shared" si="2"/>
        <v>-260000</v>
      </c>
      <c r="L15" s="523">
        <f t="shared" si="2"/>
        <v>0</v>
      </c>
      <c r="M15" s="523">
        <f t="shared" si="2"/>
        <v>-260000</v>
      </c>
      <c r="N15" s="523">
        <f t="shared" si="2"/>
        <v>390000</v>
      </c>
      <c r="O15" s="523">
        <f t="shared" si="2"/>
        <v>0</v>
      </c>
      <c r="P15" s="523">
        <f t="shared" si="2"/>
        <v>0</v>
      </c>
      <c r="Q15" s="523">
        <f t="shared" si="2"/>
        <v>390000</v>
      </c>
    </row>
    <row r="16" spans="1:18" ht="76.5" thickTop="1" thickBot="1" x14ac:dyDescent="0.25">
      <c r="B16" s="524" t="s">
        <v>865</v>
      </c>
      <c r="C16" s="525" t="s">
        <v>866</v>
      </c>
      <c r="D16" s="525"/>
      <c r="E16" s="526" t="s">
        <v>888</v>
      </c>
      <c r="F16" s="527">
        <f>SUM(F17:F18)</f>
        <v>390000</v>
      </c>
      <c r="G16" s="527">
        <f t="shared" ref="G16:Q16" si="3">SUM(G17:G18)</f>
        <v>260000</v>
      </c>
      <c r="H16" s="527">
        <f t="shared" si="3"/>
        <v>0</v>
      </c>
      <c r="I16" s="527">
        <f t="shared" si="3"/>
        <v>650000</v>
      </c>
      <c r="J16" s="527">
        <f t="shared" si="3"/>
        <v>0</v>
      </c>
      <c r="K16" s="527">
        <f t="shared" si="3"/>
        <v>-260000</v>
      </c>
      <c r="L16" s="527">
        <f t="shared" si="3"/>
        <v>0</v>
      </c>
      <c r="M16" s="527">
        <f t="shared" si="3"/>
        <v>-260000</v>
      </c>
      <c r="N16" s="527">
        <f t="shared" si="3"/>
        <v>390000</v>
      </c>
      <c r="O16" s="527">
        <f t="shared" si="3"/>
        <v>0</v>
      </c>
      <c r="P16" s="527">
        <f t="shared" si="3"/>
        <v>0</v>
      </c>
      <c r="Q16" s="527">
        <f t="shared" si="3"/>
        <v>390000</v>
      </c>
    </row>
    <row r="17" spans="1:18" ht="76.5" thickTop="1" thickBot="1" x14ac:dyDescent="0.25">
      <c r="B17" s="524" t="s">
        <v>462</v>
      </c>
      <c r="C17" s="524" t="s">
        <v>464</v>
      </c>
      <c r="D17" s="524" t="s">
        <v>50</v>
      </c>
      <c r="E17" s="476" t="s">
        <v>890</v>
      </c>
      <c r="F17" s="528">
        <v>390000</v>
      </c>
      <c r="G17" s="528">
        <v>260000</v>
      </c>
      <c r="H17" s="528">
        <v>0</v>
      </c>
      <c r="I17" s="528">
        <f>F17+G17</f>
        <v>650000</v>
      </c>
      <c r="J17" s="528">
        <v>0</v>
      </c>
      <c r="K17" s="528">
        <v>0</v>
      </c>
      <c r="L17" s="528"/>
      <c r="M17" s="528">
        <f>J17+K17</f>
        <v>0</v>
      </c>
      <c r="N17" s="528">
        <f>F17+J17</f>
        <v>390000</v>
      </c>
      <c r="O17" s="528">
        <f>G17+K17</f>
        <v>260000</v>
      </c>
      <c r="P17" s="528"/>
      <c r="Q17" s="528">
        <f>I17+M17</f>
        <v>650000</v>
      </c>
    </row>
    <row r="18" spans="1:18" ht="76.5" thickTop="1" thickBot="1" x14ac:dyDescent="0.25">
      <c r="B18" s="524" t="s">
        <v>463</v>
      </c>
      <c r="C18" s="524" t="s">
        <v>465</v>
      </c>
      <c r="D18" s="524" t="s">
        <v>50</v>
      </c>
      <c r="E18" s="476" t="s">
        <v>889</v>
      </c>
      <c r="F18" s="528"/>
      <c r="G18" s="528">
        <f>H18+I18</f>
        <v>0</v>
      </c>
      <c r="H18" s="528"/>
      <c r="I18" s="528"/>
      <c r="J18" s="528"/>
      <c r="K18" s="528">
        <v>-260000</v>
      </c>
      <c r="L18" s="528"/>
      <c r="M18" s="528">
        <f>J18+K18</f>
        <v>-260000</v>
      </c>
      <c r="N18" s="528">
        <f>F18+J18</f>
        <v>0</v>
      </c>
      <c r="O18" s="528">
        <f>G18+K18</f>
        <v>-260000</v>
      </c>
      <c r="P18" s="528"/>
      <c r="Q18" s="528">
        <f>I18+M18</f>
        <v>-260000</v>
      </c>
    </row>
    <row r="19" spans="1:18" ht="61.5" hidden="1" thickTop="1" thickBot="1" x14ac:dyDescent="0.25">
      <c r="B19" s="524" t="s">
        <v>508</v>
      </c>
      <c r="C19" s="524" t="s">
        <v>509</v>
      </c>
      <c r="D19" s="524" t="s">
        <v>50</v>
      </c>
      <c r="E19" s="476" t="s">
        <v>507</v>
      </c>
      <c r="F19" s="528"/>
      <c r="G19" s="528"/>
      <c r="H19" s="528"/>
      <c r="I19" s="528"/>
      <c r="J19" s="528"/>
      <c r="K19" s="528"/>
      <c r="L19" s="528"/>
      <c r="M19" s="528">
        <f>J19+K19</f>
        <v>0</v>
      </c>
      <c r="N19" s="528"/>
      <c r="O19" s="528">
        <f>G19+K19</f>
        <v>0</v>
      </c>
      <c r="P19" s="528"/>
      <c r="Q19" s="528">
        <f>I19+M19</f>
        <v>0</v>
      </c>
    </row>
    <row r="20" spans="1:18" s="767" customFormat="1" ht="31.5" thickTop="1" thickBot="1" x14ac:dyDescent="0.25">
      <c r="A20" s="205"/>
      <c r="B20" s="494" t="s">
        <v>169</v>
      </c>
      <c r="C20" s="494"/>
      <c r="D20" s="494"/>
      <c r="E20" s="495" t="s">
        <v>27</v>
      </c>
      <c r="F20" s="496">
        <f>F21</f>
        <v>0</v>
      </c>
      <c r="G20" s="496">
        <f t="shared" ref="G20:Q20" si="4">G21</f>
        <v>8941082.5</v>
      </c>
      <c r="H20" s="496">
        <f t="shared" si="4"/>
        <v>8941082.5</v>
      </c>
      <c r="I20" s="516">
        <f>I21</f>
        <v>8941082.5</v>
      </c>
      <c r="J20" s="496">
        <f t="shared" si="4"/>
        <v>0</v>
      </c>
      <c r="K20" s="496">
        <f t="shared" si="4"/>
        <v>0</v>
      </c>
      <c r="L20" s="496">
        <f t="shared" si="4"/>
        <v>0</v>
      </c>
      <c r="M20" s="516">
        <f>M21</f>
        <v>0</v>
      </c>
      <c r="N20" s="496">
        <f t="shared" si="4"/>
        <v>0</v>
      </c>
      <c r="O20" s="496">
        <f t="shared" si="4"/>
        <v>8941082.5</v>
      </c>
      <c r="P20" s="496">
        <f t="shared" si="4"/>
        <v>8941082.5</v>
      </c>
      <c r="Q20" s="516">
        <f t="shared" si="4"/>
        <v>8941082.5</v>
      </c>
    </row>
    <row r="21" spans="1:18" s="767" customFormat="1" ht="44.25" thickTop="1" thickBot="1" x14ac:dyDescent="0.25">
      <c r="A21" s="205"/>
      <c r="B21" s="498" t="s">
        <v>170</v>
      </c>
      <c r="C21" s="498"/>
      <c r="D21" s="498"/>
      <c r="E21" s="499" t="s">
        <v>40</v>
      </c>
      <c r="F21" s="517">
        <f t="shared" ref="F21:Q21" si="5">F26+F25</f>
        <v>0</v>
      </c>
      <c r="G21" s="517">
        <f t="shared" si="5"/>
        <v>8941082.5</v>
      </c>
      <c r="H21" s="517">
        <f t="shared" si="5"/>
        <v>8941082.5</v>
      </c>
      <c r="I21" s="517">
        <f t="shared" si="5"/>
        <v>8941082.5</v>
      </c>
      <c r="J21" s="517">
        <f t="shared" si="5"/>
        <v>0</v>
      </c>
      <c r="K21" s="517">
        <f t="shared" si="5"/>
        <v>0</v>
      </c>
      <c r="L21" s="517">
        <f t="shared" si="5"/>
        <v>0</v>
      </c>
      <c r="M21" s="517">
        <f t="shared" si="5"/>
        <v>0</v>
      </c>
      <c r="N21" s="517">
        <f t="shared" si="5"/>
        <v>0</v>
      </c>
      <c r="O21" s="517">
        <f t="shared" si="5"/>
        <v>8941082.5</v>
      </c>
      <c r="P21" s="517">
        <f t="shared" si="5"/>
        <v>8941082.5</v>
      </c>
      <c r="Q21" s="517">
        <f t="shared" si="5"/>
        <v>8941082.5</v>
      </c>
    </row>
    <row r="22" spans="1:18" s="767" customFormat="1" ht="15.75" thickTop="1" thickBot="1" x14ac:dyDescent="0.25">
      <c r="A22" s="205"/>
      <c r="B22" s="518" t="s">
        <v>855</v>
      </c>
      <c r="C22" s="518" t="s">
        <v>705</v>
      </c>
      <c r="D22" s="518"/>
      <c r="E22" s="519" t="s">
        <v>861</v>
      </c>
      <c r="F22" s="520">
        <f>F23</f>
        <v>0</v>
      </c>
      <c r="G22" s="520">
        <f t="shared" ref="G22:Q24" si="6">G23</f>
        <v>8941082.5</v>
      </c>
      <c r="H22" s="520">
        <f t="shared" si="6"/>
        <v>8941082.5</v>
      </c>
      <c r="I22" s="520">
        <v>1013222.5</v>
      </c>
      <c r="J22" s="520">
        <f t="shared" si="6"/>
        <v>0</v>
      </c>
      <c r="K22" s="520">
        <f t="shared" si="6"/>
        <v>0</v>
      </c>
      <c r="L22" s="520">
        <f t="shared" si="6"/>
        <v>0</v>
      </c>
      <c r="M22" s="520">
        <f t="shared" si="6"/>
        <v>0</v>
      </c>
      <c r="N22" s="520">
        <f t="shared" si="6"/>
        <v>0</v>
      </c>
      <c r="O22" s="520">
        <f t="shared" si="6"/>
        <v>8941082.5</v>
      </c>
      <c r="P22" s="520">
        <f t="shared" si="6"/>
        <v>8941082.5</v>
      </c>
      <c r="Q22" s="520">
        <f t="shared" si="6"/>
        <v>1013222.5</v>
      </c>
    </row>
    <row r="23" spans="1:18" s="767" customFormat="1" ht="16.5" thickTop="1" thickBot="1" x14ac:dyDescent="0.25">
      <c r="A23" s="205"/>
      <c r="B23" s="521" t="s">
        <v>1491</v>
      </c>
      <c r="C23" s="521" t="s">
        <v>863</v>
      </c>
      <c r="D23" s="521"/>
      <c r="E23" s="522" t="s">
        <v>864</v>
      </c>
      <c r="F23" s="523">
        <f>F24</f>
        <v>0</v>
      </c>
      <c r="G23" s="523">
        <f>G24</f>
        <v>8941082.5</v>
      </c>
      <c r="H23" s="523">
        <f t="shared" si="6"/>
        <v>8941082.5</v>
      </c>
      <c r="I23" s="523">
        <f t="shared" si="6"/>
        <v>8941082.5</v>
      </c>
      <c r="J23" s="523">
        <f t="shared" si="6"/>
        <v>0</v>
      </c>
      <c r="K23" s="523">
        <f t="shared" si="6"/>
        <v>0</v>
      </c>
      <c r="L23" s="523">
        <f t="shared" si="6"/>
        <v>0</v>
      </c>
      <c r="M23" s="523">
        <f t="shared" si="6"/>
        <v>0</v>
      </c>
      <c r="N23" s="523">
        <f t="shared" si="6"/>
        <v>0</v>
      </c>
      <c r="O23" s="523">
        <f t="shared" si="6"/>
        <v>8941082.5</v>
      </c>
      <c r="P23" s="523">
        <f t="shared" si="6"/>
        <v>8941082.5</v>
      </c>
      <c r="Q23" s="523">
        <f t="shared" si="6"/>
        <v>1013222.5</v>
      </c>
    </row>
    <row r="24" spans="1:18" s="767" customFormat="1" ht="46.5" thickTop="1" thickBot="1" x14ac:dyDescent="0.25">
      <c r="A24" s="205"/>
      <c r="B24" s="524" t="s">
        <v>1492</v>
      </c>
      <c r="C24" s="525" t="s">
        <v>866</v>
      </c>
      <c r="D24" s="525"/>
      <c r="E24" s="526" t="s">
        <v>1199</v>
      </c>
      <c r="F24" s="527">
        <f>SUM(F25:F26)</f>
        <v>0</v>
      </c>
      <c r="G24" s="527">
        <f>G25</f>
        <v>8941082.5</v>
      </c>
      <c r="H24" s="527">
        <f t="shared" si="6"/>
        <v>8941082.5</v>
      </c>
      <c r="I24" s="527">
        <f t="shared" si="6"/>
        <v>8941082.5</v>
      </c>
      <c r="J24" s="527">
        <f t="shared" si="6"/>
        <v>0</v>
      </c>
      <c r="K24" s="527">
        <f t="shared" si="6"/>
        <v>0</v>
      </c>
      <c r="L24" s="527">
        <f t="shared" si="6"/>
        <v>0</v>
      </c>
      <c r="M24" s="527">
        <f t="shared" ref="M24:M27" si="7">J24+K24</f>
        <v>0</v>
      </c>
      <c r="N24" s="527">
        <f t="shared" ref="N24:N27" si="8">F24+J24</f>
        <v>0</v>
      </c>
      <c r="O24" s="527">
        <f t="shared" ref="O24:O27" si="9">G24+K24</f>
        <v>8941082.5</v>
      </c>
      <c r="P24" s="527">
        <f t="shared" si="6"/>
        <v>8941082.5</v>
      </c>
      <c r="Q24" s="527">
        <v>1013222.5</v>
      </c>
    </row>
    <row r="25" spans="1:18" s="767" customFormat="1" ht="61.5" thickTop="1" thickBot="1" x14ac:dyDescent="0.25">
      <c r="A25" s="205"/>
      <c r="B25" s="524" t="s">
        <v>1493</v>
      </c>
      <c r="C25" s="524" t="s">
        <v>1494</v>
      </c>
      <c r="D25" s="524" t="s">
        <v>171</v>
      </c>
      <c r="E25" s="476" t="s">
        <v>1200</v>
      </c>
      <c r="F25" s="528">
        <v>0</v>
      </c>
      <c r="G25" s="528">
        <f>G27</f>
        <v>8941082.5</v>
      </c>
      <c r="H25" s="528">
        <f t="shared" ref="H25:P25" si="10">H27</f>
        <v>8941082.5</v>
      </c>
      <c r="I25" s="528">
        <f t="shared" si="10"/>
        <v>8941082.5</v>
      </c>
      <c r="J25" s="528">
        <f t="shared" si="10"/>
        <v>0</v>
      </c>
      <c r="K25" s="528">
        <f t="shared" si="10"/>
        <v>0</v>
      </c>
      <c r="L25" s="528">
        <f t="shared" si="10"/>
        <v>0</v>
      </c>
      <c r="M25" s="528">
        <f t="shared" si="7"/>
        <v>0</v>
      </c>
      <c r="N25" s="528">
        <f t="shared" si="8"/>
        <v>0</v>
      </c>
      <c r="O25" s="528">
        <f t="shared" si="9"/>
        <v>8941082.5</v>
      </c>
      <c r="P25" s="528">
        <f t="shared" si="10"/>
        <v>8941082.5</v>
      </c>
      <c r="Q25" s="528">
        <f t="shared" ref="P25:Q27" si="11">I25+M25</f>
        <v>8941082.5</v>
      </c>
    </row>
    <row r="26" spans="1:18" s="767" customFormat="1" ht="61.5" hidden="1" thickTop="1" thickBot="1" x14ac:dyDescent="0.25">
      <c r="A26" s="205"/>
      <c r="B26" s="524" t="s">
        <v>1495</v>
      </c>
      <c r="C26" s="524" t="s">
        <v>1496</v>
      </c>
      <c r="D26" s="524" t="s">
        <v>171</v>
      </c>
      <c r="E26" s="476" t="s">
        <v>1497</v>
      </c>
      <c r="F26" s="528">
        <v>0</v>
      </c>
      <c r="G26" s="528">
        <f>H26</f>
        <v>0</v>
      </c>
      <c r="H26" s="528">
        <v>0</v>
      </c>
      <c r="I26" s="528">
        <f>F26+G26</f>
        <v>0</v>
      </c>
      <c r="J26" s="528">
        <v>0</v>
      </c>
      <c r="K26" s="528"/>
      <c r="L26" s="528"/>
      <c r="M26" s="528">
        <f t="shared" si="7"/>
        <v>0</v>
      </c>
      <c r="N26" s="528">
        <f t="shared" si="8"/>
        <v>0</v>
      </c>
      <c r="O26" s="528">
        <f t="shared" si="9"/>
        <v>0</v>
      </c>
      <c r="P26" s="528">
        <f t="shared" si="11"/>
        <v>0</v>
      </c>
      <c r="Q26" s="528">
        <f t="shared" si="11"/>
        <v>0</v>
      </c>
    </row>
    <row r="27" spans="1:18" s="767" customFormat="1" ht="31.5" thickTop="1" thickBot="1" x14ac:dyDescent="0.25">
      <c r="A27" s="205"/>
      <c r="B27" s="524" t="s">
        <v>1498</v>
      </c>
      <c r="C27" s="524"/>
      <c r="D27" s="524"/>
      <c r="E27" s="476" t="s">
        <v>1499</v>
      </c>
      <c r="F27" s="528">
        <v>0</v>
      </c>
      <c r="G27" s="528">
        <f>(1013222.5)+1425000+6502860</f>
        <v>8941082.5</v>
      </c>
      <c r="H27" s="528">
        <f>(1013222.5)+1425000+6502860</f>
        <v>8941082.5</v>
      </c>
      <c r="I27" s="528">
        <f>(1013222.5)+1425000+6502860</f>
        <v>8941082.5</v>
      </c>
      <c r="J27" s="528">
        <v>0</v>
      </c>
      <c r="K27" s="528">
        <v>0</v>
      </c>
      <c r="L27" s="528">
        <v>0</v>
      </c>
      <c r="M27" s="528">
        <f t="shared" si="7"/>
        <v>0</v>
      </c>
      <c r="N27" s="528">
        <f t="shared" si="8"/>
        <v>0</v>
      </c>
      <c r="O27" s="528">
        <f t="shared" si="9"/>
        <v>8941082.5</v>
      </c>
      <c r="P27" s="528">
        <f t="shared" si="11"/>
        <v>8941082.5</v>
      </c>
      <c r="Q27" s="528">
        <f t="shared" si="11"/>
        <v>8941082.5</v>
      </c>
    </row>
    <row r="28" spans="1:18" ht="27.75" customHeight="1" thickTop="1" thickBot="1" x14ac:dyDescent="0.25">
      <c r="B28" s="658" t="s">
        <v>386</v>
      </c>
      <c r="C28" s="658" t="s">
        <v>386</v>
      </c>
      <c r="D28" s="658" t="s">
        <v>386</v>
      </c>
      <c r="E28" s="658" t="s">
        <v>396</v>
      </c>
      <c r="F28" s="659">
        <f>F12+F20</f>
        <v>390000</v>
      </c>
      <c r="G28" s="659">
        <f t="shared" ref="G28:P28" si="12">G12+G20</f>
        <v>9201082.5</v>
      </c>
      <c r="H28" s="659">
        <f t="shared" si="12"/>
        <v>8941082.5</v>
      </c>
      <c r="I28" s="659">
        <f t="shared" si="12"/>
        <v>9591082.5</v>
      </c>
      <c r="J28" s="659">
        <f t="shared" si="12"/>
        <v>0</v>
      </c>
      <c r="K28" s="659">
        <f t="shared" si="12"/>
        <v>-260000</v>
      </c>
      <c r="L28" s="659">
        <f t="shared" si="12"/>
        <v>0</v>
      </c>
      <c r="M28" s="659">
        <f t="shared" si="12"/>
        <v>-260000</v>
      </c>
      <c r="N28" s="659">
        <f t="shared" si="12"/>
        <v>390000</v>
      </c>
      <c r="O28" s="659">
        <f t="shared" si="12"/>
        <v>8941082.5</v>
      </c>
      <c r="P28" s="659">
        <f t="shared" si="12"/>
        <v>8941082.5</v>
      </c>
      <c r="Q28" s="659">
        <f>Q12+Q20</f>
        <v>9331082.5</v>
      </c>
      <c r="R28" s="768" t="b">
        <f>Q28=N28+O28</f>
        <v>1</v>
      </c>
    </row>
    <row r="29" spans="1:18" s="9" customFormat="1" ht="5.25" customHeight="1" thickTop="1" x14ac:dyDescent="0.2">
      <c r="A29" s="206"/>
      <c r="B29" s="529"/>
      <c r="C29" s="529"/>
      <c r="D29" s="529"/>
      <c r="E29" s="530"/>
      <c r="F29" s="531"/>
      <c r="G29" s="531"/>
      <c r="H29" s="531"/>
      <c r="I29" s="531"/>
      <c r="J29" s="531"/>
      <c r="K29" s="531"/>
      <c r="L29" s="531"/>
      <c r="M29" s="531"/>
      <c r="N29" s="531"/>
      <c r="O29" s="531"/>
      <c r="P29" s="531"/>
      <c r="Q29" s="531"/>
    </row>
    <row r="30" spans="1:18" s="9" customFormat="1" ht="15" customHeight="1" x14ac:dyDescent="0.25">
      <c r="A30" s="206"/>
      <c r="B30" s="529"/>
      <c r="C30" s="529"/>
      <c r="D30" s="960" t="s">
        <v>1558</v>
      </c>
      <c r="E30" s="870"/>
      <c r="F30" s="533"/>
      <c r="G30" s="1076"/>
      <c r="H30" s="532"/>
      <c r="I30" s="534"/>
      <c r="J30" s="532"/>
      <c r="K30" s="1076" t="s">
        <v>1559</v>
      </c>
      <c r="L30" s="570"/>
      <c r="M30" s="570"/>
      <c r="N30" s="570"/>
      <c r="O30" s="570"/>
      <c r="P30" s="570"/>
      <c r="Q30" s="531"/>
    </row>
    <row r="31" spans="1:18" s="9" customFormat="1" ht="15" x14ac:dyDescent="0.25">
      <c r="A31" s="206"/>
      <c r="B31" s="529"/>
      <c r="C31" s="535"/>
      <c r="D31" s="964"/>
      <c r="E31" s="964"/>
      <c r="F31" s="964"/>
      <c r="G31" s="964"/>
      <c r="H31" s="964"/>
      <c r="I31" s="964"/>
      <c r="J31" s="964"/>
      <c r="K31" s="964"/>
      <c r="L31" s="964"/>
      <c r="M31" s="964"/>
      <c r="N31" s="964"/>
      <c r="O31" s="964"/>
      <c r="P31" s="964"/>
      <c r="Q31" s="531"/>
    </row>
    <row r="32" spans="1:18" ht="15" customHeight="1" x14ac:dyDescent="0.25">
      <c r="B32" s="217"/>
      <c r="C32" s="217"/>
      <c r="D32" s="960" t="s">
        <v>529</v>
      </c>
      <c r="E32" s="870"/>
      <c r="F32" s="758"/>
      <c r="G32" s="759"/>
      <c r="H32" s="759"/>
      <c r="I32" s="570"/>
      <c r="J32" s="570"/>
      <c r="K32" s="532" t="s">
        <v>1465</v>
      </c>
      <c r="L32" s="570"/>
      <c r="M32" s="570"/>
      <c r="N32" s="570"/>
      <c r="O32" s="570"/>
      <c r="P32" s="570"/>
      <c r="Q32" s="218"/>
    </row>
    <row r="33" spans="2:17" ht="15" x14ac:dyDescent="0.25">
      <c r="B33" s="217"/>
      <c r="C33" s="217"/>
      <c r="D33" s="962"/>
      <c r="E33" s="962"/>
      <c r="F33" s="962"/>
      <c r="G33" s="962"/>
      <c r="H33" s="962"/>
      <c r="I33" s="962"/>
      <c r="J33" s="962"/>
      <c r="K33" s="962"/>
      <c r="L33" s="962"/>
      <c r="M33" s="962"/>
      <c r="N33" s="962"/>
      <c r="O33" s="962"/>
      <c r="P33" s="962"/>
      <c r="Q33" s="218"/>
    </row>
    <row r="34" spans="2:17" ht="15" x14ac:dyDescent="0.25">
      <c r="D34" s="962"/>
      <c r="E34" s="962"/>
      <c r="F34" s="962"/>
      <c r="G34" s="962"/>
      <c r="H34" s="962"/>
      <c r="I34" s="962"/>
      <c r="J34" s="962"/>
      <c r="K34" s="962"/>
      <c r="L34" s="962"/>
      <c r="M34" s="962"/>
      <c r="N34" s="962"/>
      <c r="O34" s="962"/>
      <c r="P34" s="962"/>
    </row>
    <row r="35" spans="2:17" ht="15" x14ac:dyDescent="0.25">
      <c r="D35" s="962"/>
      <c r="E35" s="962"/>
      <c r="F35" s="962"/>
      <c r="G35" s="962"/>
      <c r="H35" s="962"/>
      <c r="I35" s="962"/>
      <c r="J35" s="962"/>
      <c r="K35" s="962"/>
      <c r="L35" s="962"/>
      <c r="M35" s="962"/>
      <c r="N35" s="962"/>
      <c r="O35" s="962"/>
      <c r="P35" s="962"/>
    </row>
    <row r="36" spans="2:17" ht="15" x14ac:dyDescent="0.2">
      <c r="D36" s="219"/>
      <c r="E36" s="220"/>
      <c r="F36" s="221"/>
      <c r="G36" s="219"/>
      <c r="H36" s="219"/>
      <c r="I36" s="222"/>
      <c r="J36" s="220"/>
      <c r="K36" s="222"/>
      <c r="L36" s="219"/>
      <c r="M36" s="219"/>
      <c r="N36" s="222"/>
      <c r="O36" s="223"/>
      <c r="P36" s="224"/>
    </row>
    <row r="37" spans="2:17" ht="15" x14ac:dyDescent="0.25"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</row>
    <row r="62" spans="7:7" x14ac:dyDescent="0.2">
      <c r="G62" s="7">
        <f>H62+I62</f>
        <v>0</v>
      </c>
    </row>
    <row r="64" spans="7:7" x14ac:dyDescent="0.2">
      <c r="G64" s="7">
        <f t="shared" ref="G64:G82" si="13">H64+I64</f>
        <v>0</v>
      </c>
    </row>
    <row r="65" spans="7:7" x14ac:dyDescent="0.2">
      <c r="G65" s="7">
        <f t="shared" si="13"/>
        <v>0</v>
      </c>
    </row>
    <row r="66" spans="7:7" x14ac:dyDescent="0.2">
      <c r="G66" s="7">
        <f t="shared" si="13"/>
        <v>0</v>
      </c>
    </row>
    <row r="67" spans="7:7" x14ac:dyDescent="0.2">
      <c r="G67" s="7">
        <f t="shared" si="13"/>
        <v>0</v>
      </c>
    </row>
    <row r="68" spans="7:7" x14ac:dyDescent="0.2">
      <c r="G68" s="7">
        <f t="shared" si="13"/>
        <v>0</v>
      </c>
    </row>
    <row r="69" spans="7:7" x14ac:dyDescent="0.2">
      <c r="G69" s="7">
        <f t="shared" si="13"/>
        <v>0</v>
      </c>
    </row>
    <row r="70" spans="7:7" x14ac:dyDescent="0.2">
      <c r="G70" s="7">
        <f t="shared" si="13"/>
        <v>0</v>
      </c>
    </row>
    <row r="71" spans="7:7" x14ac:dyDescent="0.2">
      <c r="G71" s="7">
        <f t="shared" si="13"/>
        <v>0</v>
      </c>
    </row>
    <row r="72" spans="7:7" x14ac:dyDescent="0.2">
      <c r="G72" s="7">
        <f t="shared" si="13"/>
        <v>0</v>
      </c>
    </row>
    <row r="73" spans="7:7" x14ac:dyDescent="0.2">
      <c r="G73" s="7">
        <f t="shared" si="13"/>
        <v>0</v>
      </c>
    </row>
    <row r="74" spans="7:7" x14ac:dyDescent="0.2">
      <c r="G74" s="7">
        <f t="shared" si="13"/>
        <v>0</v>
      </c>
    </row>
    <row r="75" spans="7:7" x14ac:dyDescent="0.2">
      <c r="G75" s="7">
        <f t="shared" si="13"/>
        <v>0</v>
      </c>
    </row>
    <row r="76" spans="7:7" x14ac:dyDescent="0.2">
      <c r="G76" s="7">
        <f t="shared" si="13"/>
        <v>0</v>
      </c>
    </row>
    <row r="77" spans="7:7" x14ac:dyDescent="0.2">
      <c r="G77" s="7">
        <f t="shared" si="13"/>
        <v>0</v>
      </c>
    </row>
    <row r="78" spans="7:7" x14ac:dyDescent="0.2">
      <c r="G78" s="7">
        <f t="shared" si="13"/>
        <v>0</v>
      </c>
    </row>
    <row r="79" spans="7:7" x14ac:dyDescent="0.2">
      <c r="G79" s="7">
        <f t="shared" si="13"/>
        <v>0</v>
      </c>
    </row>
    <row r="80" spans="7:7" x14ac:dyDescent="0.2">
      <c r="G80" s="7">
        <f t="shared" si="13"/>
        <v>0</v>
      </c>
    </row>
    <row r="81" spans="7:7" x14ac:dyDescent="0.2">
      <c r="G81" s="7">
        <f t="shared" si="13"/>
        <v>0</v>
      </c>
    </row>
    <row r="82" spans="7:7" x14ac:dyDescent="0.2">
      <c r="G82" s="7">
        <f t="shared" si="13"/>
        <v>0</v>
      </c>
    </row>
    <row r="84" spans="7:7" x14ac:dyDescent="0.2">
      <c r="G84" s="7">
        <f>H84+I84</f>
        <v>0</v>
      </c>
    </row>
    <row r="85" spans="7:7" x14ac:dyDescent="0.2">
      <c r="G85" s="7">
        <f>H85+I85</f>
        <v>0</v>
      </c>
    </row>
    <row r="86" spans="7:7" x14ac:dyDescent="0.2">
      <c r="G86" s="7">
        <f>H86+I86</f>
        <v>0</v>
      </c>
    </row>
    <row r="87" spans="7:7" x14ac:dyDescent="0.2">
      <c r="G87" s="7">
        <f>H87+I87</f>
        <v>0</v>
      </c>
    </row>
    <row r="89" spans="7:7" x14ac:dyDescent="0.2">
      <c r="G89" s="7">
        <f>H89+I89</f>
        <v>0</v>
      </c>
    </row>
    <row r="92" spans="7:7" x14ac:dyDescent="0.2">
      <c r="G92" s="952"/>
    </row>
    <row r="93" spans="7:7" x14ac:dyDescent="0.2">
      <c r="G93" s="953"/>
    </row>
    <row r="129" spans="7:7" x14ac:dyDescent="0.2">
      <c r="G129" s="7">
        <f>H129+I129</f>
        <v>0</v>
      </c>
    </row>
    <row r="131" spans="7:7" x14ac:dyDescent="0.2">
      <c r="G131" s="7">
        <f t="shared" ref="G131:G141" si="14">H131+I131</f>
        <v>0</v>
      </c>
    </row>
    <row r="132" spans="7:7" x14ac:dyDescent="0.2">
      <c r="G132" s="7">
        <f t="shared" si="14"/>
        <v>0</v>
      </c>
    </row>
    <row r="133" spans="7:7" x14ac:dyDescent="0.2">
      <c r="G133" s="7">
        <f t="shared" si="14"/>
        <v>0</v>
      </c>
    </row>
    <row r="134" spans="7:7" x14ac:dyDescent="0.2">
      <c r="G134" s="7">
        <f t="shared" si="14"/>
        <v>0</v>
      </c>
    </row>
    <row r="135" spans="7:7" x14ac:dyDescent="0.2">
      <c r="G135" s="7">
        <f t="shared" si="14"/>
        <v>0</v>
      </c>
    </row>
    <row r="136" spans="7:7" x14ac:dyDescent="0.2">
      <c r="G136" s="7">
        <f t="shared" si="14"/>
        <v>0</v>
      </c>
    </row>
    <row r="137" spans="7:7" x14ac:dyDescent="0.2">
      <c r="G137" s="7">
        <f t="shared" si="14"/>
        <v>0</v>
      </c>
    </row>
    <row r="138" spans="7:7" x14ac:dyDescent="0.2">
      <c r="G138" s="7">
        <f t="shared" si="14"/>
        <v>0</v>
      </c>
    </row>
    <row r="139" spans="7:7" x14ac:dyDescent="0.2">
      <c r="G139" s="7">
        <f t="shared" si="14"/>
        <v>0</v>
      </c>
    </row>
    <row r="140" spans="7:7" x14ac:dyDescent="0.2">
      <c r="G140" s="7">
        <f t="shared" si="14"/>
        <v>0</v>
      </c>
    </row>
    <row r="141" spans="7:7" x14ac:dyDescent="0.2">
      <c r="G141" s="7">
        <f t="shared" si="14"/>
        <v>0</v>
      </c>
    </row>
    <row r="143" spans="7:7" x14ac:dyDescent="0.2">
      <c r="G143" s="7">
        <f>H144+I144</f>
        <v>0</v>
      </c>
    </row>
    <row r="144" spans="7:7" x14ac:dyDescent="0.2">
      <c r="G144" s="7">
        <f t="shared" ref="G144" si="15">H144+I144</f>
        <v>0</v>
      </c>
    </row>
    <row r="145" spans="7:10" x14ac:dyDescent="0.2">
      <c r="G145" s="7">
        <f>H145+I145</f>
        <v>0</v>
      </c>
    </row>
    <row r="146" spans="7:10" x14ac:dyDescent="0.2">
      <c r="G146" s="7">
        <f>H146+I146</f>
        <v>0</v>
      </c>
    </row>
    <row r="147" spans="7:10" x14ac:dyDescent="0.2">
      <c r="G147" s="7">
        <f>H147+I147</f>
        <v>0</v>
      </c>
    </row>
    <row r="148" spans="7:10" x14ac:dyDescent="0.2">
      <c r="G148" s="7">
        <f>H148+I148</f>
        <v>0</v>
      </c>
    </row>
    <row r="153" spans="7:10" ht="46.5" x14ac:dyDescent="0.65">
      <c r="J153" s="226"/>
    </row>
    <row r="156" spans="7:10" ht="46.5" x14ac:dyDescent="0.65">
      <c r="G156" s="226">
        <f>H156+I156</f>
        <v>0</v>
      </c>
      <c r="J156" s="226"/>
    </row>
    <row r="175" spans="11:11" ht="90" x14ac:dyDescent="1.1499999999999999">
      <c r="K175" s="227" t="b">
        <f>G175=H175+I175</f>
        <v>1</v>
      </c>
    </row>
  </sheetData>
  <mergeCells count="29">
    <mergeCell ref="O9:P9"/>
    <mergeCell ref="D35:P35"/>
    <mergeCell ref="D34:P34"/>
    <mergeCell ref="M2:Q2"/>
    <mergeCell ref="E3:M3"/>
    <mergeCell ref="J8:M8"/>
    <mergeCell ref="N8:Q8"/>
    <mergeCell ref="Q9:Q10"/>
    <mergeCell ref="M9:M10"/>
    <mergeCell ref="N9:N10"/>
    <mergeCell ref="J9:J10"/>
    <mergeCell ref="D33:P33"/>
    <mergeCell ref="G9:H9"/>
    <mergeCell ref="K9:L9"/>
    <mergeCell ref="D31:P31"/>
    <mergeCell ref="D30:E30"/>
    <mergeCell ref="B3:C3"/>
    <mergeCell ref="B5:C5"/>
    <mergeCell ref="B6:C6"/>
    <mergeCell ref="G92:G93"/>
    <mergeCell ref="B8:B10"/>
    <mergeCell ref="C8:C10"/>
    <mergeCell ref="D8:D10"/>
    <mergeCell ref="E8:E10"/>
    <mergeCell ref="F8:I8"/>
    <mergeCell ref="F9:F10"/>
    <mergeCell ref="I9:I10"/>
    <mergeCell ref="E4:M4"/>
    <mergeCell ref="D32:E32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view="pageBreakPreview" topLeftCell="A80" zoomScale="40" zoomScaleNormal="25" zoomScaleSheetLayoutView="40" zoomScalePageLayoutView="10" workbookViewId="0">
      <selection activeCell="B114" sqref="B114"/>
    </sheetView>
  </sheetViews>
  <sheetFormatPr defaultColWidth="9.140625" defaultRowHeight="12.75" x14ac:dyDescent="0.2"/>
  <cols>
    <col min="1" max="1" width="62.28515625" style="244" customWidth="1"/>
    <col min="2" max="2" width="49.140625" style="244" customWidth="1"/>
    <col min="3" max="3" width="150.140625" style="244" customWidth="1"/>
    <col min="4" max="4" width="69.7109375" style="244" customWidth="1"/>
    <col min="5" max="5" width="25.85546875" style="230" bestFit="1" customWidth="1"/>
    <col min="6" max="6" width="22.7109375" style="230" bestFit="1" customWidth="1"/>
    <col min="7" max="16384" width="9.140625" style="230"/>
  </cols>
  <sheetData>
    <row r="1" spans="1:15" ht="48.75" customHeight="1" x14ac:dyDescent="0.35">
      <c r="A1" s="81"/>
      <c r="B1" s="393"/>
      <c r="C1" s="393"/>
      <c r="D1" s="394" t="s">
        <v>598</v>
      </c>
      <c r="E1" s="229"/>
      <c r="F1" s="229"/>
      <c r="G1" s="229"/>
      <c r="H1" s="229"/>
    </row>
    <row r="2" spans="1:15" ht="84.75" customHeight="1" x14ac:dyDescent="0.35">
      <c r="A2" s="132"/>
      <c r="B2" s="393"/>
      <c r="C2" s="393"/>
      <c r="D2" s="394" t="s">
        <v>1395</v>
      </c>
      <c r="E2" s="229"/>
      <c r="F2" s="229"/>
      <c r="G2" s="229"/>
      <c r="H2" s="229"/>
    </row>
    <row r="3" spans="1:15" ht="40.700000000000003" customHeight="1" x14ac:dyDescent="0.2">
      <c r="A3" s="132"/>
      <c r="B3" s="132"/>
      <c r="C3" s="132"/>
      <c r="D3" s="133"/>
      <c r="N3" s="985"/>
      <c r="O3" s="985"/>
    </row>
    <row r="4" spans="1:15" ht="45.75" hidden="1" x14ac:dyDescent="0.2">
      <c r="A4" s="132"/>
      <c r="B4" s="132"/>
      <c r="C4" s="132"/>
      <c r="D4" s="133"/>
      <c r="N4" s="985"/>
      <c r="O4" s="986"/>
    </row>
    <row r="5" spans="1:15" ht="45.75" x14ac:dyDescent="0.2">
      <c r="A5" s="906" t="s">
        <v>1307</v>
      </c>
      <c r="B5" s="906"/>
      <c r="C5" s="906"/>
      <c r="D5" s="906"/>
      <c r="N5" s="985"/>
      <c r="O5" s="986"/>
    </row>
    <row r="6" spans="1:15" ht="45.75" x14ac:dyDescent="0.65">
      <c r="A6" s="907">
        <v>2256400000</v>
      </c>
      <c r="B6" s="877"/>
      <c r="C6" s="877"/>
      <c r="D6" s="877"/>
    </row>
    <row r="7" spans="1:15" ht="45.75" x14ac:dyDescent="0.2">
      <c r="A7" s="912" t="s">
        <v>495</v>
      </c>
      <c r="B7" s="877"/>
      <c r="C7" s="877"/>
      <c r="D7" s="877"/>
    </row>
    <row r="8" spans="1:15" ht="45.75" x14ac:dyDescent="0.2">
      <c r="A8" s="420"/>
      <c r="B8" s="419"/>
      <c r="C8" s="419"/>
      <c r="D8" s="419"/>
    </row>
    <row r="9" spans="1:15" ht="53.45" customHeight="1" x14ac:dyDescent="0.2">
      <c r="A9" s="972" t="s">
        <v>1153</v>
      </c>
      <c r="B9" s="973"/>
      <c r="C9" s="973"/>
      <c r="D9" s="973"/>
    </row>
    <row r="10" spans="1:15" ht="53.45" customHeight="1" thickBot="1" x14ac:dyDescent="0.25">
      <c r="A10" s="418"/>
      <c r="B10" s="418"/>
      <c r="C10" s="418"/>
      <c r="D10" s="395" t="s">
        <v>409</v>
      </c>
    </row>
    <row r="11" spans="1:15" ht="140.25" customHeight="1" thickTop="1" thickBot="1" x14ac:dyDescent="0.25">
      <c r="A11" s="396" t="s">
        <v>603</v>
      </c>
      <c r="B11" s="977" t="s">
        <v>602</v>
      </c>
      <c r="C11" s="978"/>
      <c r="D11" s="396" t="s">
        <v>388</v>
      </c>
    </row>
    <row r="12" spans="1:15" s="232" customFormat="1" ht="47.25" thickTop="1" thickBot="1" x14ac:dyDescent="0.25">
      <c r="A12" s="415" t="s">
        <v>2</v>
      </c>
      <c r="B12" s="979" t="s">
        <v>3</v>
      </c>
      <c r="C12" s="980"/>
      <c r="D12" s="415" t="s">
        <v>14</v>
      </c>
    </row>
    <row r="13" spans="1:15" s="232" customFormat="1" ht="70.5" customHeight="1" thickTop="1" thickBot="1" x14ac:dyDescent="0.25">
      <c r="A13" s="974" t="s">
        <v>604</v>
      </c>
      <c r="B13" s="975"/>
      <c r="C13" s="975"/>
      <c r="D13" s="976"/>
    </row>
    <row r="14" spans="1:15" s="232" customFormat="1" ht="70.5" customHeight="1" thickTop="1" thickBot="1" x14ac:dyDescent="0.25">
      <c r="A14" s="385" t="s">
        <v>1458</v>
      </c>
      <c r="B14" s="981" t="s">
        <v>1457</v>
      </c>
      <c r="C14" s="982"/>
      <c r="D14" s="640">
        <f>SUM(D15)</f>
        <v>16579700</v>
      </c>
    </row>
    <row r="15" spans="1:15" s="232" customFormat="1" ht="254.25" customHeight="1" thickTop="1" thickBot="1" x14ac:dyDescent="0.25">
      <c r="A15" s="749">
        <v>41021400</v>
      </c>
      <c r="B15" s="965" t="s">
        <v>1464</v>
      </c>
      <c r="C15" s="966"/>
      <c r="D15" s="641">
        <v>16579700</v>
      </c>
    </row>
    <row r="16" spans="1:15" s="232" customFormat="1" ht="47.25" thickTop="1" thickBot="1" x14ac:dyDescent="0.25">
      <c r="A16" s="745" t="s">
        <v>1381</v>
      </c>
      <c r="B16" s="965" t="s">
        <v>580</v>
      </c>
      <c r="C16" s="966"/>
      <c r="D16" s="746">
        <f>D15</f>
        <v>16579700</v>
      </c>
    </row>
    <row r="17" spans="1:6" s="232" customFormat="1" ht="46.5" thickTop="1" thickBot="1" x14ac:dyDescent="0.25">
      <c r="A17" s="385" t="s">
        <v>614</v>
      </c>
      <c r="B17" s="981" t="s">
        <v>443</v>
      </c>
      <c r="C17" s="983"/>
      <c r="D17" s="640">
        <f>SUM(D18:D24)</f>
        <v>622434500</v>
      </c>
    </row>
    <row r="18" spans="1:6" s="232" customFormat="1" ht="47.25" hidden="1" thickTop="1" thickBot="1" x14ac:dyDescent="0.25">
      <c r="A18" s="553" t="s">
        <v>1002</v>
      </c>
      <c r="B18" s="965" t="s">
        <v>1001</v>
      </c>
      <c r="C18" s="966"/>
      <c r="D18" s="641">
        <v>0</v>
      </c>
    </row>
    <row r="19" spans="1:6" s="232" customFormat="1" ht="47.25" hidden="1" thickTop="1" thickBot="1" x14ac:dyDescent="0.25">
      <c r="A19" s="553" t="s">
        <v>1118</v>
      </c>
      <c r="B19" s="965" t="s">
        <v>1067</v>
      </c>
      <c r="C19" s="966"/>
      <c r="D19" s="641">
        <v>0</v>
      </c>
    </row>
    <row r="20" spans="1:6" s="232" customFormat="1" ht="47.25" thickTop="1" thickBot="1" x14ac:dyDescent="0.25">
      <c r="A20" s="553" t="s">
        <v>613</v>
      </c>
      <c r="B20" s="965" t="s">
        <v>627</v>
      </c>
      <c r="C20" s="966"/>
      <c r="D20" s="399">
        <f>(622418100)+16400</f>
        <v>622434500</v>
      </c>
    </row>
    <row r="21" spans="1:6" s="232" customFormat="1" ht="47.25" hidden="1" thickTop="1" thickBot="1" x14ac:dyDescent="0.25">
      <c r="A21" s="553" t="s">
        <v>1112</v>
      </c>
      <c r="B21" s="965" t="s">
        <v>1068</v>
      </c>
      <c r="C21" s="984"/>
      <c r="D21" s="399">
        <v>0</v>
      </c>
    </row>
    <row r="22" spans="1:6" s="232" customFormat="1" ht="47.25" hidden="1" thickTop="1" thickBot="1" x14ac:dyDescent="0.25">
      <c r="A22" s="553" t="s">
        <v>1004</v>
      </c>
      <c r="B22" s="965" t="s">
        <v>1003</v>
      </c>
      <c r="C22" s="966"/>
      <c r="D22" s="399">
        <v>0</v>
      </c>
    </row>
    <row r="23" spans="1:6" s="232" customFormat="1" ht="47.25" hidden="1" thickTop="1" thickBot="1" x14ac:dyDescent="0.25">
      <c r="A23" s="553" t="s">
        <v>1013</v>
      </c>
      <c r="B23" s="965" t="s">
        <v>1014</v>
      </c>
      <c r="C23" s="966"/>
      <c r="D23" s="399">
        <v>0</v>
      </c>
    </row>
    <row r="24" spans="1:6" s="232" customFormat="1" ht="47.25" hidden="1" thickTop="1" thickBot="1" x14ac:dyDescent="0.25">
      <c r="A24" s="553" t="s">
        <v>994</v>
      </c>
      <c r="B24" s="965" t="s">
        <v>993</v>
      </c>
      <c r="C24" s="966"/>
      <c r="D24" s="399">
        <v>0</v>
      </c>
    </row>
    <row r="25" spans="1:6" s="232" customFormat="1" ht="47.25" thickTop="1" thickBot="1" x14ac:dyDescent="0.25">
      <c r="A25" s="553" t="s">
        <v>1381</v>
      </c>
      <c r="B25" s="965" t="s">
        <v>580</v>
      </c>
      <c r="C25" s="966"/>
      <c r="D25" s="399">
        <f>D17</f>
        <v>622434500</v>
      </c>
    </row>
    <row r="26" spans="1:6" s="232" customFormat="1" ht="46.5" thickTop="1" thickBot="1" x14ac:dyDescent="0.25">
      <c r="A26" s="385" t="s">
        <v>619</v>
      </c>
      <c r="B26" s="981" t="s">
        <v>349</v>
      </c>
      <c r="C26" s="982"/>
      <c r="D26" s="640">
        <f>SUM(D27:D28)</f>
        <v>7557918.6399999997</v>
      </c>
    </row>
    <row r="27" spans="1:6" s="232" customFormat="1" ht="194.25" customHeight="1" thickTop="1" thickBot="1" x14ac:dyDescent="0.25">
      <c r="A27" s="553" t="s">
        <v>620</v>
      </c>
      <c r="B27" s="965" t="s">
        <v>628</v>
      </c>
      <c r="C27" s="966"/>
      <c r="D27" s="641">
        <v>7423154</v>
      </c>
    </row>
    <row r="28" spans="1:6" s="232" customFormat="1" ht="47.25" thickTop="1" thickBot="1" x14ac:dyDescent="0.25">
      <c r="A28" s="553" t="s">
        <v>1267</v>
      </c>
      <c r="B28" s="965" t="s">
        <v>1266</v>
      </c>
      <c r="C28" s="966"/>
      <c r="D28" s="641">
        <v>134764.64000000001</v>
      </c>
    </row>
    <row r="29" spans="1:6" s="232" customFormat="1" ht="47.25" thickTop="1" thickBot="1" x14ac:dyDescent="0.25">
      <c r="A29" s="553" t="s">
        <v>1385</v>
      </c>
      <c r="B29" s="965" t="s">
        <v>618</v>
      </c>
      <c r="C29" s="966"/>
      <c r="D29" s="399">
        <f>SUM(D27:D28)</f>
        <v>7557918.6399999997</v>
      </c>
    </row>
    <row r="30" spans="1:6" s="232" customFormat="1" ht="46.5" thickTop="1" thickBot="1" x14ac:dyDescent="0.25">
      <c r="A30" s="385" t="s">
        <v>621</v>
      </c>
      <c r="B30" s="981" t="s">
        <v>622</v>
      </c>
      <c r="C30" s="982"/>
      <c r="D30" s="640">
        <f>D49+D51</f>
        <v>20819695</v>
      </c>
      <c r="E30" s="586" t="b">
        <f>D30=D49+D51</f>
        <v>1</v>
      </c>
      <c r="F30" s="586" t="b">
        <f>D30='d1'!D121</f>
        <v>1</v>
      </c>
    </row>
    <row r="31" spans="1:6" s="232" customFormat="1" ht="20.25" hidden="1" thickTop="1" x14ac:dyDescent="0.65">
      <c r="A31" s="967" t="s">
        <v>1121</v>
      </c>
      <c r="B31" s="968" t="s">
        <v>1119</v>
      </c>
      <c r="C31" s="969"/>
      <c r="D31" s="887">
        <v>0</v>
      </c>
    </row>
    <row r="32" spans="1:6" s="232" customFormat="1" ht="13.5" hidden="1" thickBot="1" x14ac:dyDescent="0.25">
      <c r="A32" s="925"/>
      <c r="B32" s="970" t="s">
        <v>1120</v>
      </c>
      <c r="C32" s="971"/>
      <c r="D32" s="925"/>
    </row>
    <row r="33" spans="1:4" s="232" customFormat="1" ht="20.25" hidden="1" thickTop="1" x14ac:dyDescent="0.65">
      <c r="A33" s="967" t="s">
        <v>1113</v>
      </c>
      <c r="B33" s="968" t="s">
        <v>1114</v>
      </c>
      <c r="C33" s="969"/>
      <c r="D33" s="887">
        <v>0</v>
      </c>
    </row>
    <row r="34" spans="1:4" s="232" customFormat="1" ht="13.5" hidden="1" thickBot="1" x14ac:dyDescent="0.25">
      <c r="A34" s="925"/>
      <c r="B34" s="970" t="s">
        <v>1115</v>
      </c>
      <c r="C34" s="971"/>
      <c r="D34" s="925"/>
    </row>
    <row r="35" spans="1:4" s="232" customFormat="1" ht="20.25" hidden="1" thickTop="1" x14ac:dyDescent="0.65">
      <c r="A35" s="967">
        <v>41050600</v>
      </c>
      <c r="B35" s="968" t="s">
        <v>1116</v>
      </c>
      <c r="C35" s="969"/>
      <c r="D35" s="887">
        <v>0</v>
      </c>
    </row>
    <row r="36" spans="1:4" s="232" customFormat="1" ht="13.5" hidden="1" thickBot="1" x14ac:dyDescent="0.25">
      <c r="A36" s="925"/>
      <c r="B36" s="970" t="s">
        <v>1117</v>
      </c>
      <c r="C36" s="971"/>
      <c r="D36" s="925"/>
    </row>
    <row r="37" spans="1:4" s="232" customFormat="1" ht="47.25" hidden="1" thickTop="1" thickBot="1" x14ac:dyDescent="0.25">
      <c r="A37" s="553">
        <v>41050900</v>
      </c>
      <c r="B37" s="965" t="s">
        <v>1122</v>
      </c>
      <c r="C37" s="966"/>
      <c r="D37" s="399">
        <v>0</v>
      </c>
    </row>
    <row r="38" spans="1:4" s="232" customFormat="1" ht="114.75" customHeight="1" thickTop="1" thickBot="1" x14ac:dyDescent="0.25">
      <c r="A38" s="553" t="s">
        <v>623</v>
      </c>
      <c r="B38" s="965" t="s">
        <v>624</v>
      </c>
      <c r="C38" s="966"/>
      <c r="D38" s="399">
        <v>8260086</v>
      </c>
    </row>
    <row r="39" spans="1:4" s="232" customFormat="1" ht="160.5" customHeight="1" thickTop="1" thickBot="1" x14ac:dyDescent="0.25">
      <c r="A39" s="553" t="s">
        <v>625</v>
      </c>
      <c r="B39" s="965" t="s">
        <v>1380</v>
      </c>
      <c r="C39" s="966"/>
      <c r="D39" s="641">
        <v>4309689</v>
      </c>
    </row>
    <row r="40" spans="1:4" s="232" customFormat="1" ht="47.25" hidden="1" thickTop="1" thickBot="1" x14ac:dyDescent="0.25">
      <c r="A40" s="553" t="s">
        <v>1005</v>
      </c>
      <c r="B40" s="965" t="s">
        <v>1006</v>
      </c>
      <c r="C40" s="966"/>
      <c r="D40" s="641">
        <v>0</v>
      </c>
    </row>
    <row r="41" spans="1:4" s="232" customFormat="1" ht="47.25" hidden="1" thickTop="1" thickBot="1" x14ac:dyDescent="0.25">
      <c r="A41" s="553" t="s">
        <v>961</v>
      </c>
      <c r="B41" s="965" t="s">
        <v>962</v>
      </c>
      <c r="C41" s="966"/>
      <c r="D41" s="641">
        <v>0</v>
      </c>
    </row>
    <row r="42" spans="1:4" s="232" customFormat="1" ht="47.25" thickTop="1" thickBot="1" x14ac:dyDescent="0.25">
      <c r="A42" s="682">
        <v>41053900</v>
      </c>
      <c r="B42" s="965" t="s">
        <v>369</v>
      </c>
      <c r="C42" s="966"/>
      <c r="D42" s="641">
        <v>961639</v>
      </c>
    </row>
    <row r="43" spans="1:4" s="232" customFormat="1" ht="20.25" hidden="1" thickTop="1" x14ac:dyDescent="0.65">
      <c r="A43" s="967" t="s">
        <v>1123</v>
      </c>
      <c r="B43" s="968" t="s">
        <v>1124</v>
      </c>
      <c r="C43" s="969"/>
      <c r="D43" s="887">
        <v>0</v>
      </c>
    </row>
    <row r="44" spans="1:4" s="232" customFormat="1" ht="13.5" hidden="1" thickBot="1" x14ac:dyDescent="0.25">
      <c r="A44" s="925"/>
      <c r="B44" s="970" t="s">
        <v>1125</v>
      </c>
      <c r="C44" s="971"/>
      <c r="D44" s="925"/>
    </row>
    <row r="45" spans="1:4" s="232" customFormat="1" ht="47.25" hidden="1" thickTop="1" thickBot="1" x14ac:dyDescent="0.25">
      <c r="A45" s="682" t="s">
        <v>626</v>
      </c>
      <c r="B45" s="965" t="s">
        <v>629</v>
      </c>
      <c r="C45" s="966"/>
      <c r="D45" s="641">
        <v>0</v>
      </c>
    </row>
    <row r="46" spans="1:4" s="232" customFormat="1" ht="47.25" hidden="1" thickTop="1" thickBot="1" x14ac:dyDescent="0.25">
      <c r="A46" s="682" t="s">
        <v>1045</v>
      </c>
      <c r="B46" s="965" t="s">
        <v>1046</v>
      </c>
      <c r="C46" s="966"/>
      <c r="D46" s="399">
        <f>10623233.82-10623233.82</f>
        <v>0</v>
      </c>
    </row>
    <row r="47" spans="1:4" s="232" customFormat="1" ht="148.5" customHeight="1" thickTop="1" thickBot="1" x14ac:dyDescent="0.25">
      <c r="A47" s="771">
        <v>41057700</v>
      </c>
      <c r="B47" s="965" t="s">
        <v>1500</v>
      </c>
      <c r="C47" s="966"/>
      <c r="D47" s="641">
        <v>88281</v>
      </c>
    </row>
    <row r="48" spans="1:4" s="232" customFormat="1" ht="148.5" customHeight="1" thickTop="1" thickBot="1" x14ac:dyDescent="0.25">
      <c r="A48" s="823">
        <v>41059000</v>
      </c>
      <c r="B48" s="965" t="s">
        <v>1529</v>
      </c>
      <c r="C48" s="966"/>
      <c r="D48" s="641">
        <v>7200000</v>
      </c>
    </row>
    <row r="49" spans="1:5" s="232" customFormat="1" ht="47.25" thickTop="1" thickBot="1" x14ac:dyDescent="0.55000000000000004">
      <c r="A49" s="682" t="s">
        <v>1385</v>
      </c>
      <c r="B49" s="965" t="s">
        <v>618</v>
      </c>
      <c r="C49" s="966"/>
      <c r="D49" s="399">
        <f>SUM(D31:D48)</f>
        <v>20819695</v>
      </c>
      <c r="E49" s="234"/>
    </row>
    <row r="50" spans="1:5" s="232" customFormat="1" ht="47.25" hidden="1" thickTop="1" thickBot="1" x14ac:dyDescent="0.25">
      <c r="A50" s="577" t="s">
        <v>1145</v>
      </c>
      <c r="B50" s="989" t="s">
        <v>1146</v>
      </c>
      <c r="C50" s="990"/>
      <c r="D50" s="642">
        <v>0</v>
      </c>
    </row>
    <row r="51" spans="1:5" s="232" customFormat="1" ht="47.25" hidden="1" thickTop="1" thickBot="1" x14ac:dyDescent="0.25">
      <c r="A51" s="577" t="s">
        <v>582</v>
      </c>
      <c r="B51" s="989" t="s">
        <v>583</v>
      </c>
      <c r="C51" s="990"/>
      <c r="D51" s="579">
        <f>D50</f>
        <v>0</v>
      </c>
    </row>
    <row r="52" spans="1:5" ht="55.5" customHeight="1" thickTop="1" thickBot="1" x14ac:dyDescent="0.25">
      <c r="A52" s="974" t="s">
        <v>605</v>
      </c>
      <c r="B52" s="975"/>
      <c r="C52" s="975"/>
      <c r="D52" s="976"/>
    </row>
    <row r="53" spans="1:5" ht="46.5" hidden="1" thickTop="1" thickBot="1" x14ac:dyDescent="0.25">
      <c r="A53" s="643" t="s">
        <v>614</v>
      </c>
      <c r="B53" s="991" t="s">
        <v>443</v>
      </c>
      <c r="C53" s="992"/>
      <c r="D53" s="644">
        <f>D54</f>
        <v>0</v>
      </c>
    </row>
    <row r="54" spans="1:5" ht="47.25" hidden="1" thickTop="1" thickBot="1" x14ac:dyDescent="0.25">
      <c r="A54" s="645" t="s">
        <v>1112</v>
      </c>
      <c r="B54" s="993" t="s">
        <v>1068</v>
      </c>
      <c r="C54" s="994"/>
      <c r="D54" s="646">
        <v>0</v>
      </c>
    </row>
    <row r="55" spans="1:5" ht="47.25" hidden="1" thickTop="1" thickBot="1" x14ac:dyDescent="0.25">
      <c r="A55" s="645" t="s">
        <v>891</v>
      </c>
      <c r="B55" s="993" t="s">
        <v>580</v>
      </c>
      <c r="C55" s="994"/>
      <c r="D55" s="647">
        <f>D53</f>
        <v>0</v>
      </c>
    </row>
    <row r="56" spans="1:5" ht="46.5" hidden="1" thickTop="1" thickBot="1" x14ac:dyDescent="0.25">
      <c r="A56" s="643" t="s">
        <v>621</v>
      </c>
      <c r="B56" s="991" t="s">
        <v>622</v>
      </c>
      <c r="C56" s="996"/>
      <c r="D56" s="644">
        <f>D59+D61</f>
        <v>0</v>
      </c>
      <c r="E56" s="237" t="b">
        <f>D56=D57+D58+D60</f>
        <v>1</v>
      </c>
    </row>
    <row r="57" spans="1:5" ht="47.25" hidden="1" thickTop="1" thickBot="1" x14ac:dyDescent="0.25">
      <c r="A57" s="645" t="s">
        <v>963</v>
      </c>
      <c r="B57" s="993" t="s">
        <v>966</v>
      </c>
      <c r="C57" s="994"/>
      <c r="D57" s="646">
        <v>0</v>
      </c>
    </row>
    <row r="58" spans="1:5" ht="47.25" hidden="1" thickTop="1" thickBot="1" x14ac:dyDescent="0.25">
      <c r="A58" s="645">
        <v>41053900</v>
      </c>
      <c r="B58" s="993" t="s">
        <v>967</v>
      </c>
      <c r="C58" s="994"/>
      <c r="D58" s="646">
        <v>0</v>
      </c>
    </row>
    <row r="59" spans="1:5" ht="47.25" hidden="1" thickTop="1" thickBot="1" x14ac:dyDescent="0.25">
      <c r="A59" s="645" t="s">
        <v>617</v>
      </c>
      <c r="B59" s="993" t="s">
        <v>618</v>
      </c>
      <c r="C59" s="994"/>
      <c r="D59" s="647">
        <f>D58+D57</f>
        <v>0</v>
      </c>
    </row>
    <row r="60" spans="1:5" ht="47.25" hidden="1" thickTop="1" thickBot="1" x14ac:dyDescent="0.25">
      <c r="A60" s="645">
        <v>41053900</v>
      </c>
      <c r="B60" s="993" t="s">
        <v>1144</v>
      </c>
      <c r="C60" s="994"/>
      <c r="D60" s="646">
        <v>0</v>
      </c>
    </row>
    <row r="61" spans="1:5" ht="47.25" hidden="1" thickTop="1" thickBot="1" x14ac:dyDescent="0.25">
      <c r="A61" s="645" t="s">
        <v>582</v>
      </c>
      <c r="B61" s="993" t="s">
        <v>583</v>
      </c>
      <c r="C61" s="994"/>
      <c r="D61" s="647">
        <f>D60</f>
        <v>0</v>
      </c>
    </row>
    <row r="62" spans="1:5" ht="47.25" thickTop="1" thickBot="1" x14ac:dyDescent="0.25">
      <c r="A62" s="582" t="s">
        <v>386</v>
      </c>
      <c r="B62" s="997" t="s">
        <v>606</v>
      </c>
      <c r="C62" s="998"/>
      <c r="D62" s="584">
        <f>D63+D64</f>
        <v>667391813.63999999</v>
      </c>
      <c r="E62" s="458" t="b">
        <f>D62='d1'!C106</f>
        <v>1</v>
      </c>
    </row>
    <row r="63" spans="1:5" ht="47.25" thickTop="1" thickBot="1" x14ac:dyDescent="0.25">
      <c r="A63" s="553" t="s">
        <v>386</v>
      </c>
      <c r="B63" s="965" t="s">
        <v>391</v>
      </c>
      <c r="C63" s="966"/>
      <c r="D63" s="399">
        <f>D49+D25+D29+D51+D16</f>
        <v>667391813.63999999</v>
      </c>
      <c r="E63" s="458" t="b">
        <f>D63='d1'!D106</f>
        <v>1</v>
      </c>
    </row>
    <row r="64" spans="1:5" ht="47.25" thickTop="1" thickBot="1" x14ac:dyDescent="0.25">
      <c r="A64" s="553" t="s">
        <v>386</v>
      </c>
      <c r="B64" s="965" t="s">
        <v>392</v>
      </c>
      <c r="C64" s="966"/>
      <c r="D64" s="399">
        <f>D59+D55+D61</f>
        <v>0</v>
      </c>
      <c r="E64" s="458" t="b">
        <f>D64='d1'!E106</f>
        <v>1</v>
      </c>
    </row>
    <row r="65" spans="1:6" ht="31.7" customHeight="1" thickTop="1" x14ac:dyDescent="0.2">
      <c r="A65" s="203"/>
      <c r="B65" s="204"/>
      <c r="C65" s="204"/>
      <c r="D65" s="204"/>
    </row>
    <row r="66" spans="1:6" ht="31.7" customHeight="1" x14ac:dyDescent="0.2">
      <c r="A66" s="203"/>
      <c r="B66" s="204"/>
      <c r="C66" s="204"/>
      <c r="D66" s="204"/>
    </row>
    <row r="67" spans="1:6" ht="60" customHeight="1" x14ac:dyDescent="0.2">
      <c r="A67" s="972" t="s">
        <v>1154</v>
      </c>
      <c r="B67" s="973"/>
      <c r="C67" s="973"/>
      <c r="D67" s="973"/>
    </row>
    <row r="68" spans="1:6" ht="54" customHeight="1" thickBot="1" x14ac:dyDescent="0.25">
      <c r="A68" s="17"/>
      <c r="B68" s="18"/>
      <c r="C68" s="18"/>
      <c r="D68" s="395" t="s">
        <v>409</v>
      </c>
    </row>
    <row r="69" spans="1:6" ht="325.5" customHeight="1" thickTop="1" thickBot="1" x14ac:dyDescent="0.25">
      <c r="A69" s="396" t="s">
        <v>607</v>
      </c>
      <c r="B69" s="397" t="s">
        <v>497</v>
      </c>
      <c r="C69" s="396" t="s">
        <v>608</v>
      </c>
      <c r="D69" s="396" t="s">
        <v>388</v>
      </c>
    </row>
    <row r="70" spans="1:6" ht="50.25" customHeight="1" thickTop="1" thickBot="1" x14ac:dyDescent="0.25">
      <c r="A70" s="130" t="s">
        <v>2</v>
      </c>
      <c r="B70" s="130" t="s">
        <v>3</v>
      </c>
      <c r="C70" s="130" t="s">
        <v>14</v>
      </c>
      <c r="D70" s="130" t="s">
        <v>5</v>
      </c>
    </row>
    <row r="71" spans="1:6" ht="65.25" customHeight="1" thickTop="1" thickBot="1" x14ac:dyDescent="0.25">
      <c r="A71" s="974" t="s">
        <v>609</v>
      </c>
      <c r="B71" s="975"/>
      <c r="C71" s="975"/>
      <c r="D71" s="976"/>
    </row>
    <row r="72" spans="1:6" ht="184.5" thickTop="1" thickBot="1" x14ac:dyDescent="0.25">
      <c r="A72" s="445" t="s">
        <v>250</v>
      </c>
      <c r="B72" s="445" t="s">
        <v>251</v>
      </c>
      <c r="C72" s="398" t="s">
        <v>448</v>
      </c>
      <c r="D72" s="399">
        <f>SUM(D73:D74)</f>
        <v>1163700</v>
      </c>
      <c r="E72" s="458" t="b">
        <f>D72='d3'!E41</f>
        <v>1</v>
      </c>
      <c r="F72" s="232"/>
    </row>
    <row r="73" spans="1:6" ht="93" thickTop="1" thickBot="1" x14ac:dyDescent="0.25">
      <c r="A73" s="445" t="s">
        <v>1384</v>
      </c>
      <c r="B73" s="445"/>
      <c r="C73" s="398" t="s">
        <v>584</v>
      </c>
      <c r="D73" s="399">
        <v>500000</v>
      </c>
      <c r="E73" s="232"/>
      <c r="F73" s="232"/>
    </row>
    <row r="74" spans="1:6" ht="93" thickTop="1" thickBot="1" x14ac:dyDescent="0.25">
      <c r="A74" s="445" t="s">
        <v>1383</v>
      </c>
      <c r="B74" s="445"/>
      <c r="C74" s="398" t="s">
        <v>585</v>
      </c>
      <c r="D74" s="399">
        <v>663700</v>
      </c>
      <c r="E74" s="232"/>
      <c r="F74" s="232"/>
    </row>
    <row r="75" spans="1:6" ht="47.25" thickTop="1" thickBot="1" x14ac:dyDescent="0.25">
      <c r="A75" s="445" t="s">
        <v>581</v>
      </c>
      <c r="B75" s="445" t="s">
        <v>368</v>
      </c>
      <c r="C75" s="398" t="s">
        <v>369</v>
      </c>
      <c r="D75" s="399">
        <f>SUM(D76)</f>
        <v>148700</v>
      </c>
      <c r="E75" s="458" t="b">
        <f>D75='d3'!E42</f>
        <v>1</v>
      </c>
      <c r="F75" s="232"/>
    </row>
    <row r="76" spans="1:6" ht="47.25" thickTop="1" thickBot="1" x14ac:dyDescent="0.25">
      <c r="A76" s="445" t="s">
        <v>1382</v>
      </c>
      <c r="B76" s="445"/>
      <c r="C76" s="398" t="s">
        <v>583</v>
      </c>
      <c r="D76" s="399">
        <v>148700</v>
      </c>
      <c r="E76" s="232"/>
      <c r="F76" s="232"/>
    </row>
    <row r="77" spans="1:6" ht="138.75" thickTop="1" thickBot="1" x14ac:dyDescent="0.25">
      <c r="A77" s="445" t="s">
        <v>518</v>
      </c>
      <c r="B77" s="445" t="s">
        <v>519</v>
      </c>
      <c r="C77" s="398" t="s">
        <v>520</v>
      </c>
      <c r="D77" s="399">
        <f>(((10831000+415230+969000)+150000+935000+1000000+4342180+997000+1066000+600000+1000000-180000+306800+373000+496702-275000+300000+1000000-86000+505900+115000+650000+850000+1100000+320000+871614+14000)+19381401.33-410000+5800000)+6034038.38</f>
        <v>59472865.710000001</v>
      </c>
      <c r="E77" s="458" t="b">
        <f>D77='d3'!E43</f>
        <v>1</v>
      </c>
      <c r="F77" s="232"/>
    </row>
    <row r="78" spans="1:6" ht="138.75" thickTop="1" thickBot="1" x14ac:dyDescent="0.25">
      <c r="A78" s="738" t="s">
        <v>1453</v>
      </c>
      <c r="B78" s="738" t="s">
        <v>519</v>
      </c>
      <c r="C78" s="398" t="s">
        <v>520</v>
      </c>
      <c r="D78" s="739">
        <v>120000</v>
      </c>
      <c r="E78" s="458" t="b">
        <f>D78='d3'!E357</f>
        <v>1</v>
      </c>
      <c r="F78" s="232"/>
    </row>
    <row r="79" spans="1:6" ht="138.75" thickTop="1" thickBot="1" x14ac:dyDescent="0.25">
      <c r="A79" s="722" t="s">
        <v>1305</v>
      </c>
      <c r="B79" s="722" t="s">
        <v>519</v>
      </c>
      <c r="C79" s="398" t="s">
        <v>520</v>
      </c>
      <c r="D79" s="399">
        <f>(19000+13000)+4131</f>
        <v>36131</v>
      </c>
      <c r="E79" s="458" t="b">
        <f>D79='d3'!E386</f>
        <v>1</v>
      </c>
      <c r="F79" s="232"/>
    </row>
    <row r="80" spans="1:6" ht="47.25" thickTop="1" thickBot="1" x14ac:dyDescent="0.25">
      <c r="A80" s="445" t="s">
        <v>1381</v>
      </c>
      <c r="B80" s="445"/>
      <c r="C80" s="398" t="s">
        <v>580</v>
      </c>
      <c r="D80" s="399">
        <f>SUM(D77:D79)</f>
        <v>59628996.710000001</v>
      </c>
      <c r="E80" s="232"/>
      <c r="F80" s="232"/>
    </row>
    <row r="81" spans="1:6" ht="47.25" hidden="1" thickTop="1" thickBot="1" x14ac:dyDescent="0.25">
      <c r="A81" s="235" t="s">
        <v>592</v>
      </c>
      <c r="B81" s="235" t="s">
        <v>368</v>
      </c>
      <c r="C81" s="238" t="s">
        <v>369</v>
      </c>
      <c r="D81" s="236">
        <f>SUM(D82)</f>
        <v>0</v>
      </c>
      <c r="E81" s="237" t="b">
        <f>D81='d3'!E210</f>
        <v>1</v>
      </c>
      <c r="F81" s="232"/>
    </row>
    <row r="82" spans="1:6" ht="93" hidden="1" thickTop="1" thickBot="1" x14ac:dyDescent="0.25">
      <c r="A82" s="235" t="s">
        <v>586</v>
      </c>
      <c r="B82" s="235"/>
      <c r="C82" s="238" t="s">
        <v>587</v>
      </c>
      <c r="D82" s="236">
        <v>0</v>
      </c>
      <c r="E82" s="232"/>
      <c r="F82" s="232"/>
    </row>
    <row r="83" spans="1:6" ht="47.25" hidden="1" thickTop="1" thickBot="1" x14ac:dyDescent="0.25">
      <c r="A83" s="235" t="s">
        <v>1151</v>
      </c>
      <c r="B83" s="235" t="s">
        <v>368</v>
      </c>
      <c r="C83" s="238" t="s">
        <v>369</v>
      </c>
      <c r="D83" s="236">
        <v>0</v>
      </c>
      <c r="E83" s="237" t="b">
        <f>D83='d3'!E246</f>
        <v>1</v>
      </c>
      <c r="F83" s="232"/>
    </row>
    <row r="84" spans="1:6" ht="47.25" hidden="1" thickTop="1" thickBot="1" x14ac:dyDescent="0.25">
      <c r="A84" s="235" t="s">
        <v>921</v>
      </c>
      <c r="B84" s="235" t="s">
        <v>368</v>
      </c>
      <c r="C84" s="238" t="s">
        <v>369</v>
      </c>
      <c r="D84" s="236">
        <v>0</v>
      </c>
      <c r="E84" s="237" t="b">
        <f>D84='d3'!E376</f>
        <v>1</v>
      </c>
      <c r="F84" s="232"/>
    </row>
    <row r="85" spans="1:6" ht="47.25" hidden="1" thickTop="1" thickBot="1" x14ac:dyDescent="0.25">
      <c r="A85" s="235" t="s">
        <v>617</v>
      </c>
      <c r="B85" s="235"/>
      <c r="C85" s="238" t="s">
        <v>618</v>
      </c>
      <c r="D85" s="236">
        <f>SUM(D83:D84)</f>
        <v>0</v>
      </c>
      <c r="E85" s="232"/>
      <c r="F85" s="232"/>
    </row>
    <row r="86" spans="1:6" ht="409.6" hidden="1" thickTop="1" thickBot="1" x14ac:dyDescent="0.25">
      <c r="A86" s="780" t="s">
        <v>1512</v>
      </c>
      <c r="B86" s="780" t="s">
        <v>1513</v>
      </c>
      <c r="C86" s="398" t="s">
        <v>1511</v>
      </c>
      <c r="D86" s="781">
        <f>(2000000)-2000000</f>
        <v>0</v>
      </c>
      <c r="E86" s="232"/>
      <c r="F86" s="232"/>
    </row>
    <row r="87" spans="1:6" ht="47.25" hidden="1" thickTop="1" thickBot="1" x14ac:dyDescent="0.25">
      <c r="A87" s="780" t="s">
        <v>1381</v>
      </c>
      <c r="B87" s="780"/>
      <c r="C87" s="398" t="s">
        <v>580</v>
      </c>
      <c r="D87" s="781">
        <f>D86</f>
        <v>0</v>
      </c>
      <c r="E87" s="232"/>
      <c r="F87" s="232"/>
    </row>
    <row r="88" spans="1:6" ht="47.25" thickTop="1" thickBot="1" x14ac:dyDescent="0.25">
      <c r="A88" s="546" t="s">
        <v>611</v>
      </c>
      <c r="B88" s="546" t="s">
        <v>612</v>
      </c>
      <c r="C88" s="398" t="s">
        <v>456</v>
      </c>
      <c r="D88" s="399">
        <f>SUM(D89)</f>
        <v>328100700</v>
      </c>
      <c r="E88" s="458" t="b">
        <f>D88='d3'!E413</f>
        <v>1</v>
      </c>
      <c r="F88" s="232"/>
    </row>
    <row r="89" spans="1:6" ht="47.25" thickTop="1" thickBot="1" x14ac:dyDescent="0.25">
      <c r="A89" s="546" t="s">
        <v>1381</v>
      </c>
      <c r="B89" s="546"/>
      <c r="C89" s="398" t="s">
        <v>580</v>
      </c>
      <c r="D89" s="399">
        <v>328100700</v>
      </c>
      <c r="E89" s="232"/>
      <c r="F89" s="232"/>
    </row>
    <row r="90" spans="1:6" ht="77.25" customHeight="1" thickTop="1" thickBot="1" x14ac:dyDescent="0.25">
      <c r="A90" s="974" t="s">
        <v>610</v>
      </c>
      <c r="B90" s="975"/>
      <c r="C90" s="975"/>
      <c r="D90" s="976"/>
      <c r="E90" s="232"/>
      <c r="F90" s="232"/>
    </row>
    <row r="91" spans="1:6" ht="138.75" thickTop="1" thickBot="1" x14ac:dyDescent="0.25">
      <c r="A91" s="546" t="s">
        <v>518</v>
      </c>
      <c r="B91" s="546" t="s">
        <v>519</v>
      </c>
      <c r="C91" s="398" t="s">
        <v>520</v>
      </c>
      <c r="D91" s="399">
        <f>(((12286000+1300000+150000+4895000)+700000+1000000+65000+400000+2000000+3653000+3934000+12071320+180000+693200+627000+275000+1400000+86000+75000+1100000+2000000+135000+23000)+33049720.46+500000)+5619428.62</f>
        <v>88217669.080000013</v>
      </c>
      <c r="E91" s="458" t="b">
        <f>D91='d3'!J43</f>
        <v>1</v>
      </c>
      <c r="F91" s="585"/>
    </row>
    <row r="92" spans="1:6" ht="138.75" hidden="1" thickTop="1" thickBot="1" x14ac:dyDescent="0.25">
      <c r="A92" s="546" t="s">
        <v>1305</v>
      </c>
      <c r="B92" s="546" t="s">
        <v>519</v>
      </c>
      <c r="C92" s="398" t="s">
        <v>520</v>
      </c>
      <c r="D92" s="399">
        <v>0</v>
      </c>
      <c r="E92" s="458" t="b">
        <f>D92='d3'!P386</f>
        <v>0</v>
      </c>
      <c r="F92" s="585"/>
    </row>
    <row r="93" spans="1:6" ht="138.75" thickTop="1" thickBot="1" x14ac:dyDescent="0.25">
      <c r="A93" s="706" t="s">
        <v>1305</v>
      </c>
      <c r="B93" s="706" t="s">
        <v>519</v>
      </c>
      <c r="C93" s="398" t="s">
        <v>520</v>
      </c>
      <c r="D93" s="399">
        <f>(77000+80000)-4131</f>
        <v>152869</v>
      </c>
      <c r="E93" s="458" t="b">
        <f>D93='d3'!J386</f>
        <v>1</v>
      </c>
      <c r="F93" s="585"/>
    </row>
    <row r="94" spans="1:6" ht="47.25" thickTop="1" thickBot="1" x14ac:dyDescent="0.25">
      <c r="A94" s="546" t="s">
        <v>1381</v>
      </c>
      <c r="B94" s="546"/>
      <c r="C94" s="398" t="s">
        <v>580</v>
      </c>
      <c r="D94" s="399">
        <f>D91+D93</f>
        <v>88370538.080000013</v>
      </c>
      <c r="E94" s="585"/>
      <c r="F94" s="585"/>
    </row>
    <row r="95" spans="1:6" ht="47.25" hidden="1" thickTop="1" thickBot="1" x14ac:dyDescent="0.25">
      <c r="A95" s="577" t="s">
        <v>1052</v>
      </c>
      <c r="B95" s="577" t="s">
        <v>368</v>
      </c>
      <c r="C95" s="578" t="s">
        <v>369</v>
      </c>
      <c r="D95" s="579">
        <v>0</v>
      </c>
      <c r="E95" s="458" t="b">
        <f>D95='d3'!J99</f>
        <v>1</v>
      </c>
      <c r="F95" s="585"/>
    </row>
    <row r="96" spans="1:6" ht="47.25" hidden="1" thickTop="1" thickBot="1" x14ac:dyDescent="0.25">
      <c r="A96" s="577" t="s">
        <v>1151</v>
      </c>
      <c r="B96" s="577" t="s">
        <v>368</v>
      </c>
      <c r="C96" s="578" t="s">
        <v>369</v>
      </c>
      <c r="D96" s="579">
        <v>0</v>
      </c>
      <c r="E96" s="458" t="b">
        <f>D96='d3'!J246</f>
        <v>1</v>
      </c>
      <c r="F96" s="585"/>
    </row>
    <row r="97" spans="1:12" ht="47.25" hidden="1" thickTop="1" thickBot="1" x14ac:dyDescent="0.25">
      <c r="A97" s="577" t="s">
        <v>921</v>
      </c>
      <c r="B97" s="577" t="s">
        <v>368</v>
      </c>
      <c r="C97" s="578" t="s">
        <v>369</v>
      </c>
      <c r="D97" s="579">
        <v>0</v>
      </c>
      <c r="E97" s="458" t="b">
        <f>D97='d3'!J376</f>
        <v>1</v>
      </c>
      <c r="F97" s="585"/>
    </row>
    <row r="98" spans="1:12" ht="47.25" hidden="1" thickTop="1" thickBot="1" x14ac:dyDescent="0.25">
      <c r="A98" s="577" t="s">
        <v>617</v>
      </c>
      <c r="B98" s="577"/>
      <c r="C98" s="578" t="s">
        <v>618</v>
      </c>
      <c r="D98" s="579">
        <f>SUM(D95:D97)</f>
        <v>0</v>
      </c>
      <c r="E98" s="585"/>
      <c r="F98" s="585"/>
    </row>
    <row r="99" spans="1:12" ht="47.25" hidden="1" thickTop="1" thickBot="1" x14ac:dyDescent="0.25">
      <c r="A99" s="550"/>
      <c r="B99" s="550"/>
      <c r="C99" s="580"/>
      <c r="D99" s="581"/>
      <c r="E99" s="585"/>
      <c r="F99" s="585"/>
    </row>
    <row r="100" spans="1:12" ht="84.75" customHeight="1" thickTop="1" thickBot="1" x14ac:dyDescent="0.25">
      <c r="A100" s="582" t="s">
        <v>386</v>
      </c>
      <c r="B100" s="582" t="s">
        <v>386</v>
      </c>
      <c r="C100" s="583" t="s">
        <v>606</v>
      </c>
      <c r="D100" s="584">
        <f>D73+D74+D76+D80+D82+D85+D89+D94+D98+D87</f>
        <v>477412634.78999996</v>
      </c>
      <c r="E100" s="586" t="b">
        <f>D100=D101+D102</f>
        <v>1</v>
      </c>
      <c r="F100" s="586" t="b">
        <f>D100=D88+'d7'!G42+'d7'!G43+'d7'!G44+'d7'!G45+'d7'!G46+'d7'!G47+'d7'!G48+'d7'!G49+'d7'!G50+'d7'!G51+'d7'!G52+'d7'!G302+'d7'!G322+'d7'!G40+'d7'!G41</f>
        <v>1</v>
      </c>
    </row>
    <row r="101" spans="1:12" ht="47.25" thickTop="1" thickBot="1" x14ac:dyDescent="0.25">
      <c r="A101" s="546" t="s">
        <v>386</v>
      </c>
      <c r="B101" s="546" t="s">
        <v>386</v>
      </c>
      <c r="C101" s="398" t="s">
        <v>391</v>
      </c>
      <c r="D101" s="399">
        <f>'d3'!E39+'d3'!E356+'d3'!E385+'d3'!E411</f>
        <v>389042096.70999998</v>
      </c>
      <c r="E101" s="586" t="b">
        <f>D101=D72+D75+D81+D84+D88+D77+D83+D79+D78+D86</f>
        <v>1</v>
      </c>
      <c r="F101" s="587"/>
    </row>
    <row r="102" spans="1:12" ht="47.25" thickTop="1" thickBot="1" x14ac:dyDescent="0.25">
      <c r="A102" s="546" t="s">
        <v>386</v>
      </c>
      <c r="B102" s="546" t="s">
        <v>386</v>
      </c>
      <c r="C102" s="398" t="s">
        <v>392</v>
      </c>
      <c r="D102" s="399">
        <f>'d3'!J39+'d3'!J356+'d3'!J385+'d3'!J411</f>
        <v>88370538.080000013</v>
      </c>
      <c r="E102" s="586" t="b">
        <f>D102=D93+D91</f>
        <v>1</v>
      </c>
      <c r="F102" s="587"/>
    </row>
    <row r="103" spans="1:12" ht="91.5" customHeight="1" thickTop="1" x14ac:dyDescent="0.2">
      <c r="A103" s="203"/>
      <c r="B103" s="204"/>
      <c r="C103" s="204"/>
      <c r="D103" s="204"/>
      <c r="E103" s="95"/>
      <c r="F103" s="95"/>
    </row>
    <row r="104" spans="1:12" ht="45" customHeight="1" x14ac:dyDescent="0.65">
      <c r="A104" s="203"/>
      <c r="B104" s="999" t="s">
        <v>1558</v>
      </c>
      <c r="C104" s="870"/>
      <c r="D104" s="756" t="s">
        <v>1559</v>
      </c>
      <c r="E104" s="16"/>
      <c r="F104" s="241"/>
      <c r="G104" s="242"/>
      <c r="H104" s="241"/>
      <c r="I104" s="241"/>
      <c r="J104" s="243"/>
      <c r="K104" s="243"/>
      <c r="L104" s="243"/>
    </row>
    <row r="105" spans="1:12" ht="27.75" customHeight="1" x14ac:dyDescent="0.65">
      <c r="A105" s="231"/>
      <c r="B105" s="3"/>
      <c r="C105" s="3"/>
      <c r="D105" s="3"/>
      <c r="E105" s="1"/>
      <c r="F105" s="15"/>
    </row>
    <row r="106" spans="1:12" ht="42" customHeight="1" x14ac:dyDescent="0.65">
      <c r="A106" s="228"/>
      <c r="B106" s="999" t="s">
        <v>529</v>
      </c>
      <c r="C106" s="870"/>
      <c r="D106" s="3" t="s">
        <v>1465</v>
      </c>
      <c r="E106" s="1"/>
      <c r="F106" s="532"/>
      <c r="G106" s="534"/>
      <c r="H106" s="532"/>
      <c r="I106" s="532"/>
    </row>
    <row r="107" spans="1:12" ht="45.75" x14ac:dyDescent="0.65">
      <c r="A107" s="228"/>
      <c r="B107" s="987"/>
      <c r="C107" s="988"/>
      <c r="D107" s="241"/>
      <c r="E107" s="15"/>
      <c r="F107" s="15"/>
    </row>
    <row r="108" spans="1:12" ht="45.75" x14ac:dyDescent="0.65">
      <c r="A108" s="228"/>
      <c r="B108" s="995"/>
      <c r="C108" s="995"/>
      <c r="D108" s="995"/>
      <c r="E108" s="15"/>
      <c r="F108" s="15"/>
    </row>
    <row r="111" spans="1:12" x14ac:dyDescent="0.2">
      <c r="A111" s="230"/>
      <c r="B111" s="230"/>
      <c r="C111" s="230"/>
    </row>
    <row r="113" spans="1:4" x14ac:dyDescent="0.2">
      <c r="A113" s="230"/>
      <c r="B113" s="230"/>
      <c r="C113" s="230"/>
    </row>
    <row r="117" spans="1:4" x14ac:dyDescent="0.2">
      <c r="A117" s="230"/>
      <c r="B117" s="230"/>
      <c r="C117" s="230"/>
      <c r="D117" s="230"/>
    </row>
    <row r="118" spans="1:4" x14ac:dyDescent="0.2">
      <c r="A118" s="230"/>
      <c r="B118" s="230"/>
      <c r="C118" s="230"/>
      <c r="D118" s="230"/>
    </row>
    <row r="119" spans="1:4" x14ac:dyDescent="0.2">
      <c r="A119" s="230"/>
      <c r="B119" s="230"/>
      <c r="C119" s="230"/>
      <c r="D119" s="230"/>
    </row>
    <row r="120" spans="1:4" x14ac:dyDescent="0.2">
      <c r="A120" s="230"/>
      <c r="B120" s="230"/>
      <c r="C120" s="230"/>
      <c r="D120" s="230"/>
    </row>
  </sheetData>
  <mergeCells count="76">
    <mergeCell ref="B47:C47"/>
    <mergeCell ref="B49:C49"/>
    <mergeCell ref="B108:D108"/>
    <mergeCell ref="A71:D71"/>
    <mergeCell ref="A90:D90"/>
    <mergeCell ref="B56:C56"/>
    <mergeCell ref="B63:C63"/>
    <mergeCell ref="B64:C64"/>
    <mergeCell ref="B62:C62"/>
    <mergeCell ref="B57:C57"/>
    <mergeCell ref="B59:C59"/>
    <mergeCell ref="A67:D67"/>
    <mergeCell ref="B60:C60"/>
    <mergeCell ref="B61:C61"/>
    <mergeCell ref="B58:C58"/>
    <mergeCell ref="B106:C106"/>
    <mergeCell ref="B107:C107"/>
    <mergeCell ref="B50:C50"/>
    <mergeCell ref="B51:C51"/>
    <mergeCell ref="B53:C53"/>
    <mergeCell ref="B54:C54"/>
    <mergeCell ref="B55:C55"/>
    <mergeCell ref="A52:D52"/>
    <mergeCell ref="B104:C104"/>
    <mergeCell ref="B46:C46"/>
    <mergeCell ref="B28:C28"/>
    <mergeCell ref="B30:C30"/>
    <mergeCell ref="B29:C29"/>
    <mergeCell ref="B40:C40"/>
    <mergeCell ref="B42:C42"/>
    <mergeCell ref="B31:C31"/>
    <mergeCell ref="B32:C32"/>
    <mergeCell ref="B35:C35"/>
    <mergeCell ref="B45:C45"/>
    <mergeCell ref="B38:C38"/>
    <mergeCell ref="B36:C36"/>
    <mergeCell ref="B33:C33"/>
    <mergeCell ref="B34:C34"/>
    <mergeCell ref="N3:O3"/>
    <mergeCell ref="N4:O4"/>
    <mergeCell ref="N5:O5"/>
    <mergeCell ref="A6:D6"/>
    <mergeCell ref="A7:D7"/>
    <mergeCell ref="A5:D5"/>
    <mergeCell ref="B19:C19"/>
    <mergeCell ref="B17:C17"/>
    <mergeCell ref="B26:C26"/>
    <mergeCell ref="B27:C27"/>
    <mergeCell ref="B20:C20"/>
    <mergeCell ref="B24:C24"/>
    <mergeCell ref="B18:C18"/>
    <mergeCell ref="B22:C22"/>
    <mergeCell ref="B23:C23"/>
    <mergeCell ref="B21:C21"/>
    <mergeCell ref="B25:C25"/>
    <mergeCell ref="A9:D9"/>
    <mergeCell ref="A13:D13"/>
    <mergeCell ref="B11:C11"/>
    <mergeCell ref="B12:C12"/>
    <mergeCell ref="B14:C14"/>
    <mergeCell ref="B15:C15"/>
    <mergeCell ref="B16:C16"/>
    <mergeCell ref="B48:C48"/>
    <mergeCell ref="A31:A32"/>
    <mergeCell ref="D31:D32"/>
    <mergeCell ref="B37:C37"/>
    <mergeCell ref="B43:C43"/>
    <mergeCell ref="A43:A44"/>
    <mergeCell ref="D43:D44"/>
    <mergeCell ref="B44:C44"/>
    <mergeCell ref="A33:A34"/>
    <mergeCell ref="D33:D34"/>
    <mergeCell ref="A35:A36"/>
    <mergeCell ref="D35:D36"/>
    <mergeCell ref="B39:C39"/>
    <mergeCell ref="B41:C41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10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3"/>
  <sheetViews>
    <sheetView view="pageBreakPreview" topLeftCell="B1" zoomScale="75" zoomScaleNormal="40" zoomScaleSheetLayoutView="75" workbookViewId="0">
      <pane ySplit="10" topLeftCell="A107" activePane="bottomLeft" state="frozen"/>
      <selection activeCell="G144" sqref="G144"/>
      <selection pane="bottomLeft" activeCell="H68" sqref="H68:K68"/>
    </sheetView>
  </sheetViews>
  <sheetFormatPr defaultColWidth="7.85546875" defaultRowHeight="12.75" x14ac:dyDescent="0.2"/>
  <cols>
    <col min="1" max="1" width="3.28515625" style="205" hidden="1" customWidth="1"/>
    <col min="2" max="3" width="15.42578125" style="297" customWidth="1"/>
    <col min="4" max="4" width="16.85546875" style="297" customWidth="1"/>
    <col min="5" max="5" width="41.5703125" style="297" customWidth="1"/>
    <col min="6" max="6" width="38.5703125" style="297" customWidth="1"/>
    <col min="7" max="8" width="18.140625" style="301" customWidth="1"/>
    <col min="9" max="9" width="20.28515625" style="301" customWidth="1"/>
    <col min="10" max="10" width="23" style="301" customWidth="1"/>
    <col min="11" max="11" width="18.140625" style="301" customWidth="1"/>
    <col min="12" max="14" width="15.42578125" style="205" bestFit="1" customWidth="1"/>
    <col min="15" max="15" width="12.7109375" style="205" customWidth="1"/>
    <col min="16" max="16384" width="7.85546875" style="205"/>
  </cols>
  <sheetData>
    <row r="1" spans="1:18" s="296" customFormat="1" ht="22.7" customHeight="1" x14ac:dyDescent="0.25">
      <c r="B1" s="1006"/>
      <c r="C1" s="1006"/>
      <c r="D1" s="1006"/>
      <c r="E1" s="1006"/>
      <c r="F1" s="1006"/>
      <c r="G1" s="1006"/>
      <c r="H1" s="1006"/>
      <c r="I1" s="1006"/>
      <c r="J1" s="1006"/>
      <c r="K1" s="1006"/>
    </row>
    <row r="2" spans="1:18" ht="41.25" customHeight="1" x14ac:dyDescent="0.2">
      <c r="B2" s="472"/>
      <c r="C2" s="472"/>
      <c r="D2" s="472"/>
      <c r="E2" s="472"/>
      <c r="F2" s="472"/>
      <c r="G2" s="1007" t="s">
        <v>1396</v>
      </c>
      <c r="H2" s="1007"/>
      <c r="I2" s="1007"/>
      <c r="J2" s="1007"/>
      <c r="K2" s="1007"/>
    </row>
    <row r="3" spans="1:18" ht="29.25" customHeight="1" x14ac:dyDescent="0.2">
      <c r="B3" s="472"/>
      <c r="C3" s="472"/>
      <c r="D3" s="472"/>
      <c r="E3" s="472"/>
      <c r="F3" s="472"/>
      <c r="G3" s="473"/>
      <c r="H3" s="473"/>
      <c r="I3" s="473"/>
      <c r="J3" s="473"/>
      <c r="K3" s="473"/>
    </row>
    <row r="4" spans="1:18" ht="31.7" customHeight="1" x14ac:dyDescent="0.2">
      <c r="B4" s="1008" t="s">
        <v>1155</v>
      </c>
      <c r="C4" s="1009"/>
      <c r="D4" s="1009"/>
      <c r="E4" s="1009"/>
      <c r="F4" s="1009"/>
      <c r="G4" s="1009"/>
      <c r="H4" s="1009"/>
      <c r="I4" s="1009"/>
      <c r="J4" s="1009"/>
      <c r="K4" s="1009"/>
    </row>
    <row r="5" spans="1:18" ht="31.7" customHeight="1" x14ac:dyDescent="0.2">
      <c r="B5" s="1008" t="s">
        <v>1156</v>
      </c>
      <c r="C5" s="1009"/>
      <c r="D5" s="1009"/>
      <c r="E5" s="1009"/>
      <c r="F5" s="1009"/>
      <c r="G5" s="1009"/>
      <c r="H5" s="1009"/>
      <c r="I5" s="1009"/>
      <c r="J5" s="1009"/>
      <c r="K5" s="1009"/>
    </row>
    <row r="6" spans="1:18" ht="24.75" customHeight="1" x14ac:dyDescent="0.2">
      <c r="B6" s="1008" t="s">
        <v>1322</v>
      </c>
      <c r="C6" s="1009"/>
      <c r="D6" s="1009"/>
      <c r="E6" s="1009"/>
      <c r="F6" s="1009"/>
      <c r="G6" s="1009"/>
      <c r="H6" s="1009"/>
      <c r="I6" s="1009"/>
      <c r="J6" s="1009"/>
      <c r="K6" s="1009"/>
    </row>
    <row r="7" spans="1:18" ht="18.75" x14ac:dyDescent="0.2">
      <c r="B7" s="1010">
        <v>2256400000</v>
      </c>
      <c r="C7" s="1011"/>
      <c r="D7" s="474"/>
      <c r="E7" s="474"/>
      <c r="F7" s="474"/>
      <c r="G7" s="474"/>
      <c r="H7" s="474"/>
      <c r="I7" s="474"/>
      <c r="J7" s="474"/>
      <c r="K7" s="474"/>
    </row>
    <row r="8" spans="1:18" ht="19.5" thickBot="1" x14ac:dyDescent="0.25">
      <c r="B8" s="1004" t="s">
        <v>495</v>
      </c>
      <c r="C8" s="1005"/>
      <c r="D8" s="474"/>
      <c r="E8" s="474"/>
      <c r="F8" s="474"/>
      <c r="G8" s="474"/>
      <c r="H8" s="474"/>
      <c r="I8" s="474"/>
      <c r="J8" s="474"/>
      <c r="K8" s="474"/>
    </row>
    <row r="9" spans="1:18" ht="120" customHeight="1" thickTop="1" thickBot="1" x14ac:dyDescent="0.25">
      <c r="A9" s="206"/>
      <c r="B9" s="475" t="s">
        <v>496</v>
      </c>
      <c r="C9" s="475" t="s">
        <v>497</v>
      </c>
      <c r="D9" s="475" t="s">
        <v>395</v>
      </c>
      <c r="E9" s="475" t="s">
        <v>579</v>
      </c>
      <c r="F9" s="476" t="s">
        <v>1157</v>
      </c>
      <c r="G9" s="476" t="s">
        <v>1158</v>
      </c>
      <c r="H9" s="476" t="s">
        <v>1159</v>
      </c>
      <c r="I9" s="476" t="s">
        <v>1160</v>
      </c>
      <c r="J9" s="476" t="s">
        <v>1323</v>
      </c>
      <c r="K9" s="476" t="s">
        <v>1324</v>
      </c>
      <c r="L9" s="245"/>
      <c r="M9" s="245"/>
      <c r="N9" s="245"/>
      <c r="O9" s="245"/>
      <c r="P9" s="245"/>
      <c r="Q9" s="245"/>
      <c r="R9" s="245"/>
    </row>
    <row r="10" spans="1:18" ht="16.5" thickTop="1" thickBot="1" x14ac:dyDescent="0.25">
      <c r="A10" s="206"/>
      <c r="B10" s="475">
        <v>1</v>
      </c>
      <c r="C10" s="475">
        <v>2</v>
      </c>
      <c r="D10" s="475">
        <v>3</v>
      </c>
      <c r="E10" s="475">
        <v>4</v>
      </c>
      <c r="F10" s="475">
        <v>5</v>
      </c>
      <c r="G10" s="475">
        <v>6</v>
      </c>
      <c r="H10" s="475">
        <v>7</v>
      </c>
      <c r="I10" s="475">
        <v>8</v>
      </c>
      <c r="J10" s="475">
        <v>9</v>
      </c>
      <c r="K10" s="475">
        <v>10</v>
      </c>
      <c r="L10" s="245"/>
      <c r="M10" s="245"/>
      <c r="N10" s="245"/>
      <c r="O10" s="245"/>
      <c r="P10" s="245"/>
      <c r="Q10" s="245"/>
      <c r="R10" s="245"/>
    </row>
    <row r="11" spans="1:18" ht="31.5" hidden="1" thickTop="1" thickBot="1" x14ac:dyDescent="0.25">
      <c r="B11" s="246" t="s">
        <v>149</v>
      </c>
      <c r="C11" s="246"/>
      <c r="D11" s="246"/>
      <c r="E11" s="247" t="s">
        <v>151</v>
      </c>
      <c r="F11" s="246"/>
      <c r="G11" s="246"/>
      <c r="H11" s="246"/>
      <c r="I11" s="247"/>
      <c r="J11" s="248">
        <f>J12</f>
        <v>0</v>
      </c>
      <c r="K11" s="246"/>
      <c r="L11" s="245"/>
      <c r="M11" s="245"/>
      <c r="N11" s="245"/>
      <c r="O11" s="245"/>
      <c r="P11" s="245"/>
      <c r="Q11" s="245"/>
      <c r="R11" s="245"/>
    </row>
    <row r="12" spans="1:18" ht="44.25" hidden="1" thickTop="1" thickBot="1" x14ac:dyDescent="0.25">
      <c r="B12" s="249" t="s">
        <v>150</v>
      </c>
      <c r="C12" s="249"/>
      <c r="D12" s="249"/>
      <c r="E12" s="250" t="s">
        <v>152</v>
      </c>
      <c r="F12" s="249"/>
      <c r="G12" s="249"/>
      <c r="H12" s="249"/>
      <c r="I12" s="250"/>
      <c r="J12" s="251">
        <f>SUM(J13:J18)</f>
        <v>0</v>
      </c>
      <c r="K12" s="249"/>
      <c r="L12" s="245"/>
      <c r="M12" s="245"/>
      <c r="N12" s="245"/>
      <c r="O12" s="245"/>
      <c r="P12" s="245"/>
      <c r="Q12" s="245"/>
      <c r="R12" s="245"/>
    </row>
    <row r="13" spans="1:18" ht="76.5" hidden="1" thickTop="1" thickBot="1" x14ac:dyDescent="0.25">
      <c r="B13" s="252" t="s">
        <v>237</v>
      </c>
      <c r="C13" s="252" t="s">
        <v>238</v>
      </c>
      <c r="D13" s="252" t="s">
        <v>239</v>
      </c>
      <c r="E13" s="252" t="s">
        <v>236</v>
      </c>
      <c r="F13" s="253" t="s">
        <v>525</v>
      </c>
      <c r="G13" s="254"/>
      <c r="H13" s="255"/>
      <c r="I13" s="254"/>
      <c r="J13" s="256"/>
      <c r="K13" s="256"/>
      <c r="L13" s="245"/>
      <c r="M13" s="245"/>
      <c r="N13" s="245"/>
      <c r="O13" s="245"/>
      <c r="P13" s="245"/>
      <c r="Q13" s="245"/>
      <c r="R13" s="245"/>
    </row>
    <row r="14" spans="1:18" ht="91.5" hidden="1" thickTop="1" thickBot="1" x14ac:dyDescent="0.25">
      <c r="B14" s="252" t="s">
        <v>237</v>
      </c>
      <c r="C14" s="252" t="s">
        <v>238</v>
      </c>
      <c r="D14" s="252" t="s">
        <v>239</v>
      </c>
      <c r="E14" s="252" t="s">
        <v>236</v>
      </c>
      <c r="F14" s="253" t="s">
        <v>1134</v>
      </c>
      <c r="G14" s="257" t="s">
        <v>564</v>
      </c>
      <c r="H14" s="258"/>
      <c r="I14" s="259"/>
      <c r="J14" s="256"/>
      <c r="K14" s="259"/>
      <c r="L14" s="245"/>
      <c r="M14" s="245"/>
      <c r="N14" s="245"/>
      <c r="O14" s="245"/>
      <c r="P14" s="245"/>
      <c r="Q14" s="245"/>
      <c r="R14" s="245"/>
    </row>
    <row r="15" spans="1:18" ht="31.5" hidden="1" thickTop="1" thickBot="1" x14ac:dyDescent="0.25">
      <c r="B15" s="252" t="s">
        <v>243</v>
      </c>
      <c r="C15" s="252" t="s">
        <v>244</v>
      </c>
      <c r="D15" s="252" t="s">
        <v>245</v>
      </c>
      <c r="E15" s="252" t="s">
        <v>242</v>
      </c>
      <c r="F15" s="253" t="s">
        <v>525</v>
      </c>
      <c r="G15" s="254"/>
      <c r="H15" s="255"/>
      <c r="I15" s="254"/>
      <c r="J15" s="256"/>
      <c r="K15" s="256"/>
      <c r="L15" s="245"/>
      <c r="M15" s="245"/>
      <c r="N15" s="245"/>
      <c r="O15" s="245"/>
      <c r="P15" s="245"/>
      <c r="Q15" s="245"/>
      <c r="R15" s="245"/>
    </row>
    <row r="16" spans="1:18" ht="61.5" hidden="1" thickTop="1" thickBot="1" x14ac:dyDescent="0.25">
      <c r="B16" s="252" t="s">
        <v>518</v>
      </c>
      <c r="C16" s="252" t="s">
        <v>519</v>
      </c>
      <c r="D16" s="252" t="s">
        <v>43</v>
      </c>
      <c r="E16" s="252" t="s">
        <v>520</v>
      </c>
      <c r="F16" s="253" t="s">
        <v>525</v>
      </c>
      <c r="G16" s="254"/>
      <c r="H16" s="255"/>
      <c r="I16" s="254"/>
      <c r="J16" s="256"/>
      <c r="K16" s="256"/>
      <c r="L16" s="245"/>
      <c r="M16" s="245"/>
      <c r="N16" s="245"/>
      <c r="O16" s="245"/>
      <c r="P16" s="245"/>
      <c r="Q16" s="245"/>
      <c r="R16" s="245"/>
    </row>
    <row r="17" spans="1:18" ht="181.5" hidden="1" thickTop="1" thickBot="1" x14ac:dyDescent="0.25">
      <c r="B17" s="252" t="s">
        <v>518</v>
      </c>
      <c r="C17" s="252" t="s">
        <v>519</v>
      </c>
      <c r="D17" s="252" t="s">
        <v>43</v>
      </c>
      <c r="E17" s="252" t="s">
        <v>520</v>
      </c>
      <c r="F17" s="253" t="s">
        <v>1148</v>
      </c>
      <c r="G17" s="254"/>
      <c r="H17" s="255"/>
      <c r="I17" s="254"/>
      <c r="J17" s="256"/>
      <c r="K17" s="256"/>
      <c r="L17" s="245"/>
      <c r="M17" s="245"/>
      <c r="N17" s="245"/>
      <c r="O17" s="245"/>
      <c r="P17" s="245"/>
      <c r="Q17" s="245"/>
      <c r="R17" s="245"/>
    </row>
    <row r="18" spans="1:18" ht="61.5" hidden="1" thickTop="1" thickBot="1" x14ac:dyDescent="0.25">
      <c r="B18" s="252" t="s">
        <v>518</v>
      </c>
      <c r="C18" s="252" t="s">
        <v>519</v>
      </c>
      <c r="D18" s="252" t="s">
        <v>43</v>
      </c>
      <c r="E18" s="252" t="s">
        <v>520</v>
      </c>
      <c r="F18" s="253" t="s">
        <v>949</v>
      </c>
      <c r="G18" s="254"/>
      <c r="H18" s="255"/>
      <c r="I18" s="254"/>
      <c r="J18" s="256"/>
      <c r="K18" s="256"/>
      <c r="L18" s="245"/>
      <c r="M18" s="245"/>
      <c r="N18" s="245"/>
      <c r="O18" s="245"/>
      <c r="P18" s="245"/>
      <c r="Q18" s="245"/>
      <c r="R18" s="245"/>
    </row>
    <row r="19" spans="1:18" ht="46.5" thickTop="1" thickBot="1" x14ac:dyDescent="0.25">
      <c r="A19" s="298"/>
      <c r="B19" s="494" t="s">
        <v>153</v>
      </c>
      <c r="C19" s="494"/>
      <c r="D19" s="494"/>
      <c r="E19" s="495" t="s">
        <v>0</v>
      </c>
      <c r="F19" s="494"/>
      <c r="G19" s="494"/>
      <c r="H19" s="496">
        <f>H20</f>
        <v>23160091.299999997</v>
      </c>
      <c r="I19" s="496">
        <f>I20</f>
        <v>22690753.599999998</v>
      </c>
      <c r="J19" s="496">
        <f>J20</f>
        <v>16229005.67</v>
      </c>
      <c r="K19" s="497"/>
      <c r="L19" s="245"/>
      <c r="M19" s="245"/>
      <c r="N19" s="245"/>
      <c r="O19" s="245"/>
      <c r="P19" s="245"/>
      <c r="Q19" s="245"/>
      <c r="R19" s="245"/>
    </row>
    <row r="20" spans="1:18" ht="44.25" thickTop="1" thickBot="1" x14ac:dyDescent="0.25">
      <c r="A20" s="298"/>
      <c r="B20" s="498" t="s">
        <v>154</v>
      </c>
      <c r="C20" s="498"/>
      <c r="D20" s="498"/>
      <c r="E20" s="499" t="s">
        <v>1</v>
      </c>
      <c r="F20" s="498"/>
      <c r="G20" s="498"/>
      <c r="H20" s="500">
        <f>H21+H26+H27+H22+H23+H24+H25+H29+H28</f>
        <v>23160091.299999997</v>
      </c>
      <c r="I20" s="500">
        <f>I21+I26+I27+I22+I23+I24+I25+I29+I28</f>
        <v>22690753.599999998</v>
      </c>
      <c r="J20" s="500">
        <f>J21+J26+J27+J22+J23+J24+J25+J29+J28</f>
        <v>16229005.67</v>
      </c>
      <c r="K20" s="501"/>
      <c r="L20" s="245"/>
      <c r="M20" s="245"/>
      <c r="N20" s="245"/>
      <c r="O20" s="245"/>
      <c r="P20" s="245"/>
      <c r="Q20" s="245"/>
      <c r="R20" s="245"/>
    </row>
    <row r="21" spans="1:18" ht="76.5" thickTop="1" thickBot="1" x14ac:dyDescent="0.25">
      <c r="B21" s="471" t="s">
        <v>650</v>
      </c>
      <c r="C21" s="471" t="s">
        <v>651</v>
      </c>
      <c r="D21" s="471" t="s">
        <v>209</v>
      </c>
      <c r="E21" s="471" t="s">
        <v>1363</v>
      </c>
      <c r="F21" s="483" t="s">
        <v>1147</v>
      </c>
      <c r="G21" s="484" t="s">
        <v>616</v>
      </c>
      <c r="H21" s="540">
        <v>4201740</v>
      </c>
      <c r="I21" s="540">
        <f>2110572.76+J21</f>
        <v>4201739.76</v>
      </c>
      <c r="J21" s="481">
        <f>(1330068.27)+761098.73</f>
        <v>2091167</v>
      </c>
      <c r="K21" s="482">
        <f t="shared" ref="K21:K25" si="0">I21/H21</f>
        <v>0.99999994288080651</v>
      </c>
      <c r="L21" s="268"/>
      <c r="M21" s="269"/>
      <c r="N21" s="245"/>
      <c r="O21" s="245"/>
      <c r="P21" s="245"/>
      <c r="Q21" s="245"/>
      <c r="R21" s="245"/>
    </row>
    <row r="22" spans="1:18" ht="76.5" thickTop="1" thickBot="1" x14ac:dyDescent="0.25">
      <c r="B22" s="471" t="s">
        <v>650</v>
      </c>
      <c r="C22" s="471" t="s">
        <v>651</v>
      </c>
      <c r="D22" s="471" t="s">
        <v>209</v>
      </c>
      <c r="E22" s="471" t="s">
        <v>1363</v>
      </c>
      <c r="F22" s="483" t="s">
        <v>1416</v>
      </c>
      <c r="G22" s="484" t="s">
        <v>1328</v>
      </c>
      <c r="H22" s="540">
        <v>198765.2</v>
      </c>
      <c r="I22" s="540">
        <f>12860.2+J22</f>
        <v>198765.2</v>
      </c>
      <c r="J22" s="481">
        <v>185905</v>
      </c>
      <c r="K22" s="482">
        <f t="shared" si="0"/>
        <v>1</v>
      </c>
      <c r="L22" s="268"/>
      <c r="M22" s="269"/>
      <c r="N22" s="245"/>
      <c r="O22" s="245"/>
      <c r="P22" s="245"/>
      <c r="Q22" s="245"/>
      <c r="R22" s="245"/>
    </row>
    <row r="23" spans="1:18" ht="76.5" thickTop="1" thickBot="1" x14ac:dyDescent="0.25">
      <c r="B23" s="471" t="s">
        <v>650</v>
      </c>
      <c r="C23" s="471" t="s">
        <v>651</v>
      </c>
      <c r="D23" s="471" t="s">
        <v>209</v>
      </c>
      <c r="E23" s="471" t="s">
        <v>1363</v>
      </c>
      <c r="F23" s="483" t="s">
        <v>1419</v>
      </c>
      <c r="G23" s="484" t="s">
        <v>1328</v>
      </c>
      <c r="H23" s="540">
        <v>61430.58</v>
      </c>
      <c r="I23" s="540">
        <f>4279.58+J23</f>
        <v>61430.58</v>
      </c>
      <c r="J23" s="481">
        <v>57151</v>
      </c>
      <c r="K23" s="482">
        <f t="shared" si="0"/>
        <v>1</v>
      </c>
      <c r="L23" s="268"/>
      <c r="M23" s="269"/>
      <c r="N23" s="245"/>
      <c r="O23" s="245"/>
      <c r="P23" s="245"/>
      <c r="Q23" s="245"/>
      <c r="R23" s="245"/>
    </row>
    <row r="24" spans="1:18" ht="91.5" thickTop="1" thickBot="1" x14ac:dyDescent="0.25">
      <c r="B24" s="471" t="s">
        <v>650</v>
      </c>
      <c r="C24" s="471" t="s">
        <v>651</v>
      </c>
      <c r="D24" s="471" t="s">
        <v>209</v>
      </c>
      <c r="E24" s="471" t="s">
        <v>1363</v>
      </c>
      <c r="F24" s="483" t="s">
        <v>1418</v>
      </c>
      <c r="G24" s="484" t="s">
        <v>1328</v>
      </c>
      <c r="H24" s="540">
        <v>65907.199999999997</v>
      </c>
      <c r="I24" s="540">
        <f>12860.2+J24</f>
        <v>65907.199999999997</v>
      </c>
      <c r="J24" s="481">
        <v>53047</v>
      </c>
      <c r="K24" s="482">
        <f t="shared" si="0"/>
        <v>1</v>
      </c>
      <c r="L24" s="268"/>
      <c r="M24" s="269"/>
      <c r="N24" s="245"/>
      <c r="O24" s="245"/>
      <c r="P24" s="245"/>
      <c r="Q24" s="245"/>
      <c r="R24" s="245"/>
    </row>
    <row r="25" spans="1:18" ht="91.5" thickTop="1" thickBot="1" x14ac:dyDescent="0.25">
      <c r="B25" s="471" t="s">
        <v>650</v>
      </c>
      <c r="C25" s="471" t="s">
        <v>651</v>
      </c>
      <c r="D25" s="471" t="s">
        <v>209</v>
      </c>
      <c r="E25" s="471" t="s">
        <v>1363</v>
      </c>
      <c r="F25" s="483" t="s">
        <v>1417</v>
      </c>
      <c r="G25" s="484" t="s">
        <v>1328</v>
      </c>
      <c r="H25" s="540">
        <v>65836.78</v>
      </c>
      <c r="I25" s="540">
        <f>18759.78+J25</f>
        <v>65836.78</v>
      </c>
      <c r="J25" s="481">
        <v>47077</v>
      </c>
      <c r="K25" s="482">
        <f t="shared" si="0"/>
        <v>1</v>
      </c>
      <c r="L25" s="268"/>
      <c r="M25" s="269"/>
      <c r="N25" s="245"/>
      <c r="O25" s="245"/>
      <c r="P25" s="245"/>
      <c r="Q25" s="245"/>
      <c r="R25" s="245"/>
    </row>
    <row r="26" spans="1:18" ht="91.5" thickTop="1" thickBot="1" x14ac:dyDescent="0.25">
      <c r="A26" s="480"/>
      <c r="B26" s="471" t="s">
        <v>1024</v>
      </c>
      <c r="C26" s="471" t="s">
        <v>1026</v>
      </c>
      <c r="D26" s="471" t="s">
        <v>215</v>
      </c>
      <c r="E26" s="471" t="s">
        <v>1321</v>
      </c>
      <c r="F26" s="477" t="s">
        <v>1505</v>
      </c>
      <c r="G26" s="478" t="s">
        <v>616</v>
      </c>
      <c r="H26" s="479">
        <v>2736135.54</v>
      </c>
      <c r="I26" s="479">
        <f>893578+J26</f>
        <v>2673914.0700000003</v>
      </c>
      <c r="J26" s="481">
        <f>(1611703)+168633.07</f>
        <v>1780336.07</v>
      </c>
      <c r="K26" s="482">
        <v>1</v>
      </c>
      <c r="L26" s="268"/>
      <c r="M26" s="269"/>
      <c r="N26" s="245"/>
      <c r="O26" s="245"/>
      <c r="P26" s="245"/>
      <c r="Q26" s="245"/>
      <c r="R26" s="245"/>
    </row>
    <row r="27" spans="1:18" ht="76.5" thickTop="1" thickBot="1" x14ac:dyDescent="0.25">
      <c r="A27" s="480"/>
      <c r="B27" s="471" t="s">
        <v>1143</v>
      </c>
      <c r="C27" s="471" t="s">
        <v>316</v>
      </c>
      <c r="D27" s="471" t="s">
        <v>309</v>
      </c>
      <c r="E27" s="471" t="s">
        <v>1400</v>
      </c>
      <c r="F27" s="477" t="s">
        <v>1401</v>
      </c>
      <c r="G27" s="484" t="s">
        <v>1344</v>
      </c>
      <c r="H27" s="479">
        <v>4761740</v>
      </c>
      <c r="I27" s="540">
        <f>0+J27</f>
        <v>4761740</v>
      </c>
      <c r="J27" s="481">
        <f>(200000)+4561740</f>
        <v>4761740</v>
      </c>
      <c r="K27" s="482">
        <f>I27/H27</f>
        <v>1</v>
      </c>
      <c r="L27" s="268"/>
      <c r="M27" s="269"/>
      <c r="N27" s="245"/>
      <c r="O27" s="245"/>
      <c r="P27" s="245"/>
      <c r="Q27" s="245"/>
      <c r="R27" s="245"/>
    </row>
    <row r="28" spans="1:18" ht="61.5" thickTop="1" thickBot="1" x14ac:dyDescent="0.25">
      <c r="A28" s="480"/>
      <c r="B28" s="471" t="s">
        <v>1143</v>
      </c>
      <c r="C28" s="471" t="s">
        <v>316</v>
      </c>
      <c r="D28" s="471" t="s">
        <v>309</v>
      </c>
      <c r="E28" s="471" t="s">
        <v>1400</v>
      </c>
      <c r="F28" s="477" t="s">
        <v>1526</v>
      </c>
      <c r="G28" s="479" t="s">
        <v>1345</v>
      </c>
      <c r="H28" s="479">
        <v>5580231</v>
      </c>
      <c r="I28" s="540">
        <f>0+J28</f>
        <v>5580231</v>
      </c>
      <c r="J28" s="481">
        <f>(2597000)+2983231</f>
        <v>5580231</v>
      </c>
      <c r="K28" s="482">
        <f>I28/H28</f>
        <v>1</v>
      </c>
      <c r="L28" s="268"/>
      <c r="M28" s="269"/>
      <c r="N28" s="245"/>
      <c r="O28" s="245"/>
      <c r="P28" s="245"/>
      <c r="Q28" s="245"/>
      <c r="R28" s="245"/>
    </row>
    <row r="29" spans="1:18" ht="89.25" customHeight="1" thickTop="1" thickBot="1" x14ac:dyDescent="0.25">
      <c r="B29" s="471" t="s">
        <v>1143</v>
      </c>
      <c r="C29" s="471" t="s">
        <v>316</v>
      </c>
      <c r="D29" s="471" t="s">
        <v>309</v>
      </c>
      <c r="E29" s="471" t="s">
        <v>1400</v>
      </c>
      <c r="F29" s="483" t="s">
        <v>1420</v>
      </c>
      <c r="G29" s="484" t="s">
        <v>1344</v>
      </c>
      <c r="H29" s="479">
        <v>5488305</v>
      </c>
      <c r="I29" s="540">
        <f>3408837.41+J29</f>
        <v>5081189.01</v>
      </c>
      <c r="J29" s="481">
        <f>1666801+5550.6</f>
        <v>1672351.6</v>
      </c>
      <c r="K29" s="482">
        <v>1</v>
      </c>
      <c r="L29" s="268"/>
      <c r="M29" s="269"/>
      <c r="N29" s="245"/>
      <c r="O29" s="245"/>
      <c r="P29" s="245"/>
      <c r="Q29" s="245"/>
      <c r="R29" s="245"/>
    </row>
    <row r="30" spans="1:18" ht="61.5" hidden="1" thickTop="1" thickBot="1" x14ac:dyDescent="0.25">
      <c r="B30" s="262" t="s">
        <v>1143</v>
      </c>
      <c r="C30" s="262" t="s">
        <v>316</v>
      </c>
      <c r="D30" s="262" t="s">
        <v>309</v>
      </c>
      <c r="E30" s="262" t="s">
        <v>1290</v>
      </c>
      <c r="F30" s="263" t="s">
        <v>1177</v>
      </c>
      <c r="G30" s="264" t="s">
        <v>1012</v>
      </c>
      <c r="H30" s="270">
        <v>4179432</v>
      </c>
      <c r="I30" s="266">
        <f>(49000)+13800</f>
        <v>62800</v>
      </c>
      <c r="J30" s="266">
        <f>(700000)-700000</f>
        <v>0</v>
      </c>
      <c r="K30" s="267">
        <f>(J30+I30)/H30</f>
        <v>1.5025965250780489E-2</v>
      </c>
      <c r="L30" s="271"/>
      <c r="M30" s="269"/>
      <c r="N30" s="245"/>
      <c r="O30" s="245"/>
      <c r="P30" s="245"/>
      <c r="Q30" s="245"/>
      <c r="R30" s="245"/>
    </row>
    <row r="31" spans="1:18" ht="46.5" thickTop="1" thickBot="1" x14ac:dyDescent="0.25">
      <c r="B31" s="494" t="s">
        <v>155</v>
      </c>
      <c r="C31" s="494"/>
      <c r="D31" s="494"/>
      <c r="E31" s="495" t="s">
        <v>18</v>
      </c>
      <c r="F31" s="494"/>
      <c r="G31" s="494"/>
      <c r="H31" s="496">
        <f>H32</f>
        <v>25987032</v>
      </c>
      <c r="I31" s="496">
        <f>I32</f>
        <v>24670053</v>
      </c>
      <c r="J31" s="496">
        <f>J32</f>
        <v>24670053</v>
      </c>
      <c r="K31" s="497"/>
      <c r="L31" s="245"/>
      <c r="M31" s="245"/>
      <c r="N31" s="245"/>
      <c r="O31" s="245"/>
      <c r="P31" s="245"/>
      <c r="Q31" s="245"/>
      <c r="R31" s="245"/>
    </row>
    <row r="32" spans="1:18" ht="44.25" thickTop="1" thickBot="1" x14ac:dyDescent="0.25">
      <c r="B32" s="498" t="s">
        <v>156</v>
      </c>
      <c r="C32" s="498"/>
      <c r="D32" s="498"/>
      <c r="E32" s="499" t="s">
        <v>36</v>
      </c>
      <c r="F32" s="498"/>
      <c r="G32" s="498"/>
      <c r="H32" s="500">
        <f>H36+H35</f>
        <v>25987032</v>
      </c>
      <c r="I32" s="500">
        <f t="shared" ref="I32:J32" si="1">I36+I35</f>
        <v>24670053</v>
      </c>
      <c r="J32" s="500">
        <f t="shared" si="1"/>
        <v>24670053</v>
      </c>
      <c r="K32" s="501"/>
      <c r="L32" s="245"/>
      <c r="M32" s="245"/>
      <c r="N32" s="245"/>
      <c r="O32" s="245"/>
      <c r="P32" s="245"/>
      <c r="Q32" s="245"/>
      <c r="R32" s="245"/>
    </row>
    <row r="33" spans="1:18" ht="91.5" hidden="1" thickTop="1" thickBot="1" x14ac:dyDescent="0.25">
      <c r="B33" s="252" t="s">
        <v>421</v>
      </c>
      <c r="C33" s="252" t="s">
        <v>241</v>
      </c>
      <c r="D33" s="252" t="s">
        <v>239</v>
      </c>
      <c r="E33" s="252" t="s">
        <v>240</v>
      </c>
      <c r="F33" s="253" t="s">
        <v>1135</v>
      </c>
      <c r="G33" s="257" t="s">
        <v>1136</v>
      </c>
      <c r="H33" s="258"/>
      <c r="I33" s="259"/>
      <c r="J33" s="256"/>
      <c r="K33" s="259"/>
      <c r="L33" s="245"/>
      <c r="M33" s="245"/>
      <c r="N33" s="245"/>
      <c r="O33" s="245"/>
      <c r="P33" s="245"/>
      <c r="Q33" s="245"/>
      <c r="R33" s="245"/>
    </row>
    <row r="34" spans="1:18" ht="91.5" hidden="1" thickTop="1" thickBot="1" x14ac:dyDescent="0.25">
      <c r="B34" s="262" t="s">
        <v>219</v>
      </c>
      <c r="C34" s="262" t="s">
        <v>216</v>
      </c>
      <c r="D34" s="262" t="s">
        <v>220</v>
      </c>
      <c r="E34" s="262" t="s">
        <v>19</v>
      </c>
      <c r="F34" s="272" t="s">
        <v>1163</v>
      </c>
      <c r="G34" s="273" t="s">
        <v>616</v>
      </c>
      <c r="H34" s="265">
        <v>24579593</v>
      </c>
      <c r="I34" s="265">
        <f>600000+5500000</f>
        <v>6100000</v>
      </c>
      <c r="J34" s="274"/>
      <c r="K34" s="275">
        <f>(J34+I34)/H34</f>
        <v>0.24817335258561848</v>
      </c>
      <c r="L34" s="245"/>
      <c r="M34" s="245"/>
      <c r="N34" s="245"/>
      <c r="O34" s="245"/>
      <c r="P34" s="245"/>
      <c r="Q34" s="245"/>
      <c r="R34" s="245"/>
    </row>
    <row r="35" spans="1:18" ht="196.5" thickTop="1" thickBot="1" x14ac:dyDescent="0.25">
      <c r="B35" s="471" t="s">
        <v>1227</v>
      </c>
      <c r="C35" s="471" t="s">
        <v>1229</v>
      </c>
      <c r="D35" s="471" t="s">
        <v>309</v>
      </c>
      <c r="E35" s="471" t="s">
        <v>1333</v>
      </c>
      <c r="F35" s="543" t="s">
        <v>1555</v>
      </c>
      <c r="G35" s="479" t="s">
        <v>1345</v>
      </c>
      <c r="H35" s="479">
        <v>5954299</v>
      </c>
      <c r="I35" s="540">
        <f>0+J35</f>
        <v>5841803</v>
      </c>
      <c r="J35" s="855">
        <f>5841803</f>
        <v>5841803</v>
      </c>
      <c r="K35" s="482">
        <v>1</v>
      </c>
      <c r="L35" s="245"/>
      <c r="M35" s="245"/>
      <c r="N35" s="245"/>
      <c r="O35" s="245"/>
      <c r="P35" s="245"/>
      <c r="Q35" s="245"/>
      <c r="R35" s="245"/>
    </row>
    <row r="36" spans="1:18" ht="91.5" thickTop="1" thickBot="1" x14ac:dyDescent="0.25">
      <c r="B36" s="471" t="s">
        <v>1227</v>
      </c>
      <c r="C36" s="471" t="s">
        <v>1229</v>
      </c>
      <c r="D36" s="471" t="s">
        <v>309</v>
      </c>
      <c r="E36" s="471" t="s">
        <v>1333</v>
      </c>
      <c r="F36" s="543" t="s">
        <v>1331</v>
      </c>
      <c r="G36" s="484" t="s">
        <v>1344</v>
      </c>
      <c r="H36" s="540">
        <v>20032733</v>
      </c>
      <c r="I36" s="540">
        <f>0+J36</f>
        <v>18828250</v>
      </c>
      <c r="J36" s="481">
        <f>(11239495)+7588755</f>
        <v>18828250</v>
      </c>
      <c r="K36" s="482">
        <v>1</v>
      </c>
      <c r="L36" s="567" t="s">
        <v>1355</v>
      </c>
      <c r="M36" s="245"/>
      <c r="N36" s="245"/>
      <c r="O36" s="245"/>
      <c r="P36" s="245"/>
      <c r="Q36" s="245"/>
      <c r="R36" s="245"/>
    </row>
    <row r="37" spans="1:18" ht="106.5" hidden="1" thickTop="1" thickBot="1" x14ac:dyDescent="0.25">
      <c r="B37" s="262" t="s">
        <v>1227</v>
      </c>
      <c r="C37" s="262" t="s">
        <v>1229</v>
      </c>
      <c r="D37" s="262" t="s">
        <v>309</v>
      </c>
      <c r="E37" s="262" t="s">
        <v>1291</v>
      </c>
      <c r="F37" s="272" t="s">
        <v>1230</v>
      </c>
      <c r="G37" s="273" t="s">
        <v>1180</v>
      </c>
      <c r="H37" s="265">
        <v>300000</v>
      </c>
      <c r="I37" s="265">
        <v>0</v>
      </c>
      <c r="J37" s="274"/>
      <c r="K37" s="275">
        <f>(J37+I37)/H37</f>
        <v>0</v>
      </c>
      <c r="L37" s="245"/>
      <c r="M37" s="245"/>
      <c r="N37" s="245"/>
      <c r="O37" s="245"/>
      <c r="P37" s="245"/>
      <c r="Q37" s="245"/>
      <c r="R37" s="245"/>
    </row>
    <row r="38" spans="1:18" ht="46.5" hidden="1" thickTop="1" thickBot="1" x14ac:dyDescent="0.25">
      <c r="B38" s="246" t="s">
        <v>157</v>
      </c>
      <c r="C38" s="246"/>
      <c r="D38" s="246"/>
      <c r="E38" s="247" t="s">
        <v>37</v>
      </c>
      <c r="F38" s="246"/>
      <c r="G38" s="246"/>
      <c r="H38" s="248">
        <f>H39</f>
        <v>0</v>
      </c>
      <c r="I38" s="248">
        <f>I39</f>
        <v>0</v>
      </c>
      <c r="J38" s="248">
        <f>J39</f>
        <v>0</v>
      </c>
      <c r="K38" s="276"/>
      <c r="L38" s="245"/>
      <c r="M38" s="245"/>
      <c r="N38" s="245"/>
      <c r="O38" s="245"/>
      <c r="P38" s="245"/>
      <c r="Q38" s="245"/>
      <c r="R38" s="245"/>
    </row>
    <row r="39" spans="1:18" ht="58.5" hidden="1" thickTop="1" thickBot="1" x14ac:dyDescent="0.25">
      <c r="B39" s="249" t="s">
        <v>158</v>
      </c>
      <c r="C39" s="249"/>
      <c r="D39" s="249"/>
      <c r="E39" s="250" t="s">
        <v>38</v>
      </c>
      <c r="F39" s="249"/>
      <c r="G39" s="249"/>
      <c r="H39" s="251">
        <f>SUM(H40:H40)</f>
        <v>0</v>
      </c>
      <c r="I39" s="251">
        <f>SUM(I40:I40)</f>
        <v>0</v>
      </c>
      <c r="J39" s="251">
        <f>SUM(J40:J40)</f>
        <v>0</v>
      </c>
      <c r="K39" s="277"/>
      <c r="L39" s="245"/>
      <c r="M39" s="245"/>
      <c r="N39" s="245"/>
      <c r="O39" s="245"/>
      <c r="P39" s="245"/>
      <c r="Q39" s="245"/>
      <c r="R39" s="245"/>
    </row>
    <row r="40" spans="1:18" ht="46.5" hidden="1" thickTop="1" thickBot="1" x14ac:dyDescent="0.25">
      <c r="B40" s="252" t="s">
        <v>420</v>
      </c>
      <c r="C40" s="252" t="s">
        <v>241</v>
      </c>
      <c r="D40" s="252" t="s">
        <v>239</v>
      </c>
      <c r="E40" s="252" t="s">
        <v>240</v>
      </c>
      <c r="F40" s="278"/>
      <c r="G40" s="257"/>
      <c r="H40" s="258"/>
      <c r="I40" s="257"/>
      <c r="J40" s="258"/>
      <c r="K40" s="258"/>
      <c r="L40" s="245"/>
      <c r="M40" s="245"/>
      <c r="N40" s="245"/>
      <c r="O40" s="245"/>
      <c r="P40" s="245"/>
      <c r="Q40" s="245"/>
      <c r="R40" s="245"/>
    </row>
    <row r="41" spans="1:18" ht="46.5" hidden="1" thickTop="1" thickBot="1" x14ac:dyDescent="0.25">
      <c r="A41" s="299"/>
      <c r="B41" s="279">
        <v>1000000</v>
      </c>
      <c r="C41" s="279"/>
      <c r="D41" s="279"/>
      <c r="E41" s="280" t="s">
        <v>24</v>
      </c>
      <c r="F41" s="279"/>
      <c r="G41" s="279"/>
      <c r="H41" s="281">
        <f>H42</f>
        <v>27064985</v>
      </c>
      <c r="I41" s="281">
        <f>I42</f>
        <v>19955037.289999999</v>
      </c>
      <c r="J41" s="281">
        <f>J42</f>
        <v>0</v>
      </c>
      <c r="K41" s="282"/>
      <c r="L41" s="245"/>
      <c r="M41" s="245"/>
      <c r="N41" s="245"/>
      <c r="O41" s="245"/>
      <c r="P41" s="245"/>
      <c r="Q41" s="245"/>
      <c r="R41" s="245"/>
    </row>
    <row r="42" spans="1:18" ht="44.25" hidden="1" thickTop="1" thickBot="1" x14ac:dyDescent="0.25">
      <c r="A42" s="299"/>
      <c r="B42" s="283">
        <v>1010000</v>
      </c>
      <c r="C42" s="283"/>
      <c r="D42" s="283"/>
      <c r="E42" s="284" t="s">
        <v>39</v>
      </c>
      <c r="F42" s="283"/>
      <c r="G42" s="283"/>
      <c r="H42" s="285">
        <f>SUM(H43:H44)</f>
        <v>27064985</v>
      </c>
      <c r="I42" s="285">
        <f>SUM(I43:I44)</f>
        <v>19955037.289999999</v>
      </c>
      <c r="J42" s="285">
        <f>SUM(J43:J44)</f>
        <v>0</v>
      </c>
      <c r="K42" s="286"/>
      <c r="L42" s="245"/>
      <c r="M42" s="245"/>
      <c r="N42" s="245"/>
      <c r="O42" s="245"/>
      <c r="P42" s="245"/>
      <c r="Q42" s="245"/>
      <c r="R42" s="245"/>
    </row>
    <row r="43" spans="1:18" ht="61.5" hidden="1" thickTop="1" thickBot="1" x14ac:dyDescent="0.25">
      <c r="A43" s="206"/>
      <c r="B43" s="262" t="s">
        <v>181</v>
      </c>
      <c r="C43" s="262" t="s">
        <v>182</v>
      </c>
      <c r="D43" s="262" t="s">
        <v>179</v>
      </c>
      <c r="E43" s="262" t="s">
        <v>468</v>
      </c>
      <c r="F43" s="263" t="s">
        <v>952</v>
      </c>
      <c r="G43" s="270" t="s">
        <v>526</v>
      </c>
      <c r="H43" s="270">
        <v>27064985</v>
      </c>
      <c r="I43" s="270">
        <f>1430336+2994769.5+4929931.79+5600000+(3000000)+2000000</f>
        <v>19955037.289999999</v>
      </c>
      <c r="J43" s="270">
        <f>(4652920)-4652920</f>
        <v>0</v>
      </c>
      <c r="K43" s="287">
        <f>(J43+I43)/H43</f>
        <v>0.73730088119391157</v>
      </c>
      <c r="L43" s="245"/>
      <c r="M43" s="245"/>
      <c r="N43" s="245"/>
      <c r="O43" s="245"/>
      <c r="P43" s="245"/>
      <c r="Q43" s="245"/>
      <c r="R43" s="245"/>
    </row>
    <row r="44" spans="1:18" ht="121.5" hidden="1" thickTop="1" thickBot="1" x14ac:dyDescent="0.25">
      <c r="A44" s="299"/>
      <c r="B44" s="252" t="s">
        <v>930</v>
      </c>
      <c r="C44" s="252" t="s">
        <v>202</v>
      </c>
      <c r="D44" s="252" t="s">
        <v>171</v>
      </c>
      <c r="E44" s="252" t="s">
        <v>34</v>
      </c>
      <c r="F44" s="278" t="s">
        <v>960</v>
      </c>
      <c r="G44" s="257" t="s">
        <v>564</v>
      </c>
      <c r="H44" s="258"/>
      <c r="I44" s="259"/>
      <c r="J44" s="258"/>
      <c r="K44" s="259"/>
      <c r="L44" s="245"/>
      <c r="M44" s="245"/>
      <c r="N44" s="245"/>
      <c r="O44" s="245"/>
      <c r="P44" s="245"/>
      <c r="Q44" s="245"/>
      <c r="R44" s="245"/>
    </row>
    <row r="45" spans="1:18" ht="46.5" thickTop="1" thickBot="1" x14ac:dyDescent="0.25">
      <c r="B45" s="494" t="s">
        <v>22</v>
      </c>
      <c r="C45" s="494"/>
      <c r="D45" s="494"/>
      <c r="E45" s="495" t="s">
        <v>23</v>
      </c>
      <c r="F45" s="494"/>
      <c r="G45" s="494"/>
      <c r="H45" s="496">
        <f t="shared" ref="H45:J45" si="2">H46</f>
        <v>37220922</v>
      </c>
      <c r="I45" s="496">
        <f t="shared" si="2"/>
        <v>33247883.559999999</v>
      </c>
      <c r="J45" s="496">
        <f t="shared" si="2"/>
        <v>21597856.079999998</v>
      </c>
      <c r="K45" s="497"/>
      <c r="L45" s="245"/>
      <c r="M45" s="245"/>
      <c r="N45" s="245"/>
      <c r="O45" s="245"/>
      <c r="P45" s="245"/>
      <c r="Q45" s="245"/>
      <c r="R45" s="245"/>
    </row>
    <row r="46" spans="1:18" ht="44.25" thickTop="1" thickBot="1" x14ac:dyDescent="0.25">
      <c r="B46" s="498" t="s">
        <v>21</v>
      </c>
      <c r="C46" s="498"/>
      <c r="D46" s="498"/>
      <c r="E46" s="499" t="s">
        <v>35</v>
      </c>
      <c r="F46" s="498"/>
      <c r="G46" s="498"/>
      <c r="H46" s="500">
        <f>H47+H48</f>
        <v>37220922</v>
      </c>
      <c r="I46" s="500">
        <f>I47+I48</f>
        <v>33247883.559999999</v>
      </c>
      <c r="J46" s="500">
        <f>J47+J48</f>
        <v>21597856.079999998</v>
      </c>
      <c r="K46" s="501"/>
      <c r="L46" s="245"/>
      <c r="M46" s="245"/>
      <c r="N46" s="245"/>
      <c r="O46" s="245"/>
      <c r="P46" s="245"/>
      <c r="Q46" s="245"/>
      <c r="R46" s="245"/>
    </row>
    <row r="47" spans="1:18" ht="46.5" thickTop="1" thickBot="1" x14ac:dyDescent="0.25">
      <c r="B47" s="471" t="s">
        <v>194</v>
      </c>
      <c r="C47" s="471" t="s">
        <v>195</v>
      </c>
      <c r="D47" s="471" t="s">
        <v>190</v>
      </c>
      <c r="E47" s="471" t="s">
        <v>10</v>
      </c>
      <c r="F47" s="539" t="s">
        <v>1337</v>
      </c>
      <c r="G47" s="484" t="s">
        <v>616</v>
      </c>
      <c r="H47" s="540">
        <v>2102059</v>
      </c>
      <c r="I47" s="481">
        <f>66820+3338.56+J47</f>
        <v>80838.559999999998</v>
      </c>
      <c r="J47" s="481">
        <v>10680</v>
      </c>
      <c r="K47" s="482">
        <f t="shared" ref="K47" si="3">I47/H47</f>
        <v>3.8456846358736835E-2</v>
      </c>
      <c r="L47" s="245"/>
      <c r="M47" s="245"/>
      <c r="N47" s="245"/>
      <c r="O47" s="245"/>
      <c r="P47" s="245"/>
      <c r="Q47" s="245"/>
      <c r="R47" s="245"/>
    </row>
    <row r="48" spans="1:18" s="300" customFormat="1" ht="76.5" thickTop="1" thickBot="1" x14ac:dyDescent="0.25">
      <c r="B48" s="471" t="s">
        <v>28</v>
      </c>
      <c r="C48" s="471" t="s">
        <v>197</v>
      </c>
      <c r="D48" s="471" t="s">
        <v>200</v>
      </c>
      <c r="E48" s="471" t="s">
        <v>48</v>
      </c>
      <c r="F48" s="539" t="s">
        <v>1329</v>
      </c>
      <c r="G48" s="484" t="s">
        <v>1328</v>
      </c>
      <c r="H48" s="540">
        <v>35118863</v>
      </c>
      <c r="I48" s="481">
        <f>6649999+4929869.92+J48</f>
        <v>33167045</v>
      </c>
      <c r="J48" s="481">
        <f>((179860)+10427935.08)+10979381</f>
        <v>21587176.079999998</v>
      </c>
      <c r="K48" s="482">
        <v>1</v>
      </c>
      <c r="L48" s="568">
        <f>H48-I48-4929869.92</f>
        <v>-2978051.92</v>
      </c>
      <c r="M48" s="289"/>
      <c r="N48" s="289"/>
      <c r="O48" s="289"/>
      <c r="P48" s="289"/>
      <c r="Q48" s="289"/>
      <c r="R48" s="289"/>
    </row>
    <row r="49" spans="1:18" s="300" customFormat="1" ht="16.5" hidden="1" thickTop="1" thickBot="1" x14ac:dyDescent="0.25">
      <c r="B49" s="471"/>
      <c r="C49" s="471"/>
      <c r="D49" s="471"/>
      <c r="E49" s="471"/>
      <c r="F49" s="539"/>
      <c r="G49" s="484"/>
      <c r="H49" s="540"/>
      <c r="I49" s="481"/>
      <c r="J49" s="481"/>
      <c r="K49" s="482"/>
      <c r="L49" s="568"/>
      <c r="M49" s="289"/>
      <c r="N49" s="289"/>
      <c r="O49" s="289"/>
      <c r="P49" s="289"/>
      <c r="Q49" s="289"/>
      <c r="R49" s="289"/>
    </row>
    <row r="50" spans="1:18" s="300" customFormat="1" ht="16.5" hidden="1" thickTop="1" thickBot="1" x14ac:dyDescent="0.25">
      <c r="B50" s="471"/>
      <c r="C50" s="471"/>
      <c r="D50" s="471"/>
      <c r="E50" s="471"/>
      <c r="F50" s="539"/>
      <c r="G50" s="484"/>
      <c r="H50" s="540"/>
      <c r="I50" s="481"/>
      <c r="J50" s="481"/>
      <c r="K50" s="482"/>
      <c r="L50" s="568"/>
      <c r="M50" s="289"/>
      <c r="N50" s="289"/>
      <c r="O50" s="289"/>
      <c r="P50" s="289"/>
      <c r="Q50" s="289"/>
      <c r="R50" s="289"/>
    </row>
    <row r="51" spans="1:18" s="300" customFormat="1" ht="46.5" hidden="1" thickTop="1" thickBot="1" x14ac:dyDescent="0.25">
      <c r="B51" s="210" t="s">
        <v>159</v>
      </c>
      <c r="C51" s="210"/>
      <c r="D51" s="210"/>
      <c r="E51" s="211" t="s">
        <v>567</v>
      </c>
      <c r="F51" s="210"/>
      <c r="G51" s="210"/>
      <c r="H51" s="212">
        <f t="shared" ref="H51:J51" si="4">H52</f>
        <v>4177606</v>
      </c>
      <c r="I51" s="212">
        <f t="shared" si="4"/>
        <v>0</v>
      </c>
      <c r="J51" s="212">
        <f t="shared" si="4"/>
        <v>0</v>
      </c>
      <c r="K51" s="260"/>
      <c r="L51" s="290"/>
      <c r="M51" s="289"/>
      <c r="N51" s="289"/>
      <c r="O51" s="289"/>
      <c r="P51" s="289"/>
      <c r="Q51" s="289"/>
      <c r="R51" s="289"/>
    </row>
    <row r="52" spans="1:18" s="300" customFormat="1" ht="44.25" hidden="1" thickTop="1" thickBot="1" x14ac:dyDescent="0.25">
      <c r="B52" s="214" t="s">
        <v>160</v>
      </c>
      <c r="C52" s="214"/>
      <c r="D52" s="214"/>
      <c r="E52" s="215" t="s">
        <v>568</v>
      </c>
      <c r="F52" s="214"/>
      <c r="G52" s="214"/>
      <c r="H52" s="216">
        <f>H53</f>
        <v>4177606</v>
      </c>
      <c r="I52" s="216">
        <f>I53</f>
        <v>0</v>
      </c>
      <c r="J52" s="216">
        <f>J53</f>
        <v>0</v>
      </c>
      <c r="K52" s="261"/>
      <c r="L52" s="290"/>
      <c r="M52" s="289"/>
      <c r="N52" s="289"/>
      <c r="O52" s="289"/>
      <c r="P52" s="289"/>
      <c r="Q52" s="289"/>
      <c r="R52" s="289"/>
    </row>
    <row r="53" spans="1:18" s="300" customFormat="1" ht="46.5" hidden="1" thickTop="1" thickBot="1" x14ac:dyDescent="0.25">
      <c r="B53" s="262" t="s">
        <v>1190</v>
      </c>
      <c r="C53" s="262" t="s">
        <v>310</v>
      </c>
      <c r="D53" s="262" t="s">
        <v>309</v>
      </c>
      <c r="E53" s="262" t="s">
        <v>1292</v>
      </c>
      <c r="F53" s="288" t="s">
        <v>1197</v>
      </c>
      <c r="G53" s="270" t="s">
        <v>1180</v>
      </c>
      <c r="H53" s="270">
        <v>4177606</v>
      </c>
      <c r="I53" s="270">
        <v>0</v>
      </c>
      <c r="J53" s="266"/>
      <c r="K53" s="291">
        <f>(I53+J53)/H53</f>
        <v>0</v>
      </c>
      <c r="L53" s="290"/>
      <c r="M53" s="289"/>
      <c r="N53" s="289"/>
      <c r="O53" s="289"/>
      <c r="P53" s="289"/>
      <c r="Q53" s="289"/>
      <c r="R53" s="289"/>
    </row>
    <row r="54" spans="1:18" s="300" customFormat="1" ht="46.5" thickTop="1" thickBot="1" x14ac:dyDescent="0.25">
      <c r="B54" s="494" t="s">
        <v>546</v>
      </c>
      <c r="C54" s="494"/>
      <c r="D54" s="494"/>
      <c r="E54" s="495" t="s">
        <v>565</v>
      </c>
      <c r="F54" s="494"/>
      <c r="G54" s="494"/>
      <c r="H54" s="496">
        <f>H55</f>
        <v>151754952.44999999</v>
      </c>
      <c r="I54" s="496">
        <f>I55</f>
        <v>110998037.34</v>
      </c>
      <c r="J54" s="496">
        <f>J55</f>
        <v>84357978.560000002</v>
      </c>
      <c r="K54" s="497"/>
      <c r="L54" s="290"/>
      <c r="M54" s="289"/>
      <c r="N54" s="289"/>
      <c r="O54" s="289"/>
      <c r="P54" s="289"/>
      <c r="Q54" s="289"/>
      <c r="R54" s="289"/>
    </row>
    <row r="55" spans="1:18" s="300" customFormat="1" ht="44.25" thickTop="1" thickBot="1" x14ac:dyDescent="0.25">
      <c r="B55" s="498" t="s">
        <v>547</v>
      </c>
      <c r="C55" s="498"/>
      <c r="D55" s="498"/>
      <c r="E55" s="499" t="s">
        <v>566</v>
      </c>
      <c r="F55" s="498"/>
      <c r="G55" s="498"/>
      <c r="H55" s="500">
        <f>H72+H73+H74+H75+H76+H81+H77+H78+H79+H80+H82+H63+H70+H83+H84+H85+H86+H90+H89+H68+H56+H91+H92+H93+H94+H95</f>
        <v>151754952.44999999</v>
      </c>
      <c r="I55" s="500">
        <f>I72+I73+I74+I75+I76+I81+I77+I78+I79+I80+I82+I63+I70+I83+I84+I85+I86+I90+I89+I68+I56+I91+I92+I93+I94+I95</f>
        <v>110998037.34</v>
      </c>
      <c r="J55" s="500">
        <f>J72+J73+J74+J75+J76+J81+J77+J78+J79+J80+J82+J63+J70+J83+J84+J85+J86+J90+J89+J68+J56+J91+J92+J93+J94+J95</f>
        <v>84357978.560000002</v>
      </c>
      <c r="K55" s="501"/>
      <c r="L55" s="290"/>
      <c r="M55" s="289"/>
      <c r="N55" s="289"/>
      <c r="O55" s="289"/>
      <c r="P55" s="289"/>
      <c r="Q55" s="289"/>
      <c r="R55" s="289"/>
    </row>
    <row r="56" spans="1:18" s="300" customFormat="1" ht="61.5" thickTop="1" thickBot="1" x14ac:dyDescent="0.25">
      <c r="A56" s="205"/>
      <c r="B56" s="561" t="s">
        <v>554</v>
      </c>
      <c r="C56" s="561" t="s">
        <v>310</v>
      </c>
      <c r="D56" s="561" t="s">
        <v>309</v>
      </c>
      <c r="E56" s="561" t="s">
        <v>474</v>
      </c>
      <c r="F56" s="853" t="s">
        <v>1178</v>
      </c>
      <c r="G56" s="479" t="s">
        <v>1353</v>
      </c>
      <c r="H56" s="540">
        <v>10423167</v>
      </c>
      <c r="I56" s="540">
        <f>1987516+J56</f>
        <v>4987516</v>
      </c>
      <c r="J56" s="540">
        <f>3000000</f>
        <v>3000000</v>
      </c>
      <c r="K56" s="705">
        <f>I56/H56</f>
        <v>0.4785029348565556</v>
      </c>
      <c r="L56" s="290"/>
      <c r="M56" s="289"/>
      <c r="N56" s="289"/>
      <c r="O56" s="289"/>
      <c r="P56" s="289"/>
      <c r="Q56" s="289"/>
      <c r="R56" s="289"/>
    </row>
    <row r="57" spans="1:18" s="300" customFormat="1" ht="46.5" hidden="1" thickTop="1" thickBot="1" x14ac:dyDescent="0.25">
      <c r="A57" s="205"/>
      <c r="B57" s="292" t="s">
        <v>554</v>
      </c>
      <c r="C57" s="292" t="s">
        <v>310</v>
      </c>
      <c r="D57" s="292" t="s">
        <v>309</v>
      </c>
      <c r="E57" s="292" t="s">
        <v>474</v>
      </c>
      <c r="F57" s="293" t="s">
        <v>1179</v>
      </c>
      <c r="G57" s="265" t="s">
        <v>527</v>
      </c>
      <c r="H57" s="270">
        <v>19973126</v>
      </c>
      <c r="I57" s="270">
        <v>3000000</v>
      </c>
      <c r="J57" s="270">
        <f>(2000000)-2000000</f>
        <v>0</v>
      </c>
      <c r="K57" s="287">
        <f t="shared" ref="K57:K96" si="5">(I57+J57)/H57</f>
        <v>0.15020182619385669</v>
      </c>
      <c r="L57" s="290"/>
      <c r="M57" s="289"/>
      <c r="N57" s="289"/>
      <c r="O57" s="289"/>
      <c r="P57" s="289"/>
      <c r="Q57" s="289"/>
      <c r="R57" s="289"/>
    </row>
    <row r="58" spans="1:18" s="300" customFormat="1" ht="61.5" hidden="1" thickTop="1" thickBot="1" x14ac:dyDescent="0.25">
      <c r="A58" s="205"/>
      <c r="B58" s="292" t="s">
        <v>554</v>
      </c>
      <c r="C58" s="292" t="s">
        <v>310</v>
      </c>
      <c r="D58" s="292" t="s">
        <v>309</v>
      </c>
      <c r="E58" s="292" t="s">
        <v>474</v>
      </c>
      <c r="F58" s="293" t="s">
        <v>1220</v>
      </c>
      <c r="G58" s="265" t="s">
        <v>1180</v>
      </c>
      <c r="H58" s="270">
        <v>7326277</v>
      </c>
      <c r="I58" s="270">
        <v>0</v>
      </c>
      <c r="J58" s="270"/>
      <c r="K58" s="287">
        <f t="shared" si="5"/>
        <v>0</v>
      </c>
      <c r="L58" s="290"/>
      <c r="M58" s="289"/>
      <c r="N58" s="289"/>
      <c r="O58" s="289"/>
      <c r="P58" s="289"/>
      <c r="Q58" s="289"/>
      <c r="R58" s="289"/>
    </row>
    <row r="59" spans="1:18" s="300" customFormat="1" ht="46.5" hidden="1" thickTop="1" thickBot="1" x14ac:dyDescent="0.25">
      <c r="A59" s="205"/>
      <c r="B59" s="292" t="s">
        <v>554</v>
      </c>
      <c r="C59" s="292" t="s">
        <v>310</v>
      </c>
      <c r="D59" s="292" t="s">
        <v>309</v>
      </c>
      <c r="E59" s="292" t="s">
        <v>474</v>
      </c>
      <c r="F59" s="293" t="s">
        <v>1184</v>
      </c>
      <c r="G59" s="265" t="s">
        <v>1180</v>
      </c>
      <c r="H59" s="270">
        <v>8650378</v>
      </c>
      <c r="I59" s="270">
        <v>0</v>
      </c>
      <c r="J59" s="270"/>
      <c r="K59" s="287">
        <f t="shared" si="5"/>
        <v>0</v>
      </c>
      <c r="L59" s="290"/>
      <c r="M59" s="289"/>
      <c r="N59" s="289"/>
      <c r="O59" s="289"/>
      <c r="P59" s="289"/>
      <c r="Q59" s="289"/>
      <c r="R59" s="289"/>
    </row>
    <row r="60" spans="1:18" s="300" customFormat="1" ht="46.5" hidden="1" thickTop="1" thickBot="1" x14ac:dyDescent="0.25">
      <c r="A60" s="205"/>
      <c r="B60" s="292" t="s">
        <v>554</v>
      </c>
      <c r="C60" s="292" t="s">
        <v>310</v>
      </c>
      <c r="D60" s="292" t="s">
        <v>309</v>
      </c>
      <c r="E60" s="292" t="s">
        <v>474</v>
      </c>
      <c r="F60" s="293" t="s">
        <v>1185</v>
      </c>
      <c r="G60" s="265" t="s">
        <v>526</v>
      </c>
      <c r="H60" s="270">
        <v>68621716</v>
      </c>
      <c r="I60" s="270">
        <v>65923472</v>
      </c>
      <c r="J60" s="270"/>
      <c r="K60" s="287">
        <f t="shared" si="5"/>
        <v>0.96067944439046093</v>
      </c>
      <c r="L60" s="290"/>
      <c r="M60" s="289"/>
      <c r="N60" s="289"/>
      <c r="O60" s="289"/>
      <c r="P60" s="289"/>
      <c r="Q60" s="289"/>
      <c r="R60" s="289"/>
    </row>
    <row r="61" spans="1:18" s="300" customFormat="1" ht="46.5" hidden="1" thickTop="1" thickBot="1" x14ac:dyDescent="0.25">
      <c r="A61" s="205"/>
      <c r="B61" s="292" t="s">
        <v>554</v>
      </c>
      <c r="C61" s="292" t="s">
        <v>310</v>
      </c>
      <c r="D61" s="292" t="s">
        <v>309</v>
      </c>
      <c r="E61" s="292" t="s">
        <v>474</v>
      </c>
      <c r="F61" s="293" t="s">
        <v>1207</v>
      </c>
      <c r="G61" s="265" t="s">
        <v>526</v>
      </c>
      <c r="H61" s="270">
        <v>18370999</v>
      </c>
      <c r="I61" s="270">
        <f>(300000+171778.77+2000000+2000000)</f>
        <v>4471778.7699999996</v>
      </c>
      <c r="J61" s="270"/>
      <c r="K61" s="287">
        <f>(I61+J61)/H61</f>
        <v>0.24341511150264608</v>
      </c>
      <c r="L61" s="290"/>
      <c r="M61" s="289"/>
      <c r="N61" s="289"/>
      <c r="O61" s="289"/>
      <c r="P61" s="289"/>
      <c r="Q61" s="289"/>
      <c r="R61" s="289"/>
    </row>
    <row r="62" spans="1:18" s="300" customFormat="1" ht="46.5" hidden="1" thickTop="1" thickBot="1" x14ac:dyDescent="0.25">
      <c r="A62" s="205"/>
      <c r="B62" s="262" t="s">
        <v>555</v>
      </c>
      <c r="C62" s="262" t="s">
        <v>298</v>
      </c>
      <c r="D62" s="262" t="s">
        <v>300</v>
      </c>
      <c r="E62" s="262" t="s">
        <v>299</v>
      </c>
      <c r="F62" s="293"/>
      <c r="G62" s="265"/>
      <c r="H62" s="1077"/>
      <c r="I62" s="270"/>
      <c r="J62" s="270"/>
      <c r="K62" s="287"/>
      <c r="L62" s="290"/>
      <c r="M62" s="289"/>
      <c r="N62" s="289"/>
      <c r="O62" s="289"/>
      <c r="P62" s="289"/>
      <c r="Q62" s="289"/>
      <c r="R62" s="289"/>
    </row>
    <row r="63" spans="1:18" s="300" customFormat="1" ht="76.5" thickTop="1" thickBot="1" x14ac:dyDescent="0.25">
      <c r="A63" s="205"/>
      <c r="B63" s="561" t="s">
        <v>556</v>
      </c>
      <c r="C63" s="561" t="s">
        <v>217</v>
      </c>
      <c r="D63" s="561" t="s">
        <v>218</v>
      </c>
      <c r="E63" s="561" t="s">
        <v>41</v>
      </c>
      <c r="F63" s="732" t="s">
        <v>1181</v>
      </c>
      <c r="G63" s="478" t="s">
        <v>1440</v>
      </c>
      <c r="H63" s="1078">
        <v>41231871</v>
      </c>
      <c r="I63" s="540">
        <f>17580407.65+J63</f>
        <v>34014775.649999999</v>
      </c>
      <c r="J63" s="540">
        <v>16434368</v>
      </c>
      <c r="K63" s="482">
        <f>I63/H63</f>
        <v>0.8249631856386046</v>
      </c>
      <c r="L63" s="290"/>
      <c r="M63" s="289"/>
      <c r="N63" s="289"/>
      <c r="O63" s="289"/>
      <c r="P63" s="289"/>
      <c r="Q63" s="289"/>
      <c r="R63" s="289"/>
    </row>
    <row r="64" spans="1:18" s="300" customFormat="1" ht="46.5" hidden="1" thickTop="1" thickBot="1" x14ac:dyDescent="0.25">
      <c r="A64" s="205"/>
      <c r="B64" s="733" t="s">
        <v>557</v>
      </c>
      <c r="C64" s="733" t="s">
        <v>202</v>
      </c>
      <c r="D64" s="733" t="s">
        <v>171</v>
      </c>
      <c r="E64" s="733" t="s">
        <v>34</v>
      </c>
      <c r="F64" s="734" t="s">
        <v>1446</v>
      </c>
      <c r="G64" s="478"/>
      <c r="H64" s="737"/>
      <c r="I64" s="540"/>
      <c r="J64" s="479"/>
      <c r="K64" s="482"/>
      <c r="L64" s="290"/>
      <c r="M64" s="289"/>
      <c r="N64" s="289"/>
      <c r="O64" s="289"/>
      <c r="P64" s="289"/>
      <c r="Q64" s="289"/>
      <c r="R64" s="289"/>
    </row>
    <row r="65" spans="1:18" s="300" customFormat="1" ht="91.5" hidden="1" thickTop="1" thickBot="1" x14ac:dyDescent="0.25">
      <c r="A65" s="205"/>
      <c r="B65" s="292" t="s">
        <v>557</v>
      </c>
      <c r="C65" s="292" t="s">
        <v>202</v>
      </c>
      <c r="D65" s="292" t="s">
        <v>171</v>
      </c>
      <c r="E65" s="292" t="s">
        <v>34</v>
      </c>
      <c r="F65" s="294" t="s">
        <v>1182</v>
      </c>
      <c r="G65" s="273" t="s">
        <v>1176</v>
      </c>
      <c r="H65" s="265">
        <v>4730960</v>
      </c>
      <c r="I65" s="265">
        <f>5000</f>
        <v>5000</v>
      </c>
      <c r="J65" s="265"/>
      <c r="K65" s="291">
        <f t="shared" si="5"/>
        <v>1.0568679506907689E-3</v>
      </c>
      <c r="L65" s="290"/>
      <c r="M65" s="289"/>
      <c r="N65" s="289"/>
      <c r="O65" s="289"/>
      <c r="P65" s="289"/>
      <c r="Q65" s="289"/>
      <c r="R65" s="289"/>
    </row>
    <row r="66" spans="1:18" s="300" customFormat="1" ht="46.5" hidden="1" thickTop="1" thickBot="1" x14ac:dyDescent="0.25">
      <c r="A66" s="205"/>
      <c r="B66" s="561" t="s">
        <v>557</v>
      </c>
      <c r="C66" s="561" t="s">
        <v>202</v>
      </c>
      <c r="D66" s="561" t="s">
        <v>171</v>
      </c>
      <c r="E66" s="561" t="s">
        <v>34</v>
      </c>
      <c r="F66" s="543" t="s">
        <v>1447</v>
      </c>
      <c r="G66" s="478" t="s">
        <v>1328</v>
      </c>
      <c r="H66" s="479">
        <v>3936902</v>
      </c>
      <c r="I66" s="540">
        <f>J66</f>
        <v>100000</v>
      </c>
      <c r="J66" s="479">
        <v>100000</v>
      </c>
      <c r="K66" s="482">
        <f>I66/H66</f>
        <v>2.5400683075169257E-2</v>
      </c>
      <c r="L66" s="290"/>
      <c r="M66" s="289"/>
      <c r="N66" s="289"/>
      <c r="O66" s="289"/>
      <c r="P66" s="289"/>
      <c r="Q66" s="289"/>
      <c r="R66" s="289"/>
    </row>
    <row r="67" spans="1:18" s="300" customFormat="1" ht="46.5" thickTop="1" thickBot="1" x14ac:dyDescent="0.25">
      <c r="A67" s="205"/>
      <c r="B67" s="733" t="s">
        <v>557</v>
      </c>
      <c r="C67" s="733" t="s">
        <v>202</v>
      </c>
      <c r="D67" s="733" t="s">
        <v>171</v>
      </c>
      <c r="E67" s="733" t="s">
        <v>34</v>
      </c>
      <c r="F67" s="734" t="s">
        <v>1446</v>
      </c>
      <c r="G67" s="273"/>
      <c r="H67" s="265"/>
      <c r="I67" s="265"/>
      <c r="J67" s="265"/>
      <c r="K67" s="291"/>
      <c r="L67" s="290"/>
      <c r="M67" s="289"/>
      <c r="N67" s="289"/>
      <c r="O67" s="289"/>
      <c r="P67" s="289"/>
      <c r="Q67" s="289"/>
      <c r="R67" s="289"/>
    </row>
    <row r="68" spans="1:18" s="300" customFormat="1" ht="46.5" thickTop="1" thickBot="1" x14ac:dyDescent="0.25">
      <c r="A68" s="205"/>
      <c r="B68" s="561" t="s">
        <v>557</v>
      </c>
      <c r="C68" s="561" t="s">
        <v>202</v>
      </c>
      <c r="D68" s="561" t="s">
        <v>171</v>
      </c>
      <c r="E68" s="561" t="s">
        <v>34</v>
      </c>
      <c r="F68" s="543" t="s">
        <v>1537</v>
      </c>
      <c r="G68" s="478" t="s">
        <v>1353</v>
      </c>
      <c r="H68" s="540">
        <v>7619432.4500000002</v>
      </c>
      <c r="I68" s="540">
        <f>2006390.45+J68</f>
        <v>3606390.45</v>
      </c>
      <c r="J68" s="540">
        <f>(100000)+1500000</f>
        <v>1600000</v>
      </c>
      <c r="K68" s="482">
        <f>I68/H68</f>
        <v>0.47331483987367068</v>
      </c>
      <c r="L68" s="290"/>
      <c r="M68" s="289"/>
      <c r="N68" s="289"/>
      <c r="O68" s="289"/>
      <c r="P68" s="289"/>
      <c r="Q68" s="289"/>
      <c r="R68" s="289"/>
    </row>
    <row r="69" spans="1:18" s="300" customFormat="1" ht="31.5" thickTop="1" thickBot="1" x14ac:dyDescent="0.25">
      <c r="A69" s="205"/>
      <c r="B69" s="733" t="s">
        <v>557</v>
      </c>
      <c r="C69" s="733" t="s">
        <v>202</v>
      </c>
      <c r="D69" s="733" t="s">
        <v>171</v>
      </c>
      <c r="E69" s="733" t="s">
        <v>34</v>
      </c>
      <c r="F69" s="734" t="s">
        <v>1445</v>
      </c>
      <c r="G69" s="273"/>
      <c r="H69" s="265"/>
      <c r="I69" s="265"/>
      <c r="J69" s="265"/>
      <c r="K69" s="291"/>
      <c r="L69" s="290"/>
      <c r="M69" s="289"/>
      <c r="N69" s="289"/>
      <c r="O69" s="289"/>
      <c r="P69" s="289"/>
      <c r="Q69" s="289"/>
      <c r="R69" s="289"/>
    </row>
    <row r="70" spans="1:18" s="300" customFormat="1" ht="76.5" thickTop="1" thickBot="1" x14ac:dyDescent="0.25">
      <c r="A70" s="205"/>
      <c r="B70" s="561" t="s">
        <v>557</v>
      </c>
      <c r="C70" s="561" t="s">
        <v>202</v>
      </c>
      <c r="D70" s="561" t="s">
        <v>171</v>
      </c>
      <c r="E70" s="561" t="s">
        <v>34</v>
      </c>
      <c r="F70" s="543" t="s">
        <v>1443</v>
      </c>
      <c r="G70" s="479" t="s">
        <v>1345</v>
      </c>
      <c r="H70" s="479">
        <v>1814685</v>
      </c>
      <c r="I70" s="540">
        <f>0+J70</f>
        <v>1814685</v>
      </c>
      <c r="J70" s="479">
        <v>1814685</v>
      </c>
      <c r="K70" s="482">
        <f>I70/H70</f>
        <v>1</v>
      </c>
      <c r="L70" s="290"/>
      <c r="M70" s="289"/>
      <c r="N70" s="289"/>
      <c r="O70" s="289"/>
      <c r="P70" s="289"/>
      <c r="Q70" s="289"/>
      <c r="R70" s="289"/>
    </row>
    <row r="71" spans="1:18" s="300" customFormat="1" ht="46.5" thickTop="1" thickBot="1" x14ac:dyDescent="0.25">
      <c r="A71" s="205"/>
      <c r="B71" s="733" t="s">
        <v>557</v>
      </c>
      <c r="C71" s="733" t="s">
        <v>202</v>
      </c>
      <c r="D71" s="733" t="s">
        <v>171</v>
      </c>
      <c r="E71" s="733" t="s">
        <v>34</v>
      </c>
      <c r="F71" s="734" t="s">
        <v>1444</v>
      </c>
      <c r="G71" s="735"/>
      <c r="H71" s="735"/>
      <c r="I71" s="735"/>
      <c r="J71" s="735"/>
      <c r="K71" s="736"/>
      <c r="L71" s="290"/>
      <c r="M71" s="289"/>
      <c r="N71" s="289"/>
      <c r="O71" s="289"/>
      <c r="P71" s="289"/>
      <c r="Q71" s="289"/>
      <c r="R71" s="289"/>
    </row>
    <row r="72" spans="1:18" s="300" customFormat="1" ht="61.5" thickTop="1" thickBot="1" x14ac:dyDescent="0.25">
      <c r="A72" s="205"/>
      <c r="B72" s="561" t="s">
        <v>557</v>
      </c>
      <c r="C72" s="561" t="s">
        <v>202</v>
      </c>
      <c r="D72" s="561" t="s">
        <v>171</v>
      </c>
      <c r="E72" s="561" t="s">
        <v>34</v>
      </c>
      <c r="F72" s="543" t="s">
        <v>1425</v>
      </c>
      <c r="G72" s="479" t="s">
        <v>1344</v>
      </c>
      <c r="H72" s="540">
        <v>5372119</v>
      </c>
      <c r="I72" s="540">
        <f>98758+J72</f>
        <v>4363877</v>
      </c>
      <c r="J72" s="479">
        <f>((800000)+4473361)-1008242</f>
        <v>4265119</v>
      </c>
      <c r="K72" s="482">
        <v>1</v>
      </c>
      <c r="L72" s="290"/>
      <c r="M72" s="289"/>
      <c r="N72" s="289"/>
      <c r="O72" s="289"/>
      <c r="P72" s="289"/>
      <c r="Q72" s="289"/>
      <c r="R72" s="289"/>
    </row>
    <row r="73" spans="1:18" s="300" customFormat="1" ht="46.5" thickTop="1" thickBot="1" x14ac:dyDescent="0.25">
      <c r="A73" s="205"/>
      <c r="B73" s="561" t="s">
        <v>557</v>
      </c>
      <c r="C73" s="561" t="s">
        <v>202</v>
      </c>
      <c r="D73" s="561" t="s">
        <v>171</v>
      </c>
      <c r="E73" s="561" t="s">
        <v>34</v>
      </c>
      <c r="F73" s="543" t="s">
        <v>1426</v>
      </c>
      <c r="G73" s="479" t="s">
        <v>1345</v>
      </c>
      <c r="H73" s="479">
        <v>7772411</v>
      </c>
      <c r="I73" s="479">
        <f t="shared" ref="I73:I80" si="6">0+J73</f>
        <v>7201885</v>
      </c>
      <c r="J73" s="479">
        <f>((800000)+6172411)+229474</f>
        <v>7201885</v>
      </c>
      <c r="K73" s="482">
        <v>1</v>
      </c>
      <c r="L73" s="290"/>
      <c r="M73" s="289"/>
      <c r="N73" s="289"/>
      <c r="O73" s="289"/>
      <c r="P73" s="289"/>
      <c r="Q73" s="289"/>
      <c r="R73" s="289"/>
    </row>
    <row r="74" spans="1:18" s="300" customFormat="1" ht="61.5" thickTop="1" thickBot="1" x14ac:dyDescent="0.25">
      <c r="A74" s="205"/>
      <c r="B74" s="561" t="s">
        <v>557</v>
      </c>
      <c r="C74" s="561" t="s">
        <v>202</v>
      </c>
      <c r="D74" s="561" t="s">
        <v>171</v>
      </c>
      <c r="E74" s="561" t="s">
        <v>34</v>
      </c>
      <c r="F74" s="543" t="s">
        <v>1427</v>
      </c>
      <c r="G74" s="479" t="s">
        <v>1345</v>
      </c>
      <c r="H74" s="479">
        <v>9279628</v>
      </c>
      <c r="I74" s="479">
        <f t="shared" si="6"/>
        <v>8526954</v>
      </c>
      <c r="J74" s="479">
        <f>((800000)+8479628)-752674</f>
        <v>8526954</v>
      </c>
      <c r="K74" s="482">
        <v>1</v>
      </c>
      <c r="L74" s="290"/>
      <c r="M74" s="289"/>
      <c r="N74" s="289"/>
      <c r="O74" s="289"/>
      <c r="P74" s="289"/>
      <c r="Q74" s="289"/>
      <c r="R74" s="289"/>
    </row>
    <row r="75" spans="1:18" s="300" customFormat="1" ht="46.5" thickTop="1" thickBot="1" x14ac:dyDescent="0.25">
      <c r="A75" s="205"/>
      <c r="B75" s="561" t="s">
        <v>557</v>
      </c>
      <c r="C75" s="561" t="s">
        <v>202</v>
      </c>
      <c r="D75" s="561" t="s">
        <v>171</v>
      </c>
      <c r="E75" s="561" t="s">
        <v>34</v>
      </c>
      <c r="F75" s="543" t="s">
        <v>1428</v>
      </c>
      <c r="G75" s="479" t="s">
        <v>1345</v>
      </c>
      <c r="H75" s="479">
        <v>1414397</v>
      </c>
      <c r="I75" s="479">
        <f t="shared" si="6"/>
        <v>1392754</v>
      </c>
      <c r="J75" s="479">
        <f>((216700)+1197697)-21643</f>
        <v>1392754</v>
      </c>
      <c r="K75" s="482">
        <v>1</v>
      </c>
      <c r="L75" s="290"/>
      <c r="M75" s="289"/>
      <c r="N75" s="289"/>
      <c r="O75" s="289"/>
      <c r="P75" s="289"/>
      <c r="Q75" s="289"/>
      <c r="R75" s="289"/>
    </row>
    <row r="76" spans="1:18" s="300" customFormat="1" ht="46.5" thickTop="1" thickBot="1" x14ac:dyDescent="0.25">
      <c r="A76" s="205"/>
      <c r="B76" s="561" t="s">
        <v>557</v>
      </c>
      <c r="C76" s="561" t="s">
        <v>202</v>
      </c>
      <c r="D76" s="561" t="s">
        <v>171</v>
      </c>
      <c r="E76" s="561" t="s">
        <v>34</v>
      </c>
      <c r="F76" s="543" t="s">
        <v>1435</v>
      </c>
      <c r="G76" s="479" t="s">
        <v>1345</v>
      </c>
      <c r="H76" s="479">
        <v>1102662</v>
      </c>
      <c r="I76" s="479">
        <f t="shared" si="6"/>
        <v>1083784</v>
      </c>
      <c r="J76" s="479">
        <f>((500000)+602662)-18878</f>
        <v>1083784</v>
      </c>
      <c r="K76" s="482">
        <v>1</v>
      </c>
      <c r="L76" s="290"/>
      <c r="M76" s="289"/>
      <c r="N76" s="289"/>
      <c r="O76" s="289"/>
      <c r="P76" s="289"/>
      <c r="Q76" s="289"/>
      <c r="R76" s="289"/>
    </row>
    <row r="77" spans="1:18" s="300" customFormat="1" ht="61.5" thickTop="1" thickBot="1" x14ac:dyDescent="0.25">
      <c r="A77" s="205"/>
      <c r="B77" s="561" t="s">
        <v>557</v>
      </c>
      <c r="C77" s="561" t="s">
        <v>202</v>
      </c>
      <c r="D77" s="561" t="s">
        <v>171</v>
      </c>
      <c r="E77" s="561" t="s">
        <v>34</v>
      </c>
      <c r="F77" s="543" t="s">
        <v>1429</v>
      </c>
      <c r="G77" s="479" t="s">
        <v>1345</v>
      </c>
      <c r="H77" s="479">
        <v>2295880</v>
      </c>
      <c r="I77" s="479">
        <f t="shared" si="6"/>
        <v>2272102</v>
      </c>
      <c r="J77" s="479">
        <f>((800000)+1495880)-23778</f>
        <v>2272102</v>
      </c>
      <c r="K77" s="482">
        <v>1</v>
      </c>
      <c r="L77" s="290"/>
      <c r="M77" s="289"/>
      <c r="N77" s="289"/>
      <c r="O77" s="289"/>
      <c r="P77" s="289"/>
      <c r="Q77" s="289"/>
      <c r="R77" s="289"/>
    </row>
    <row r="78" spans="1:18" s="300" customFormat="1" ht="46.5" thickTop="1" thickBot="1" x14ac:dyDescent="0.25">
      <c r="A78" s="205"/>
      <c r="B78" s="561" t="s">
        <v>557</v>
      </c>
      <c r="C78" s="561" t="s">
        <v>202</v>
      </c>
      <c r="D78" s="561" t="s">
        <v>171</v>
      </c>
      <c r="E78" s="561" t="s">
        <v>34</v>
      </c>
      <c r="F78" s="543" t="s">
        <v>1430</v>
      </c>
      <c r="G78" s="479" t="s">
        <v>1345</v>
      </c>
      <c r="H78" s="479">
        <v>130655</v>
      </c>
      <c r="I78" s="479">
        <f t="shared" si="6"/>
        <v>130655</v>
      </c>
      <c r="J78" s="479">
        <f>(119860)+10795</f>
        <v>130655</v>
      </c>
      <c r="K78" s="482">
        <f t="shared" ref="K78:K79" si="7">I78/H78</f>
        <v>1</v>
      </c>
      <c r="L78" s="290"/>
      <c r="M78" s="289"/>
      <c r="N78" s="289"/>
      <c r="O78" s="289"/>
      <c r="P78" s="289"/>
      <c r="Q78" s="289"/>
      <c r="R78" s="289"/>
    </row>
    <row r="79" spans="1:18" s="300" customFormat="1" ht="46.5" thickTop="1" thickBot="1" x14ac:dyDescent="0.25">
      <c r="A79" s="205"/>
      <c r="B79" s="561" t="s">
        <v>557</v>
      </c>
      <c r="C79" s="561" t="s">
        <v>202</v>
      </c>
      <c r="D79" s="561" t="s">
        <v>171</v>
      </c>
      <c r="E79" s="561" t="s">
        <v>34</v>
      </c>
      <c r="F79" s="543" t="s">
        <v>1431</v>
      </c>
      <c r="G79" s="479" t="s">
        <v>1345</v>
      </c>
      <c r="H79" s="479">
        <v>294266</v>
      </c>
      <c r="I79" s="479">
        <f t="shared" si="6"/>
        <v>294266</v>
      </c>
      <c r="J79" s="479">
        <f>(213380)+80886</f>
        <v>294266</v>
      </c>
      <c r="K79" s="482">
        <f t="shared" si="7"/>
        <v>1</v>
      </c>
      <c r="L79" s="290"/>
      <c r="M79" s="289"/>
      <c r="N79" s="289"/>
      <c r="O79" s="289"/>
      <c r="P79" s="289"/>
      <c r="Q79" s="289"/>
      <c r="R79" s="289"/>
    </row>
    <row r="80" spans="1:18" s="300" customFormat="1" ht="76.5" thickTop="1" thickBot="1" x14ac:dyDescent="0.25">
      <c r="A80" s="205"/>
      <c r="B80" s="561" t="s">
        <v>557</v>
      </c>
      <c r="C80" s="561" t="s">
        <v>202</v>
      </c>
      <c r="D80" s="561" t="s">
        <v>171</v>
      </c>
      <c r="E80" s="561" t="s">
        <v>34</v>
      </c>
      <c r="F80" s="543" t="s">
        <v>1432</v>
      </c>
      <c r="G80" s="479" t="s">
        <v>1345</v>
      </c>
      <c r="H80" s="479">
        <v>17944150</v>
      </c>
      <c r="I80" s="479">
        <f t="shared" si="6"/>
        <v>12818630</v>
      </c>
      <c r="J80" s="479">
        <f>((1425470)+16518680)-5125520</f>
        <v>12818630</v>
      </c>
      <c r="K80" s="482">
        <v>1</v>
      </c>
      <c r="L80" s="290"/>
      <c r="M80" s="289"/>
      <c r="N80" s="289"/>
      <c r="O80" s="289"/>
      <c r="P80" s="289"/>
      <c r="Q80" s="289"/>
      <c r="R80" s="289"/>
    </row>
    <row r="81" spans="1:18" s="300" customFormat="1" ht="61.5" thickTop="1" thickBot="1" x14ac:dyDescent="0.25">
      <c r="A81" s="205"/>
      <c r="B81" s="561" t="s">
        <v>557</v>
      </c>
      <c r="C81" s="561" t="s">
        <v>202</v>
      </c>
      <c r="D81" s="561" t="s">
        <v>171</v>
      </c>
      <c r="E81" s="561" t="s">
        <v>34</v>
      </c>
      <c r="F81" s="543" t="s">
        <v>1433</v>
      </c>
      <c r="G81" s="479" t="s">
        <v>1345</v>
      </c>
      <c r="H81" s="479">
        <v>5736181</v>
      </c>
      <c r="I81" s="479">
        <f t="shared" ref="I81:I83" si="8">0+J81</f>
        <v>3620845</v>
      </c>
      <c r="J81" s="479">
        <f>(800000)+2820845</f>
        <v>3620845</v>
      </c>
      <c r="K81" s="482">
        <f t="shared" ref="K81" si="9">I81/H81</f>
        <v>0.63122920981747266</v>
      </c>
      <c r="L81" s="290"/>
      <c r="M81" s="289"/>
      <c r="N81" s="289"/>
      <c r="O81" s="289"/>
      <c r="P81" s="289"/>
      <c r="Q81" s="289"/>
      <c r="R81" s="289"/>
    </row>
    <row r="82" spans="1:18" s="300" customFormat="1" ht="61.5" thickTop="1" thickBot="1" x14ac:dyDescent="0.25">
      <c r="A82" s="205"/>
      <c r="B82" s="561" t="s">
        <v>557</v>
      </c>
      <c r="C82" s="561" t="s">
        <v>202</v>
      </c>
      <c r="D82" s="561" t="s">
        <v>171</v>
      </c>
      <c r="E82" s="561" t="s">
        <v>34</v>
      </c>
      <c r="F82" s="543" t="s">
        <v>1434</v>
      </c>
      <c r="G82" s="479" t="s">
        <v>1345</v>
      </c>
      <c r="H82" s="479">
        <v>1063241</v>
      </c>
      <c r="I82" s="479">
        <f t="shared" si="8"/>
        <v>1038211</v>
      </c>
      <c r="J82" s="479">
        <f>((800000)+263241)-25030</f>
        <v>1038211</v>
      </c>
      <c r="K82" s="482">
        <v>1</v>
      </c>
      <c r="L82" s="290"/>
      <c r="M82" s="289"/>
      <c r="N82" s="289"/>
      <c r="O82" s="289"/>
      <c r="P82" s="289"/>
      <c r="Q82" s="289"/>
      <c r="R82" s="289"/>
    </row>
    <row r="83" spans="1:18" s="300" customFormat="1" ht="61.5" thickTop="1" thickBot="1" x14ac:dyDescent="0.25">
      <c r="A83" s="205"/>
      <c r="B83" s="561" t="s">
        <v>557</v>
      </c>
      <c r="C83" s="561" t="s">
        <v>202</v>
      </c>
      <c r="D83" s="561" t="s">
        <v>171</v>
      </c>
      <c r="E83" s="561" t="s">
        <v>34</v>
      </c>
      <c r="F83" s="543" t="s">
        <v>1436</v>
      </c>
      <c r="G83" s="479" t="s">
        <v>1345</v>
      </c>
      <c r="H83" s="479">
        <v>2915336</v>
      </c>
      <c r="I83" s="479">
        <f t="shared" si="8"/>
        <v>2915336</v>
      </c>
      <c r="J83" s="479">
        <v>2915336</v>
      </c>
      <c r="K83" s="482">
        <f>I83/H83</f>
        <v>1</v>
      </c>
      <c r="L83" s="290"/>
      <c r="M83" s="289"/>
      <c r="N83" s="289"/>
      <c r="O83" s="289"/>
      <c r="P83" s="289"/>
      <c r="Q83" s="289"/>
      <c r="R83" s="289"/>
    </row>
    <row r="84" spans="1:18" s="300" customFormat="1" ht="46.5" thickTop="1" thickBot="1" x14ac:dyDescent="0.25">
      <c r="A84" s="205"/>
      <c r="B84" s="561" t="s">
        <v>557</v>
      </c>
      <c r="C84" s="561" t="s">
        <v>202</v>
      </c>
      <c r="D84" s="561" t="s">
        <v>171</v>
      </c>
      <c r="E84" s="561" t="s">
        <v>34</v>
      </c>
      <c r="F84" s="543" t="s">
        <v>1437</v>
      </c>
      <c r="G84" s="479" t="s">
        <v>1328</v>
      </c>
      <c r="H84" s="479">
        <v>2163176</v>
      </c>
      <c r="I84" s="540">
        <f>333866.12+J84</f>
        <v>1475143</v>
      </c>
      <c r="J84" s="479">
        <f>778960+362316.88</f>
        <v>1141276.8799999999</v>
      </c>
      <c r="K84" s="482">
        <f>I84/H84</f>
        <v>0.68193387870427558</v>
      </c>
      <c r="L84" s="731" t="s">
        <v>1439</v>
      </c>
      <c r="M84" s="289"/>
      <c r="N84" s="289"/>
      <c r="O84" s="289"/>
      <c r="P84" s="289"/>
      <c r="Q84" s="289"/>
      <c r="R84" s="289"/>
    </row>
    <row r="85" spans="1:18" s="300" customFormat="1" ht="61.5" thickTop="1" thickBot="1" x14ac:dyDescent="0.25">
      <c r="A85" s="205"/>
      <c r="B85" s="561" t="s">
        <v>557</v>
      </c>
      <c r="C85" s="561" t="s">
        <v>202</v>
      </c>
      <c r="D85" s="561" t="s">
        <v>171</v>
      </c>
      <c r="E85" s="561" t="s">
        <v>34</v>
      </c>
      <c r="F85" s="543" t="s">
        <v>1438</v>
      </c>
      <c r="G85" s="479" t="s">
        <v>1328</v>
      </c>
      <c r="H85" s="479">
        <v>990371</v>
      </c>
      <c r="I85" s="540">
        <f>495172+J85</f>
        <v>602150</v>
      </c>
      <c r="J85" s="479">
        <v>106978</v>
      </c>
      <c r="K85" s="482">
        <f>I85/H85</f>
        <v>0.60800447509064781</v>
      </c>
      <c r="L85" s="731" t="s">
        <v>1439</v>
      </c>
      <c r="M85" s="289"/>
      <c r="N85" s="289"/>
      <c r="O85" s="289"/>
      <c r="P85" s="289"/>
      <c r="Q85" s="289"/>
      <c r="R85" s="289"/>
    </row>
    <row r="86" spans="1:18" s="300" customFormat="1" ht="76.5" thickTop="1" thickBot="1" x14ac:dyDescent="0.25">
      <c r="A86" s="205"/>
      <c r="B86" s="561" t="s">
        <v>557</v>
      </c>
      <c r="C86" s="561" t="s">
        <v>202</v>
      </c>
      <c r="D86" s="561" t="s">
        <v>171</v>
      </c>
      <c r="E86" s="561" t="s">
        <v>34</v>
      </c>
      <c r="F86" s="543" t="s">
        <v>1442</v>
      </c>
      <c r="G86" s="479" t="s">
        <v>1328</v>
      </c>
      <c r="H86" s="479">
        <v>3193463</v>
      </c>
      <c r="I86" s="540">
        <f>990793.71+J86</f>
        <v>2706428.58</v>
      </c>
      <c r="J86" s="479">
        <f>500000+1215634.87</f>
        <v>1715634.87</v>
      </c>
      <c r="K86" s="482">
        <f>I86/H86</f>
        <v>0.84749019481359267</v>
      </c>
      <c r="L86" s="731" t="s">
        <v>1439</v>
      </c>
      <c r="M86" s="289"/>
      <c r="N86" s="289"/>
      <c r="O86" s="289"/>
      <c r="P86" s="289"/>
      <c r="Q86" s="289"/>
      <c r="R86" s="289"/>
    </row>
    <row r="87" spans="1:18" s="300" customFormat="1" ht="91.5" hidden="1" thickTop="1" thickBot="1" x14ac:dyDescent="0.25">
      <c r="A87" s="205"/>
      <c r="B87" s="292" t="s">
        <v>557</v>
      </c>
      <c r="C87" s="292" t="s">
        <v>202</v>
      </c>
      <c r="D87" s="292" t="s">
        <v>171</v>
      </c>
      <c r="E87" s="292" t="s">
        <v>34</v>
      </c>
      <c r="F87" s="272" t="s">
        <v>1186</v>
      </c>
      <c r="G87" s="265" t="s">
        <v>1180</v>
      </c>
      <c r="H87" s="265">
        <v>3387286</v>
      </c>
      <c r="I87" s="265">
        <v>0</v>
      </c>
      <c r="J87" s="265">
        <f>(500000)-500000</f>
        <v>0</v>
      </c>
      <c r="K87" s="291">
        <f t="shared" si="5"/>
        <v>0</v>
      </c>
      <c r="L87" s="290"/>
      <c r="M87" s="289"/>
      <c r="N87" s="289"/>
      <c r="O87" s="289"/>
      <c r="P87" s="289"/>
      <c r="Q87" s="289"/>
      <c r="R87" s="289"/>
    </row>
    <row r="88" spans="1:18" s="300" customFormat="1" ht="91.5" hidden="1" thickTop="1" thickBot="1" x14ac:dyDescent="0.25">
      <c r="A88" s="205"/>
      <c r="B88" s="292" t="s">
        <v>557</v>
      </c>
      <c r="C88" s="292" t="s">
        <v>202</v>
      </c>
      <c r="D88" s="292" t="s">
        <v>171</v>
      </c>
      <c r="E88" s="292" t="s">
        <v>34</v>
      </c>
      <c r="F88" s="272" t="s">
        <v>1183</v>
      </c>
      <c r="G88" s="265" t="s">
        <v>1180</v>
      </c>
      <c r="H88" s="265">
        <v>5891152</v>
      </c>
      <c r="I88" s="265">
        <v>0</v>
      </c>
      <c r="J88" s="265">
        <f>(1000000)-1000000</f>
        <v>0</v>
      </c>
      <c r="K88" s="291">
        <f t="shared" si="5"/>
        <v>0</v>
      </c>
      <c r="L88" s="290"/>
      <c r="M88" s="289"/>
      <c r="N88" s="289"/>
      <c r="O88" s="289"/>
      <c r="P88" s="289"/>
      <c r="Q88" s="289"/>
      <c r="R88" s="289"/>
    </row>
    <row r="89" spans="1:18" s="300" customFormat="1" ht="46.5" thickTop="1" thickBot="1" x14ac:dyDescent="0.25">
      <c r="A89" s="205"/>
      <c r="B89" s="561" t="s">
        <v>557</v>
      </c>
      <c r="C89" s="561" t="s">
        <v>202</v>
      </c>
      <c r="D89" s="561" t="s">
        <v>171</v>
      </c>
      <c r="E89" s="561" t="s">
        <v>34</v>
      </c>
      <c r="F89" s="543" t="s">
        <v>1441</v>
      </c>
      <c r="G89" s="479" t="s">
        <v>1344</v>
      </c>
      <c r="H89" s="540">
        <v>1442309</v>
      </c>
      <c r="I89" s="540">
        <f>0+J89</f>
        <v>1165856.81</v>
      </c>
      <c r="J89" s="479">
        <v>1165856.81</v>
      </c>
      <c r="K89" s="482">
        <v>1</v>
      </c>
      <c r="L89" s="290"/>
      <c r="M89" s="289"/>
      <c r="N89" s="289"/>
      <c r="O89" s="289"/>
      <c r="P89" s="289"/>
      <c r="Q89" s="289"/>
      <c r="R89" s="289"/>
    </row>
    <row r="90" spans="1:18" s="300" customFormat="1" ht="61.5" thickTop="1" thickBot="1" x14ac:dyDescent="0.25">
      <c r="A90" s="205"/>
      <c r="B90" s="561" t="s">
        <v>557</v>
      </c>
      <c r="C90" s="561" t="s">
        <v>202</v>
      </c>
      <c r="D90" s="561" t="s">
        <v>171</v>
      </c>
      <c r="E90" s="561" t="s">
        <v>34</v>
      </c>
      <c r="F90" s="543" t="s">
        <v>1456</v>
      </c>
      <c r="G90" s="479" t="s">
        <v>955</v>
      </c>
      <c r="H90" s="540">
        <v>21842639</v>
      </c>
      <c r="I90" s="540">
        <f>3147154.85+J90</f>
        <v>9252879.8499999996</v>
      </c>
      <c r="J90" s="479">
        <f>(5891152)+214573</f>
        <v>6105725</v>
      </c>
      <c r="K90" s="482">
        <f t="shared" ref="K90:K95" si="10">I90/H90</f>
        <v>0.42361547292888918</v>
      </c>
      <c r="L90" s="290"/>
      <c r="M90" s="289"/>
      <c r="N90" s="289"/>
      <c r="O90" s="289"/>
      <c r="P90" s="289"/>
      <c r="Q90" s="289"/>
      <c r="R90" s="289"/>
    </row>
    <row r="91" spans="1:18" s="300" customFormat="1" ht="46.5" thickTop="1" thickBot="1" x14ac:dyDescent="0.25">
      <c r="A91" s="205"/>
      <c r="B91" s="561" t="s">
        <v>557</v>
      </c>
      <c r="C91" s="561" t="s">
        <v>202</v>
      </c>
      <c r="D91" s="561" t="s">
        <v>171</v>
      </c>
      <c r="E91" s="561" t="s">
        <v>34</v>
      </c>
      <c r="F91" s="543" t="s">
        <v>1549</v>
      </c>
      <c r="G91" s="479" t="s">
        <v>1345</v>
      </c>
      <c r="H91" s="540">
        <v>428388</v>
      </c>
      <c r="I91" s="540">
        <v>428388</v>
      </c>
      <c r="J91" s="479">
        <v>428388</v>
      </c>
      <c r="K91" s="482">
        <f t="shared" si="10"/>
        <v>1</v>
      </c>
      <c r="L91" s="290"/>
      <c r="M91" s="289"/>
      <c r="N91" s="289"/>
      <c r="O91" s="289"/>
      <c r="P91" s="289"/>
      <c r="Q91" s="289"/>
      <c r="R91" s="289"/>
    </row>
    <row r="92" spans="1:18" s="300" customFormat="1" ht="46.5" thickTop="1" thickBot="1" x14ac:dyDescent="0.25">
      <c r="A92" s="205"/>
      <c r="B92" s="561" t="s">
        <v>557</v>
      </c>
      <c r="C92" s="561" t="s">
        <v>202</v>
      </c>
      <c r="D92" s="561" t="s">
        <v>171</v>
      </c>
      <c r="E92" s="561" t="s">
        <v>34</v>
      </c>
      <c r="F92" s="543" t="s">
        <v>1549</v>
      </c>
      <c r="G92" s="479" t="s">
        <v>1345</v>
      </c>
      <c r="H92" s="540">
        <v>3122498</v>
      </c>
      <c r="I92" s="540">
        <v>3122498</v>
      </c>
      <c r="J92" s="479">
        <v>3122498</v>
      </c>
      <c r="K92" s="482">
        <f t="shared" si="10"/>
        <v>1</v>
      </c>
      <c r="L92" s="290"/>
      <c r="M92" s="289"/>
      <c r="N92" s="289"/>
      <c r="O92" s="289"/>
      <c r="P92" s="289"/>
      <c r="Q92" s="289"/>
      <c r="R92" s="289"/>
    </row>
    <row r="93" spans="1:18" s="300" customFormat="1" ht="31.5" thickTop="1" thickBot="1" x14ac:dyDescent="0.25">
      <c r="A93" s="205"/>
      <c r="B93" s="561" t="s">
        <v>557</v>
      </c>
      <c r="C93" s="561" t="s">
        <v>202</v>
      </c>
      <c r="D93" s="561" t="s">
        <v>171</v>
      </c>
      <c r="E93" s="561" t="s">
        <v>34</v>
      </c>
      <c r="F93" s="543" t="s">
        <v>1550</v>
      </c>
      <c r="G93" s="479" t="s">
        <v>1345</v>
      </c>
      <c r="H93" s="540">
        <v>738847</v>
      </c>
      <c r="I93" s="540">
        <v>738847</v>
      </c>
      <c r="J93" s="479">
        <v>738847</v>
      </c>
      <c r="K93" s="482">
        <f t="shared" si="10"/>
        <v>1</v>
      </c>
      <c r="L93" s="290"/>
      <c r="M93" s="289"/>
      <c r="N93" s="289"/>
      <c r="O93" s="289"/>
      <c r="P93" s="289"/>
      <c r="Q93" s="289"/>
      <c r="R93" s="289"/>
    </row>
    <row r="94" spans="1:18" s="300" customFormat="1" ht="31.5" thickTop="1" thickBot="1" x14ac:dyDescent="0.25">
      <c r="A94" s="205"/>
      <c r="B94" s="561" t="s">
        <v>557</v>
      </c>
      <c r="C94" s="561" t="s">
        <v>202</v>
      </c>
      <c r="D94" s="561" t="s">
        <v>171</v>
      </c>
      <c r="E94" s="561" t="s">
        <v>34</v>
      </c>
      <c r="F94" s="543" t="s">
        <v>1551</v>
      </c>
      <c r="G94" s="479" t="s">
        <v>1345</v>
      </c>
      <c r="H94" s="540">
        <v>499889</v>
      </c>
      <c r="I94" s="540">
        <v>499889</v>
      </c>
      <c r="J94" s="479">
        <v>499889</v>
      </c>
      <c r="K94" s="482">
        <f t="shared" si="10"/>
        <v>1</v>
      </c>
      <c r="L94" s="290"/>
      <c r="M94" s="289"/>
      <c r="N94" s="289"/>
      <c r="O94" s="289"/>
      <c r="P94" s="289"/>
      <c r="Q94" s="289"/>
      <c r="R94" s="289"/>
    </row>
    <row r="95" spans="1:18" s="300" customFormat="1" ht="61.5" thickTop="1" thickBot="1" x14ac:dyDescent="0.25">
      <c r="A95" s="205"/>
      <c r="B95" s="561" t="s">
        <v>557</v>
      </c>
      <c r="C95" s="561" t="s">
        <v>202</v>
      </c>
      <c r="D95" s="561" t="s">
        <v>171</v>
      </c>
      <c r="E95" s="561" t="s">
        <v>34</v>
      </c>
      <c r="F95" s="543" t="s">
        <v>1552</v>
      </c>
      <c r="G95" s="479" t="s">
        <v>1345</v>
      </c>
      <c r="H95" s="540">
        <v>923291</v>
      </c>
      <c r="I95" s="540">
        <v>923291</v>
      </c>
      <c r="J95" s="479">
        <v>923291</v>
      </c>
      <c r="K95" s="482">
        <f t="shared" si="10"/>
        <v>1</v>
      </c>
      <c r="L95" s="290"/>
      <c r="M95" s="289"/>
      <c r="N95" s="289"/>
      <c r="O95" s="289"/>
      <c r="P95" s="289"/>
      <c r="Q95" s="289"/>
      <c r="R95" s="289"/>
    </row>
    <row r="96" spans="1:18" s="300" customFormat="1" ht="76.5" hidden="1" thickTop="1" thickBot="1" x14ac:dyDescent="0.25">
      <c r="A96" s="205"/>
      <c r="B96" s="292" t="s">
        <v>557</v>
      </c>
      <c r="C96" s="292" t="s">
        <v>202</v>
      </c>
      <c r="D96" s="292" t="s">
        <v>171</v>
      </c>
      <c r="E96" s="292" t="s">
        <v>34</v>
      </c>
      <c r="F96" s="272" t="s">
        <v>918</v>
      </c>
      <c r="G96" s="273" t="s">
        <v>1012</v>
      </c>
      <c r="H96" s="265">
        <v>2924077</v>
      </c>
      <c r="I96" s="265">
        <v>100000</v>
      </c>
      <c r="J96" s="265">
        <f>(500000)-500000</f>
        <v>0</v>
      </c>
      <c r="K96" s="291">
        <f t="shared" si="5"/>
        <v>3.4198825817514385E-2</v>
      </c>
      <c r="L96" s="290"/>
      <c r="M96" s="289"/>
      <c r="N96" s="289"/>
      <c r="O96" s="289"/>
      <c r="P96" s="289"/>
      <c r="Q96" s="289"/>
      <c r="R96" s="289"/>
    </row>
    <row r="97" spans="1:18" ht="46.5" thickTop="1" thickBot="1" x14ac:dyDescent="0.25">
      <c r="B97" s="494" t="s">
        <v>25</v>
      </c>
      <c r="C97" s="494"/>
      <c r="D97" s="494"/>
      <c r="E97" s="495" t="s">
        <v>904</v>
      </c>
      <c r="F97" s="494"/>
      <c r="G97" s="494"/>
      <c r="H97" s="496">
        <f>H98</f>
        <v>890507060</v>
      </c>
      <c r="I97" s="496">
        <f>I98</f>
        <v>381482944.26000011</v>
      </c>
      <c r="J97" s="496">
        <f>J98</f>
        <v>46565076</v>
      </c>
      <c r="K97" s="497"/>
      <c r="L97" s="295"/>
      <c r="M97" s="245"/>
      <c r="N97" s="245"/>
      <c r="O97" s="245"/>
      <c r="P97" s="245"/>
      <c r="Q97" s="245"/>
      <c r="R97" s="245"/>
    </row>
    <row r="98" spans="1:18" ht="63" customHeight="1" thickTop="1" thickBot="1" x14ac:dyDescent="0.25">
      <c r="B98" s="498" t="s">
        <v>26</v>
      </c>
      <c r="C98" s="498"/>
      <c r="D98" s="498"/>
      <c r="E98" s="499" t="s">
        <v>905</v>
      </c>
      <c r="F98" s="498"/>
      <c r="G98" s="498"/>
      <c r="H98" s="500">
        <f>SUM(H99:H112)</f>
        <v>890507060</v>
      </c>
      <c r="I98" s="500">
        <f>SUM(I99:I112)</f>
        <v>381482944.26000011</v>
      </c>
      <c r="J98" s="500">
        <f>SUM(J99:J112)</f>
        <v>46565076</v>
      </c>
      <c r="K98" s="501"/>
      <c r="L98" s="295"/>
      <c r="M98" s="245"/>
      <c r="N98" s="245"/>
      <c r="O98" s="245"/>
      <c r="P98" s="245"/>
      <c r="Q98" s="245"/>
      <c r="R98" s="245"/>
    </row>
    <row r="99" spans="1:18" ht="91.5" thickTop="1" thickBot="1" x14ac:dyDescent="0.25">
      <c r="A99" s="480"/>
      <c r="B99" s="563" t="s">
        <v>438</v>
      </c>
      <c r="C99" s="563" t="s">
        <v>439</v>
      </c>
      <c r="D99" s="563" t="s">
        <v>200</v>
      </c>
      <c r="E99" s="563" t="s">
        <v>1226</v>
      </c>
      <c r="F99" s="477" t="s">
        <v>1164</v>
      </c>
      <c r="G99" s="479" t="s">
        <v>1166</v>
      </c>
      <c r="H99" s="479">
        <v>448128773</v>
      </c>
      <c r="I99" s="479">
        <f>287427907.48+3866315.08+J99</f>
        <v>294294222.56</v>
      </c>
      <c r="J99" s="479">
        <v>3000000</v>
      </c>
      <c r="K99" s="562">
        <f t="shared" ref="K99:K112" si="11">I99/H99</f>
        <v>0.65671797994546532</v>
      </c>
      <c r="L99" s="295"/>
      <c r="M99" s="245"/>
      <c r="N99" s="245"/>
      <c r="O99" s="245"/>
      <c r="P99" s="245"/>
      <c r="Q99" s="245"/>
      <c r="R99" s="245"/>
    </row>
    <row r="100" spans="1:18" ht="61.5" thickTop="1" thickBot="1" x14ac:dyDescent="0.25">
      <c r="A100" s="480"/>
      <c r="B100" s="563" t="s">
        <v>940</v>
      </c>
      <c r="C100" s="563" t="s">
        <v>310</v>
      </c>
      <c r="D100" s="563" t="s">
        <v>309</v>
      </c>
      <c r="E100" s="563" t="s">
        <v>474</v>
      </c>
      <c r="F100" s="564" t="s">
        <v>1165</v>
      </c>
      <c r="G100" s="479" t="s">
        <v>1353</v>
      </c>
      <c r="H100" s="479">
        <v>6293206</v>
      </c>
      <c r="I100" s="540">
        <f>1639036.69+J100</f>
        <v>6139036.6899999995</v>
      </c>
      <c r="J100" s="479">
        <f>(100000+1000000)+3400000</f>
        <v>4500000</v>
      </c>
      <c r="K100" s="562">
        <f t="shared" si="11"/>
        <v>0.97550226228094228</v>
      </c>
      <c r="L100" s="747">
        <f>1639037+J100</f>
        <v>6139037</v>
      </c>
      <c r="M100" s="245"/>
      <c r="N100" s="245"/>
      <c r="O100" s="245"/>
      <c r="P100" s="245"/>
      <c r="Q100" s="245"/>
      <c r="R100" s="245"/>
    </row>
    <row r="101" spans="1:18" ht="76.5" thickTop="1" thickBot="1" x14ac:dyDescent="0.25">
      <c r="A101" s="480"/>
      <c r="B101" s="563" t="s">
        <v>315</v>
      </c>
      <c r="C101" s="563" t="s">
        <v>316</v>
      </c>
      <c r="D101" s="563" t="s">
        <v>309</v>
      </c>
      <c r="E101" s="563" t="s">
        <v>314</v>
      </c>
      <c r="F101" s="564" t="s">
        <v>953</v>
      </c>
      <c r="G101" s="479" t="s">
        <v>1166</v>
      </c>
      <c r="H101" s="479">
        <f>9300000+10829899</f>
        <v>20129899</v>
      </c>
      <c r="I101" s="540">
        <f>7572904.16+J101</f>
        <v>9772904.1600000001</v>
      </c>
      <c r="J101" s="479">
        <f>200000+2000000</f>
        <v>2200000</v>
      </c>
      <c r="K101" s="562">
        <f t="shared" si="11"/>
        <v>0.48549196198152811</v>
      </c>
      <c r="L101" s="747">
        <f>7572904+J101</f>
        <v>9772904</v>
      </c>
      <c r="M101" s="245"/>
      <c r="N101" s="245"/>
      <c r="O101" s="245"/>
      <c r="P101" s="245"/>
      <c r="Q101" s="245"/>
      <c r="R101" s="245"/>
    </row>
    <row r="102" spans="1:18" ht="46.5" hidden="1" thickTop="1" thickBot="1" x14ac:dyDescent="0.25">
      <c r="A102" s="480"/>
      <c r="B102" s="563" t="s">
        <v>315</v>
      </c>
      <c r="C102" s="563" t="s">
        <v>316</v>
      </c>
      <c r="D102" s="563" t="s">
        <v>309</v>
      </c>
      <c r="E102" s="563" t="s">
        <v>314</v>
      </c>
      <c r="F102" s="564" t="s">
        <v>1459</v>
      </c>
      <c r="G102" s="479" t="s">
        <v>1460</v>
      </c>
      <c r="H102" s="479">
        <f>56437448-56437448</f>
        <v>0</v>
      </c>
      <c r="I102" s="540">
        <f>48973733.31+J102-48973733.31</f>
        <v>0</v>
      </c>
      <c r="J102" s="479">
        <f>(2000000)-2000000</f>
        <v>0</v>
      </c>
      <c r="K102" s="562" t="e">
        <f>I102/H102</f>
        <v>#DIV/0!</v>
      </c>
      <c r="L102" s="747">
        <f>28071676+15122869+2857360+1500000+1458181+J102</f>
        <v>49010086</v>
      </c>
      <c r="M102" s="748"/>
      <c r="N102" s="245"/>
      <c r="O102" s="245"/>
      <c r="P102" s="245"/>
      <c r="Q102" s="245"/>
      <c r="R102" s="245"/>
    </row>
    <row r="103" spans="1:18" ht="61.5" hidden="1" thickTop="1" thickBot="1" x14ac:dyDescent="0.25">
      <c r="A103" s="480"/>
      <c r="B103" s="563" t="s">
        <v>315</v>
      </c>
      <c r="C103" s="563" t="s">
        <v>316</v>
      </c>
      <c r="D103" s="563" t="s">
        <v>309</v>
      </c>
      <c r="E103" s="563" t="s">
        <v>314</v>
      </c>
      <c r="F103" s="564" t="s">
        <v>1461</v>
      </c>
      <c r="G103" s="479" t="s">
        <v>1462</v>
      </c>
      <c r="H103" s="479">
        <f>34056704-34056704</f>
        <v>0</v>
      </c>
      <c r="I103" s="540">
        <f>24032981.17+J103-24032981.17</f>
        <v>0</v>
      </c>
      <c r="J103" s="479">
        <f>1000000-1000000</f>
        <v>0</v>
      </c>
      <c r="K103" s="562" t="e">
        <f>I103/H103</f>
        <v>#DIV/0!</v>
      </c>
      <c r="L103" s="747">
        <f>13051785+7748088+1427600+2095030-176100+J103</f>
        <v>24146403</v>
      </c>
      <c r="M103" s="748"/>
      <c r="N103" s="245"/>
      <c r="O103" s="245"/>
      <c r="P103" s="245"/>
      <c r="Q103" s="245"/>
      <c r="R103" s="245"/>
    </row>
    <row r="104" spans="1:18" ht="69.75" customHeight="1" thickTop="1" thickBot="1" x14ac:dyDescent="0.25">
      <c r="B104" s="563" t="s">
        <v>521</v>
      </c>
      <c r="C104" s="563" t="s">
        <v>522</v>
      </c>
      <c r="D104" s="563" t="s">
        <v>309</v>
      </c>
      <c r="E104" s="563" t="s">
        <v>1350</v>
      </c>
      <c r="F104" s="564" t="s">
        <v>528</v>
      </c>
      <c r="G104" s="479" t="s">
        <v>955</v>
      </c>
      <c r="H104" s="479">
        <v>21098584</v>
      </c>
      <c r="I104" s="540">
        <f>729041.07+1594.6+J104</f>
        <v>2130635.67</v>
      </c>
      <c r="J104" s="479">
        <f>500000+900000</f>
        <v>1400000</v>
      </c>
      <c r="K104" s="562">
        <f>I104/H104</f>
        <v>0.10098477082632654</v>
      </c>
      <c r="L104" s="747">
        <f>730636+J104</f>
        <v>2130636</v>
      </c>
      <c r="M104" s="245"/>
      <c r="N104" s="245"/>
      <c r="O104" s="245"/>
      <c r="P104" s="245"/>
      <c r="Q104" s="245"/>
      <c r="R104" s="245"/>
    </row>
    <row r="105" spans="1:18" ht="61.5" thickTop="1" thickBot="1" x14ac:dyDescent="0.25">
      <c r="B105" s="563" t="s">
        <v>319</v>
      </c>
      <c r="C105" s="563" t="s">
        <v>320</v>
      </c>
      <c r="D105" s="563" t="s">
        <v>309</v>
      </c>
      <c r="E105" s="563" t="s">
        <v>467</v>
      </c>
      <c r="F105" s="566" t="s">
        <v>1167</v>
      </c>
      <c r="G105" s="479" t="s">
        <v>956</v>
      </c>
      <c r="H105" s="479">
        <v>15423995</v>
      </c>
      <c r="I105" s="540">
        <f>211261.75+1743.5+J105</f>
        <v>663787.25</v>
      </c>
      <c r="J105" s="479">
        <f>100000+350782</f>
        <v>450782</v>
      </c>
      <c r="K105" s="562">
        <f t="shared" si="11"/>
        <v>4.3036013043313358E-2</v>
      </c>
      <c r="L105" s="747">
        <f>213005+J105</f>
        <v>663787</v>
      </c>
      <c r="M105" s="245"/>
      <c r="N105" s="245"/>
      <c r="O105" s="245"/>
      <c r="P105" s="245"/>
      <c r="Q105" s="245"/>
      <c r="R105" s="245"/>
    </row>
    <row r="106" spans="1:18" ht="92.25" customHeight="1" thickTop="1" thickBot="1" x14ac:dyDescent="0.25">
      <c r="B106" s="563" t="s">
        <v>319</v>
      </c>
      <c r="C106" s="563" t="s">
        <v>320</v>
      </c>
      <c r="D106" s="563" t="s">
        <v>309</v>
      </c>
      <c r="E106" s="563" t="s">
        <v>467</v>
      </c>
      <c r="F106" s="566" t="s">
        <v>1168</v>
      </c>
      <c r="G106" s="479" t="s">
        <v>1166</v>
      </c>
      <c r="H106" s="479">
        <v>14473674</v>
      </c>
      <c r="I106" s="540">
        <f>8250400.29+J106</f>
        <v>14473674.289999999</v>
      </c>
      <c r="J106" s="479">
        <f>(100000+1760720)+4362554</f>
        <v>6223274</v>
      </c>
      <c r="K106" s="562">
        <f t="shared" si="11"/>
        <v>1.0000000200363777</v>
      </c>
      <c r="L106" s="747">
        <f>8250400+J106</f>
        <v>14473674</v>
      </c>
      <c r="M106" s="245"/>
      <c r="N106" s="245"/>
      <c r="O106" s="245"/>
      <c r="P106" s="245"/>
      <c r="Q106" s="245"/>
      <c r="R106" s="245"/>
    </row>
    <row r="107" spans="1:18" ht="46.5" thickTop="1" thickBot="1" x14ac:dyDescent="0.25">
      <c r="B107" s="563" t="s">
        <v>319</v>
      </c>
      <c r="C107" s="563" t="s">
        <v>320</v>
      </c>
      <c r="D107" s="563" t="s">
        <v>309</v>
      </c>
      <c r="E107" s="563" t="s">
        <v>467</v>
      </c>
      <c r="F107" s="566" t="s">
        <v>1532</v>
      </c>
      <c r="G107" s="479" t="s">
        <v>954</v>
      </c>
      <c r="H107" s="479">
        <v>80787509</v>
      </c>
      <c r="I107" s="540">
        <f>1618673.51+31922.71+J107</f>
        <v>2046000.22</v>
      </c>
      <c r="J107" s="479">
        <f>(270000)+125404</f>
        <v>395404</v>
      </c>
      <c r="K107" s="562">
        <f t="shared" si="11"/>
        <v>2.5325700041079369E-2</v>
      </c>
      <c r="L107" s="747">
        <f>1618674+J107</f>
        <v>2014078</v>
      </c>
      <c r="M107" s="245"/>
      <c r="N107" s="245"/>
      <c r="O107" s="245"/>
      <c r="P107" s="245"/>
      <c r="Q107" s="245"/>
      <c r="R107" s="245"/>
    </row>
    <row r="108" spans="1:18" ht="46.5" thickTop="1" thickBot="1" x14ac:dyDescent="0.25">
      <c r="B108" s="563" t="s">
        <v>319</v>
      </c>
      <c r="C108" s="563" t="s">
        <v>320</v>
      </c>
      <c r="D108" s="563" t="s">
        <v>309</v>
      </c>
      <c r="E108" s="563" t="s">
        <v>467</v>
      </c>
      <c r="F108" s="565" t="s">
        <v>1278</v>
      </c>
      <c r="G108" s="479" t="s">
        <v>956</v>
      </c>
      <c r="H108" s="479">
        <v>65017720</v>
      </c>
      <c r="I108" s="540">
        <f>22468487.3+J108</f>
        <v>24568487.300000001</v>
      </c>
      <c r="J108" s="479">
        <f>100000+2000000</f>
        <v>2100000</v>
      </c>
      <c r="K108" s="562">
        <f t="shared" si="11"/>
        <v>0.37787371350456461</v>
      </c>
      <c r="L108" s="747">
        <f>22468487+J108</f>
        <v>24568487</v>
      </c>
      <c r="M108" s="245"/>
      <c r="N108" s="245"/>
      <c r="O108" s="245"/>
      <c r="P108" s="245"/>
      <c r="Q108" s="245"/>
      <c r="R108" s="245"/>
    </row>
    <row r="109" spans="1:18" ht="76.5" thickTop="1" thickBot="1" x14ac:dyDescent="0.25">
      <c r="B109" s="563" t="s">
        <v>319</v>
      </c>
      <c r="C109" s="563" t="s">
        <v>320</v>
      </c>
      <c r="D109" s="563" t="s">
        <v>309</v>
      </c>
      <c r="E109" s="563" t="s">
        <v>467</v>
      </c>
      <c r="F109" s="565" t="s">
        <v>1352</v>
      </c>
      <c r="G109" s="479" t="s">
        <v>1354</v>
      </c>
      <c r="H109" s="479">
        <v>14225016</v>
      </c>
      <c r="I109" s="540">
        <f>49956+33089.84+J109</f>
        <v>133045.84</v>
      </c>
      <c r="J109" s="479">
        <v>50000</v>
      </c>
      <c r="K109" s="562">
        <f t="shared" si="11"/>
        <v>9.3529483552074744E-3</v>
      </c>
      <c r="L109" s="747">
        <f>83046+J109</f>
        <v>133046</v>
      </c>
      <c r="M109" s="245"/>
      <c r="N109" s="245"/>
      <c r="O109" s="245"/>
      <c r="P109" s="245"/>
      <c r="Q109" s="245"/>
      <c r="R109" s="245"/>
    </row>
    <row r="110" spans="1:18" ht="61.5" thickTop="1" thickBot="1" x14ac:dyDescent="0.25">
      <c r="B110" s="563" t="s">
        <v>319</v>
      </c>
      <c r="C110" s="563" t="s">
        <v>320</v>
      </c>
      <c r="D110" s="563" t="s">
        <v>309</v>
      </c>
      <c r="E110" s="563" t="s">
        <v>467</v>
      </c>
      <c r="F110" s="565" t="s">
        <v>1351</v>
      </c>
      <c r="G110" s="540" t="s">
        <v>955</v>
      </c>
      <c r="H110" s="540">
        <v>44940000</v>
      </c>
      <c r="I110" s="540">
        <f>151662+J110</f>
        <v>13485988</v>
      </c>
      <c r="J110" s="479">
        <f>(1000000+2334326)+10000000</f>
        <v>13334326</v>
      </c>
      <c r="K110" s="562">
        <f t="shared" si="11"/>
        <v>0.30008874054294615</v>
      </c>
      <c r="L110" s="747">
        <f>151662+J110</f>
        <v>13485988</v>
      </c>
      <c r="M110" s="245"/>
      <c r="N110" s="245"/>
      <c r="O110" s="245"/>
      <c r="P110" s="245"/>
      <c r="Q110" s="245"/>
      <c r="R110" s="245"/>
    </row>
    <row r="111" spans="1:18" ht="61.5" thickTop="1" thickBot="1" x14ac:dyDescent="0.25">
      <c r="B111" s="703" t="s">
        <v>319</v>
      </c>
      <c r="C111" s="703" t="s">
        <v>320</v>
      </c>
      <c r="D111" s="703" t="s">
        <v>309</v>
      </c>
      <c r="E111" s="703" t="s">
        <v>467</v>
      </c>
      <c r="F111" s="704" t="s">
        <v>1402</v>
      </c>
      <c r="G111" s="540" t="s">
        <v>1403</v>
      </c>
      <c r="H111" s="540">
        <v>2848861</v>
      </c>
      <c r="I111" s="540">
        <f>102794.48+J111</f>
        <v>2848861.48</v>
      </c>
      <c r="J111" s="540">
        <f>(2000000)+746067</f>
        <v>2746067</v>
      </c>
      <c r="K111" s="705">
        <f t="shared" si="11"/>
        <v>1.0000001684883888</v>
      </c>
      <c r="L111" s="747">
        <f>102794+J111</f>
        <v>2848861</v>
      </c>
      <c r="M111" s="245"/>
      <c r="N111" s="245"/>
      <c r="O111" s="245"/>
      <c r="P111" s="245"/>
      <c r="Q111" s="245"/>
      <c r="R111" s="245"/>
    </row>
    <row r="112" spans="1:18" ht="76.5" thickTop="1" thickBot="1" x14ac:dyDescent="0.25">
      <c r="B112" s="563" t="s">
        <v>319</v>
      </c>
      <c r="C112" s="563" t="s">
        <v>320</v>
      </c>
      <c r="D112" s="563" t="s">
        <v>309</v>
      </c>
      <c r="E112" s="563" t="s">
        <v>467</v>
      </c>
      <c r="F112" s="565" t="s">
        <v>1169</v>
      </c>
      <c r="G112" s="540" t="s">
        <v>955</v>
      </c>
      <c r="H112" s="479">
        <v>157139823</v>
      </c>
      <c r="I112" s="540">
        <f>761077.8+J112</f>
        <v>10926300.800000001</v>
      </c>
      <c r="J112" s="479">
        <f>(130000+35223)+10000000</f>
        <v>10165223</v>
      </c>
      <c r="K112" s="562">
        <f t="shared" si="11"/>
        <v>6.953234763411946E-2</v>
      </c>
      <c r="L112" s="747">
        <f>4088+756990+J112</f>
        <v>10926301</v>
      </c>
      <c r="M112" s="245"/>
      <c r="N112" s="245"/>
      <c r="O112" s="245"/>
      <c r="P112" s="245"/>
      <c r="Q112" s="245"/>
      <c r="R112" s="245"/>
    </row>
    <row r="113" spans="1:18" ht="21.75" thickTop="1" thickBot="1" x14ac:dyDescent="0.25">
      <c r="A113" s="298"/>
      <c r="B113" s="660" t="s">
        <v>386</v>
      </c>
      <c r="C113" s="660" t="s">
        <v>386</v>
      </c>
      <c r="D113" s="660" t="s">
        <v>386</v>
      </c>
      <c r="E113" s="660" t="s">
        <v>388</v>
      </c>
      <c r="F113" s="660" t="s">
        <v>386</v>
      </c>
      <c r="G113" s="660" t="s">
        <v>386</v>
      </c>
      <c r="H113" s="660">
        <f>H97+H54+H45+H31+H19</f>
        <v>1128630057.75</v>
      </c>
      <c r="I113" s="660">
        <f t="shared" ref="I113:J113" si="12">I97+I54+I45+I31+I19</f>
        <v>573089671.76000011</v>
      </c>
      <c r="J113" s="660">
        <f t="shared" si="12"/>
        <v>193419969.30999997</v>
      </c>
      <c r="K113" s="660" t="s">
        <v>386</v>
      </c>
      <c r="L113" s="856" t="b">
        <f>H113=H112+H111+H110+H109+H108+H107+H106+H105+H104+H101+H100+H99+H95+H94+H93+H92+H91+H90+H89+H86+H85+H84+H83+H82+H81+H80+H79+H78+H77+H76+H75+H74+H73+H72+H70+H68+H63+H56+H48+H47+H36+H35+H29+H28+H27+H26+H25+H24+H23+H22+H21</f>
        <v>1</v>
      </c>
      <c r="M113" s="856" t="b">
        <f>I113=I112+I111+I110+I109+I108+I107+I106+I105+I104+I101+I100+I99+I95+I94+I93+I92+I91+I90+I89+I86+I85+I84+I83+I82+I81+I80+I79+I78+I77+I76+I75+I74+I73+I72+I70+I68+I63+I56+I48+I47+I36+I35+I29+I28+I27+I26+I25+I24+I23+I22+I21</f>
        <v>1</v>
      </c>
      <c r="N113" s="856" t="b">
        <f>J113=J112+J111+J110+J109+J108+J107+J106+J105+J104+J101+J100+J99+J95+J94+J93+J92+J91+J90+J89+J86+J85+J84+J83+J82+J81+J80+J79+J78+J77+J76+J75+J74+J73+J72+J70+J68+J63+J56+J48+J47+J36+J35+J29+J28+J27+J26+J25+J24+J23+J22+J21</f>
        <v>1</v>
      </c>
      <c r="O113" s="639"/>
      <c r="P113" s="639"/>
      <c r="Q113" s="639"/>
      <c r="R113" s="639"/>
    </row>
    <row r="114" spans="1:18" ht="16.5" thickTop="1" x14ac:dyDescent="0.2">
      <c r="B114" s="1001" t="s">
        <v>1356</v>
      </c>
      <c r="C114" s="973"/>
      <c r="D114" s="973"/>
      <c r="E114" s="973"/>
      <c r="F114" s="973"/>
      <c r="G114" s="973"/>
      <c r="H114" s="973"/>
      <c r="I114" s="973"/>
      <c r="J114" s="973"/>
      <c r="K114" s="973"/>
      <c r="L114" s="1002"/>
      <c r="M114" s="1002"/>
      <c r="N114" s="1002"/>
      <c r="O114" s="1002"/>
      <c r="P114" s="1002"/>
      <c r="Q114" s="1002"/>
      <c r="R114" s="1002"/>
    </row>
    <row r="115" spans="1:18" ht="3.75" customHeight="1" x14ac:dyDescent="0.2">
      <c r="B115" s="1003"/>
      <c r="C115" s="1003"/>
      <c r="D115" s="1003"/>
      <c r="E115" s="1003"/>
      <c r="F115" s="1003"/>
      <c r="G115" s="1003"/>
      <c r="H115" s="1003"/>
      <c r="I115" s="1003"/>
      <c r="J115" s="1003"/>
      <c r="K115" s="1003"/>
      <c r="L115" s="480"/>
      <c r="M115" s="480"/>
      <c r="N115" s="480"/>
      <c r="O115" s="480"/>
      <c r="P115" s="480"/>
      <c r="Q115" s="480"/>
      <c r="R115" s="480"/>
    </row>
    <row r="116" spans="1:18" ht="15" customHeight="1" x14ac:dyDescent="0.25">
      <c r="B116" s="472"/>
      <c r="C116" s="472"/>
      <c r="D116" s="960" t="s">
        <v>1558</v>
      </c>
      <c r="E116" s="1000"/>
      <c r="F116" s="1076"/>
      <c r="G116" s="1076" t="s">
        <v>1559</v>
      </c>
      <c r="H116" s="569"/>
      <c r="I116" s="570"/>
      <c r="J116" s="570"/>
      <c r="K116" s="571"/>
      <c r="L116" s="480"/>
      <c r="M116" s="480"/>
      <c r="N116" s="480"/>
      <c r="O116" s="480"/>
      <c r="P116" s="480"/>
      <c r="Q116" s="480"/>
      <c r="R116" s="480"/>
    </row>
    <row r="117" spans="1:18" ht="15" x14ac:dyDescent="0.25">
      <c r="B117" s="472"/>
      <c r="C117" s="472"/>
      <c r="D117" s="532"/>
      <c r="E117" s="532"/>
      <c r="F117" s="532"/>
      <c r="G117" s="532"/>
      <c r="H117" s="569"/>
      <c r="I117" s="569"/>
      <c r="J117" s="572"/>
      <c r="K117" s="572"/>
      <c r="L117" s="480"/>
      <c r="M117" s="480"/>
      <c r="N117" s="480"/>
      <c r="O117" s="480"/>
      <c r="P117" s="480"/>
      <c r="Q117" s="480"/>
      <c r="R117" s="480"/>
    </row>
    <row r="118" spans="1:18" ht="15" x14ac:dyDescent="0.25">
      <c r="B118" s="472"/>
      <c r="C118" s="472"/>
      <c r="D118" s="960" t="s">
        <v>529</v>
      </c>
      <c r="E118" s="1000"/>
      <c r="F118" s="532"/>
      <c r="G118" s="532" t="s">
        <v>1465</v>
      </c>
      <c r="H118" s="571"/>
      <c r="I118" s="570"/>
      <c r="J118" s="570"/>
      <c r="K118" s="571"/>
      <c r="L118" s="480"/>
      <c r="M118" s="480"/>
      <c r="N118" s="480"/>
      <c r="O118" s="480"/>
      <c r="P118" s="480"/>
      <c r="Q118" s="480"/>
      <c r="R118" s="480"/>
    </row>
    <row r="129" spans="4:11" x14ac:dyDescent="0.2">
      <c r="D129" s="297">
        <f>SUM(D130:D142)+D149</f>
        <v>88281</v>
      </c>
    </row>
    <row r="130" spans="4:11" ht="46.5" x14ac:dyDescent="0.2">
      <c r="K130" s="302"/>
    </row>
    <row r="133" spans="4:11" ht="46.5" x14ac:dyDescent="0.2">
      <c r="G133" s="302"/>
      <c r="K133" s="302"/>
    </row>
    <row r="149" spans="1:12" x14ac:dyDescent="0.2">
      <c r="A149" s="205">
        <v>41057700</v>
      </c>
      <c r="B149" s="297" t="s">
        <v>1500</v>
      </c>
      <c r="D149" s="297">
        <v>88281</v>
      </c>
    </row>
    <row r="150" spans="1:12" x14ac:dyDescent="0.2">
      <c r="G150" s="301" t="b">
        <f>C150=C146+C145+C144+C124+C118+C112+C106+C105+C101+C100+C99+C98+C90+C89+C88+C87+C85+C84+C82+C80+C79+C78+C75+C74+C73+C71+C70+C64+C63+C62+C59+C58+C57+C55+C54+C50+C49+C48+C47+C46+C45+C44+C43+C42+C41+C37+C34+C31+C29+C26+C23+C21+C20+C19+C18+C110+C109+C38+C52+C135+C134+C116+C149</f>
        <v>0</v>
      </c>
      <c r="H150" s="301" t="e">
        <f>D150=D146+D145+D144+D124+D118+D112+D106+D105+D101+D100+D99+D98+D90+D89+D88+D87+D85+D84+D82+D80+D79+D78+D75+D74+D73+D71+D70+D64+D63+D62+D59+D58+D57+D55+D54+D50+D49+D48+D47+D46+D45+D44+D43+D42+D41+D37+D34+D31+D29+D26+D23+D21+D20+D19+D18+D110+D109+D38+D52+D135+D134+D116+D149</f>
        <v>#VALUE!</v>
      </c>
      <c r="I150" s="301" t="e">
        <f>E150=E146+E145+E144+E124+E118+E112+E106+E105+E101+E100+E99+E98+E90+E89+E88+E87+E85+E84+E82+E80+E79+E78+E75+E74+E73+E71+E70+E64+E63+E62+E59+E58+E57+E55+E54+E50+E49+E48+E47+E46+E45+E44+E43+E42+E41+E37+E34+E31+E29+E26+E23+E21+E20+E19+E18+E110+E109+E38+E52+E135+E134+E116+E149</f>
        <v>#VALUE!</v>
      </c>
      <c r="J150" s="301" t="e">
        <f>F150=F146+F145+F144+F124+F118+F112+F106+F105+F101+F100+F99+F98+F90+F89+F88+F87+F85+F84+F82+F80+F79+F78+F75+F74+F73+F71+F70+F64+F63+F62+F59+F58+F57+F55+F54+F50+F49+F48+F47+F46+F45+F44+F43+F42+F41+F37+F34+F31+F29+F26+F23+F21+F20+F19+F18+F110+F109+F38+F52+F135+F134+F116+F149</f>
        <v>#VALUE!</v>
      </c>
    </row>
    <row r="151" spans="1:12" x14ac:dyDescent="0.2">
      <c r="G151" s="301" t="b">
        <f>(3453807039-'d2'!C32+7423154+961639+622418100+3715400+4544686)+16400+4309689+6350319+16579700+88281=C150</f>
        <v>0</v>
      </c>
    </row>
    <row r="153" spans="1:12" ht="90" x14ac:dyDescent="1.1499999999999999">
      <c r="L153" s="227"/>
    </row>
  </sheetData>
  <mergeCells count="11">
    <mergeCell ref="D118:E118"/>
    <mergeCell ref="B114:R114"/>
    <mergeCell ref="B115:K115"/>
    <mergeCell ref="B8:C8"/>
    <mergeCell ref="B1:K1"/>
    <mergeCell ref="G2:K2"/>
    <mergeCell ref="B4:K4"/>
    <mergeCell ref="B5:K5"/>
    <mergeCell ref="B7:C7"/>
    <mergeCell ref="B6:K6"/>
    <mergeCell ref="D116:E11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2"/>
  <sheetViews>
    <sheetView view="pageBreakPreview" zoomScale="10" zoomScaleNormal="25" zoomScaleSheetLayoutView="10" zoomScalePageLayoutView="10" workbookViewId="0">
      <pane ySplit="14" topLeftCell="A305" activePane="bottomLeft" state="frozen"/>
      <selection activeCell="E143" sqref="E143"/>
      <selection pane="bottomLeft" activeCell="D352" sqref="D352"/>
    </sheetView>
  </sheetViews>
  <sheetFormatPr defaultColWidth="9.140625" defaultRowHeight="12.75" x14ac:dyDescent="0.2"/>
  <cols>
    <col min="1" max="1" width="48" style="330" customWidth="1"/>
    <col min="2" max="2" width="52.5703125" style="330" customWidth="1"/>
    <col min="3" max="3" width="65.7109375" style="330" customWidth="1"/>
    <col min="4" max="4" width="137.7109375" style="330" customWidth="1"/>
    <col min="5" max="5" width="136.7109375" style="338" customWidth="1"/>
    <col min="6" max="6" width="114" style="330" customWidth="1"/>
    <col min="7" max="7" width="55.42578125" style="330" customWidth="1"/>
    <col min="8" max="8" width="63.5703125" style="330" customWidth="1"/>
    <col min="9" max="9" width="62.140625" style="330" customWidth="1"/>
    <col min="10" max="10" width="70.28515625" style="338" customWidth="1"/>
    <col min="11" max="11" width="100.28515625" style="157" customWidth="1"/>
    <col min="12" max="13" width="71.5703125" style="157" bestFit="1" customWidth="1"/>
    <col min="14" max="14" width="71.5703125" style="125" bestFit="1" customWidth="1"/>
    <col min="15" max="15" width="52.140625" style="125" bestFit="1" customWidth="1"/>
    <col min="16" max="16" width="9.140625" style="125"/>
    <col min="17" max="17" width="70.28515625" style="125" customWidth="1"/>
    <col min="18" max="16384" width="9.140625" style="125"/>
  </cols>
  <sheetData>
    <row r="1" spans="1:13" ht="45.75" x14ac:dyDescent="0.2">
      <c r="A1" s="401"/>
      <c r="B1" s="401"/>
      <c r="C1" s="401"/>
      <c r="D1" s="402"/>
      <c r="E1" s="403"/>
      <c r="F1" s="404"/>
      <c r="G1" s="403"/>
      <c r="H1" s="403"/>
      <c r="I1" s="1028" t="s">
        <v>599</v>
      </c>
      <c r="J1" s="1028"/>
    </row>
    <row r="2" spans="1:13" ht="45.75" x14ac:dyDescent="0.2">
      <c r="A2" s="402"/>
      <c r="B2" s="402"/>
      <c r="C2" s="402"/>
      <c r="D2" s="402"/>
      <c r="E2" s="403"/>
      <c r="F2" s="404"/>
      <c r="G2" s="403"/>
      <c r="H2" s="403"/>
      <c r="I2" s="1028" t="s">
        <v>1397</v>
      </c>
      <c r="J2" s="1029"/>
    </row>
    <row r="3" spans="1:13" ht="40.700000000000003" customHeight="1" x14ac:dyDescent="0.2">
      <c r="A3" s="402"/>
      <c r="B3" s="402"/>
      <c r="C3" s="402"/>
      <c r="D3" s="402"/>
      <c r="E3" s="403"/>
      <c r="F3" s="404"/>
      <c r="G3" s="403"/>
      <c r="H3" s="403"/>
      <c r="I3" s="1028"/>
      <c r="J3" s="1029"/>
    </row>
    <row r="4" spans="1:13" ht="45.75" hidden="1" x14ac:dyDescent="0.2">
      <c r="A4" s="402"/>
      <c r="B4" s="402"/>
      <c r="C4" s="402"/>
      <c r="D4" s="402"/>
      <c r="E4" s="403"/>
      <c r="F4" s="404"/>
      <c r="G4" s="403"/>
      <c r="H4" s="403"/>
      <c r="I4" s="402"/>
      <c r="J4" s="404"/>
    </row>
    <row r="5" spans="1:13" ht="45" x14ac:dyDescent="0.2">
      <c r="A5" s="906" t="s">
        <v>571</v>
      </c>
      <c r="B5" s="906"/>
      <c r="C5" s="906"/>
      <c r="D5" s="906"/>
      <c r="E5" s="906"/>
      <c r="F5" s="906"/>
      <c r="G5" s="906"/>
      <c r="H5" s="906"/>
      <c r="I5" s="906"/>
      <c r="J5" s="906"/>
    </row>
    <row r="6" spans="1:13" ht="45" x14ac:dyDescent="0.2">
      <c r="A6" s="906" t="s">
        <v>1161</v>
      </c>
      <c r="B6" s="906"/>
      <c r="C6" s="906"/>
      <c r="D6" s="906"/>
      <c r="E6" s="906"/>
      <c r="F6" s="906"/>
      <c r="G6" s="906"/>
      <c r="H6" s="906"/>
      <c r="I6" s="906"/>
      <c r="J6" s="906"/>
    </row>
    <row r="7" spans="1:13" ht="45" x14ac:dyDescent="0.2">
      <c r="A7" s="906" t="s">
        <v>1308</v>
      </c>
      <c r="B7" s="906"/>
      <c r="C7" s="906"/>
      <c r="D7" s="906"/>
      <c r="E7" s="906"/>
      <c r="F7" s="906"/>
      <c r="G7" s="906"/>
      <c r="H7" s="906"/>
      <c r="I7" s="906"/>
      <c r="J7" s="906"/>
    </row>
    <row r="8" spans="1:13" ht="45" x14ac:dyDescent="0.2">
      <c r="A8" s="906"/>
      <c r="B8" s="906"/>
      <c r="C8" s="906"/>
      <c r="D8" s="906"/>
      <c r="E8" s="906"/>
      <c r="F8" s="906"/>
      <c r="G8" s="906"/>
      <c r="H8" s="906"/>
      <c r="I8" s="906"/>
      <c r="J8" s="906"/>
    </row>
    <row r="9" spans="1:13" ht="45.75" x14ac:dyDescent="0.65">
      <c r="A9" s="907">
        <v>2256400000</v>
      </c>
      <c r="B9" s="908"/>
      <c r="C9" s="877"/>
      <c r="D9" s="877"/>
      <c r="E9" s="877"/>
      <c r="F9" s="877"/>
      <c r="G9" s="877"/>
      <c r="H9" s="877"/>
      <c r="I9" s="877"/>
      <c r="J9" s="877"/>
      <c r="K9" s="173"/>
      <c r="L9" s="173"/>
      <c r="M9" s="173"/>
    </row>
    <row r="10" spans="1:13" ht="45.75" x14ac:dyDescent="0.2">
      <c r="A10" s="912" t="s">
        <v>495</v>
      </c>
      <c r="B10" s="913"/>
      <c r="C10" s="877"/>
      <c r="D10" s="877"/>
      <c r="E10" s="877"/>
      <c r="F10" s="877"/>
      <c r="G10" s="877"/>
      <c r="H10" s="877"/>
      <c r="I10" s="877"/>
      <c r="J10" s="877"/>
      <c r="K10" s="173"/>
      <c r="L10" s="173"/>
      <c r="M10" s="173"/>
    </row>
    <row r="11" spans="1:13" ht="53.45" customHeight="1" thickBot="1" x14ac:dyDescent="0.25">
      <c r="A11" s="133"/>
      <c r="B11" s="133"/>
      <c r="C11" s="133"/>
      <c r="D11" s="133"/>
      <c r="E11" s="133"/>
      <c r="F11" s="131"/>
      <c r="G11" s="133"/>
      <c r="H11" s="133"/>
      <c r="I11" s="133"/>
      <c r="J11" s="395" t="s">
        <v>409</v>
      </c>
      <c r="K11" s="173"/>
      <c r="L11" s="173"/>
      <c r="M11" s="173"/>
    </row>
    <row r="12" spans="1:13" ht="104.25" customHeight="1" thickTop="1" thickBot="1" x14ac:dyDescent="0.25">
      <c r="A12" s="1032" t="s">
        <v>496</v>
      </c>
      <c r="B12" s="1032" t="s">
        <v>497</v>
      </c>
      <c r="C12" s="1032" t="s">
        <v>395</v>
      </c>
      <c r="D12" s="1032" t="s">
        <v>572</v>
      </c>
      <c r="E12" s="1032" t="s">
        <v>500</v>
      </c>
      <c r="F12" s="1032" t="s">
        <v>501</v>
      </c>
      <c r="G12" s="1032" t="s">
        <v>388</v>
      </c>
      <c r="H12" s="1032" t="s">
        <v>12</v>
      </c>
      <c r="I12" s="1033" t="s">
        <v>52</v>
      </c>
      <c r="J12" s="910"/>
      <c r="K12" s="173"/>
      <c r="L12" s="173"/>
      <c r="M12" s="173"/>
    </row>
    <row r="13" spans="1:13" ht="406.5" customHeight="1" thickTop="1" thickBot="1" x14ac:dyDescent="0.25">
      <c r="A13" s="1033"/>
      <c r="B13" s="910"/>
      <c r="C13" s="910"/>
      <c r="D13" s="1033"/>
      <c r="E13" s="1033"/>
      <c r="F13" s="1033"/>
      <c r="G13" s="1033"/>
      <c r="H13" s="1033"/>
      <c r="I13" s="405" t="s">
        <v>389</v>
      </c>
      <c r="J13" s="405" t="s">
        <v>390</v>
      </c>
      <c r="K13" s="173"/>
      <c r="L13" s="173"/>
      <c r="M13" s="173"/>
    </row>
    <row r="14" spans="1:13" s="4" customFormat="1" ht="47.25" thickTop="1" thickBot="1" x14ac:dyDescent="0.25">
      <c r="A14" s="130" t="s">
        <v>2</v>
      </c>
      <c r="B14" s="130" t="s">
        <v>3</v>
      </c>
      <c r="C14" s="130" t="s">
        <v>14</v>
      </c>
      <c r="D14" s="130" t="s">
        <v>5</v>
      </c>
      <c r="E14" s="130" t="s">
        <v>397</v>
      </c>
      <c r="F14" s="130" t="s">
        <v>398</v>
      </c>
      <c r="G14" s="130" t="s">
        <v>399</v>
      </c>
      <c r="H14" s="130" t="s">
        <v>400</v>
      </c>
      <c r="I14" s="130" t="s">
        <v>401</v>
      </c>
      <c r="J14" s="130" t="s">
        <v>402</v>
      </c>
      <c r="K14" s="167"/>
      <c r="L14" s="167"/>
      <c r="M14" s="167"/>
    </row>
    <row r="15" spans="1:13" s="4" customFormat="1" ht="148.69999999999999" customHeight="1" thickTop="1" thickBot="1" x14ac:dyDescent="0.25">
      <c r="A15" s="460" t="s">
        <v>149</v>
      </c>
      <c r="B15" s="460"/>
      <c r="C15" s="460"/>
      <c r="D15" s="461" t="s">
        <v>151</v>
      </c>
      <c r="E15" s="460"/>
      <c r="F15" s="460"/>
      <c r="G15" s="462">
        <f>G16</f>
        <v>279051711.48000002</v>
      </c>
      <c r="H15" s="462">
        <f t="shared" ref="H15:J15" si="0">H16</f>
        <v>168711824.19</v>
      </c>
      <c r="I15" s="462">
        <f>I16</f>
        <v>110339887.29000002</v>
      </c>
      <c r="J15" s="462">
        <f t="shared" si="0"/>
        <v>106185191.08000001</v>
      </c>
      <c r="K15" s="111" t="b">
        <f>H16='d3'!E16-'d3'!E18-'d3'!E44+'d7'!H17+'d7'!H20+'d7'!H22+H21</f>
        <v>1</v>
      </c>
      <c r="L15" s="111" t="b">
        <f>I16='d3'!J16-'d3'!J18-'d3'!J44+I17+I20+I22+I21</f>
        <v>1</v>
      </c>
      <c r="M15" s="111" t="b">
        <f>J16='d3'!K16-'d3'!K18-'d3'!K44+J17+J20+J22+J21</f>
        <v>1</v>
      </c>
    </row>
    <row r="16" spans="1:13" s="4" customFormat="1" ht="157.69999999999999" customHeight="1" thickTop="1" thickBot="1" x14ac:dyDescent="0.25">
      <c r="A16" s="464" t="s">
        <v>150</v>
      </c>
      <c r="B16" s="464"/>
      <c r="C16" s="464"/>
      <c r="D16" s="465" t="s">
        <v>152</v>
      </c>
      <c r="E16" s="466"/>
      <c r="F16" s="466"/>
      <c r="G16" s="466">
        <f>SUM(G17:G52)</f>
        <v>279051711.48000002</v>
      </c>
      <c r="H16" s="466">
        <f>SUM(H17:H52)</f>
        <v>168711824.19</v>
      </c>
      <c r="I16" s="466">
        <f>SUM(I17:I52)</f>
        <v>110339887.29000002</v>
      </c>
      <c r="J16" s="466">
        <f>SUM(J17:J52)</f>
        <v>106185191.08000001</v>
      </c>
      <c r="K16" s="167"/>
      <c r="L16" s="167"/>
      <c r="M16" s="167"/>
    </row>
    <row r="17" spans="1:13" ht="276" thickTop="1" thickBot="1" x14ac:dyDescent="0.25">
      <c r="A17" s="445" t="s">
        <v>237</v>
      </c>
      <c r="B17" s="445" t="s">
        <v>238</v>
      </c>
      <c r="C17" s="445" t="s">
        <v>239</v>
      </c>
      <c r="D17" s="445" t="s">
        <v>236</v>
      </c>
      <c r="E17" s="406" t="s">
        <v>1061</v>
      </c>
      <c r="F17" s="399" t="s">
        <v>867</v>
      </c>
      <c r="G17" s="399">
        <f t="shared" ref="G17:G33" si="1">H17+I17</f>
        <v>1774990</v>
      </c>
      <c r="H17" s="407">
        <v>0</v>
      </c>
      <c r="I17" s="399">
        <f>((200000)+500000+175000+99990+750000)+50000</f>
        <v>1774990</v>
      </c>
      <c r="J17" s="826">
        <f>((200000)+500000+175000+99990+750000)+50000</f>
        <v>1774990</v>
      </c>
      <c r="K17" s="303"/>
      <c r="L17" s="303"/>
      <c r="M17" s="303"/>
    </row>
    <row r="18" spans="1:13" ht="367.5" hidden="1" thickTop="1" thickBot="1" x14ac:dyDescent="0.25">
      <c r="A18" s="162" t="s">
        <v>237</v>
      </c>
      <c r="B18" s="162" t="s">
        <v>238</v>
      </c>
      <c r="C18" s="162" t="s">
        <v>239</v>
      </c>
      <c r="D18" s="162" t="s">
        <v>236</v>
      </c>
      <c r="E18" s="233" t="s">
        <v>1260</v>
      </c>
      <c r="F18" s="233" t="s">
        <v>869</v>
      </c>
      <c r="G18" s="233">
        <f t="shared" si="1"/>
        <v>0</v>
      </c>
      <c r="H18" s="305">
        <v>0</v>
      </c>
      <c r="I18" s="233">
        <v>0</v>
      </c>
      <c r="J18" s="233">
        <v>0</v>
      </c>
      <c r="K18" s="306"/>
      <c r="L18" s="306"/>
      <c r="M18" s="306"/>
    </row>
    <row r="19" spans="1:13" ht="276" hidden="1" thickTop="1" thickBot="1" x14ac:dyDescent="0.25">
      <c r="A19" s="44" t="s">
        <v>237</v>
      </c>
      <c r="B19" s="44" t="s">
        <v>238</v>
      </c>
      <c r="C19" s="44" t="s">
        <v>239</v>
      </c>
      <c r="D19" s="44" t="s">
        <v>236</v>
      </c>
      <c r="E19" s="307" t="s">
        <v>882</v>
      </c>
      <c r="F19" s="77" t="s">
        <v>883</v>
      </c>
      <c r="G19" s="77">
        <f t="shared" si="1"/>
        <v>0</v>
      </c>
      <c r="H19" s="308"/>
      <c r="I19" s="77"/>
      <c r="J19" s="77"/>
      <c r="K19" s="309"/>
      <c r="L19" s="184"/>
      <c r="M19" s="173"/>
    </row>
    <row r="20" spans="1:13" ht="276" thickTop="1" thickBot="1" x14ac:dyDescent="0.25">
      <c r="A20" s="445" t="s">
        <v>237</v>
      </c>
      <c r="B20" s="445" t="s">
        <v>238</v>
      </c>
      <c r="C20" s="445" t="s">
        <v>239</v>
      </c>
      <c r="D20" s="445" t="s">
        <v>236</v>
      </c>
      <c r="E20" s="406" t="s">
        <v>1196</v>
      </c>
      <c r="F20" s="399" t="s">
        <v>1195</v>
      </c>
      <c r="G20" s="399">
        <f t="shared" si="1"/>
        <v>400000</v>
      </c>
      <c r="H20" s="407">
        <v>0</v>
      </c>
      <c r="I20" s="399">
        <v>400000</v>
      </c>
      <c r="J20" s="399">
        <v>400000</v>
      </c>
      <c r="K20" s="309"/>
      <c r="L20" s="184"/>
      <c r="M20" s="173"/>
    </row>
    <row r="21" spans="1:13" s="829" customFormat="1" ht="276" thickTop="1" thickBot="1" x14ac:dyDescent="0.25">
      <c r="A21" s="825" t="s">
        <v>237</v>
      </c>
      <c r="B21" s="825" t="s">
        <v>238</v>
      </c>
      <c r="C21" s="825" t="s">
        <v>239</v>
      </c>
      <c r="D21" s="825" t="s">
        <v>236</v>
      </c>
      <c r="E21" s="406" t="s">
        <v>1557</v>
      </c>
      <c r="F21" s="826"/>
      <c r="G21" s="834">
        <f t="shared" si="1"/>
        <v>3057600</v>
      </c>
      <c r="H21" s="407">
        <f>98000+95000+93000+85000+750000+37600</f>
        <v>1158600</v>
      </c>
      <c r="I21" s="834">
        <f>500000+285000+150000+964000</f>
        <v>1899000</v>
      </c>
      <c r="J21" s="834">
        <f>500000+285000+150000+964000</f>
        <v>1899000</v>
      </c>
      <c r="K21" s="309"/>
      <c r="L21" s="184"/>
      <c r="M21" s="173"/>
    </row>
    <row r="22" spans="1:13" s="448" customFormat="1" ht="276" thickTop="1" thickBot="1" x14ac:dyDescent="0.25">
      <c r="A22" s="445" t="s">
        <v>237</v>
      </c>
      <c r="B22" s="445" t="s">
        <v>238</v>
      </c>
      <c r="C22" s="445" t="s">
        <v>239</v>
      </c>
      <c r="D22" s="445" t="s">
        <v>236</v>
      </c>
      <c r="E22" s="406" t="s">
        <v>1369</v>
      </c>
      <c r="F22" s="399" t="s">
        <v>1370</v>
      </c>
      <c r="G22" s="399">
        <f t="shared" si="1"/>
        <v>3139532</v>
      </c>
      <c r="H22" s="407">
        <v>0</v>
      </c>
      <c r="I22" s="399">
        <f>((1400000)+34532)+1705000</f>
        <v>3139532</v>
      </c>
      <c r="J22" s="826">
        <f>((1400000)+34532)+1705000</f>
        <v>3139532</v>
      </c>
      <c r="K22" s="309"/>
      <c r="L22" s="184"/>
      <c r="M22" s="173"/>
    </row>
    <row r="23" spans="1:13" ht="367.5" thickTop="1" thickBot="1" x14ac:dyDescent="0.25">
      <c r="A23" s="445" t="s">
        <v>633</v>
      </c>
      <c r="B23" s="445" t="s">
        <v>367</v>
      </c>
      <c r="C23" s="445" t="s">
        <v>634</v>
      </c>
      <c r="D23" s="445" t="s">
        <v>635</v>
      </c>
      <c r="E23" s="406" t="s">
        <v>1386</v>
      </c>
      <c r="F23" s="399" t="s">
        <v>1387</v>
      </c>
      <c r="G23" s="399">
        <f t="shared" si="1"/>
        <v>139400</v>
      </c>
      <c r="H23" s="407">
        <f>'d3'!E20</f>
        <v>139400</v>
      </c>
      <c r="I23" s="399">
        <v>0</v>
      </c>
      <c r="J23" s="399">
        <v>0</v>
      </c>
      <c r="K23" s="309"/>
      <c r="L23" s="184"/>
      <c r="M23" s="173"/>
    </row>
    <row r="24" spans="1:13" ht="321.75" thickTop="1" thickBot="1" x14ac:dyDescent="0.25">
      <c r="A24" s="445" t="s">
        <v>252</v>
      </c>
      <c r="B24" s="445" t="s">
        <v>43</v>
      </c>
      <c r="C24" s="445" t="s">
        <v>42</v>
      </c>
      <c r="D24" s="445" t="s">
        <v>253</v>
      </c>
      <c r="E24" s="406" t="s">
        <v>1509</v>
      </c>
      <c r="F24" s="764" t="s">
        <v>1468</v>
      </c>
      <c r="G24" s="399">
        <f t="shared" si="1"/>
        <v>31995200</v>
      </c>
      <c r="H24" s="407">
        <f>((18646000+1620000+3000000)+5000000)+3729200</f>
        <v>31995200</v>
      </c>
      <c r="I24" s="399">
        <v>0</v>
      </c>
      <c r="J24" s="399">
        <v>0</v>
      </c>
      <c r="K24" s="1034" t="b">
        <f>H24+H26+H25+H28+H27='d3'!E21</f>
        <v>1</v>
      </c>
      <c r="L24" s="1030"/>
      <c r="M24" s="1030"/>
    </row>
    <row r="25" spans="1:13" ht="138.75" thickTop="1" thickBot="1" x14ac:dyDescent="0.25">
      <c r="A25" s="445" t="s">
        <v>252</v>
      </c>
      <c r="B25" s="445" t="s">
        <v>43</v>
      </c>
      <c r="C25" s="445" t="s">
        <v>42</v>
      </c>
      <c r="D25" s="445" t="s">
        <v>253</v>
      </c>
      <c r="E25" s="406" t="s">
        <v>1372</v>
      </c>
      <c r="F25" s="399" t="s">
        <v>1371</v>
      </c>
      <c r="G25" s="399">
        <f t="shared" ref="G25" si="2">H25+I25</f>
        <v>1500000</v>
      </c>
      <c r="H25" s="407">
        <v>1500000</v>
      </c>
      <c r="I25" s="399">
        <v>0</v>
      </c>
      <c r="J25" s="399">
        <v>0</v>
      </c>
      <c r="K25" s="1034"/>
      <c r="L25" s="1030"/>
      <c r="M25" s="1030"/>
    </row>
    <row r="26" spans="1:13" ht="184.7" customHeight="1" thickTop="1" thickBot="1" x14ac:dyDescent="0.25">
      <c r="A26" s="445" t="s">
        <v>252</v>
      </c>
      <c r="B26" s="445" t="s">
        <v>43</v>
      </c>
      <c r="C26" s="445" t="s">
        <v>42</v>
      </c>
      <c r="D26" s="445" t="s">
        <v>253</v>
      </c>
      <c r="E26" s="406" t="s">
        <v>1369</v>
      </c>
      <c r="F26" s="399" t="s">
        <v>1370</v>
      </c>
      <c r="G26" s="399">
        <f t="shared" si="1"/>
        <v>1934470</v>
      </c>
      <c r="H26" s="407">
        <f>106000+1828470</f>
        <v>1934470</v>
      </c>
      <c r="I26" s="399">
        <v>0</v>
      </c>
      <c r="J26" s="399">
        <v>0</v>
      </c>
      <c r="K26" s="1035"/>
      <c r="L26" s="1031"/>
      <c r="M26" s="1031"/>
    </row>
    <row r="27" spans="1:13" s="829" customFormat="1" ht="184.7" customHeight="1" thickTop="1" thickBot="1" x14ac:dyDescent="0.25">
      <c r="A27" s="825" t="s">
        <v>252</v>
      </c>
      <c r="B27" s="825" t="s">
        <v>43</v>
      </c>
      <c r="C27" s="825" t="s">
        <v>42</v>
      </c>
      <c r="D27" s="825" t="s">
        <v>253</v>
      </c>
      <c r="E27" s="406" t="s">
        <v>1347</v>
      </c>
      <c r="F27" s="826" t="s">
        <v>951</v>
      </c>
      <c r="G27" s="826">
        <f t="shared" si="1"/>
        <v>100000</v>
      </c>
      <c r="H27" s="407">
        <v>100000</v>
      </c>
      <c r="I27" s="826">
        <v>0</v>
      </c>
      <c r="J27" s="826">
        <v>0</v>
      </c>
      <c r="K27" s="676"/>
      <c r="L27" s="677"/>
      <c r="M27" s="677"/>
    </row>
    <row r="28" spans="1:13" s="675" customFormat="1" ht="286.5" customHeight="1" thickTop="1" thickBot="1" x14ac:dyDescent="0.25">
      <c r="A28" s="674" t="s">
        <v>252</v>
      </c>
      <c r="B28" s="674" t="s">
        <v>43</v>
      </c>
      <c r="C28" s="674" t="s">
        <v>42</v>
      </c>
      <c r="D28" s="674" t="s">
        <v>253</v>
      </c>
      <c r="E28" s="399" t="s">
        <v>1240</v>
      </c>
      <c r="F28" s="457" t="s">
        <v>1239</v>
      </c>
      <c r="G28" s="399">
        <f t="shared" si="1"/>
        <v>44724533</v>
      </c>
      <c r="H28" s="399">
        <f>((((20000000+10000000)-17307000-5864000)+107839798-50000000-5963614)-38157184-548000-6300000)+31024533</f>
        <v>44724533</v>
      </c>
      <c r="I28" s="399"/>
      <c r="J28" s="399"/>
      <c r="K28" s="676"/>
      <c r="L28" s="677"/>
      <c r="M28" s="677"/>
    </row>
    <row r="29" spans="1:13" ht="138.75" thickTop="1" thickBot="1" x14ac:dyDescent="0.25">
      <c r="A29" s="445" t="s">
        <v>243</v>
      </c>
      <c r="B29" s="445" t="s">
        <v>244</v>
      </c>
      <c r="C29" s="445" t="s">
        <v>245</v>
      </c>
      <c r="D29" s="445" t="s">
        <v>242</v>
      </c>
      <c r="E29" s="406" t="s">
        <v>1061</v>
      </c>
      <c r="F29" s="399" t="s">
        <v>867</v>
      </c>
      <c r="G29" s="834">
        <f t="shared" si="1"/>
        <v>7298364.9800000004</v>
      </c>
      <c r="H29" s="834">
        <f>'d3'!E24</f>
        <v>5063364.9800000004</v>
      </c>
      <c r="I29" s="834">
        <f>'d3'!J24</f>
        <v>2235000</v>
      </c>
      <c r="J29" s="834">
        <f>'d3'!K24</f>
        <v>2235000</v>
      </c>
      <c r="K29" s="111" t="b">
        <f>H29='d3'!E24</f>
        <v>1</v>
      </c>
      <c r="L29" s="112" t="b">
        <f>I29='d3'!J24</f>
        <v>1</v>
      </c>
      <c r="M29" s="113" t="b">
        <f>J29='d3'!K24</f>
        <v>1</v>
      </c>
    </row>
    <row r="30" spans="1:13" ht="184.5" hidden="1" thickTop="1" thickBot="1" x14ac:dyDescent="0.25">
      <c r="A30" s="452" t="s">
        <v>995</v>
      </c>
      <c r="B30" s="452" t="s">
        <v>996</v>
      </c>
      <c r="C30" s="452" t="s">
        <v>245</v>
      </c>
      <c r="D30" s="452" t="s">
        <v>997</v>
      </c>
      <c r="E30" s="453" t="s">
        <v>1061</v>
      </c>
      <c r="F30" s="454" t="s">
        <v>867</v>
      </c>
      <c r="G30" s="834">
        <f t="shared" si="1"/>
        <v>0</v>
      </c>
      <c r="H30" s="834">
        <f>'d3'!E25</f>
        <v>0</v>
      </c>
      <c r="I30" s="834">
        <f>'d3'!J25</f>
        <v>0</v>
      </c>
      <c r="J30" s="834">
        <f>'d3'!K25</f>
        <v>0</v>
      </c>
      <c r="K30" s="303" t="b">
        <f>H30='d3'!E25</f>
        <v>1</v>
      </c>
      <c r="L30" s="310" t="b">
        <f>I30='d3'!J25</f>
        <v>1</v>
      </c>
      <c r="M30" s="311" t="b">
        <f>J30='d3'!K25</f>
        <v>1</v>
      </c>
    </row>
    <row r="31" spans="1:13" s="829" customFormat="1" ht="138.75" thickTop="1" thickBot="1" x14ac:dyDescent="0.25">
      <c r="A31" s="825" t="s">
        <v>1533</v>
      </c>
      <c r="B31" s="825" t="s">
        <v>217</v>
      </c>
      <c r="C31" s="825" t="s">
        <v>218</v>
      </c>
      <c r="D31" s="825" t="s">
        <v>41</v>
      </c>
      <c r="E31" s="406" t="s">
        <v>1557</v>
      </c>
      <c r="F31" s="826"/>
      <c r="G31" s="834">
        <f t="shared" si="1"/>
        <v>1000000</v>
      </c>
      <c r="H31" s="834">
        <v>0</v>
      </c>
      <c r="I31" s="834">
        <v>1000000</v>
      </c>
      <c r="J31" s="834">
        <v>1000000</v>
      </c>
      <c r="K31" s="111" t="b">
        <f>'d3'!E27='d7'!H31</f>
        <v>1</v>
      </c>
      <c r="L31" s="112" t="b">
        <f>I31='d3'!J27</f>
        <v>1</v>
      </c>
      <c r="M31" s="113" t="b">
        <f>J31='d3'!K27</f>
        <v>1</v>
      </c>
    </row>
    <row r="32" spans="1:13" ht="138.75" thickTop="1" thickBot="1" x14ac:dyDescent="0.25">
      <c r="A32" s="445" t="s">
        <v>304</v>
      </c>
      <c r="B32" s="445" t="s">
        <v>305</v>
      </c>
      <c r="C32" s="445" t="s">
        <v>171</v>
      </c>
      <c r="D32" s="445" t="s">
        <v>447</v>
      </c>
      <c r="E32" s="406" t="s">
        <v>1369</v>
      </c>
      <c r="F32" s="399" t="s">
        <v>1370</v>
      </c>
      <c r="G32" s="834">
        <f t="shared" si="1"/>
        <v>341770.5</v>
      </c>
      <c r="H32" s="834">
        <f>'d3'!E28</f>
        <v>341770.5</v>
      </c>
      <c r="I32" s="834">
        <f>'d3'!J28</f>
        <v>0</v>
      </c>
      <c r="J32" s="834">
        <f>'d3'!K28</f>
        <v>0</v>
      </c>
      <c r="K32" s="111" t="b">
        <f>H32='d3'!E28</f>
        <v>1</v>
      </c>
      <c r="L32" s="112" t="b">
        <f>I32='d3'!J28</f>
        <v>1</v>
      </c>
      <c r="M32" s="113" t="b">
        <f>J32='d3'!K28</f>
        <v>1</v>
      </c>
    </row>
    <row r="33" spans="1:13" ht="292.5" customHeight="1" thickTop="1" thickBot="1" x14ac:dyDescent="0.7">
      <c r="A33" s="895" t="s">
        <v>344</v>
      </c>
      <c r="B33" s="895" t="s">
        <v>343</v>
      </c>
      <c r="C33" s="895" t="s">
        <v>171</v>
      </c>
      <c r="D33" s="86" t="s">
        <v>445</v>
      </c>
      <c r="E33" s="895" t="s">
        <v>1369</v>
      </c>
      <c r="F33" s="895" t="s">
        <v>1370</v>
      </c>
      <c r="G33" s="887">
        <f t="shared" si="1"/>
        <v>4154696.21</v>
      </c>
      <c r="H33" s="887">
        <f>'d3'!E30</f>
        <v>0</v>
      </c>
      <c r="I33" s="887">
        <f>'d3'!J30</f>
        <v>4154696.21</v>
      </c>
      <c r="J33" s="887">
        <f>'d3'!K30</f>
        <v>0</v>
      </c>
      <c r="K33" s="111" t="b">
        <f>H33='d3'!E30</f>
        <v>1</v>
      </c>
      <c r="L33" s="112" t="b">
        <f>I33='d3'!J30</f>
        <v>1</v>
      </c>
      <c r="M33" s="113" t="b">
        <f>J33='d3'!K30</f>
        <v>1</v>
      </c>
    </row>
    <row r="34" spans="1:13" ht="138.75" customHeight="1" thickTop="1" thickBot="1" x14ac:dyDescent="0.25">
      <c r="A34" s="926"/>
      <c r="B34" s="926"/>
      <c r="C34" s="926"/>
      <c r="D34" s="87" t="s">
        <v>446</v>
      </c>
      <c r="E34" s="926"/>
      <c r="F34" s="926"/>
      <c r="G34" s="1027"/>
      <c r="H34" s="1027"/>
      <c r="I34" s="1027"/>
      <c r="J34" s="1027"/>
      <c r="K34" s="173"/>
      <c r="L34" s="173"/>
      <c r="M34" s="173"/>
    </row>
    <row r="35" spans="1:13" ht="184.5" thickTop="1" thickBot="1" x14ac:dyDescent="0.25">
      <c r="A35" s="445" t="s">
        <v>927</v>
      </c>
      <c r="B35" s="445" t="s">
        <v>262</v>
      </c>
      <c r="C35" s="445" t="s">
        <v>171</v>
      </c>
      <c r="D35" s="445" t="s">
        <v>260</v>
      </c>
      <c r="E35" s="399" t="s">
        <v>1219</v>
      </c>
      <c r="F35" s="457" t="s">
        <v>1218</v>
      </c>
      <c r="G35" s="399">
        <f t="shared" ref="G35:G41" si="3">H35+I35</f>
        <v>2207674</v>
      </c>
      <c r="H35" s="399">
        <f>'d3'!E32</f>
        <v>2207674</v>
      </c>
      <c r="I35" s="399">
        <f>'d3'!J32</f>
        <v>0</v>
      </c>
      <c r="J35" s="399">
        <f>'d3'!K32</f>
        <v>0</v>
      </c>
      <c r="K35" s="173"/>
      <c r="L35" s="173"/>
      <c r="M35" s="173"/>
    </row>
    <row r="36" spans="1:13" ht="367.5" thickTop="1" thickBot="1" x14ac:dyDescent="0.25">
      <c r="A36" s="445" t="s">
        <v>1261</v>
      </c>
      <c r="B36" s="445" t="s">
        <v>1262</v>
      </c>
      <c r="C36" s="445" t="s">
        <v>1236</v>
      </c>
      <c r="D36" s="445" t="s">
        <v>1263</v>
      </c>
      <c r="E36" s="399" t="s">
        <v>1514</v>
      </c>
      <c r="F36" s="399" t="s">
        <v>869</v>
      </c>
      <c r="G36" s="399">
        <f t="shared" si="3"/>
        <v>1000000</v>
      </c>
      <c r="H36" s="399">
        <v>600000</v>
      </c>
      <c r="I36" s="399">
        <v>400000</v>
      </c>
      <c r="J36" s="399">
        <v>400000</v>
      </c>
      <c r="K36" s="173"/>
      <c r="L36" s="173"/>
      <c r="M36" s="173"/>
    </row>
    <row r="37" spans="1:13" ht="184.5" thickTop="1" thickBot="1" x14ac:dyDescent="0.25">
      <c r="A37" s="445" t="s">
        <v>1237</v>
      </c>
      <c r="B37" s="445" t="s">
        <v>1238</v>
      </c>
      <c r="C37" s="445" t="s">
        <v>1236</v>
      </c>
      <c r="D37" s="445" t="s">
        <v>1235</v>
      </c>
      <c r="E37" s="445" t="s">
        <v>1508</v>
      </c>
      <c r="F37" s="399" t="s">
        <v>1373</v>
      </c>
      <c r="G37" s="399">
        <f t="shared" si="3"/>
        <v>4430000</v>
      </c>
      <c r="H37" s="399">
        <v>4430000</v>
      </c>
      <c r="I37" s="399"/>
      <c r="J37" s="399"/>
      <c r="K37" s="111" t="b">
        <f>H37+H38='d3'!E36</f>
        <v>1</v>
      </c>
      <c r="L37" s="112" t="b">
        <f>I37+I38='d3'!J36</f>
        <v>1</v>
      </c>
      <c r="M37" s="112" t="b">
        <f>J37+J38='d3'!K36</f>
        <v>1</v>
      </c>
    </row>
    <row r="38" spans="1:13" ht="184.5" thickTop="1" thickBot="1" x14ac:dyDescent="0.25">
      <c r="A38" s="445" t="s">
        <v>1237</v>
      </c>
      <c r="B38" s="445" t="s">
        <v>1238</v>
      </c>
      <c r="C38" s="445" t="s">
        <v>1236</v>
      </c>
      <c r="D38" s="445" t="s">
        <v>1235</v>
      </c>
      <c r="E38" s="399" t="s">
        <v>1317</v>
      </c>
      <c r="F38" s="457" t="s">
        <v>1276</v>
      </c>
      <c r="G38" s="399">
        <f>H38+I38</f>
        <v>9281546</v>
      </c>
      <c r="H38" s="399">
        <v>4041546</v>
      </c>
      <c r="I38" s="399">
        <f>((100000)+2500000+500000)+150000+120000+1870000</f>
        <v>5240000</v>
      </c>
      <c r="J38" s="826">
        <f>((100000)+2500000+500000)+150000+120000+1870000</f>
        <v>5240000</v>
      </c>
      <c r="K38" s="125"/>
      <c r="L38" s="125"/>
      <c r="M38" s="125"/>
    </row>
    <row r="39" spans="1:13" ht="255.75" customHeight="1" thickTop="1" thickBot="1" x14ac:dyDescent="0.25">
      <c r="A39" s="445" t="s">
        <v>246</v>
      </c>
      <c r="B39" s="445" t="s">
        <v>247</v>
      </c>
      <c r="C39" s="445" t="s">
        <v>248</v>
      </c>
      <c r="D39" s="445" t="s">
        <v>249</v>
      </c>
      <c r="E39" s="399" t="s">
        <v>901</v>
      </c>
      <c r="F39" s="399" t="s">
        <v>902</v>
      </c>
      <c r="G39" s="399">
        <f t="shared" si="3"/>
        <v>11569000</v>
      </c>
      <c r="H39" s="399">
        <f>'d3'!E38</f>
        <v>9690000</v>
      </c>
      <c r="I39" s="399">
        <f>'d3'!J38</f>
        <v>1879000</v>
      </c>
      <c r="J39" s="399">
        <f>'d3'!K38</f>
        <v>1879000</v>
      </c>
      <c r="K39" s="111" t="b">
        <f>H39='d3'!E38</f>
        <v>1</v>
      </c>
      <c r="L39" s="112" t="b">
        <f>I39='d3'!J38</f>
        <v>1</v>
      </c>
      <c r="M39" s="113" t="b">
        <f>J39='d3'!K38</f>
        <v>1</v>
      </c>
    </row>
    <row r="40" spans="1:13" ht="230.25" thickTop="1" thickBot="1" x14ac:dyDescent="0.25">
      <c r="A40" s="445" t="s">
        <v>250</v>
      </c>
      <c r="B40" s="445" t="s">
        <v>251</v>
      </c>
      <c r="C40" s="445" t="s">
        <v>43</v>
      </c>
      <c r="D40" s="445" t="s">
        <v>448</v>
      </c>
      <c r="E40" s="406" t="s">
        <v>1369</v>
      </c>
      <c r="F40" s="399" t="s">
        <v>1370</v>
      </c>
      <c r="G40" s="399">
        <f t="shared" si="3"/>
        <v>1163700</v>
      </c>
      <c r="H40" s="407">
        <f>'d3'!E41</f>
        <v>1163700</v>
      </c>
      <c r="I40" s="399">
        <f>'d3'!J41</f>
        <v>0</v>
      </c>
      <c r="J40" s="399">
        <f>'d3'!K41</f>
        <v>0</v>
      </c>
      <c r="K40" s="111" t="b">
        <f>H40='d3'!E41</f>
        <v>1</v>
      </c>
      <c r="L40" s="112" t="b">
        <f>I40='d3'!J41</f>
        <v>1</v>
      </c>
      <c r="M40" s="112" t="b">
        <f>J40='d3'!K41</f>
        <v>1</v>
      </c>
    </row>
    <row r="41" spans="1:13" ht="138.75" thickTop="1" thickBot="1" x14ac:dyDescent="0.25">
      <c r="A41" s="445" t="s">
        <v>581</v>
      </c>
      <c r="B41" s="445" t="s">
        <v>368</v>
      </c>
      <c r="C41" s="445" t="s">
        <v>43</v>
      </c>
      <c r="D41" s="445" t="s">
        <v>369</v>
      </c>
      <c r="E41" s="406" t="s">
        <v>1369</v>
      </c>
      <c r="F41" s="399" t="s">
        <v>1370</v>
      </c>
      <c r="G41" s="399">
        <f t="shared" si="3"/>
        <v>148700</v>
      </c>
      <c r="H41" s="407">
        <f>'d3'!E42</f>
        <v>148700</v>
      </c>
      <c r="I41" s="399">
        <f>'d3'!J42</f>
        <v>0</v>
      </c>
      <c r="J41" s="399">
        <f>'d3'!K42</f>
        <v>0</v>
      </c>
      <c r="K41" s="111" t="b">
        <f>H41='d3'!E42</f>
        <v>1</v>
      </c>
      <c r="L41" s="112" t="b">
        <f>I41='d3'!J42</f>
        <v>1</v>
      </c>
      <c r="M41" s="112" t="b">
        <f>J41='d3'!K42</f>
        <v>1</v>
      </c>
    </row>
    <row r="42" spans="1:13" ht="276" thickTop="1" thickBot="1" x14ac:dyDescent="0.25">
      <c r="A42" s="445" t="s">
        <v>518</v>
      </c>
      <c r="B42" s="445" t="s">
        <v>519</v>
      </c>
      <c r="C42" s="445" t="s">
        <v>43</v>
      </c>
      <c r="D42" s="445" t="s">
        <v>520</v>
      </c>
      <c r="E42" s="399" t="s">
        <v>1240</v>
      </c>
      <c r="F42" s="457" t="s">
        <v>1239</v>
      </c>
      <c r="G42" s="399">
        <f t="shared" ref="G42:G52" si="4">H42+I42</f>
        <v>119891404.79000002</v>
      </c>
      <c r="H42" s="399">
        <f>((8411000+969000)+8726682-86000+3805614)+1500000+1000000+550000+500000+1450000+729810+1400000+518296.62+4520000+505000+1098294.71+5800000+4384038.38</f>
        <v>45781735.710000008</v>
      </c>
      <c r="I42" s="399">
        <f>((8896000+4895000)+23433520+86000+2158000)+7512198.08+4000000+1500000+1200000+1310000+100000+1481703.38+2500000+4540819+3300000+60000+45000+2000000+500000+4591428.62</f>
        <v>74109669.080000013</v>
      </c>
      <c r="J42" s="826">
        <f>((8896000+4895000)+23433520+86000+2158000)+7512198.08+4000000+1500000+1200000+1310000+100000+1481703.38+2500000+4540819+3300000+60000+45000+2000000+500000+4591428.62</f>
        <v>74109669.080000013</v>
      </c>
      <c r="K42" s="111" t="b">
        <f>H42+H43+H44+H45+H46+H47+H52+H48+H50+H51+H49='d3'!E43</f>
        <v>1</v>
      </c>
      <c r="L42" s="112" t="b">
        <f>I42+I43+I44+I45+I46+I47+I52+I50+I51+I48+I49='d3'!J43</f>
        <v>1</v>
      </c>
      <c r="M42" s="112" t="b">
        <f>J42+J43+J44+J45+J46+J47+J52+J50+J51+J48+J49='d3'!K43</f>
        <v>1</v>
      </c>
    </row>
    <row r="43" spans="1:13" ht="367.5" thickTop="1" thickBot="1" x14ac:dyDescent="0.25">
      <c r="A43" s="700" t="s">
        <v>518</v>
      </c>
      <c r="B43" s="700" t="s">
        <v>519</v>
      </c>
      <c r="C43" s="700" t="s">
        <v>43</v>
      </c>
      <c r="D43" s="700" t="s">
        <v>520</v>
      </c>
      <c r="E43" s="399" t="s">
        <v>1514</v>
      </c>
      <c r="F43" s="399" t="s">
        <v>869</v>
      </c>
      <c r="G43" s="399">
        <f t="shared" si="4"/>
        <v>3050000</v>
      </c>
      <c r="H43" s="399">
        <f>((50000)+500000)+1000000</f>
        <v>1550000</v>
      </c>
      <c r="I43" s="399">
        <f>400000+1100000</f>
        <v>1500000</v>
      </c>
      <c r="J43" s="760">
        <f>400000+1100000</f>
        <v>1500000</v>
      </c>
      <c r="K43" s="303"/>
      <c r="L43" s="310"/>
      <c r="M43" s="311"/>
    </row>
    <row r="44" spans="1:13" ht="276" thickTop="1" thickBot="1" x14ac:dyDescent="0.25">
      <c r="A44" s="700" t="s">
        <v>518</v>
      </c>
      <c r="B44" s="700" t="s">
        <v>519</v>
      </c>
      <c r="C44" s="700" t="s">
        <v>43</v>
      </c>
      <c r="D44" s="700" t="s">
        <v>520</v>
      </c>
      <c r="E44" s="399" t="s">
        <v>1066</v>
      </c>
      <c r="F44" s="399" t="s">
        <v>950</v>
      </c>
      <c r="G44" s="399">
        <f t="shared" si="4"/>
        <v>5605900</v>
      </c>
      <c r="H44" s="399">
        <f>((770000)+1000000+505900+115000)+1000000+200000</f>
        <v>3590900</v>
      </c>
      <c r="I44" s="399">
        <f>1790000+150000+75000</f>
        <v>2015000</v>
      </c>
      <c r="J44" s="739">
        <f>1790000+150000+75000</f>
        <v>2015000</v>
      </c>
      <c r="K44" s="303"/>
      <c r="L44" s="310"/>
      <c r="M44" s="311"/>
    </row>
    <row r="45" spans="1:13" ht="184.5" thickTop="1" thickBot="1" x14ac:dyDescent="0.25">
      <c r="A45" s="700" t="s">
        <v>518</v>
      </c>
      <c r="B45" s="700" t="s">
        <v>519</v>
      </c>
      <c r="C45" s="700" t="s">
        <v>43</v>
      </c>
      <c r="D45" s="700" t="s">
        <v>520</v>
      </c>
      <c r="E45" s="399" t="s">
        <v>1506</v>
      </c>
      <c r="F45" s="399" t="s">
        <v>1424</v>
      </c>
      <c r="G45" s="399">
        <f t="shared" si="4"/>
        <v>10500000</v>
      </c>
      <c r="H45" s="399">
        <f>((1600000)+1000000)+1000000+2000000</f>
        <v>5600000</v>
      </c>
      <c r="I45" s="399">
        <f>((1000000)+1400000)+2500000</f>
        <v>4900000</v>
      </c>
      <c r="J45" s="781">
        <f>((1000000)+1400000)+2500000</f>
        <v>4900000</v>
      </c>
      <c r="K45" s="303"/>
      <c r="L45" s="310"/>
      <c r="M45" s="311"/>
    </row>
    <row r="46" spans="1:13" ht="367.5" thickTop="1" thickBot="1" x14ac:dyDescent="0.25">
      <c r="A46" s="700" t="s">
        <v>518</v>
      </c>
      <c r="B46" s="700" t="s">
        <v>519</v>
      </c>
      <c r="C46" s="700" t="s">
        <v>43</v>
      </c>
      <c r="D46" s="700" t="s">
        <v>520</v>
      </c>
      <c r="E46" s="399" t="s">
        <v>1463</v>
      </c>
      <c r="F46" s="399" t="s">
        <v>1423</v>
      </c>
      <c r="G46" s="399">
        <f t="shared" si="4"/>
        <v>3900000</v>
      </c>
      <c r="H46" s="399">
        <v>0</v>
      </c>
      <c r="I46" s="399">
        <f>((1900000)+1000000)+1000000</f>
        <v>3900000</v>
      </c>
      <c r="J46" s="781">
        <f>((1900000)+1000000)+1000000</f>
        <v>3900000</v>
      </c>
      <c r="K46" s="303"/>
      <c r="L46" s="310"/>
      <c r="M46" s="311"/>
    </row>
    <row r="47" spans="1:13" ht="276" thickTop="1" thickBot="1" x14ac:dyDescent="0.25">
      <c r="A47" s="726" t="s">
        <v>518</v>
      </c>
      <c r="B47" s="726" t="s">
        <v>519</v>
      </c>
      <c r="C47" s="726" t="s">
        <v>43</v>
      </c>
      <c r="D47" s="726" t="s">
        <v>520</v>
      </c>
      <c r="E47" s="399" t="s">
        <v>1507</v>
      </c>
      <c r="F47" s="764" t="s">
        <v>1469</v>
      </c>
      <c r="G47" s="399">
        <f>H47+I47</f>
        <v>1500000</v>
      </c>
      <c r="H47" s="399">
        <f>(935000)+500000</f>
        <v>1435000</v>
      </c>
      <c r="I47" s="399">
        <v>65000</v>
      </c>
      <c r="J47" s="399">
        <v>65000</v>
      </c>
      <c r="K47" s="303"/>
      <c r="L47" s="310"/>
      <c r="M47" s="311"/>
    </row>
    <row r="48" spans="1:13" ht="367.5" thickTop="1" thickBot="1" x14ac:dyDescent="0.25">
      <c r="A48" s="825" t="s">
        <v>518</v>
      </c>
      <c r="B48" s="825" t="s">
        <v>519</v>
      </c>
      <c r="C48" s="825" t="s">
        <v>43</v>
      </c>
      <c r="D48" s="825" t="s">
        <v>520</v>
      </c>
      <c r="E48" s="826" t="s">
        <v>1536</v>
      </c>
      <c r="F48" s="826" t="s">
        <v>1062</v>
      </c>
      <c r="G48" s="834">
        <f t="shared" si="4"/>
        <v>230000</v>
      </c>
      <c r="H48" s="834">
        <v>0</v>
      </c>
      <c r="I48" s="834">
        <v>230000</v>
      </c>
      <c r="J48" s="834">
        <v>230000</v>
      </c>
      <c r="K48" s="303"/>
      <c r="L48" s="310"/>
      <c r="M48" s="311"/>
    </row>
    <row r="49" spans="1:13" s="829" customFormat="1" ht="299.25" customHeight="1" thickTop="1" thickBot="1" x14ac:dyDescent="0.25">
      <c r="A49" s="825" t="s">
        <v>518</v>
      </c>
      <c r="B49" s="825" t="s">
        <v>519</v>
      </c>
      <c r="C49" s="825" t="s">
        <v>43</v>
      </c>
      <c r="D49" s="825" t="s">
        <v>520</v>
      </c>
      <c r="E49" s="826" t="s">
        <v>1534</v>
      </c>
      <c r="F49" s="826" t="s">
        <v>1535</v>
      </c>
      <c r="G49" s="834">
        <f t="shared" si="4"/>
        <v>798000</v>
      </c>
      <c r="H49" s="834">
        <v>0</v>
      </c>
      <c r="I49" s="834">
        <v>798000</v>
      </c>
      <c r="J49" s="834">
        <v>798000</v>
      </c>
      <c r="K49" s="303"/>
      <c r="L49" s="310"/>
      <c r="M49" s="311"/>
    </row>
    <row r="50" spans="1:13" s="728" customFormat="1" ht="276" thickTop="1" thickBot="1" x14ac:dyDescent="0.25">
      <c r="A50" s="726" t="s">
        <v>518</v>
      </c>
      <c r="B50" s="726" t="s">
        <v>519</v>
      </c>
      <c r="C50" s="726" t="s">
        <v>43</v>
      </c>
      <c r="D50" s="726" t="s">
        <v>520</v>
      </c>
      <c r="E50" s="399" t="s">
        <v>1421</v>
      </c>
      <c r="F50" s="399" t="s">
        <v>1422</v>
      </c>
      <c r="G50" s="399">
        <f t="shared" si="4"/>
        <v>700000</v>
      </c>
      <c r="H50" s="399">
        <v>0</v>
      </c>
      <c r="I50" s="399">
        <v>700000</v>
      </c>
      <c r="J50" s="399">
        <v>700000</v>
      </c>
      <c r="K50" s="303"/>
      <c r="L50" s="310"/>
      <c r="M50" s="311"/>
    </row>
    <row r="51" spans="1:13" s="742" customFormat="1" ht="391.5" thickTop="1" thickBot="1" x14ac:dyDescent="0.25">
      <c r="A51" s="738" t="s">
        <v>518</v>
      </c>
      <c r="B51" s="738" t="s">
        <v>519</v>
      </c>
      <c r="C51" s="738" t="s">
        <v>43</v>
      </c>
      <c r="D51" s="738" t="s">
        <v>520</v>
      </c>
      <c r="E51" s="743" t="s">
        <v>1450</v>
      </c>
      <c r="F51" s="739" t="s">
        <v>1451</v>
      </c>
      <c r="G51" s="739">
        <f t="shared" si="4"/>
        <v>500000</v>
      </c>
      <c r="H51" s="739">
        <f>(300000)+200000</f>
        <v>500000</v>
      </c>
      <c r="I51" s="739">
        <v>0</v>
      </c>
      <c r="J51" s="739">
        <v>0</v>
      </c>
      <c r="K51" s="303"/>
      <c r="L51" s="310"/>
      <c r="M51" s="311"/>
    </row>
    <row r="52" spans="1:13" ht="230.25" thickTop="1" thickBot="1" x14ac:dyDescent="0.25">
      <c r="A52" s="702" t="s">
        <v>518</v>
      </c>
      <c r="B52" s="702" t="s">
        <v>519</v>
      </c>
      <c r="C52" s="702" t="s">
        <v>43</v>
      </c>
      <c r="D52" s="702" t="s">
        <v>520</v>
      </c>
      <c r="E52" s="399" t="s">
        <v>1390</v>
      </c>
      <c r="F52" s="399" t="s">
        <v>968</v>
      </c>
      <c r="G52" s="399">
        <f t="shared" si="4"/>
        <v>1015230</v>
      </c>
      <c r="H52" s="399">
        <f>(((415230)+150000)+410000-410000)+450000</f>
        <v>1015230</v>
      </c>
      <c r="I52" s="399">
        <v>0</v>
      </c>
      <c r="J52" s="399">
        <v>0</v>
      </c>
      <c r="K52" s="303"/>
      <c r="L52" s="310"/>
      <c r="M52" s="311"/>
    </row>
    <row r="53" spans="1:13" ht="136.5" thickTop="1" thickBot="1" x14ac:dyDescent="0.25">
      <c r="A53" s="460" t="s">
        <v>153</v>
      </c>
      <c r="B53" s="460"/>
      <c r="C53" s="460"/>
      <c r="D53" s="461" t="s">
        <v>0</v>
      </c>
      <c r="E53" s="460"/>
      <c r="F53" s="460"/>
      <c r="G53" s="462">
        <f>G54</f>
        <v>2459441240.6100001</v>
      </c>
      <c r="H53" s="462">
        <f t="shared" ref="H53:J53" si="5">H54</f>
        <v>2016401916.1299999</v>
      </c>
      <c r="I53" s="462">
        <f t="shared" si="5"/>
        <v>443039324.48000002</v>
      </c>
      <c r="J53" s="462">
        <f t="shared" si="5"/>
        <v>267908564.47999999</v>
      </c>
      <c r="K53" s="111" t="b">
        <f>H53='d3'!E46</f>
        <v>1</v>
      </c>
      <c r="L53" s="112" t="b">
        <f>I53='d3'!J46</f>
        <v>1</v>
      </c>
      <c r="M53" s="113" t="b">
        <f>J53='d3'!K45</f>
        <v>1</v>
      </c>
    </row>
    <row r="54" spans="1:13" ht="172.5" customHeight="1" thickTop="1" thickBot="1" x14ac:dyDescent="0.25">
      <c r="A54" s="464" t="s">
        <v>154</v>
      </c>
      <c r="B54" s="464"/>
      <c r="C54" s="464"/>
      <c r="D54" s="465" t="s">
        <v>1</v>
      </c>
      <c r="E54" s="466"/>
      <c r="F54" s="466"/>
      <c r="G54" s="466">
        <f>SUM(G55:G96)</f>
        <v>2459441240.6100001</v>
      </c>
      <c r="H54" s="466">
        <f>SUM(H55:H96)</f>
        <v>2016401916.1299999</v>
      </c>
      <c r="I54" s="466">
        <f>SUM(I55:I96)</f>
        <v>443039324.48000002</v>
      </c>
      <c r="J54" s="466">
        <f>SUM(J55:J96)</f>
        <v>267908564.47999999</v>
      </c>
      <c r="K54" s="173"/>
      <c r="L54" s="173"/>
      <c r="M54" s="173"/>
    </row>
    <row r="55" spans="1:13" ht="138.75" thickTop="1" thickBot="1" x14ac:dyDescent="0.25">
      <c r="A55" s="445" t="s">
        <v>203</v>
      </c>
      <c r="B55" s="445" t="s">
        <v>204</v>
      </c>
      <c r="C55" s="445" t="s">
        <v>206</v>
      </c>
      <c r="D55" s="445" t="s">
        <v>207</v>
      </c>
      <c r="E55" s="406" t="s">
        <v>1524</v>
      </c>
      <c r="F55" s="399" t="s">
        <v>1215</v>
      </c>
      <c r="G55" s="399">
        <f t="shared" ref="G55:G72" si="6">H55+I55</f>
        <v>660304278.6099999</v>
      </c>
      <c r="H55" s="399">
        <f>'d3'!E48-H56-H57</f>
        <v>555163031.6099999</v>
      </c>
      <c r="I55" s="399">
        <f>'d3'!J48-I56-I57</f>
        <v>105141247</v>
      </c>
      <c r="J55" s="399">
        <f>'d3'!K48-J56-J57</f>
        <v>17431837</v>
      </c>
      <c r="K55" s="111" t="b">
        <f>H55+H56+H57='d3'!E48</f>
        <v>1</v>
      </c>
      <c r="L55" s="112" t="b">
        <f>I55+I56+I57='d3'!J48</f>
        <v>1</v>
      </c>
      <c r="M55" s="112" t="b">
        <f>J55+J56+J57='d3'!K48</f>
        <v>1</v>
      </c>
    </row>
    <row r="56" spans="1:13" ht="184.5" hidden="1" thickTop="1" thickBot="1" x14ac:dyDescent="0.25">
      <c r="A56" s="452" t="s">
        <v>203</v>
      </c>
      <c r="B56" s="452" t="s">
        <v>204</v>
      </c>
      <c r="C56" s="452" t="s">
        <v>206</v>
      </c>
      <c r="D56" s="452" t="s">
        <v>207</v>
      </c>
      <c r="E56" s="453" t="s">
        <v>454</v>
      </c>
      <c r="F56" s="491" t="s">
        <v>455</v>
      </c>
      <c r="G56" s="454">
        <f>H56+I56</f>
        <v>0</v>
      </c>
      <c r="H56" s="454">
        <v>0</v>
      </c>
      <c r="I56" s="454">
        <f>(30333+15000)-45333</f>
        <v>0</v>
      </c>
      <c r="J56" s="454">
        <f>(30333+15000)-45333</f>
        <v>0</v>
      </c>
      <c r="K56" s="173"/>
      <c r="L56" s="173"/>
      <c r="M56" s="173"/>
    </row>
    <row r="57" spans="1:13" s="448" customFormat="1" ht="367.5" thickTop="1" thickBot="1" x14ac:dyDescent="0.25">
      <c r="A57" s="445" t="s">
        <v>203</v>
      </c>
      <c r="B57" s="445" t="s">
        <v>204</v>
      </c>
      <c r="C57" s="445" t="s">
        <v>206</v>
      </c>
      <c r="D57" s="445" t="s">
        <v>207</v>
      </c>
      <c r="E57" s="399" t="s">
        <v>1514</v>
      </c>
      <c r="F57" s="399" t="s">
        <v>869</v>
      </c>
      <c r="G57" s="399">
        <f t="shared" si="6"/>
        <v>500000</v>
      </c>
      <c r="H57" s="399">
        <v>500000</v>
      </c>
      <c r="I57" s="399"/>
      <c r="J57" s="399"/>
      <c r="K57" s="173"/>
      <c r="L57" s="173"/>
      <c r="M57" s="173"/>
    </row>
    <row r="58" spans="1:13" ht="138.75" thickTop="1" thickBot="1" x14ac:dyDescent="0.25">
      <c r="A58" s="445" t="s">
        <v>650</v>
      </c>
      <c r="B58" s="445" t="s">
        <v>651</v>
      </c>
      <c r="C58" s="445" t="s">
        <v>209</v>
      </c>
      <c r="D58" s="696" t="s">
        <v>1363</v>
      </c>
      <c r="E58" s="406" t="s">
        <v>1524</v>
      </c>
      <c r="F58" s="787" t="s">
        <v>1215</v>
      </c>
      <c r="G58" s="787">
        <f t="shared" si="6"/>
        <v>667018693.23000002</v>
      </c>
      <c r="H58" s="787">
        <f>'d3'!E50-H59-H60-H61</f>
        <v>530735154.33999997</v>
      </c>
      <c r="I58" s="787">
        <f>'d3'!J50-I59-I60-I61</f>
        <v>136283538.89000002</v>
      </c>
      <c r="J58" s="787">
        <f>'d3'!K50-J59-J60-J61</f>
        <v>81004318.890000015</v>
      </c>
      <c r="K58" s="111" t="b">
        <f>H58+H59+H60+H61='d3'!E50</f>
        <v>1</v>
      </c>
      <c r="L58" s="112" t="b">
        <f>I58+I59+I60+I61='d3'!J50</f>
        <v>1</v>
      </c>
      <c r="M58" s="112" t="b">
        <f>J58+J59+J60='d3'!K50</f>
        <v>1</v>
      </c>
    </row>
    <row r="59" spans="1:13" ht="184.5" thickTop="1" thickBot="1" x14ac:dyDescent="0.25">
      <c r="A59" s="780" t="s">
        <v>650</v>
      </c>
      <c r="B59" s="780" t="s">
        <v>651</v>
      </c>
      <c r="C59" s="780" t="s">
        <v>209</v>
      </c>
      <c r="D59" s="780" t="s">
        <v>1363</v>
      </c>
      <c r="E59" s="406" t="s">
        <v>1510</v>
      </c>
      <c r="F59" s="787" t="s">
        <v>455</v>
      </c>
      <c r="G59" s="787">
        <f t="shared" si="6"/>
        <v>693495</v>
      </c>
      <c r="H59" s="787">
        <f>23946+66470+79400+122699</f>
        <v>292515</v>
      </c>
      <c r="I59" s="787">
        <f>121900+125620+83060+70400</f>
        <v>400980</v>
      </c>
      <c r="J59" s="787">
        <f>121900+125620+83060+70400</f>
        <v>400980</v>
      </c>
      <c r="K59" s="307"/>
      <c r="L59" s="173"/>
      <c r="M59" s="173"/>
    </row>
    <row r="60" spans="1:13" ht="138.75" hidden="1" thickTop="1" thickBot="1" x14ac:dyDescent="0.25">
      <c r="A60" s="44" t="s">
        <v>650</v>
      </c>
      <c r="B60" s="44" t="s">
        <v>651</v>
      </c>
      <c r="C60" s="44" t="s">
        <v>209</v>
      </c>
      <c r="D60" s="696" t="s">
        <v>1363</v>
      </c>
      <c r="E60" s="304" t="s">
        <v>1214</v>
      </c>
      <c r="F60" s="233" t="s">
        <v>1215</v>
      </c>
      <c r="G60" s="77">
        <f>H60+I60</f>
        <v>0</v>
      </c>
      <c r="H60" s="77">
        <v>0</v>
      </c>
      <c r="I60" s="77">
        <v>0</v>
      </c>
      <c r="J60" s="77">
        <v>0</v>
      </c>
      <c r="K60" s="173"/>
      <c r="L60" s="173"/>
      <c r="M60" s="173"/>
    </row>
    <row r="61" spans="1:13" s="448" customFormat="1" ht="367.5" thickTop="1" thickBot="1" x14ac:dyDescent="0.25">
      <c r="A61" s="445" t="s">
        <v>650</v>
      </c>
      <c r="B61" s="445" t="s">
        <v>651</v>
      </c>
      <c r="C61" s="445" t="s">
        <v>209</v>
      </c>
      <c r="D61" s="696" t="s">
        <v>1363</v>
      </c>
      <c r="E61" s="399" t="s">
        <v>1514</v>
      </c>
      <c r="F61" s="399" t="s">
        <v>869</v>
      </c>
      <c r="G61" s="399">
        <f t="shared" si="6"/>
        <v>1300000</v>
      </c>
      <c r="H61" s="399">
        <v>1300000</v>
      </c>
      <c r="I61" s="399"/>
      <c r="J61" s="399"/>
      <c r="K61" s="173"/>
      <c r="L61" s="173"/>
      <c r="M61" s="173"/>
    </row>
    <row r="62" spans="1:13" ht="276" thickTop="1" thickBot="1" x14ac:dyDescent="0.25">
      <c r="A62" s="445" t="s">
        <v>659</v>
      </c>
      <c r="B62" s="445" t="s">
        <v>660</v>
      </c>
      <c r="C62" s="445" t="s">
        <v>212</v>
      </c>
      <c r="D62" s="696" t="s">
        <v>1364</v>
      </c>
      <c r="E62" s="406" t="s">
        <v>1524</v>
      </c>
      <c r="F62" s="399" t="s">
        <v>1215</v>
      </c>
      <c r="G62" s="399">
        <f t="shared" si="6"/>
        <v>30261436</v>
      </c>
      <c r="H62" s="399">
        <f>'d3'!E51-H63</f>
        <v>29546436</v>
      </c>
      <c r="I62" s="399">
        <f>'d3'!J51-I63</f>
        <v>715000</v>
      </c>
      <c r="J62" s="399">
        <f>'d3'!K51-J63</f>
        <v>560000</v>
      </c>
      <c r="K62" s="111" t="b">
        <f>H62+H63='d3'!E51</f>
        <v>1</v>
      </c>
      <c r="L62" s="111" t="b">
        <f>I62+I63='d3'!J51</f>
        <v>1</v>
      </c>
      <c r="M62" s="111" t="b">
        <f>J62+J63='d3'!K51</f>
        <v>1</v>
      </c>
    </row>
    <row r="63" spans="1:13" ht="230.25" hidden="1" thickTop="1" thickBot="1" x14ac:dyDescent="0.25">
      <c r="A63" s="452" t="s">
        <v>659</v>
      </c>
      <c r="B63" s="452" t="s">
        <v>660</v>
      </c>
      <c r="C63" s="452" t="s">
        <v>212</v>
      </c>
      <c r="D63" s="452" t="s">
        <v>502</v>
      </c>
      <c r="E63" s="453" t="s">
        <v>589</v>
      </c>
      <c r="F63" s="454" t="s">
        <v>412</v>
      </c>
      <c r="G63" s="454">
        <f t="shared" si="6"/>
        <v>0</v>
      </c>
      <c r="H63" s="454">
        <v>0</v>
      </c>
      <c r="I63" s="454"/>
      <c r="J63" s="454"/>
      <c r="K63" s="307" t="s">
        <v>569</v>
      </c>
      <c r="L63" s="173"/>
      <c r="M63" s="173"/>
    </row>
    <row r="64" spans="1:13" ht="184.5" thickTop="1" thickBot="1" x14ac:dyDescent="0.25">
      <c r="A64" s="445" t="s">
        <v>1015</v>
      </c>
      <c r="B64" s="445" t="s">
        <v>1016</v>
      </c>
      <c r="C64" s="445" t="s">
        <v>212</v>
      </c>
      <c r="D64" s="696" t="s">
        <v>1365</v>
      </c>
      <c r="E64" s="406" t="s">
        <v>1524</v>
      </c>
      <c r="F64" s="399" t="s">
        <v>1215</v>
      </c>
      <c r="G64" s="399">
        <f t="shared" si="6"/>
        <v>26623926.690000001</v>
      </c>
      <c r="H64" s="399">
        <f>'d3'!E52</f>
        <v>26338841</v>
      </c>
      <c r="I64" s="399">
        <f>'d3'!J52</f>
        <v>285085.69</v>
      </c>
      <c r="J64" s="399">
        <f>'d3'!K52</f>
        <v>285085.69</v>
      </c>
      <c r="K64" s="313"/>
      <c r="L64" s="173"/>
      <c r="M64" s="173"/>
    </row>
    <row r="65" spans="1:13" ht="138.75" thickTop="1" thickBot="1" x14ac:dyDescent="0.25">
      <c r="A65" s="682" t="s">
        <v>668</v>
      </c>
      <c r="B65" s="682" t="s">
        <v>669</v>
      </c>
      <c r="C65" s="682" t="s">
        <v>209</v>
      </c>
      <c r="D65" s="696" t="s">
        <v>1366</v>
      </c>
      <c r="E65" s="406" t="s">
        <v>1524</v>
      </c>
      <c r="F65" s="399" t="s">
        <v>1215</v>
      </c>
      <c r="G65" s="399">
        <f t="shared" si="6"/>
        <v>600318986</v>
      </c>
      <c r="H65" s="399">
        <f>'d3'!E54</f>
        <v>600318986</v>
      </c>
      <c r="I65" s="399">
        <f>'d3'!J54</f>
        <v>0</v>
      </c>
      <c r="J65" s="399">
        <f>'d3'!K54</f>
        <v>0</v>
      </c>
      <c r="K65" s="313"/>
      <c r="L65" s="173"/>
      <c r="M65" s="173"/>
    </row>
    <row r="66" spans="1:13" ht="184.5" thickTop="1" thickBot="1" x14ac:dyDescent="0.25">
      <c r="A66" s="682" t="s">
        <v>1174</v>
      </c>
      <c r="B66" s="682" t="s">
        <v>1175</v>
      </c>
      <c r="C66" s="682" t="s">
        <v>212</v>
      </c>
      <c r="D66" s="696" t="s">
        <v>1367</v>
      </c>
      <c r="E66" s="406" t="s">
        <v>1524</v>
      </c>
      <c r="F66" s="399" t="s">
        <v>1215</v>
      </c>
      <c r="G66" s="399">
        <f t="shared" ref="G66" si="7">H66+I66</f>
        <v>2286600</v>
      </c>
      <c r="H66" s="399">
        <f>'d3'!E55</f>
        <v>2286600</v>
      </c>
      <c r="I66" s="399">
        <f>'d3'!J55</f>
        <v>0</v>
      </c>
      <c r="J66" s="399">
        <f>'d3'!K55</f>
        <v>0</v>
      </c>
      <c r="K66" s="313"/>
      <c r="L66" s="173"/>
      <c r="M66" s="173"/>
    </row>
    <row r="67" spans="1:13" ht="138.75" hidden="1" thickTop="1" thickBot="1" x14ac:dyDescent="0.25">
      <c r="A67" s="162" t="s">
        <v>944</v>
      </c>
      <c r="B67" s="162" t="s">
        <v>945</v>
      </c>
      <c r="C67" s="162" t="s">
        <v>209</v>
      </c>
      <c r="D67" s="162" t="s">
        <v>948</v>
      </c>
      <c r="E67" s="314" t="s">
        <v>1204</v>
      </c>
      <c r="F67" s="315"/>
      <c r="G67" s="233">
        <f t="shared" si="6"/>
        <v>0</v>
      </c>
      <c r="H67" s="233">
        <f>'d3'!E58</f>
        <v>0</v>
      </c>
      <c r="I67" s="233">
        <f>'d3'!J58</f>
        <v>0</v>
      </c>
      <c r="J67" s="233">
        <f>'d3'!K58</f>
        <v>0</v>
      </c>
      <c r="K67" s="316"/>
      <c r="L67" s="173"/>
      <c r="M67" s="173"/>
    </row>
    <row r="68" spans="1:13" ht="138.75" thickTop="1" thickBot="1" x14ac:dyDescent="0.25">
      <c r="A68" s="445" t="s">
        <v>670</v>
      </c>
      <c r="B68" s="445" t="s">
        <v>211</v>
      </c>
      <c r="C68" s="445" t="s">
        <v>186</v>
      </c>
      <c r="D68" s="445" t="s">
        <v>504</v>
      </c>
      <c r="E68" s="406" t="s">
        <v>1524</v>
      </c>
      <c r="F68" s="399" t="s">
        <v>1215</v>
      </c>
      <c r="G68" s="399">
        <f t="shared" si="6"/>
        <v>44615151</v>
      </c>
      <c r="H68" s="399">
        <f>'d3'!E59-H69</f>
        <v>33522721</v>
      </c>
      <c r="I68" s="399">
        <f>'d3'!J59-I69</f>
        <v>11092430</v>
      </c>
      <c r="J68" s="399">
        <f>'d3'!K59-J69</f>
        <v>10000000</v>
      </c>
      <c r="K68" s="111" t="b">
        <f>H68+H69='d3'!E59</f>
        <v>1</v>
      </c>
      <c r="L68" s="111" t="b">
        <f>I68+I69='d3'!J59</f>
        <v>1</v>
      </c>
      <c r="M68" s="111" t="b">
        <f>J68+J69='d3'!K59</f>
        <v>1</v>
      </c>
    </row>
    <row r="69" spans="1:13" s="448" customFormat="1" ht="367.5" thickTop="1" thickBot="1" x14ac:dyDescent="0.25">
      <c r="A69" s="445" t="s">
        <v>670</v>
      </c>
      <c r="B69" s="445" t="s">
        <v>211</v>
      </c>
      <c r="C69" s="445" t="s">
        <v>186</v>
      </c>
      <c r="D69" s="445" t="s">
        <v>504</v>
      </c>
      <c r="E69" s="399" t="s">
        <v>1514</v>
      </c>
      <c r="F69" s="399" t="s">
        <v>869</v>
      </c>
      <c r="G69" s="399">
        <f t="shared" si="6"/>
        <v>250000</v>
      </c>
      <c r="H69" s="399">
        <v>250000</v>
      </c>
      <c r="I69" s="399"/>
      <c r="J69" s="399"/>
      <c r="K69" s="173"/>
      <c r="L69" s="173"/>
      <c r="M69" s="173"/>
    </row>
    <row r="70" spans="1:13" ht="184.5" thickTop="1" thickBot="1" x14ac:dyDescent="0.25">
      <c r="A70" s="445" t="s">
        <v>671</v>
      </c>
      <c r="B70" s="445" t="s">
        <v>672</v>
      </c>
      <c r="C70" s="445" t="s">
        <v>214</v>
      </c>
      <c r="D70" s="445" t="s">
        <v>673</v>
      </c>
      <c r="E70" s="406" t="s">
        <v>1524</v>
      </c>
      <c r="F70" s="399" t="s">
        <v>1215</v>
      </c>
      <c r="G70" s="399">
        <f t="shared" si="6"/>
        <v>211231563.91000003</v>
      </c>
      <c r="H70" s="399">
        <f>'d3'!E61-H71</f>
        <v>164822880.68000001</v>
      </c>
      <c r="I70" s="399">
        <f>'d3'!J61-I71</f>
        <v>46408683.230000004</v>
      </c>
      <c r="J70" s="399">
        <f>'d3'!K61-J71</f>
        <v>16018683.23</v>
      </c>
      <c r="K70" s="111" t="b">
        <f>H70+H71='d3'!E61</f>
        <v>1</v>
      </c>
      <c r="L70" s="111" t="b">
        <f>I70+I71='d3'!J61</f>
        <v>1</v>
      </c>
      <c r="M70" s="111" t="b">
        <f>J70+J71='d3'!K61</f>
        <v>1</v>
      </c>
    </row>
    <row r="71" spans="1:13" s="448" customFormat="1" ht="367.5" thickTop="1" thickBot="1" x14ac:dyDescent="0.25">
      <c r="A71" s="445" t="s">
        <v>671</v>
      </c>
      <c r="B71" s="445" t="s">
        <v>672</v>
      </c>
      <c r="C71" s="445" t="s">
        <v>214</v>
      </c>
      <c r="D71" s="445" t="s">
        <v>673</v>
      </c>
      <c r="E71" s="399" t="s">
        <v>1514</v>
      </c>
      <c r="F71" s="399" t="s">
        <v>869</v>
      </c>
      <c r="G71" s="399">
        <f t="shared" si="6"/>
        <v>250000</v>
      </c>
      <c r="H71" s="399">
        <v>250000</v>
      </c>
      <c r="I71" s="399"/>
      <c r="J71" s="399"/>
      <c r="K71" s="173"/>
      <c r="L71" s="173"/>
      <c r="M71" s="173"/>
    </row>
    <row r="72" spans="1:13" ht="184.5" thickTop="1" thickBot="1" x14ac:dyDescent="0.25">
      <c r="A72" s="682" t="s">
        <v>675</v>
      </c>
      <c r="B72" s="682" t="s">
        <v>674</v>
      </c>
      <c r="C72" s="682" t="s">
        <v>214</v>
      </c>
      <c r="D72" s="682" t="s">
        <v>676</v>
      </c>
      <c r="E72" s="406" t="s">
        <v>1524</v>
      </c>
      <c r="F72" s="399" t="s">
        <v>1215</v>
      </c>
      <c r="G72" s="399">
        <f t="shared" si="6"/>
        <v>24373600</v>
      </c>
      <c r="H72" s="399">
        <f>'d3'!E62</f>
        <v>24373600</v>
      </c>
      <c r="I72" s="399">
        <f>'d3'!J62</f>
        <v>0</v>
      </c>
      <c r="J72" s="399">
        <f>'d3'!K62</f>
        <v>0</v>
      </c>
      <c r="K72" s="173"/>
      <c r="L72" s="173"/>
      <c r="M72" s="173"/>
    </row>
    <row r="73" spans="1:13" ht="138.75" thickTop="1" thickBot="1" x14ac:dyDescent="0.25">
      <c r="A73" s="445" t="s">
        <v>680</v>
      </c>
      <c r="B73" s="445" t="s">
        <v>681</v>
      </c>
      <c r="C73" s="445" t="s">
        <v>215</v>
      </c>
      <c r="D73" s="445" t="s">
        <v>506</v>
      </c>
      <c r="E73" s="406" t="s">
        <v>1524</v>
      </c>
      <c r="F73" s="399" t="s">
        <v>1215</v>
      </c>
      <c r="G73" s="399">
        <f t="shared" ref="G73" si="8">H73+I73</f>
        <v>37207791</v>
      </c>
      <c r="H73" s="399">
        <f>'d3'!E64</f>
        <v>30499390</v>
      </c>
      <c r="I73" s="399">
        <f>'d3'!J64</f>
        <v>6708401</v>
      </c>
      <c r="J73" s="399">
        <f>'d3'!K64</f>
        <v>6203701</v>
      </c>
      <c r="K73" s="173"/>
      <c r="L73" s="173"/>
      <c r="M73" s="173"/>
    </row>
    <row r="74" spans="1:13" ht="138.75" thickTop="1" thickBot="1" x14ac:dyDescent="0.25">
      <c r="A74" s="445" t="s">
        <v>682</v>
      </c>
      <c r="B74" s="445" t="s">
        <v>683</v>
      </c>
      <c r="C74" s="445" t="s">
        <v>215</v>
      </c>
      <c r="D74" s="445" t="s">
        <v>342</v>
      </c>
      <c r="E74" s="406" t="s">
        <v>1524</v>
      </c>
      <c r="F74" s="399" t="s">
        <v>1215</v>
      </c>
      <c r="G74" s="399">
        <f>H74+I74</f>
        <v>519820</v>
      </c>
      <c r="H74" s="399">
        <f>'d3'!E65-H75</f>
        <v>519820</v>
      </c>
      <c r="I74" s="399">
        <f>'d3'!J65-I75</f>
        <v>0</v>
      </c>
      <c r="J74" s="399">
        <f>'d3'!K65-J75</f>
        <v>0</v>
      </c>
      <c r="K74" s="492" t="b">
        <f>H74+H75='d3'!E65</f>
        <v>1</v>
      </c>
      <c r="L74" s="493" t="b">
        <f>I74+I75='d3'!J65</f>
        <v>1</v>
      </c>
      <c r="M74" s="493" t="b">
        <f>J74+J75='d3'!K65</f>
        <v>1</v>
      </c>
    </row>
    <row r="75" spans="1:13" ht="230.25" hidden="1" customHeight="1" thickTop="1" thickBot="1" x14ac:dyDescent="0.25">
      <c r="A75" s="452" t="s">
        <v>682</v>
      </c>
      <c r="B75" s="452" t="s">
        <v>683</v>
      </c>
      <c r="C75" s="452" t="s">
        <v>215</v>
      </c>
      <c r="D75" s="452" t="s">
        <v>342</v>
      </c>
      <c r="E75" s="406" t="s">
        <v>1214</v>
      </c>
      <c r="F75" s="399" t="s">
        <v>1215</v>
      </c>
      <c r="G75" s="454">
        <f>H75+I75</f>
        <v>0</v>
      </c>
      <c r="H75" s="454"/>
      <c r="I75" s="454"/>
      <c r="J75" s="454"/>
      <c r="K75" s="307" t="s">
        <v>570</v>
      </c>
      <c r="L75" s="173"/>
      <c r="M75" s="173"/>
    </row>
    <row r="76" spans="1:13" ht="138.75" thickTop="1" thickBot="1" x14ac:dyDescent="0.25">
      <c r="A76" s="445" t="s">
        <v>686</v>
      </c>
      <c r="B76" s="445" t="s">
        <v>687</v>
      </c>
      <c r="C76" s="445" t="s">
        <v>215</v>
      </c>
      <c r="D76" s="445" t="s">
        <v>688</v>
      </c>
      <c r="E76" s="406" t="s">
        <v>1524</v>
      </c>
      <c r="F76" s="399" t="s">
        <v>1215</v>
      </c>
      <c r="G76" s="399">
        <f t="shared" ref="G76:G77" si="9">H76+I76</f>
        <v>1438421.5</v>
      </c>
      <c r="H76" s="399">
        <f>'d3'!E67</f>
        <v>1219121.5</v>
      </c>
      <c r="I76" s="399">
        <f>'d3'!J67</f>
        <v>219300</v>
      </c>
      <c r="J76" s="399">
        <f>'d3'!K67</f>
        <v>219300</v>
      </c>
      <c r="K76" s="173"/>
      <c r="L76" s="173"/>
      <c r="M76" s="173"/>
    </row>
    <row r="77" spans="1:13" ht="138.75" thickTop="1" thickBot="1" x14ac:dyDescent="0.25">
      <c r="A77" s="695" t="s">
        <v>689</v>
      </c>
      <c r="B77" s="695" t="s">
        <v>690</v>
      </c>
      <c r="C77" s="695" t="s">
        <v>215</v>
      </c>
      <c r="D77" s="695" t="s">
        <v>691</v>
      </c>
      <c r="E77" s="406" t="s">
        <v>1524</v>
      </c>
      <c r="F77" s="399" t="s">
        <v>1215</v>
      </c>
      <c r="G77" s="399">
        <f t="shared" si="9"/>
        <v>3715400</v>
      </c>
      <c r="H77" s="399">
        <f>'d3'!E68</f>
        <v>3715400</v>
      </c>
      <c r="I77" s="399">
        <f>'d3'!J68</f>
        <v>0</v>
      </c>
      <c r="J77" s="399">
        <f>'d3'!K68</f>
        <v>0</v>
      </c>
      <c r="K77" s="173"/>
      <c r="L77" s="173"/>
      <c r="M77" s="173"/>
    </row>
    <row r="78" spans="1:13" ht="138.75" thickTop="1" thickBot="1" x14ac:dyDescent="0.25">
      <c r="A78" s="445" t="s">
        <v>656</v>
      </c>
      <c r="B78" s="445" t="s">
        <v>657</v>
      </c>
      <c r="C78" s="445" t="s">
        <v>215</v>
      </c>
      <c r="D78" s="445" t="s">
        <v>658</v>
      </c>
      <c r="E78" s="406" t="s">
        <v>1524</v>
      </c>
      <c r="F78" s="399" t="s">
        <v>1215</v>
      </c>
      <c r="G78" s="399">
        <f t="shared" ref="G78:G79" si="10">H78+I78</f>
        <v>3558580</v>
      </c>
      <c r="H78" s="399">
        <f>'d3'!E69</f>
        <v>3358580</v>
      </c>
      <c r="I78" s="399">
        <f>'d3'!J69</f>
        <v>200000</v>
      </c>
      <c r="J78" s="399">
        <f>'d3'!K69</f>
        <v>200000</v>
      </c>
      <c r="K78" s="173"/>
      <c r="L78" s="173"/>
      <c r="M78" s="173"/>
    </row>
    <row r="79" spans="1:13" ht="367.5" hidden="1" customHeight="1" thickTop="1" thickBot="1" x14ac:dyDescent="0.25">
      <c r="A79" s="44" t="s">
        <v>664</v>
      </c>
      <c r="B79" s="44" t="s">
        <v>665</v>
      </c>
      <c r="C79" s="44" t="s">
        <v>215</v>
      </c>
      <c r="D79" s="44" t="s">
        <v>666</v>
      </c>
      <c r="E79" s="304" t="s">
        <v>1214</v>
      </c>
      <c r="F79" s="233" t="s">
        <v>1215</v>
      </c>
      <c r="G79" s="77">
        <f t="shared" si="10"/>
        <v>0</v>
      </c>
      <c r="H79" s="77">
        <f>'d3'!E71</f>
        <v>0</v>
      </c>
      <c r="I79" s="77">
        <f>'d3'!J71</f>
        <v>0</v>
      </c>
      <c r="J79" s="77">
        <f>'d3'!K71</f>
        <v>0</v>
      </c>
      <c r="K79" s="173"/>
      <c r="L79" s="173"/>
      <c r="M79" s="173"/>
    </row>
    <row r="80" spans="1:13" ht="321.75" hidden="1" customHeight="1" thickTop="1" thickBot="1" x14ac:dyDescent="0.25">
      <c r="A80" s="44" t="s">
        <v>998</v>
      </c>
      <c r="B80" s="44" t="s">
        <v>999</v>
      </c>
      <c r="C80" s="44" t="s">
        <v>215</v>
      </c>
      <c r="D80" s="44" t="s">
        <v>1000</v>
      </c>
      <c r="E80" s="304" t="s">
        <v>1214</v>
      </c>
      <c r="F80" s="233" t="s">
        <v>1215</v>
      </c>
      <c r="G80" s="77">
        <f t="shared" ref="G80" si="11">H80+I80</f>
        <v>0</v>
      </c>
      <c r="H80" s="77">
        <f>'d3'!E72</f>
        <v>0</v>
      </c>
      <c r="I80" s="77">
        <f>'d3'!J72</f>
        <v>0</v>
      </c>
      <c r="J80" s="77">
        <f>'d3'!K72</f>
        <v>0</v>
      </c>
      <c r="K80" s="173"/>
      <c r="L80" s="173"/>
      <c r="M80" s="173"/>
    </row>
    <row r="81" spans="1:13" ht="409.6" hidden="1" customHeight="1" thickTop="1" thickBot="1" x14ac:dyDescent="0.25">
      <c r="A81" s="44" t="s">
        <v>1018</v>
      </c>
      <c r="B81" s="44" t="s">
        <v>1020</v>
      </c>
      <c r="C81" s="44" t="s">
        <v>215</v>
      </c>
      <c r="D81" s="44" t="s">
        <v>1022</v>
      </c>
      <c r="E81" s="304" t="s">
        <v>1214</v>
      </c>
      <c r="F81" s="233" t="s">
        <v>1215</v>
      </c>
      <c r="G81" s="77">
        <f>H81+I81</f>
        <v>0</v>
      </c>
      <c r="H81" s="77">
        <f>'d3'!E74</f>
        <v>0</v>
      </c>
      <c r="I81" s="77">
        <f>'d3'!J74</f>
        <v>0</v>
      </c>
      <c r="J81" s="77">
        <f>'d3'!K74</f>
        <v>0</v>
      </c>
      <c r="K81" s="173"/>
      <c r="L81" s="173"/>
      <c r="M81" s="173"/>
    </row>
    <row r="82" spans="1:13" ht="409.6" hidden="1" customHeight="1" thickTop="1" x14ac:dyDescent="0.2">
      <c r="A82" s="1014" t="s">
        <v>1037</v>
      </c>
      <c r="B82" s="1014" t="s">
        <v>1038</v>
      </c>
      <c r="C82" s="1014" t="s">
        <v>215</v>
      </c>
      <c r="D82" s="1014" t="s">
        <v>1039</v>
      </c>
      <c r="E82" s="304" t="s">
        <v>1214</v>
      </c>
      <c r="F82" s="233" t="s">
        <v>1215</v>
      </c>
      <c r="G82" s="1012">
        <f>H82+I82</f>
        <v>0</v>
      </c>
      <c r="H82" s="1012">
        <f>'d3'!E75</f>
        <v>0</v>
      </c>
      <c r="I82" s="1012">
        <f>'d3'!J75</f>
        <v>0</v>
      </c>
      <c r="J82" s="1012">
        <f>'d3'!K75</f>
        <v>0</v>
      </c>
      <c r="K82" s="173"/>
      <c r="L82" s="173"/>
      <c r="M82" s="173"/>
    </row>
    <row r="83" spans="1:13" ht="122.25" hidden="1" customHeight="1" thickBot="1" x14ac:dyDescent="0.25">
      <c r="A83" s="1013"/>
      <c r="B83" s="1013"/>
      <c r="C83" s="1013"/>
      <c r="D83" s="1013"/>
      <c r="E83" s="304" t="s">
        <v>1214</v>
      </c>
      <c r="F83" s="233" t="s">
        <v>1215</v>
      </c>
      <c r="G83" s="1013"/>
      <c r="H83" s="1013"/>
      <c r="I83" s="1013">
        <f>'d3'!J76</f>
        <v>0</v>
      </c>
      <c r="J83" s="1013">
        <f>'d3'!K76</f>
        <v>0</v>
      </c>
      <c r="K83" s="173"/>
      <c r="L83" s="173"/>
      <c r="M83" s="173"/>
    </row>
    <row r="84" spans="1:13" ht="230.25" thickTop="1" thickBot="1" x14ac:dyDescent="0.25">
      <c r="A84" s="700" t="s">
        <v>653</v>
      </c>
      <c r="B84" s="700" t="s">
        <v>654</v>
      </c>
      <c r="C84" s="700" t="s">
        <v>215</v>
      </c>
      <c r="D84" s="700" t="s">
        <v>655</v>
      </c>
      <c r="E84" s="406" t="s">
        <v>1524</v>
      </c>
      <c r="F84" s="399" t="s">
        <v>1215</v>
      </c>
      <c r="G84" s="399">
        <f t="shared" ref="G84:G96" si="12">H84+I84</f>
        <v>4309689</v>
      </c>
      <c r="H84" s="399">
        <f>'d3'!E77</f>
        <v>4309689</v>
      </c>
      <c r="I84" s="399">
        <f>'d3'!J77</f>
        <v>0</v>
      </c>
      <c r="J84" s="399">
        <f>'d3'!K77</f>
        <v>0</v>
      </c>
      <c r="K84" s="173"/>
      <c r="L84" s="173"/>
      <c r="M84" s="173"/>
    </row>
    <row r="85" spans="1:13" ht="230.25" hidden="1" thickTop="1" thickBot="1" x14ac:dyDescent="0.25">
      <c r="A85" s="44" t="s">
        <v>957</v>
      </c>
      <c r="B85" s="44" t="s">
        <v>958</v>
      </c>
      <c r="C85" s="44" t="s">
        <v>215</v>
      </c>
      <c r="D85" s="44" t="s">
        <v>959</v>
      </c>
      <c r="E85" s="307" t="s">
        <v>588</v>
      </c>
      <c r="F85" s="77" t="s">
        <v>416</v>
      </c>
      <c r="G85" s="77">
        <f t="shared" si="12"/>
        <v>0</v>
      </c>
      <c r="H85" s="77">
        <f>'d3'!E78</f>
        <v>0</v>
      </c>
      <c r="I85" s="77">
        <f>'d3'!J78</f>
        <v>0</v>
      </c>
      <c r="J85" s="77">
        <f>'d3'!K78</f>
        <v>0</v>
      </c>
      <c r="K85" s="173"/>
      <c r="L85" s="173"/>
      <c r="M85" s="173"/>
    </row>
    <row r="86" spans="1:13" ht="321.75" thickTop="1" thickBot="1" x14ac:dyDescent="0.25">
      <c r="A86" s="445" t="s">
        <v>1024</v>
      </c>
      <c r="B86" s="445" t="s">
        <v>1026</v>
      </c>
      <c r="C86" s="445" t="s">
        <v>215</v>
      </c>
      <c r="D86" s="445" t="s">
        <v>1027</v>
      </c>
      <c r="E86" s="406" t="s">
        <v>1524</v>
      </c>
      <c r="F86" s="399" t="s">
        <v>1215</v>
      </c>
      <c r="G86" s="399">
        <f t="shared" si="12"/>
        <v>1780336.07</v>
      </c>
      <c r="H86" s="399">
        <f>'d3'!E80</f>
        <v>0</v>
      </c>
      <c r="I86" s="399">
        <f>'d3'!J80</f>
        <v>1780336.07</v>
      </c>
      <c r="J86" s="399">
        <f>'d3'!K80</f>
        <v>1780336.07</v>
      </c>
      <c r="K86" s="173"/>
      <c r="L86" s="173"/>
      <c r="M86" s="173"/>
    </row>
    <row r="87" spans="1:13" ht="230.25" hidden="1" thickTop="1" thickBot="1" x14ac:dyDescent="0.25">
      <c r="A87" s="44" t="s">
        <v>1076</v>
      </c>
      <c r="B87" s="44" t="s">
        <v>1077</v>
      </c>
      <c r="C87" s="44" t="s">
        <v>215</v>
      </c>
      <c r="D87" s="44" t="s">
        <v>1075</v>
      </c>
      <c r="E87" s="307" t="s">
        <v>588</v>
      </c>
      <c r="F87" s="77" t="s">
        <v>416</v>
      </c>
      <c r="G87" s="77">
        <f t="shared" si="12"/>
        <v>0</v>
      </c>
      <c r="H87" s="77">
        <f>'d3'!E81</f>
        <v>0</v>
      </c>
      <c r="I87" s="77">
        <f>'d3'!J81</f>
        <v>0</v>
      </c>
      <c r="J87" s="77">
        <f>'d3'!K81</f>
        <v>0</v>
      </c>
      <c r="K87" s="173"/>
      <c r="L87" s="173"/>
      <c r="M87" s="173"/>
    </row>
    <row r="88" spans="1:13" s="824" customFormat="1" ht="367.5" thickTop="1" thickBot="1" x14ac:dyDescent="0.25">
      <c r="A88" s="823" t="s">
        <v>1518</v>
      </c>
      <c r="B88" s="823" t="s">
        <v>1519</v>
      </c>
      <c r="C88" s="823" t="s">
        <v>215</v>
      </c>
      <c r="D88" s="823" t="s">
        <v>1520</v>
      </c>
      <c r="E88" s="822" t="s">
        <v>1514</v>
      </c>
      <c r="F88" s="822" t="s">
        <v>869</v>
      </c>
      <c r="G88" s="834">
        <f t="shared" si="12"/>
        <v>7000000</v>
      </c>
      <c r="H88" s="834">
        <f>'d3'!E83</f>
        <v>0</v>
      </c>
      <c r="I88" s="834">
        <f>'d3'!J83</f>
        <v>7000000</v>
      </c>
      <c r="J88" s="834">
        <f>'d3'!K83</f>
        <v>7000000</v>
      </c>
      <c r="K88" s="173"/>
      <c r="L88" s="173"/>
      <c r="M88" s="173"/>
    </row>
    <row r="89" spans="1:13" s="824" customFormat="1" ht="367.5" thickTop="1" thickBot="1" x14ac:dyDescent="0.25">
      <c r="A89" s="823" t="s">
        <v>1521</v>
      </c>
      <c r="B89" s="823" t="s">
        <v>1522</v>
      </c>
      <c r="C89" s="823" t="s">
        <v>215</v>
      </c>
      <c r="D89" s="823" t="s">
        <v>1523</v>
      </c>
      <c r="E89" s="822" t="s">
        <v>1514</v>
      </c>
      <c r="F89" s="822" t="s">
        <v>869</v>
      </c>
      <c r="G89" s="834">
        <f t="shared" si="12"/>
        <v>7200000</v>
      </c>
      <c r="H89" s="834">
        <f>'d3'!E84</f>
        <v>0</v>
      </c>
      <c r="I89" s="834">
        <f>'d3'!J84</f>
        <v>7200000</v>
      </c>
      <c r="J89" s="834">
        <f>'d3'!K84</f>
        <v>7200000</v>
      </c>
      <c r="K89" s="173"/>
      <c r="L89" s="173"/>
      <c r="M89" s="173"/>
    </row>
    <row r="90" spans="1:13" ht="276" thickTop="1" thickBot="1" x14ac:dyDescent="0.25">
      <c r="A90" s="825" t="s">
        <v>436</v>
      </c>
      <c r="B90" s="825" t="s">
        <v>437</v>
      </c>
      <c r="C90" s="825" t="s">
        <v>190</v>
      </c>
      <c r="D90" s="825" t="s">
        <v>435</v>
      </c>
      <c r="E90" s="406" t="s">
        <v>1524</v>
      </c>
      <c r="F90" s="826" t="s">
        <v>1215</v>
      </c>
      <c r="G90" s="834">
        <f t="shared" si="12"/>
        <v>715000</v>
      </c>
      <c r="H90" s="834">
        <f>'d3'!E86</f>
        <v>715000</v>
      </c>
      <c r="I90" s="834">
        <f>'d3'!J86</f>
        <v>0</v>
      </c>
      <c r="J90" s="834">
        <f>'d3'!K86</f>
        <v>0</v>
      </c>
      <c r="K90" s="173"/>
      <c r="L90" s="173"/>
      <c r="M90" s="173"/>
    </row>
    <row r="91" spans="1:13" ht="184.5" thickTop="1" thickBot="1" x14ac:dyDescent="0.25">
      <c r="A91" s="445" t="s">
        <v>1283</v>
      </c>
      <c r="B91" s="445" t="s">
        <v>1249</v>
      </c>
      <c r="C91" s="445" t="s">
        <v>211</v>
      </c>
      <c r="D91" s="470" t="s">
        <v>1250</v>
      </c>
      <c r="E91" s="406" t="s">
        <v>1241</v>
      </c>
      <c r="F91" s="399" t="s">
        <v>1213</v>
      </c>
      <c r="G91" s="399">
        <f t="shared" si="12"/>
        <v>2364150</v>
      </c>
      <c r="H91" s="399">
        <f>'d3'!E87</f>
        <v>2364150</v>
      </c>
      <c r="I91" s="399">
        <f>'d3'!J87</f>
        <v>0</v>
      </c>
      <c r="J91" s="399">
        <f>'d3'!K87</f>
        <v>0</v>
      </c>
      <c r="K91" s="173"/>
      <c r="L91" s="173"/>
      <c r="M91" s="173"/>
    </row>
    <row r="92" spans="1:13" s="448" customFormat="1" ht="162.75" customHeight="1" thickTop="1" thickBot="1" x14ac:dyDescent="0.25">
      <c r="A92" s="445" t="s">
        <v>1143</v>
      </c>
      <c r="B92" s="445" t="s">
        <v>316</v>
      </c>
      <c r="C92" s="445" t="s">
        <v>309</v>
      </c>
      <c r="D92" s="445" t="s">
        <v>1319</v>
      </c>
      <c r="E92" s="406" t="s">
        <v>1524</v>
      </c>
      <c r="F92" s="399" t="s">
        <v>1215</v>
      </c>
      <c r="G92" s="399">
        <f t="shared" si="12"/>
        <v>13434322.6</v>
      </c>
      <c r="H92" s="399">
        <v>0</v>
      </c>
      <c r="I92" s="399">
        <f>((200000+2597000)+4561740+1666801+5550.6)+2983231+1000000+420000</f>
        <v>13434322.6</v>
      </c>
      <c r="J92" s="826">
        <f>((200000+2597000)+4561740+1666801+5550.6)+2983231+1000000+420000</f>
        <v>13434322.6</v>
      </c>
      <c r="K92" s="111" t="b">
        <f>H92+H93='d3'!E91</f>
        <v>1</v>
      </c>
      <c r="L92" s="112" t="b">
        <f>I92+I93='d3'!J91</f>
        <v>1</v>
      </c>
      <c r="M92" s="112" t="b">
        <f>J92+J93='d3'!K91</f>
        <v>1</v>
      </c>
    </row>
    <row r="93" spans="1:13" ht="367.5" thickTop="1" thickBot="1" x14ac:dyDescent="0.25">
      <c r="A93" s="445" t="s">
        <v>1143</v>
      </c>
      <c r="B93" s="445" t="s">
        <v>316</v>
      </c>
      <c r="C93" s="445" t="s">
        <v>309</v>
      </c>
      <c r="D93" s="445" t="s">
        <v>1319</v>
      </c>
      <c r="E93" s="399" t="s">
        <v>1514</v>
      </c>
      <c r="F93" s="399" t="s">
        <v>869</v>
      </c>
      <c r="G93" s="399">
        <f t="shared" si="12"/>
        <v>57000000</v>
      </c>
      <c r="H93" s="399">
        <v>0</v>
      </c>
      <c r="I93" s="399">
        <f>((10000000)+54000000)-7000000</f>
        <v>57000000</v>
      </c>
      <c r="J93" s="822">
        <f>((10000000)+54000000)-7000000</f>
        <v>57000000</v>
      </c>
      <c r="K93" s="173"/>
      <c r="L93" s="173"/>
      <c r="M93" s="173"/>
    </row>
    <row r="94" spans="1:13" ht="138.75" thickTop="1" thickBot="1" x14ac:dyDescent="0.25">
      <c r="A94" s="726" t="s">
        <v>1133</v>
      </c>
      <c r="B94" s="726" t="s">
        <v>217</v>
      </c>
      <c r="C94" s="726" t="s">
        <v>218</v>
      </c>
      <c r="D94" s="726" t="s">
        <v>41</v>
      </c>
      <c r="E94" s="406" t="s">
        <v>1524</v>
      </c>
      <c r="F94" s="399" t="s">
        <v>1215</v>
      </c>
      <c r="G94" s="399">
        <f t="shared" si="12"/>
        <v>45400000</v>
      </c>
      <c r="H94" s="399">
        <f>'d3'!E93</f>
        <v>0</v>
      </c>
      <c r="I94" s="399">
        <f>'d3'!J93</f>
        <v>45400000</v>
      </c>
      <c r="J94" s="399">
        <f>'d3'!K93</f>
        <v>45400000</v>
      </c>
      <c r="K94" s="173"/>
      <c r="L94" s="173"/>
      <c r="M94" s="173"/>
    </row>
    <row r="95" spans="1:13" ht="184.5" thickTop="1" thickBot="1" x14ac:dyDescent="0.25">
      <c r="A95" s="445" t="s">
        <v>1275</v>
      </c>
      <c r="B95" s="445" t="s">
        <v>1238</v>
      </c>
      <c r="C95" s="445" t="s">
        <v>1236</v>
      </c>
      <c r="D95" s="445" t="s">
        <v>1235</v>
      </c>
      <c r="E95" s="698" t="s">
        <v>1508</v>
      </c>
      <c r="F95" s="399" t="s">
        <v>1373</v>
      </c>
      <c r="G95" s="399">
        <f t="shared" si="12"/>
        <v>3770000</v>
      </c>
      <c r="H95" s="399">
        <f>'d3'!E96</f>
        <v>0</v>
      </c>
      <c r="I95" s="399">
        <f>'d3'!J96</f>
        <v>3770000</v>
      </c>
      <c r="J95" s="399">
        <f>'d3'!K96</f>
        <v>3770000</v>
      </c>
      <c r="K95" s="173"/>
      <c r="L95" s="173"/>
      <c r="M95" s="173"/>
    </row>
    <row r="96" spans="1:13" ht="184.5" hidden="1" thickTop="1" thickBot="1" x14ac:dyDescent="0.25">
      <c r="A96" s="44" t="s">
        <v>1052</v>
      </c>
      <c r="B96" s="44" t="s">
        <v>368</v>
      </c>
      <c r="C96" s="44" t="s">
        <v>43</v>
      </c>
      <c r="D96" s="44" t="s">
        <v>369</v>
      </c>
      <c r="E96" s="307" t="s">
        <v>588</v>
      </c>
      <c r="F96" s="77" t="s">
        <v>416</v>
      </c>
      <c r="G96" s="77">
        <f t="shared" si="12"/>
        <v>0</v>
      </c>
      <c r="H96" s="77">
        <f>'d3'!E99</f>
        <v>0</v>
      </c>
      <c r="I96" s="77">
        <f>'d3'!J99</f>
        <v>0</v>
      </c>
      <c r="J96" s="77">
        <f>'d3'!K99</f>
        <v>0</v>
      </c>
      <c r="K96" s="173"/>
      <c r="L96" s="173"/>
      <c r="M96" s="173"/>
    </row>
    <row r="97" spans="1:13" ht="136.5" thickTop="1" thickBot="1" x14ac:dyDescent="0.25">
      <c r="A97" s="460" t="s">
        <v>155</v>
      </c>
      <c r="B97" s="460"/>
      <c r="C97" s="460"/>
      <c r="D97" s="461" t="s">
        <v>18</v>
      </c>
      <c r="E97" s="460"/>
      <c r="F97" s="460"/>
      <c r="G97" s="462">
        <f>G98</f>
        <v>269328351.24000001</v>
      </c>
      <c r="H97" s="462">
        <f t="shared" ref="H97:J97" si="13">H98</f>
        <v>153695730</v>
      </c>
      <c r="I97" s="462">
        <f t="shared" si="13"/>
        <v>115632621.23999999</v>
      </c>
      <c r="J97" s="462">
        <f t="shared" si="13"/>
        <v>115632621.23999999</v>
      </c>
      <c r="K97" s="111" t="b">
        <f>H97='d3'!E101-'d3'!E103+H99</f>
        <v>1</v>
      </c>
      <c r="L97" s="111" t="b">
        <f>I97='d3'!J101-'d3'!J103+'d7'!I99</f>
        <v>1</v>
      </c>
      <c r="M97" s="111" t="b">
        <f>J97='d3'!K101-'d3'!K103+'d7'!J99</f>
        <v>1</v>
      </c>
    </row>
    <row r="98" spans="1:13" ht="172.5" customHeight="1" thickTop="1" thickBot="1" x14ac:dyDescent="0.25">
      <c r="A98" s="464" t="s">
        <v>156</v>
      </c>
      <c r="B98" s="464"/>
      <c r="C98" s="464"/>
      <c r="D98" s="465" t="s">
        <v>36</v>
      </c>
      <c r="E98" s="466"/>
      <c r="F98" s="466"/>
      <c r="G98" s="466">
        <f>SUM(G99:G120)</f>
        <v>269328351.24000001</v>
      </c>
      <c r="H98" s="466">
        <f>SUM(H99:H120)</f>
        <v>153695730</v>
      </c>
      <c r="I98" s="466">
        <f>SUM(I99:I120)</f>
        <v>115632621.23999999</v>
      </c>
      <c r="J98" s="466">
        <f>SUM(J99:J120)</f>
        <v>115632621.23999999</v>
      </c>
      <c r="K98" s="173"/>
      <c r="L98" s="173"/>
      <c r="M98" s="173"/>
    </row>
    <row r="99" spans="1:13" s="681" customFormat="1" ht="172.5" customHeight="1" thickTop="1" thickBot="1" x14ac:dyDescent="0.25">
      <c r="A99" s="680" t="s">
        <v>421</v>
      </c>
      <c r="B99" s="680" t="s">
        <v>241</v>
      </c>
      <c r="C99" s="680" t="s">
        <v>239</v>
      </c>
      <c r="D99" s="680" t="s">
        <v>240</v>
      </c>
      <c r="E99" s="406" t="s">
        <v>1369</v>
      </c>
      <c r="F99" s="399" t="s">
        <v>1370</v>
      </c>
      <c r="G99" s="679">
        <f>H99+I99</f>
        <v>1446951</v>
      </c>
      <c r="H99" s="679"/>
      <c r="I99" s="679">
        <f>(60000)+1386951</f>
        <v>1446951</v>
      </c>
      <c r="J99" s="832">
        <f>(60000)+1386951</f>
        <v>1446951</v>
      </c>
      <c r="K99" s="173"/>
      <c r="L99" s="173"/>
      <c r="M99" s="173"/>
    </row>
    <row r="100" spans="1:13" s="448" customFormat="1" ht="367.5" thickTop="1" thickBot="1" x14ac:dyDescent="0.25">
      <c r="A100" s="445" t="s">
        <v>1332</v>
      </c>
      <c r="B100" s="445" t="s">
        <v>367</v>
      </c>
      <c r="C100" s="445" t="s">
        <v>634</v>
      </c>
      <c r="D100" s="445" t="s">
        <v>635</v>
      </c>
      <c r="E100" s="406" t="s">
        <v>1386</v>
      </c>
      <c r="F100" s="399" t="s">
        <v>1387</v>
      </c>
      <c r="G100" s="443">
        <f>H100+I100</f>
        <v>7000</v>
      </c>
      <c r="H100" s="443">
        <f>'d3'!E104</f>
        <v>7000</v>
      </c>
      <c r="I100" s="443">
        <f>'d3'!J104</f>
        <v>0</v>
      </c>
      <c r="J100" s="443">
        <f>'d3'!K104</f>
        <v>0</v>
      </c>
      <c r="K100" s="173"/>
      <c r="L100" s="173"/>
      <c r="M100" s="173"/>
    </row>
    <row r="101" spans="1:13" ht="386.25" thickTop="1" thickBot="1" x14ac:dyDescent="0.25">
      <c r="A101" s="445" t="s">
        <v>219</v>
      </c>
      <c r="B101" s="445" t="s">
        <v>216</v>
      </c>
      <c r="C101" s="445" t="s">
        <v>220</v>
      </c>
      <c r="D101" s="445" t="s">
        <v>19</v>
      </c>
      <c r="E101" s="544" t="s">
        <v>1251</v>
      </c>
      <c r="F101" s="787" t="s">
        <v>881</v>
      </c>
      <c r="G101" s="785">
        <f>H101+I101</f>
        <v>113359982</v>
      </c>
      <c r="H101" s="785">
        <f>'d3'!E106-H102</f>
        <v>63154753</v>
      </c>
      <c r="I101" s="785">
        <f>'d3'!J106-I102</f>
        <v>50205229</v>
      </c>
      <c r="J101" s="785">
        <f>'d3'!K106-J102</f>
        <v>50205229</v>
      </c>
      <c r="K101" s="173"/>
      <c r="L101" s="173"/>
      <c r="M101" s="173"/>
    </row>
    <row r="102" spans="1:13" s="790" customFormat="1" ht="184.5" thickTop="1" thickBot="1" x14ac:dyDescent="0.25">
      <c r="A102" s="786" t="s">
        <v>219</v>
      </c>
      <c r="B102" s="786" t="s">
        <v>216</v>
      </c>
      <c r="C102" s="786" t="s">
        <v>220</v>
      </c>
      <c r="D102" s="786" t="s">
        <v>19</v>
      </c>
      <c r="E102" s="406" t="s">
        <v>1510</v>
      </c>
      <c r="F102" s="787" t="s">
        <v>455</v>
      </c>
      <c r="G102" s="787">
        <f t="shared" ref="G102" si="14">H102+I102</f>
        <v>300000</v>
      </c>
      <c r="H102" s="787">
        <v>61200</v>
      </c>
      <c r="I102" s="787">
        <f>150000+88800</f>
        <v>238800</v>
      </c>
      <c r="J102" s="787">
        <f>150000+88800</f>
        <v>238800</v>
      </c>
      <c r="K102" s="173"/>
      <c r="L102" s="173"/>
      <c r="M102" s="173"/>
    </row>
    <row r="103" spans="1:13" ht="386.25" thickTop="1" thickBot="1" x14ac:dyDescent="0.25">
      <c r="A103" s="445" t="s">
        <v>510</v>
      </c>
      <c r="B103" s="445" t="s">
        <v>513</v>
      </c>
      <c r="C103" s="445" t="s">
        <v>512</v>
      </c>
      <c r="D103" s="445" t="s">
        <v>511</v>
      </c>
      <c r="E103" s="544" t="s">
        <v>1251</v>
      </c>
      <c r="F103" s="399" t="s">
        <v>881</v>
      </c>
      <c r="G103" s="443">
        <f>H103+I103</f>
        <v>18220999</v>
      </c>
      <c r="H103" s="443">
        <f>'d3'!E107</f>
        <v>18220999</v>
      </c>
      <c r="I103" s="443">
        <f>'d3'!J107</f>
        <v>0</v>
      </c>
      <c r="J103" s="443">
        <f>'d3'!K107</f>
        <v>0</v>
      </c>
      <c r="K103" s="173"/>
      <c r="L103" s="173"/>
      <c r="M103" s="173"/>
    </row>
    <row r="104" spans="1:13" ht="386.25" thickTop="1" thickBot="1" x14ac:dyDescent="0.25">
      <c r="A104" s="445" t="s">
        <v>221</v>
      </c>
      <c r="B104" s="445" t="s">
        <v>222</v>
      </c>
      <c r="C104" s="445" t="s">
        <v>223</v>
      </c>
      <c r="D104" s="445" t="s">
        <v>224</v>
      </c>
      <c r="E104" s="544" t="s">
        <v>1251</v>
      </c>
      <c r="F104" s="399" t="s">
        <v>881</v>
      </c>
      <c r="G104" s="443">
        <f t="shared" ref="G104:G111" si="15">H104+I104</f>
        <v>29329545</v>
      </c>
      <c r="H104" s="443">
        <f>'d3'!E108</f>
        <v>18957732</v>
      </c>
      <c r="I104" s="443">
        <f>'d3'!J108</f>
        <v>10371813</v>
      </c>
      <c r="J104" s="443">
        <f>'d3'!K108</f>
        <v>10371813</v>
      </c>
      <c r="K104" s="173"/>
      <c r="L104" s="173"/>
      <c r="M104" s="173"/>
    </row>
    <row r="105" spans="1:13" ht="386.25" thickTop="1" thickBot="1" x14ac:dyDescent="0.25">
      <c r="A105" s="445" t="s">
        <v>225</v>
      </c>
      <c r="B105" s="445" t="s">
        <v>226</v>
      </c>
      <c r="C105" s="445" t="s">
        <v>227</v>
      </c>
      <c r="D105" s="445" t="s">
        <v>350</v>
      </c>
      <c r="E105" s="544" t="s">
        <v>1251</v>
      </c>
      <c r="F105" s="399" t="s">
        <v>881</v>
      </c>
      <c r="G105" s="443">
        <f t="shared" si="15"/>
        <v>26247962</v>
      </c>
      <c r="H105" s="443">
        <f>'d3'!E109-H106</f>
        <v>25043595</v>
      </c>
      <c r="I105" s="443">
        <f>'d3'!J109-I106</f>
        <v>1204367</v>
      </c>
      <c r="J105" s="443">
        <f>'d3'!K109-J106</f>
        <v>1204367</v>
      </c>
      <c r="K105" s="173"/>
      <c r="L105" s="173"/>
      <c r="M105" s="173"/>
    </row>
    <row r="106" spans="1:13" s="790" customFormat="1" ht="184.5" thickTop="1" thickBot="1" x14ac:dyDescent="0.25">
      <c r="A106" s="786" t="s">
        <v>225</v>
      </c>
      <c r="B106" s="786" t="s">
        <v>226</v>
      </c>
      <c r="C106" s="786" t="s">
        <v>227</v>
      </c>
      <c r="D106" s="786" t="s">
        <v>350</v>
      </c>
      <c r="E106" s="406" t="s">
        <v>1510</v>
      </c>
      <c r="F106" s="792" t="s">
        <v>455</v>
      </c>
      <c r="G106" s="792">
        <f t="shared" si="15"/>
        <v>146200</v>
      </c>
      <c r="H106" s="792">
        <v>51900</v>
      </c>
      <c r="I106" s="792">
        <v>94300</v>
      </c>
      <c r="J106" s="792">
        <v>94300</v>
      </c>
      <c r="K106" s="173"/>
      <c r="L106" s="173"/>
      <c r="M106" s="173"/>
    </row>
    <row r="107" spans="1:13" ht="386.25" hidden="1" thickTop="1" thickBot="1" x14ac:dyDescent="0.25">
      <c r="A107" s="162" t="s">
        <v>228</v>
      </c>
      <c r="B107" s="162" t="s">
        <v>229</v>
      </c>
      <c r="C107" s="162" t="s">
        <v>230</v>
      </c>
      <c r="D107" s="162" t="s">
        <v>231</v>
      </c>
      <c r="E107" s="317" t="s">
        <v>1251</v>
      </c>
      <c r="F107" s="233" t="s">
        <v>881</v>
      </c>
      <c r="G107" s="318"/>
      <c r="H107" s="318"/>
      <c r="I107" s="318"/>
      <c r="J107" s="318"/>
      <c r="K107" s="173"/>
      <c r="L107" s="173"/>
      <c r="M107" s="173"/>
    </row>
    <row r="108" spans="1:13" ht="230.25" hidden="1" thickTop="1" thickBot="1" x14ac:dyDescent="0.25">
      <c r="A108" s="162" t="s">
        <v>228</v>
      </c>
      <c r="B108" s="162" t="s">
        <v>229</v>
      </c>
      <c r="C108" s="162" t="s">
        <v>230</v>
      </c>
      <c r="D108" s="162" t="s">
        <v>231</v>
      </c>
      <c r="E108" s="304" t="s">
        <v>1277</v>
      </c>
      <c r="F108" s="233" t="s">
        <v>879</v>
      </c>
      <c r="G108" s="233"/>
      <c r="H108" s="233"/>
      <c r="I108" s="233"/>
      <c r="J108" s="233"/>
      <c r="K108" s="173"/>
      <c r="L108" s="173"/>
      <c r="M108" s="173"/>
    </row>
    <row r="109" spans="1:13" ht="386.25" thickTop="1" thickBot="1" x14ac:dyDescent="0.25">
      <c r="A109" s="445" t="s">
        <v>232</v>
      </c>
      <c r="B109" s="445" t="s">
        <v>233</v>
      </c>
      <c r="C109" s="445" t="s">
        <v>351</v>
      </c>
      <c r="D109" s="445" t="s">
        <v>234</v>
      </c>
      <c r="E109" s="544" t="s">
        <v>1251</v>
      </c>
      <c r="F109" s="399" t="s">
        <v>881</v>
      </c>
      <c r="G109" s="443">
        <f t="shared" si="15"/>
        <v>21156325</v>
      </c>
      <c r="H109" s="443">
        <f>'d3'!E112</f>
        <v>18156325</v>
      </c>
      <c r="I109" s="443">
        <f>'d3'!J112</f>
        <v>3000000</v>
      </c>
      <c r="J109" s="443">
        <f>'d3'!K112</f>
        <v>3000000</v>
      </c>
      <c r="K109" s="173"/>
      <c r="L109" s="173"/>
      <c r="M109" s="173"/>
    </row>
    <row r="110" spans="1:13" ht="386.25" hidden="1" thickTop="1" thickBot="1" x14ac:dyDescent="0.25">
      <c r="A110" s="44" t="s">
        <v>480</v>
      </c>
      <c r="B110" s="44" t="s">
        <v>481</v>
      </c>
      <c r="C110" s="44" t="s">
        <v>235</v>
      </c>
      <c r="D110" s="44" t="s">
        <v>482</v>
      </c>
      <c r="E110" s="319" t="s">
        <v>880</v>
      </c>
      <c r="F110" s="77" t="s">
        <v>881</v>
      </c>
      <c r="G110" s="320">
        <f t="shared" si="15"/>
        <v>0</v>
      </c>
      <c r="H110" s="320">
        <f>'d3'!E114</f>
        <v>0</v>
      </c>
      <c r="I110" s="320">
        <f>'d3'!J114</f>
        <v>0</v>
      </c>
      <c r="J110" s="320">
        <f>'d3'!K114</f>
        <v>0</v>
      </c>
      <c r="K110" s="173"/>
      <c r="L110" s="173"/>
      <c r="M110" s="173"/>
    </row>
    <row r="111" spans="1:13" s="5" customFormat="1" ht="409.6" customHeight="1" thickTop="1" thickBot="1" x14ac:dyDescent="0.25">
      <c r="A111" s="445" t="s">
        <v>326</v>
      </c>
      <c r="B111" s="445" t="s">
        <v>328</v>
      </c>
      <c r="C111" s="445" t="s">
        <v>235</v>
      </c>
      <c r="D111" s="470" t="s">
        <v>324</v>
      </c>
      <c r="E111" s="544" t="s">
        <v>1251</v>
      </c>
      <c r="F111" s="399" t="s">
        <v>881</v>
      </c>
      <c r="G111" s="443">
        <f t="shared" si="15"/>
        <v>3648776</v>
      </c>
      <c r="H111" s="443">
        <f>'d3'!E116</f>
        <v>3648776</v>
      </c>
      <c r="I111" s="443">
        <f>'d3'!J116</f>
        <v>0</v>
      </c>
      <c r="J111" s="443">
        <f>'d3'!K116</f>
        <v>0</v>
      </c>
      <c r="K111" s="172"/>
      <c r="L111" s="172"/>
      <c r="M111" s="172"/>
    </row>
    <row r="112" spans="1:13" s="5" customFormat="1" ht="386.25" thickTop="1" thickBot="1" x14ac:dyDescent="0.25">
      <c r="A112" s="445" t="s">
        <v>327</v>
      </c>
      <c r="B112" s="445" t="s">
        <v>329</v>
      </c>
      <c r="C112" s="445" t="s">
        <v>235</v>
      </c>
      <c r="D112" s="470" t="s">
        <v>325</v>
      </c>
      <c r="E112" s="544" t="s">
        <v>1251</v>
      </c>
      <c r="F112" s="399" t="s">
        <v>881</v>
      </c>
      <c r="G112" s="443">
        <f t="shared" ref="G112:G117" si="16">H112+I112</f>
        <v>6293450</v>
      </c>
      <c r="H112" s="443">
        <f>'d3'!E117</f>
        <v>6293450</v>
      </c>
      <c r="I112" s="443">
        <f>'d3'!J117</f>
        <v>0</v>
      </c>
      <c r="J112" s="443">
        <f>'d3'!K117</f>
        <v>0</v>
      </c>
      <c r="K112" s="172"/>
      <c r="L112" s="172"/>
      <c r="M112" s="172"/>
    </row>
    <row r="113" spans="1:13" s="5" customFormat="1" ht="386.25" thickTop="1" thickBot="1" x14ac:dyDescent="0.25">
      <c r="A113" s="445" t="s">
        <v>1248</v>
      </c>
      <c r="B113" s="445" t="s">
        <v>1249</v>
      </c>
      <c r="C113" s="445" t="s">
        <v>211</v>
      </c>
      <c r="D113" s="470" t="s">
        <v>1250</v>
      </c>
      <c r="E113" s="544" t="s">
        <v>1251</v>
      </c>
      <c r="F113" s="399" t="s">
        <v>881</v>
      </c>
      <c r="G113" s="443">
        <f t="shared" si="16"/>
        <v>100000</v>
      </c>
      <c r="H113" s="443">
        <f>'d3'!E119</f>
        <v>100000</v>
      </c>
      <c r="I113" s="443">
        <f>'d3'!J119</f>
        <v>0</v>
      </c>
      <c r="J113" s="443">
        <f>'d3'!K119</f>
        <v>0</v>
      </c>
      <c r="K113" s="172"/>
      <c r="L113" s="172"/>
      <c r="M113" s="172"/>
    </row>
    <row r="114" spans="1:13" s="5" customFormat="1" ht="386.25" thickTop="1" thickBot="1" x14ac:dyDescent="0.25">
      <c r="A114" s="445" t="s">
        <v>1227</v>
      </c>
      <c r="B114" s="445" t="s">
        <v>1229</v>
      </c>
      <c r="C114" s="445" t="s">
        <v>309</v>
      </c>
      <c r="D114" s="445" t="s">
        <v>1334</v>
      </c>
      <c r="E114" s="544" t="s">
        <v>1251</v>
      </c>
      <c r="F114" s="399" t="s">
        <v>881</v>
      </c>
      <c r="G114" s="399">
        <f t="shared" si="16"/>
        <v>24670053</v>
      </c>
      <c r="H114" s="399">
        <f>'d3'!E123</f>
        <v>0</v>
      </c>
      <c r="I114" s="399">
        <f>'d3'!J123</f>
        <v>24670053</v>
      </c>
      <c r="J114" s="399">
        <f>'d3'!K123</f>
        <v>24670053</v>
      </c>
      <c r="K114" s="172"/>
      <c r="L114" s="172"/>
      <c r="M114" s="172"/>
    </row>
    <row r="115" spans="1:13" s="5" customFormat="1" ht="386.25" hidden="1" thickTop="1" thickBot="1" x14ac:dyDescent="0.25">
      <c r="A115" s="44" t="s">
        <v>1082</v>
      </c>
      <c r="B115" s="44" t="s">
        <v>1083</v>
      </c>
      <c r="C115" s="44" t="s">
        <v>171</v>
      </c>
      <c r="D115" s="44" t="s">
        <v>1084</v>
      </c>
      <c r="E115" s="319" t="s">
        <v>880</v>
      </c>
      <c r="F115" s="77" t="s">
        <v>881</v>
      </c>
      <c r="G115" s="447">
        <f t="shared" si="16"/>
        <v>0</v>
      </c>
      <c r="H115" s="447">
        <f>'d3'!E125</f>
        <v>0</v>
      </c>
      <c r="I115" s="447">
        <f>'d3'!J125</f>
        <v>0</v>
      </c>
      <c r="J115" s="447">
        <f>'d3'!K125</f>
        <v>0</v>
      </c>
      <c r="K115" s="172"/>
      <c r="L115" s="172"/>
      <c r="M115" s="172"/>
    </row>
    <row r="116" spans="1:13" s="5" customFormat="1" ht="386.25" thickTop="1" thickBot="1" x14ac:dyDescent="0.25">
      <c r="A116" s="445" t="s">
        <v>1330</v>
      </c>
      <c r="B116" s="445" t="s">
        <v>217</v>
      </c>
      <c r="C116" s="445" t="s">
        <v>218</v>
      </c>
      <c r="D116" s="445" t="s">
        <v>41</v>
      </c>
      <c r="E116" s="544" t="s">
        <v>1251</v>
      </c>
      <c r="F116" s="399" t="s">
        <v>881</v>
      </c>
      <c r="G116" s="399">
        <f t="shared" si="16"/>
        <v>24401108.239999998</v>
      </c>
      <c r="H116" s="399">
        <f>'d3'!E127</f>
        <v>0</v>
      </c>
      <c r="I116" s="399">
        <f>'d3'!J127</f>
        <v>24401108.239999998</v>
      </c>
      <c r="J116" s="399">
        <f>'d3'!K127</f>
        <v>24401108.239999998</v>
      </c>
      <c r="K116" s="172"/>
      <c r="L116" s="172"/>
      <c r="M116" s="172"/>
    </row>
    <row r="117" spans="1:13" s="5" customFormat="1" ht="138.75" hidden="1" thickTop="1" thickBot="1" x14ac:dyDescent="0.25">
      <c r="A117" s="44" t="s">
        <v>440</v>
      </c>
      <c r="B117" s="44" t="s">
        <v>202</v>
      </c>
      <c r="C117" s="44" t="s">
        <v>171</v>
      </c>
      <c r="D117" s="44" t="s">
        <v>34</v>
      </c>
      <c r="E117" s="77" t="s">
        <v>441</v>
      </c>
      <c r="F117" s="77" t="s">
        <v>415</v>
      </c>
      <c r="G117" s="1012">
        <f t="shared" si="16"/>
        <v>0</v>
      </c>
      <c r="H117" s="1012">
        <v>0</v>
      </c>
      <c r="I117" s="1012">
        <f>'d3'!J128-I119</f>
        <v>0</v>
      </c>
      <c r="J117" s="1012">
        <f>'d3'!K128-J119</f>
        <v>0</v>
      </c>
      <c r="K117" s="172"/>
      <c r="L117" s="172"/>
      <c r="M117" s="172"/>
    </row>
    <row r="118" spans="1:13" s="5" customFormat="1" ht="386.25" hidden="1" thickTop="1" thickBot="1" x14ac:dyDescent="0.25">
      <c r="A118" s="44" t="s">
        <v>440</v>
      </c>
      <c r="B118" s="44" t="s">
        <v>202</v>
      </c>
      <c r="C118" s="44" t="s">
        <v>171</v>
      </c>
      <c r="D118" s="44" t="s">
        <v>34</v>
      </c>
      <c r="E118" s="319" t="s">
        <v>880</v>
      </c>
      <c r="F118" s="77" t="s">
        <v>881</v>
      </c>
      <c r="G118" s="1015"/>
      <c r="H118" s="1015"/>
      <c r="I118" s="1015"/>
      <c r="J118" s="1015"/>
      <c r="K118" s="172"/>
      <c r="L118" s="172"/>
      <c r="M118" s="172"/>
    </row>
    <row r="119" spans="1:13" s="5" customFormat="1" ht="184.5" hidden="1" thickTop="1" thickBot="1" x14ac:dyDescent="0.25">
      <c r="A119" s="44" t="s">
        <v>440</v>
      </c>
      <c r="B119" s="44" t="s">
        <v>202</v>
      </c>
      <c r="C119" s="44" t="s">
        <v>171</v>
      </c>
      <c r="D119" s="44" t="s">
        <v>34</v>
      </c>
      <c r="E119" s="307" t="s">
        <v>454</v>
      </c>
      <c r="F119" s="312" t="s">
        <v>455</v>
      </c>
      <c r="G119" s="77">
        <f>H119+I119</f>
        <v>0</v>
      </c>
      <c r="H119" s="77">
        <v>0</v>
      </c>
      <c r="I119" s="77"/>
      <c r="J119" s="77"/>
      <c r="K119" s="172"/>
      <c r="L119" s="172"/>
      <c r="M119" s="172"/>
    </row>
    <row r="120" spans="1:13" s="5" customFormat="1" ht="138.75" hidden="1" thickTop="1" thickBot="1" x14ac:dyDescent="0.25">
      <c r="A120" s="44" t="s">
        <v>514</v>
      </c>
      <c r="B120" s="44" t="s">
        <v>368</v>
      </c>
      <c r="C120" s="44" t="s">
        <v>43</v>
      </c>
      <c r="D120" s="44" t="s">
        <v>369</v>
      </c>
      <c r="E120" s="77" t="s">
        <v>441</v>
      </c>
      <c r="F120" s="77" t="s">
        <v>415</v>
      </c>
      <c r="G120" s="77">
        <f>H120+I120</f>
        <v>0</v>
      </c>
      <c r="H120" s="77">
        <f>'d3'!F129</f>
        <v>0</v>
      </c>
      <c r="I120" s="77">
        <f>'d3'!J129</f>
        <v>0</v>
      </c>
      <c r="J120" s="77">
        <f>'d3'!K129</f>
        <v>0</v>
      </c>
      <c r="K120" s="172"/>
      <c r="L120" s="172"/>
      <c r="M120" s="172"/>
    </row>
    <row r="121" spans="1:13" ht="241.5" customHeight="1" thickTop="1" thickBot="1" x14ac:dyDescent="0.25">
      <c r="A121" s="460" t="s">
        <v>157</v>
      </c>
      <c r="B121" s="460"/>
      <c r="C121" s="460"/>
      <c r="D121" s="461" t="s">
        <v>37</v>
      </c>
      <c r="E121" s="460"/>
      <c r="F121" s="460"/>
      <c r="G121" s="462">
        <f>G122</f>
        <v>351673730.87</v>
      </c>
      <c r="H121" s="462">
        <f t="shared" ref="H121:J121" si="17">H122</f>
        <v>224665668.87</v>
      </c>
      <c r="I121" s="462">
        <f t="shared" si="17"/>
        <v>127008062</v>
      </c>
      <c r="J121" s="462">
        <f t="shared" si="17"/>
        <v>118716533</v>
      </c>
      <c r="K121" s="111" t="b">
        <f>H121='d3'!E131-'d3'!E133+H123+H124</f>
        <v>1</v>
      </c>
      <c r="L121" s="112" t="b">
        <f>I121='d3'!J131-'d3'!J133-'d3'!J158+'d7'!I123+I124</f>
        <v>1</v>
      </c>
      <c r="M121" s="112" t="b">
        <f>J121='d3'!K131-'d3'!K133-'d3'!K158+'d7'!J123+J124</f>
        <v>1</v>
      </c>
    </row>
    <row r="122" spans="1:13" ht="181.5" thickTop="1" thickBot="1" x14ac:dyDescent="0.25">
      <c r="A122" s="464" t="s">
        <v>158</v>
      </c>
      <c r="B122" s="464"/>
      <c r="C122" s="464"/>
      <c r="D122" s="465" t="s">
        <v>38</v>
      </c>
      <c r="E122" s="466"/>
      <c r="F122" s="466"/>
      <c r="G122" s="466">
        <f>SUM(G123:G162)</f>
        <v>351673730.87</v>
      </c>
      <c r="H122" s="466">
        <f>SUM(H123:H162)</f>
        <v>224665668.87</v>
      </c>
      <c r="I122" s="466">
        <f>SUM(I123:I162)</f>
        <v>127008062</v>
      </c>
      <c r="J122" s="466">
        <f>SUM(J123:J162)</f>
        <v>118716533</v>
      </c>
      <c r="K122" s="173"/>
      <c r="L122" s="50"/>
      <c r="M122" s="173"/>
    </row>
    <row r="123" spans="1:13" ht="184.5" thickTop="1" thickBot="1" x14ac:dyDescent="0.25">
      <c r="A123" s="825" t="s">
        <v>420</v>
      </c>
      <c r="B123" s="825" t="s">
        <v>241</v>
      </c>
      <c r="C123" s="825" t="s">
        <v>239</v>
      </c>
      <c r="D123" s="825" t="s">
        <v>240</v>
      </c>
      <c r="E123" s="406" t="s">
        <v>1061</v>
      </c>
      <c r="F123" s="826" t="s">
        <v>867</v>
      </c>
      <c r="G123" s="826">
        <f t="shared" ref="G123:G160" si="18">H123+I123</f>
        <v>1019000</v>
      </c>
      <c r="H123" s="826">
        <v>0</v>
      </c>
      <c r="I123" s="826">
        <v>1019000</v>
      </c>
      <c r="J123" s="826">
        <v>1019000</v>
      </c>
      <c r="K123" s="173"/>
      <c r="L123" s="50"/>
      <c r="M123" s="173"/>
    </row>
    <row r="124" spans="1:13" ht="184.5" thickTop="1" thickBot="1" x14ac:dyDescent="0.25">
      <c r="A124" s="722" t="s">
        <v>420</v>
      </c>
      <c r="B124" s="722" t="s">
        <v>241</v>
      </c>
      <c r="C124" s="722" t="s">
        <v>239</v>
      </c>
      <c r="D124" s="722" t="s">
        <v>240</v>
      </c>
      <c r="E124" s="406" t="s">
        <v>1369</v>
      </c>
      <c r="F124" s="399" t="s">
        <v>1370</v>
      </c>
      <c r="G124" s="399">
        <f t="shared" si="18"/>
        <v>300000</v>
      </c>
      <c r="H124" s="399">
        <v>0</v>
      </c>
      <c r="I124" s="399">
        <v>300000</v>
      </c>
      <c r="J124" s="399">
        <v>300000</v>
      </c>
      <c r="K124" s="173"/>
      <c r="L124" s="50"/>
      <c r="M124" s="173"/>
    </row>
    <row r="125" spans="1:13" ht="367.5" thickTop="1" thickBot="1" x14ac:dyDescent="0.25">
      <c r="A125" s="546" t="s">
        <v>637</v>
      </c>
      <c r="B125" s="546" t="s">
        <v>367</v>
      </c>
      <c r="C125" s="546" t="s">
        <v>634</v>
      </c>
      <c r="D125" s="546" t="s">
        <v>635</v>
      </c>
      <c r="E125" s="406" t="s">
        <v>1386</v>
      </c>
      <c r="F125" s="399" t="s">
        <v>1387</v>
      </c>
      <c r="G125" s="399">
        <f t="shared" si="18"/>
        <v>57000</v>
      </c>
      <c r="H125" s="399">
        <f>'d3'!E134</f>
        <v>57000</v>
      </c>
      <c r="I125" s="399">
        <f>'d3'!J134</f>
        <v>0</v>
      </c>
      <c r="J125" s="399">
        <f>'d3'!K134</f>
        <v>0</v>
      </c>
      <c r="K125" s="173"/>
      <c r="L125" s="50"/>
      <c r="M125" s="173"/>
    </row>
    <row r="126" spans="1:13" ht="138.75" thickTop="1" thickBot="1" x14ac:dyDescent="0.25">
      <c r="A126" s="546" t="s">
        <v>932</v>
      </c>
      <c r="B126" s="546" t="s">
        <v>43</v>
      </c>
      <c r="C126" s="546" t="s">
        <v>42</v>
      </c>
      <c r="D126" s="546" t="s">
        <v>253</v>
      </c>
      <c r="E126" s="406" t="s">
        <v>974</v>
      </c>
      <c r="F126" s="399" t="s">
        <v>969</v>
      </c>
      <c r="G126" s="399">
        <f t="shared" si="18"/>
        <v>30000</v>
      </c>
      <c r="H126" s="399">
        <f>'d3'!E135</f>
        <v>30000</v>
      </c>
      <c r="I126" s="399">
        <f>'d3'!J135</f>
        <v>0</v>
      </c>
      <c r="J126" s="399">
        <f>'d3'!K135</f>
        <v>0</v>
      </c>
      <c r="K126" s="173"/>
      <c r="L126" s="50"/>
      <c r="M126" s="173"/>
    </row>
    <row r="127" spans="1:13" s="5" customFormat="1" ht="138.75" thickTop="1" thickBot="1" x14ac:dyDescent="0.25">
      <c r="A127" s="546" t="s">
        <v>274</v>
      </c>
      <c r="B127" s="546" t="s">
        <v>275</v>
      </c>
      <c r="C127" s="546" t="s">
        <v>210</v>
      </c>
      <c r="D127" s="457" t="s">
        <v>276</v>
      </c>
      <c r="E127" s="406" t="s">
        <v>1241</v>
      </c>
      <c r="F127" s="399" t="s">
        <v>1213</v>
      </c>
      <c r="G127" s="399">
        <f t="shared" si="18"/>
        <v>905000</v>
      </c>
      <c r="H127" s="399">
        <f>'d3'!E138</f>
        <v>755000</v>
      </c>
      <c r="I127" s="399">
        <f>'d3'!J138</f>
        <v>150000</v>
      </c>
      <c r="J127" s="399">
        <f>'d3'!K138</f>
        <v>150000</v>
      </c>
      <c r="K127" s="172"/>
      <c r="L127" s="172"/>
      <c r="M127" s="172"/>
    </row>
    <row r="128" spans="1:13" s="5" customFormat="1" ht="138.75" thickTop="1" thickBot="1" x14ac:dyDescent="0.25">
      <c r="A128" s="546" t="s">
        <v>277</v>
      </c>
      <c r="B128" s="546" t="s">
        <v>278</v>
      </c>
      <c r="C128" s="546" t="s">
        <v>211</v>
      </c>
      <c r="D128" s="546" t="s">
        <v>6</v>
      </c>
      <c r="E128" s="406" t="s">
        <v>1241</v>
      </c>
      <c r="F128" s="399" t="s">
        <v>1213</v>
      </c>
      <c r="G128" s="399">
        <f t="shared" si="18"/>
        <v>700000</v>
      </c>
      <c r="H128" s="399">
        <f>'d3'!E139</f>
        <v>700000</v>
      </c>
      <c r="I128" s="399">
        <f>'d3'!J139</f>
        <v>0</v>
      </c>
      <c r="J128" s="399">
        <f>'d3'!K139</f>
        <v>0</v>
      </c>
      <c r="K128" s="172"/>
      <c r="L128" s="172"/>
      <c r="M128" s="172"/>
    </row>
    <row r="129" spans="1:13" s="5" customFormat="1" ht="138.75" thickTop="1" thickBot="1" x14ac:dyDescent="0.25">
      <c r="A129" s="546" t="s">
        <v>280</v>
      </c>
      <c r="B129" s="546" t="s">
        <v>281</v>
      </c>
      <c r="C129" s="546" t="s">
        <v>211</v>
      </c>
      <c r="D129" s="546" t="s">
        <v>7</v>
      </c>
      <c r="E129" s="406" t="s">
        <v>1241</v>
      </c>
      <c r="F129" s="399" t="s">
        <v>1213</v>
      </c>
      <c r="G129" s="399">
        <f t="shared" si="18"/>
        <v>19200000</v>
      </c>
      <c r="H129" s="399">
        <f>'d3'!E140</f>
        <v>19200000</v>
      </c>
      <c r="I129" s="399">
        <f>'d3'!J140</f>
        <v>0</v>
      </c>
      <c r="J129" s="399">
        <f>'d3'!K140</f>
        <v>0</v>
      </c>
      <c r="K129" s="172"/>
      <c r="L129" s="172"/>
      <c r="M129" s="172"/>
    </row>
    <row r="130" spans="1:13" s="5" customFormat="1" ht="138.75" thickTop="1" thickBot="1" x14ac:dyDescent="0.25">
      <c r="A130" s="546" t="s">
        <v>282</v>
      </c>
      <c r="B130" s="546" t="s">
        <v>279</v>
      </c>
      <c r="C130" s="546" t="s">
        <v>211</v>
      </c>
      <c r="D130" s="546" t="s">
        <v>8</v>
      </c>
      <c r="E130" s="406" t="s">
        <v>1241</v>
      </c>
      <c r="F130" s="399" t="s">
        <v>1213</v>
      </c>
      <c r="G130" s="399">
        <f t="shared" si="18"/>
        <v>700000</v>
      </c>
      <c r="H130" s="399">
        <f>'d3'!E141</f>
        <v>700000</v>
      </c>
      <c r="I130" s="399">
        <f>'d3'!J141</f>
        <v>0</v>
      </c>
      <c r="J130" s="399">
        <f>'d3'!K141</f>
        <v>0</v>
      </c>
      <c r="K130" s="172"/>
      <c r="L130" s="172"/>
      <c r="M130" s="172"/>
    </row>
    <row r="131" spans="1:13" s="5" customFormat="1" ht="138.75" thickTop="1" thickBot="1" x14ac:dyDescent="0.25">
      <c r="A131" s="546" t="s">
        <v>283</v>
      </c>
      <c r="B131" s="546" t="s">
        <v>284</v>
      </c>
      <c r="C131" s="546" t="s">
        <v>211</v>
      </c>
      <c r="D131" s="546" t="s">
        <v>9</v>
      </c>
      <c r="E131" s="406" t="s">
        <v>1241</v>
      </c>
      <c r="F131" s="399" t="s">
        <v>1213</v>
      </c>
      <c r="G131" s="399">
        <f t="shared" si="18"/>
        <v>45000000</v>
      </c>
      <c r="H131" s="399">
        <f>'d3'!E142</f>
        <v>45000000</v>
      </c>
      <c r="I131" s="399">
        <f>'d3'!J142</f>
        <v>0</v>
      </c>
      <c r="J131" s="399">
        <f>'d3'!K142</f>
        <v>0</v>
      </c>
      <c r="K131" s="172"/>
      <c r="L131" s="172"/>
      <c r="M131" s="172"/>
    </row>
    <row r="132" spans="1:13" s="5" customFormat="1" ht="138.75" thickTop="1" thickBot="1" x14ac:dyDescent="0.25">
      <c r="A132" s="546" t="s">
        <v>483</v>
      </c>
      <c r="B132" s="546" t="s">
        <v>484</v>
      </c>
      <c r="C132" s="546" t="s">
        <v>211</v>
      </c>
      <c r="D132" s="546" t="s">
        <v>485</v>
      </c>
      <c r="E132" s="406" t="s">
        <v>1241</v>
      </c>
      <c r="F132" s="399" t="s">
        <v>1213</v>
      </c>
      <c r="G132" s="399">
        <f t="shared" si="18"/>
        <v>272462</v>
      </c>
      <c r="H132" s="399">
        <f>'d3'!E143</f>
        <v>272462</v>
      </c>
      <c r="I132" s="399">
        <f>'d3'!J143</f>
        <v>0</v>
      </c>
      <c r="J132" s="399">
        <f>'d3'!K143</f>
        <v>0</v>
      </c>
      <c r="K132" s="172"/>
      <c r="L132" s="172"/>
      <c r="M132" s="172"/>
    </row>
    <row r="133" spans="1:13" s="5" customFormat="1" ht="138.75" thickTop="1" thickBot="1" x14ac:dyDescent="0.25">
      <c r="A133" s="546" t="s">
        <v>933</v>
      </c>
      <c r="B133" s="546" t="s">
        <v>934</v>
      </c>
      <c r="C133" s="546" t="s">
        <v>211</v>
      </c>
      <c r="D133" s="546" t="s">
        <v>935</v>
      </c>
      <c r="E133" s="406" t="s">
        <v>1241</v>
      </c>
      <c r="F133" s="399" t="s">
        <v>1213</v>
      </c>
      <c r="G133" s="399">
        <f t="shared" ref="G133" si="19">H133+I133</f>
        <v>2313890</v>
      </c>
      <c r="H133" s="399">
        <f>'d3'!E144</f>
        <v>2313890</v>
      </c>
      <c r="I133" s="399">
        <f>'d3'!J144</f>
        <v>0</v>
      </c>
      <c r="J133" s="399">
        <f>'d3'!K144</f>
        <v>0</v>
      </c>
      <c r="K133" s="172"/>
      <c r="L133" s="172"/>
      <c r="M133" s="172"/>
    </row>
    <row r="134" spans="1:13" s="5" customFormat="1" ht="138.75" thickTop="1" thickBot="1" x14ac:dyDescent="0.25">
      <c r="A134" s="546" t="s">
        <v>486</v>
      </c>
      <c r="B134" s="546" t="s">
        <v>487</v>
      </c>
      <c r="C134" s="546" t="s">
        <v>210</v>
      </c>
      <c r="D134" s="546" t="s">
        <v>488</v>
      </c>
      <c r="E134" s="406" t="s">
        <v>1241</v>
      </c>
      <c r="F134" s="399" t="s">
        <v>1213</v>
      </c>
      <c r="G134" s="399">
        <f t="shared" si="18"/>
        <v>546559</v>
      </c>
      <c r="H134" s="399">
        <f>'d3'!E145</f>
        <v>546559</v>
      </c>
      <c r="I134" s="399">
        <f>'d3'!J145</f>
        <v>0</v>
      </c>
      <c r="J134" s="399">
        <f>'d3'!K145</f>
        <v>0</v>
      </c>
      <c r="K134" s="172"/>
      <c r="L134" s="172"/>
      <c r="M134" s="172"/>
    </row>
    <row r="135" spans="1:13" ht="184.5" thickTop="1" thickBot="1" x14ac:dyDescent="0.25">
      <c r="A135" s="546" t="s">
        <v>272</v>
      </c>
      <c r="B135" s="546" t="s">
        <v>270</v>
      </c>
      <c r="C135" s="546" t="s">
        <v>205</v>
      </c>
      <c r="D135" s="546" t="s">
        <v>17</v>
      </c>
      <c r="E135" s="406" t="s">
        <v>1241</v>
      </c>
      <c r="F135" s="399" t="s">
        <v>1213</v>
      </c>
      <c r="G135" s="399">
        <f t="shared" si="18"/>
        <v>51791752.700000003</v>
      </c>
      <c r="H135" s="399">
        <f>'d3'!E147</f>
        <v>50153552.700000003</v>
      </c>
      <c r="I135" s="399">
        <f>'d3'!J147</f>
        <v>1638200</v>
      </c>
      <c r="J135" s="399">
        <f>'d3'!K147</f>
        <v>908200</v>
      </c>
      <c r="K135" s="173"/>
      <c r="L135" s="173"/>
      <c r="M135" s="173"/>
    </row>
    <row r="136" spans="1:13" ht="138.75" thickTop="1" thickBot="1" x14ac:dyDescent="0.25">
      <c r="A136" s="546" t="s">
        <v>273</v>
      </c>
      <c r="B136" s="546" t="s">
        <v>271</v>
      </c>
      <c r="C136" s="546" t="s">
        <v>204</v>
      </c>
      <c r="D136" s="546" t="s">
        <v>460</v>
      </c>
      <c r="E136" s="406" t="s">
        <v>1241</v>
      </c>
      <c r="F136" s="787" t="s">
        <v>1213</v>
      </c>
      <c r="G136" s="787">
        <f t="shared" si="18"/>
        <v>10462066</v>
      </c>
      <c r="H136" s="787">
        <f>'d3'!E148-H137</f>
        <v>10056066</v>
      </c>
      <c r="I136" s="399">
        <f>'d3'!J148-I137</f>
        <v>406000</v>
      </c>
      <c r="J136" s="399">
        <f>'d3'!K148-J137</f>
        <v>406000</v>
      </c>
      <c r="K136" s="173"/>
      <c r="L136" s="173"/>
      <c r="M136" s="173"/>
    </row>
    <row r="137" spans="1:13" s="790" customFormat="1" ht="184.5" thickTop="1" thickBot="1" x14ac:dyDescent="0.25">
      <c r="A137" s="786" t="s">
        <v>273</v>
      </c>
      <c r="B137" s="786" t="s">
        <v>271</v>
      </c>
      <c r="C137" s="786" t="s">
        <v>204</v>
      </c>
      <c r="D137" s="786" t="s">
        <v>460</v>
      </c>
      <c r="E137" s="406" t="s">
        <v>1510</v>
      </c>
      <c r="F137" s="787" t="s">
        <v>455</v>
      </c>
      <c r="G137" s="787">
        <f t="shared" si="18"/>
        <v>157546</v>
      </c>
      <c r="H137" s="787">
        <v>62546</v>
      </c>
      <c r="I137" s="787">
        <v>95000</v>
      </c>
      <c r="J137" s="787">
        <v>95000</v>
      </c>
      <c r="K137" s="173"/>
      <c r="L137" s="173"/>
      <c r="M137" s="173"/>
    </row>
    <row r="138" spans="1:13" ht="138.75" thickTop="1" thickBot="1" x14ac:dyDescent="0.25">
      <c r="A138" s="546" t="s">
        <v>1264</v>
      </c>
      <c r="B138" s="546" t="s">
        <v>189</v>
      </c>
      <c r="C138" s="546" t="s">
        <v>190</v>
      </c>
      <c r="D138" s="546" t="s">
        <v>647</v>
      </c>
      <c r="E138" s="406" t="s">
        <v>1241</v>
      </c>
      <c r="F138" s="399" t="s">
        <v>1213</v>
      </c>
      <c r="G138" s="399">
        <f>H138+I138</f>
        <v>8936469.1699999999</v>
      </c>
      <c r="H138" s="399">
        <f>'d3'!E150-H139</f>
        <v>8896669.1699999999</v>
      </c>
      <c r="I138" s="399">
        <f>'d3'!J150-I139</f>
        <v>39800</v>
      </c>
      <c r="J138" s="826">
        <f>'d3'!K150-J139</f>
        <v>39800</v>
      </c>
      <c r="K138" s="173"/>
      <c r="L138" s="173"/>
      <c r="M138" s="173"/>
    </row>
    <row r="139" spans="1:13" s="829" customFormat="1" ht="184.5" thickTop="1" thickBot="1" x14ac:dyDescent="0.25">
      <c r="A139" s="825" t="s">
        <v>1264</v>
      </c>
      <c r="B139" s="825" t="s">
        <v>189</v>
      </c>
      <c r="C139" s="825" t="s">
        <v>190</v>
      </c>
      <c r="D139" s="825" t="s">
        <v>647</v>
      </c>
      <c r="E139" s="406" t="s">
        <v>1510</v>
      </c>
      <c r="F139" s="826" t="s">
        <v>455</v>
      </c>
      <c r="G139" s="826">
        <f>H139+I139</f>
        <v>140170</v>
      </c>
      <c r="H139" s="826">
        <v>115170</v>
      </c>
      <c r="I139" s="826">
        <v>25000</v>
      </c>
      <c r="J139" s="826">
        <v>25000</v>
      </c>
      <c r="K139" s="173"/>
      <c r="L139" s="173"/>
      <c r="M139" s="173"/>
    </row>
    <row r="140" spans="1:13" ht="230.25" hidden="1" thickTop="1" thickBot="1" x14ac:dyDescent="0.25">
      <c r="A140" s="44" t="s">
        <v>1041</v>
      </c>
      <c r="B140" s="44" t="s">
        <v>1042</v>
      </c>
      <c r="C140" s="44" t="s">
        <v>190</v>
      </c>
      <c r="D140" s="44" t="s">
        <v>1043</v>
      </c>
      <c r="E140" s="307" t="s">
        <v>589</v>
      </c>
      <c r="F140" s="77" t="s">
        <v>412</v>
      </c>
      <c r="G140" s="77">
        <f t="shared" si="18"/>
        <v>0</v>
      </c>
      <c r="H140" s="77"/>
      <c r="I140" s="77"/>
      <c r="J140" s="77"/>
      <c r="K140" s="173"/>
      <c r="L140" s="173"/>
      <c r="M140" s="173"/>
    </row>
    <row r="141" spans="1:13" ht="321.75" thickTop="1" thickBot="1" x14ac:dyDescent="0.25">
      <c r="A141" s="546" t="s">
        <v>268</v>
      </c>
      <c r="B141" s="546" t="s">
        <v>269</v>
      </c>
      <c r="C141" s="546" t="s">
        <v>204</v>
      </c>
      <c r="D141" s="546" t="s">
        <v>458</v>
      </c>
      <c r="E141" s="406" t="s">
        <v>1241</v>
      </c>
      <c r="F141" s="399" t="s">
        <v>1213</v>
      </c>
      <c r="G141" s="399">
        <f t="shared" si="18"/>
        <v>4673200</v>
      </c>
      <c r="H141" s="399">
        <f>'d3'!E151</f>
        <v>4673200</v>
      </c>
      <c r="I141" s="399">
        <f>'d3'!J151</f>
        <v>0</v>
      </c>
      <c r="J141" s="399">
        <f>'d3'!K151</f>
        <v>0</v>
      </c>
      <c r="K141" s="173"/>
      <c r="L141" s="173"/>
      <c r="M141" s="173"/>
    </row>
    <row r="142" spans="1:13" ht="230.25" thickTop="1" thickBot="1" x14ac:dyDescent="0.25">
      <c r="A142" s="682" t="s">
        <v>489</v>
      </c>
      <c r="B142" s="682" t="s">
        <v>490</v>
      </c>
      <c r="C142" s="682" t="s">
        <v>204</v>
      </c>
      <c r="D142" s="682" t="s">
        <v>491</v>
      </c>
      <c r="E142" s="406" t="s">
        <v>1241</v>
      </c>
      <c r="F142" s="399" t="s">
        <v>1213</v>
      </c>
      <c r="G142" s="399">
        <f t="shared" si="18"/>
        <v>142618</v>
      </c>
      <c r="H142" s="399">
        <f>'d3'!E153</f>
        <v>142618</v>
      </c>
      <c r="I142" s="399">
        <f>'d3'!J153</f>
        <v>0</v>
      </c>
      <c r="J142" s="399">
        <f>'d3'!K153</f>
        <v>0</v>
      </c>
      <c r="K142" s="173"/>
      <c r="L142" s="173"/>
      <c r="M142" s="173"/>
    </row>
    <row r="143" spans="1:13" ht="276" thickTop="1" thickBot="1" x14ac:dyDescent="0.25">
      <c r="A143" s="546" t="s">
        <v>353</v>
      </c>
      <c r="B143" s="546" t="s">
        <v>352</v>
      </c>
      <c r="C143" s="546" t="s">
        <v>50</v>
      </c>
      <c r="D143" s="546" t="s">
        <v>459</v>
      </c>
      <c r="E143" s="406" t="s">
        <v>1241</v>
      </c>
      <c r="F143" s="399" t="s">
        <v>1213</v>
      </c>
      <c r="G143" s="399">
        <f t="shared" si="18"/>
        <v>1145980</v>
      </c>
      <c r="H143" s="399">
        <f>'d3'!E154-H144-H145</f>
        <v>1145980</v>
      </c>
      <c r="I143" s="754">
        <f>'d3'!J154-I144-I145</f>
        <v>0</v>
      </c>
      <c r="J143" s="754">
        <f>'d3'!K154-J144-J145</f>
        <v>0</v>
      </c>
      <c r="K143" s="173"/>
      <c r="L143" s="173"/>
      <c r="M143" s="173"/>
    </row>
    <row r="144" spans="1:13" ht="276" thickTop="1" thickBot="1" x14ac:dyDescent="0.25">
      <c r="A144" s="546" t="s">
        <v>353</v>
      </c>
      <c r="B144" s="546" t="s">
        <v>352</v>
      </c>
      <c r="C144" s="546" t="s">
        <v>50</v>
      </c>
      <c r="D144" s="546" t="s">
        <v>459</v>
      </c>
      <c r="E144" s="406" t="s">
        <v>1277</v>
      </c>
      <c r="F144" s="399" t="s">
        <v>879</v>
      </c>
      <c r="G144" s="399">
        <f t="shared" si="18"/>
        <v>1513850</v>
      </c>
      <c r="H144" s="399">
        <f>1513850+562670-562670</f>
        <v>1513850</v>
      </c>
      <c r="I144" s="399">
        <v>0</v>
      </c>
      <c r="J144" s="399">
        <v>0</v>
      </c>
      <c r="K144" s="173"/>
      <c r="L144" s="173"/>
      <c r="M144" s="173"/>
    </row>
    <row r="145" spans="1:14" s="755" customFormat="1" ht="321.75" thickTop="1" thickBot="1" x14ac:dyDescent="0.25">
      <c r="A145" s="753" t="s">
        <v>353</v>
      </c>
      <c r="B145" s="753" t="s">
        <v>352</v>
      </c>
      <c r="C145" s="753" t="s">
        <v>50</v>
      </c>
      <c r="D145" s="753" t="s">
        <v>459</v>
      </c>
      <c r="E145" s="406" t="s">
        <v>1509</v>
      </c>
      <c r="F145" s="764" t="s">
        <v>1468</v>
      </c>
      <c r="G145" s="754">
        <f t="shared" si="18"/>
        <v>562670</v>
      </c>
      <c r="H145" s="754">
        <f>562670</f>
        <v>562670</v>
      </c>
      <c r="I145" s="754">
        <v>0</v>
      </c>
      <c r="J145" s="754">
        <v>0</v>
      </c>
      <c r="K145" s="173"/>
      <c r="L145" s="173"/>
      <c r="M145" s="173"/>
    </row>
    <row r="146" spans="1:14" ht="184.5" thickTop="1" thickBot="1" x14ac:dyDescent="0.25">
      <c r="A146" s="546" t="s">
        <v>330</v>
      </c>
      <c r="B146" s="546" t="s">
        <v>331</v>
      </c>
      <c r="C146" s="546" t="s">
        <v>210</v>
      </c>
      <c r="D146" s="546" t="s">
        <v>644</v>
      </c>
      <c r="E146" s="406" t="s">
        <v>1241</v>
      </c>
      <c r="F146" s="399" t="s">
        <v>1213</v>
      </c>
      <c r="G146" s="399">
        <f t="shared" si="18"/>
        <v>1110000</v>
      </c>
      <c r="H146" s="399">
        <f>'d3'!E156</f>
        <v>1110000</v>
      </c>
      <c r="I146" s="399">
        <f>'d3'!J156</f>
        <v>0</v>
      </c>
      <c r="J146" s="399">
        <f>'d3'!K156</f>
        <v>0</v>
      </c>
      <c r="K146" s="173"/>
      <c r="L146" s="173"/>
      <c r="M146" s="173"/>
    </row>
    <row r="147" spans="1:14" ht="138.75" thickTop="1" thickBot="1" x14ac:dyDescent="0.25">
      <c r="A147" s="546" t="s">
        <v>433</v>
      </c>
      <c r="B147" s="546" t="s">
        <v>377</v>
      </c>
      <c r="C147" s="546" t="s">
        <v>378</v>
      </c>
      <c r="D147" s="546" t="s">
        <v>376</v>
      </c>
      <c r="E147" s="406" t="s">
        <v>1198</v>
      </c>
      <c r="F147" s="399" t="s">
        <v>970</v>
      </c>
      <c r="G147" s="399">
        <f t="shared" si="18"/>
        <v>117000</v>
      </c>
      <c r="H147" s="399">
        <f>'d3'!E157</f>
        <v>117000</v>
      </c>
      <c r="I147" s="399">
        <f>'d3'!J157</f>
        <v>0</v>
      </c>
      <c r="J147" s="399">
        <f>'d3'!K157</f>
        <v>0</v>
      </c>
      <c r="K147" s="173"/>
      <c r="L147" s="173"/>
      <c r="M147" s="173"/>
    </row>
    <row r="148" spans="1:14" ht="184.5" thickTop="1" thickBot="1" x14ac:dyDescent="0.25">
      <c r="A148" s="546" t="s">
        <v>1252</v>
      </c>
      <c r="B148" s="546" t="s">
        <v>1249</v>
      </c>
      <c r="C148" s="546" t="s">
        <v>211</v>
      </c>
      <c r="D148" s="470" t="s">
        <v>1250</v>
      </c>
      <c r="E148" s="406" t="s">
        <v>1241</v>
      </c>
      <c r="F148" s="399" t="s">
        <v>1213</v>
      </c>
      <c r="G148" s="399">
        <f>H148+I148</f>
        <v>83911173</v>
      </c>
      <c r="H148" s="407">
        <f>'d3'!E172</f>
        <v>9322150</v>
      </c>
      <c r="I148" s="399">
        <f>'d3'!J172</f>
        <v>74589023</v>
      </c>
      <c r="J148" s="399">
        <f>'d3'!K172</f>
        <v>74589023</v>
      </c>
      <c r="K148" s="173"/>
      <c r="L148" s="173"/>
      <c r="M148" s="173"/>
    </row>
    <row r="149" spans="1:14" ht="138.75" thickTop="1" thickBot="1" x14ac:dyDescent="0.25">
      <c r="A149" s="546" t="s">
        <v>332</v>
      </c>
      <c r="B149" s="546" t="s">
        <v>334</v>
      </c>
      <c r="C149" s="546" t="s">
        <v>196</v>
      </c>
      <c r="D149" s="470" t="s">
        <v>336</v>
      </c>
      <c r="E149" s="406" t="s">
        <v>1241</v>
      </c>
      <c r="F149" s="399" t="s">
        <v>1213</v>
      </c>
      <c r="G149" s="399">
        <f t="shared" si="18"/>
        <v>36387231</v>
      </c>
      <c r="H149" s="407">
        <f>'d3'!E174-H150</f>
        <v>23895192</v>
      </c>
      <c r="I149" s="399">
        <f>'d3'!J174-I150</f>
        <v>12492039</v>
      </c>
      <c r="J149" s="399">
        <f>'d3'!K174-J150</f>
        <v>4930510</v>
      </c>
      <c r="L149" s="173"/>
      <c r="M149" s="173"/>
    </row>
    <row r="150" spans="1:14" ht="184.5" hidden="1" thickTop="1" thickBot="1" x14ac:dyDescent="0.25">
      <c r="A150" s="44" t="s">
        <v>332</v>
      </c>
      <c r="B150" s="44" t="s">
        <v>334</v>
      </c>
      <c r="C150" s="44" t="s">
        <v>196</v>
      </c>
      <c r="D150" s="188" t="s">
        <v>336</v>
      </c>
      <c r="E150" s="307" t="s">
        <v>454</v>
      </c>
      <c r="F150" s="312" t="s">
        <v>455</v>
      </c>
      <c r="G150" s="77">
        <f>H150+I150</f>
        <v>0</v>
      </c>
      <c r="H150" s="308">
        <v>0</v>
      </c>
      <c r="I150" s="77">
        <v>0</v>
      </c>
      <c r="J150" s="77">
        <v>0</v>
      </c>
      <c r="K150" s="173"/>
      <c r="L150" s="173"/>
      <c r="M150" s="173"/>
    </row>
    <row r="151" spans="1:14" ht="138.75" thickTop="1" thickBot="1" x14ac:dyDescent="0.25">
      <c r="A151" s="546" t="s">
        <v>333</v>
      </c>
      <c r="B151" s="546" t="s">
        <v>335</v>
      </c>
      <c r="C151" s="546" t="s">
        <v>196</v>
      </c>
      <c r="D151" s="470" t="s">
        <v>337</v>
      </c>
      <c r="E151" s="406" t="s">
        <v>1241</v>
      </c>
      <c r="F151" s="399" t="s">
        <v>1213</v>
      </c>
      <c r="G151" s="399">
        <f t="shared" si="18"/>
        <v>26620704</v>
      </c>
      <c r="H151" s="399">
        <f>'d3'!E175-H153-H154-H155-H156-H152</f>
        <v>26058704</v>
      </c>
      <c r="I151" s="399">
        <f>'d3'!J175-I153-I154-I155-I156-I152</f>
        <v>562000</v>
      </c>
      <c r="J151" s="754">
        <f>'d3'!K175-J153-J154-J155-J156-J152</f>
        <v>562000</v>
      </c>
      <c r="K151" s="1037" t="b">
        <f>H151+H153+H154+H155+H156+H152='d3'!E175</f>
        <v>1</v>
      </c>
      <c r="L151" s="1037" t="b">
        <f>I151+I153+I154+I155+I156+I152='d3'!J175</f>
        <v>1</v>
      </c>
      <c r="M151" s="1037" t="b">
        <f>J151+J153+J154+J155+J156+J152='d3'!K175</f>
        <v>1</v>
      </c>
    </row>
    <row r="152" spans="1:14" s="790" customFormat="1" ht="367.5" thickTop="1" thickBot="1" x14ac:dyDescent="0.25">
      <c r="A152" s="786" t="s">
        <v>333</v>
      </c>
      <c r="B152" s="786" t="s">
        <v>335</v>
      </c>
      <c r="C152" s="786" t="s">
        <v>196</v>
      </c>
      <c r="D152" s="470" t="s">
        <v>337</v>
      </c>
      <c r="E152" s="787" t="s">
        <v>1514</v>
      </c>
      <c r="F152" s="787" t="s">
        <v>869</v>
      </c>
      <c r="G152" s="787">
        <f t="shared" si="18"/>
        <v>6000000</v>
      </c>
      <c r="H152" s="787">
        <v>6000000</v>
      </c>
      <c r="I152" s="787">
        <v>0</v>
      </c>
      <c r="J152" s="787">
        <v>0</v>
      </c>
      <c r="K152" s="1037"/>
      <c r="L152" s="1037"/>
      <c r="M152" s="1037"/>
    </row>
    <row r="153" spans="1:14" ht="230.25" thickTop="1" thickBot="1" x14ac:dyDescent="0.25">
      <c r="A153" s="546" t="s">
        <v>333</v>
      </c>
      <c r="B153" s="546" t="s">
        <v>335</v>
      </c>
      <c r="C153" s="546" t="s">
        <v>196</v>
      </c>
      <c r="D153" s="470" t="s">
        <v>337</v>
      </c>
      <c r="E153" s="754" t="s">
        <v>1336</v>
      </c>
      <c r="F153" s="399" t="s">
        <v>878</v>
      </c>
      <c r="G153" s="399">
        <f t="shared" si="18"/>
        <v>491500</v>
      </c>
      <c r="H153" s="399">
        <f>140000+311500+40000</f>
        <v>491500</v>
      </c>
      <c r="I153" s="399">
        <v>0</v>
      </c>
      <c r="J153" s="399">
        <v>0</v>
      </c>
      <c r="K153" s="1038"/>
      <c r="L153" s="1038"/>
      <c r="M153" s="1038"/>
      <c r="N153" s="111" t="s">
        <v>1489</v>
      </c>
    </row>
    <row r="154" spans="1:14" ht="251.25" customHeight="1" thickTop="1" thickBot="1" x14ac:dyDescent="0.25">
      <c r="A154" s="546" t="s">
        <v>333</v>
      </c>
      <c r="B154" s="546" t="s">
        <v>335</v>
      </c>
      <c r="C154" s="546" t="s">
        <v>196</v>
      </c>
      <c r="D154" s="470" t="s">
        <v>337</v>
      </c>
      <c r="E154" s="406" t="s">
        <v>1277</v>
      </c>
      <c r="F154" s="399" t="s">
        <v>879</v>
      </c>
      <c r="G154" s="399">
        <f t="shared" si="18"/>
        <v>7263890</v>
      </c>
      <c r="H154" s="399">
        <f>((4800000+200000+600690+500000+420000+98000)+200+186000+115000+265000+200000+200000-420000)+99000</f>
        <v>7263890</v>
      </c>
      <c r="I154" s="399">
        <v>0</v>
      </c>
      <c r="J154" s="399">
        <v>0</v>
      </c>
      <c r="K154" s="1038"/>
      <c r="L154" s="1038"/>
      <c r="M154" s="1038"/>
    </row>
    <row r="155" spans="1:14" s="742" customFormat="1" ht="217.5" hidden="1" customHeight="1" thickTop="1" thickBot="1" x14ac:dyDescent="0.25">
      <c r="A155" s="738" t="s">
        <v>333</v>
      </c>
      <c r="B155" s="738" t="s">
        <v>335</v>
      </c>
      <c r="C155" s="738" t="s">
        <v>196</v>
      </c>
      <c r="D155" s="470" t="s">
        <v>337</v>
      </c>
      <c r="E155" s="765" t="s">
        <v>1455</v>
      </c>
      <c r="F155" s="766" t="s">
        <v>1470</v>
      </c>
      <c r="G155" s="739">
        <f t="shared" si="18"/>
        <v>0</v>
      </c>
      <c r="H155" s="739">
        <f>500000+200000-700000</f>
        <v>0</v>
      </c>
      <c r="I155" s="739">
        <v>0</v>
      </c>
      <c r="J155" s="739">
        <v>0</v>
      </c>
      <c r="K155" s="744"/>
      <c r="L155" s="744"/>
      <c r="M155" s="744"/>
    </row>
    <row r="156" spans="1:14" s="755" customFormat="1" ht="321.75" thickTop="1" thickBot="1" x14ac:dyDescent="0.25">
      <c r="A156" s="753" t="s">
        <v>333</v>
      </c>
      <c r="B156" s="753" t="s">
        <v>335</v>
      </c>
      <c r="C156" s="753" t="s">
        <v>196</v>
      </c>
      <c r="D156" s="470" t="s">
        <v>337</v>
      </c>
      <c r="E156" s="406" t="s">
        <v>1509</v>
      </c>
      <c r="F156" s="764" t="s">
        <v>1468</v>
      </c>
      <c r="G156" s="754">
        <f t="shared" si="18"/>
        <v>21382000</v>
      </c>
      <c r="H156" s="754">
        <f>3000000+186000+265000+39000</f>
        <v>3490000</v>
      </c>
      <c r="I156" s="754">
        <v>17892000</v>
      </c>
      <c r="J156" s="754">
        <v>17892000</v>
      </c>
      <c r="K156" s="744"/>
      <c r="L156" s="744"/>
      <c r="M156" s="744"/>
    </row>
    <row r="157" spans="1:14" ht="230.25" thickTop="1" thickBot="1" x14ac:dyDescent="0.25">
      <c r="A157" s="546" t="s">
        <v>372</v>
      </c>
      <c r="B157" s="546" t="s">
        <v>370</v>
      </c>
      <c r="C157" s="546" t="s">
        <v>345</v>
      </c>
      <c r="D157" s="470" t="s">
        <v>371</v>
      </c>
      <c r="E157" s="406" t="s">
        <v>1277</v>
      </c>
      <c r="F157" s="399" t="s">
        <v>879</v>
      </c>
      <c r="G157" s="399">
        <f t="shared" si="18"/>
        <v>10000000</v>
      </c>
      <c r="H157" s="399">
        <f>'d3'!E178</f>
        <v>0</v>
      </c>
      <c r="I157" s="399">
        <f>'d3'!J178</f>
        <v>10000000</v>
      </c>
      <c r="J157" s="399">
        <f>'d3'!K178</f>
        <v>10000000</v>
      </c>
      <c r="K157" s="173"/>
      <c r="L157" s="173"/>
      <c r="M157" s="173"/>
    </row>
    <row r="158" spans="1:14" ht="321.75" hidden="1" thickTop="1" thickBot="1" x14ac:dyDescent="0.25">
      <c r="A158" s="44" t="s">
        <v>1109</v>
      </c>
      <c r="B158" s="44" t="s">
        <v>1110</v>
      </c>
      <c r="C158" s="44" t="s">
        <v>345</v>
      </c>
      <c r="D158" s="188" t="s">
        <v>1111</v>
      </c>
      <c r="E158" s="77" t="s">
        <v>877</v>
      </c>
      <c r="F158" s="77" t="s">
        <v>878</v>
      </c>
      <c r="G158" s="77">
        <f t="shared" si="18"/>
        <v>0</v>
      </c>
      <c r="H158" s="320">
        <f>'d3'!E179</f>
        <v>0</v>
      </c>
      <c r="I158" s="320">
        <f>'d3'!J179</f>
        <v>0</v>
      </c>
      <c r="J158" s="320">
        <f>'d3'!K179</f>
        <v>0</v>
      </c>
      <c r="K158" s="173"/>
      <c r="L158" s="173"/>
      <c r="M158" s="173"/>
    </row>
    <row r="159" spans="1:14" ht="138.75" hidden="1" thickTop="1" thickBot="1" x14ac:dyDescent="0.25">
      <c r="A159" s="162" t="s">
        <v>937</v>
      </c>
      <c r="B159" s="162" t="s">
        <v>938</v>
      </c>
      <c r="C159" s="162" t="s">
        <v>309</v>
      </c>
      <c r="D159" s="162" t="s">
        <v>1288</v>
      </c>
      <c r="E159" s="304" t="s">
        <v>1241</v>
      </c>
      <c r="F159" s="233" t="s">
        <v>1213</v>
      </c>
      <c r="G159" s="233">
        <f t="shared" si="18"/>
        <v>0</v>
      </c>
      <c r="H159" s="318">
        <f>'d3'!E183</f>
        <v>0</v>
      </c>
      <c r="I159" s="318">
        <f>'d3'!J183</f>
        <v>0</v>
      </c>
      <c r="J159" s="318">
        <f>'d3'!K183</f>
        <v>0</v>
      </c>
      <c r="K159" s="173"/>
      <c r="L159" s="173"/>
      <c r="M159" s="173"/>
    </row>
    <row r="160" spans="1:14" s="724" customFormat="1" ht="138.75" thickTop="1" thickBot="1" x14ac:dyDescent="0.25">
      <c r="A160" s="722" t="s">
        <v>1415</v>
      </c>
      <c r="B160" s="722" t="s">
        <v>217</v>
      </c>
      <c r="C160" s="722" t="s">
        <v>218</v>
      </c>
      <c r="D160" s="722" t="s">
        <v>41</v>
      </c>
      <c r="E160" s="406" t="s">
        <v>1241</v>
      </c>
      <c r="F160" s="399" t="s">
        <v>1213</v>
      </c>
      <c r="G160" s="399">
        <f t="shared" si="18"/>
        <v>7820000</v>
      </c>
      <c r="H160" s="721">
        <f>'d3'!E185</f>
        <v>20000</v>
      </c>
      <c r="I160" s="721">
        <f>'d3'!J185</f>
        <v>7800000</v>
      </c>
      <c r="J160" s="721">
        <f>'d3'!K185</f>
        <v>7800000</v>
      </c>
      <c r="K160" s="173"/>
      <c r="L160" s="173"/>
      <c r="M160" s="173"/>
    </row>
    <row r="161" spans="1:13" ht="321.75" hidden="1" thickTop="1" thickBot="1" x14ac:dyDescent="0.7">
      <c r="A161" s="918" t="s">
        <v>428</v>
      </c>
      <c r="B161" s="918" t="s">
        <v>343</v>
      </c>
      <c r="C161" s="918" t="s">
        <v>171</v>
      </c>
      <c r="D161" s="189" t="s">
        <v>445</v>
      </c>
      <c r="E161" s="918" t="s">
        <v>1208</v>
      </c>
      <c r="F161" s="918" t="s">
        <v>1209</v>
      </c>
      <c r="G161" s="1016">
        <f>H161+I161</f>
        <v>0</v>
      </c>
      <c r="H161" s="1016">
        <f>'d3'!E187</f>
        <v>0</v>
      </c>
      <c r="I161" s="1016">
        <f>'d3'!J187</f>
        <v>0</v>
      </c>
      <c r="J161" s="1016">
        <f>'d3'!K187</f>
        <v>0</v>
      </c>
      <c r="K161" s="173"/>
      <c r="L161" s="173"/>
      <c r="M161" s="173"/>
    </row>
    <row r="162" spans="1:13" ht="138.75" hidden="1" thickTop="1" thickBot="1" x14ac:dyDescent="0.25">
      <c r="A162" s="927"/>
      <c r="B162" s="927"/>
      <c r="C162" s="927"/>
      <c r="D162" s="190" t="s">
        <v>446</v>
      </c>
      <c r="E162" s="927"/>
      <c r="F162" s="927"/>
      <c r="G162" s="1017"/>
      <c r="H162" s="1018"/>
      <c r="I162" s="1017"/>
      <c r="J162" s="1017"/>
      <c r="K162" s="303"/>
      <c r="L162" s="310"/>
      <c r="M162" s="310"/>
    </row>
    <row r="163" spans="1:13" ht="136.5" thickTop="1" thickBot="1" x14ac:dyDescent="0.25">
      <c r="A163" s="460">
        <v>1000000</v>
      </c>
      <c r="B163" s="460"/>
      <c r="C163" s="460"/>
      <c r="D163" s="461" t="s">
        <v>24</v>
      </c>
      <c r="E163" s="460"/>
      <c r="F163" s="460"/>
      <c r="G163" s="462">
        <f>G164</f>
        <v>175653880</v>
      </c>
      <c r="H163" s="462">
        <f t="shared" ref="H163:J163" si="20">H164</f>
        <v>156972574</v>
      </c>
      <c r="I163" s="462">
        <f t="shared" si="20"/>
        <v>18681306</v>
      </c>
      <c r="J163" s="462">
        <f t="shared" si="20"/>
        <v>9369851</v>
      </c>
      <c r="K163" s="111" t="b">
        <f>H163='d3'!E190</f>
        <v>1</v>
      </c>
      <c r="L163" s="112" t="b">
        <f>I163='d3'!J190</f>
        <v>1</v>
      </c>
      <c r="M163" s="112" t="b">
        <f>J163='d3'!K190</f>
        <v>1</v>
      </c>
    </row>
    <row r="164" spans="1:13" ht="136.5" thickTop="1" thickBot="1" x14ac:dyDescent="0.25">
      <c r="A164" s="464">
        <v>1010000</v>
      </c>
      <c r="B164" s="464"/>
      <c r="C164" s="464"/>
      <c r="D164" s="465" t="s">
        <v>39</v>
      </c>
      <c r="E164" s="466"/>
      <c r="F164" s="466"/>
      <c r="G164" s="466">
        <f>SUM(G165:G184)</f>
        <v>175653880</v>
      </c>
      <c r="H164" s="466">
        <f>SUM(H165:H184)</f>
        <v>156972574</v>
      </c>
      <c r="I164" s="466">
        <f>SUM(I165:I184)</f>
        <v>18681306</v>
      </c>
      <c r="J164" s="466">
        <f>SUM(J165:J184)</f>
        <v>9369851</v>
      </c>
      <c r="K164" s="173"/>
      <c r="L164" s="173"/>
      <c r="M164" s="173"/>
    </row>
    <row r="165" spans="1:13" ht="184.5" thickTop="1" thickBot="1" x14ac:dyDescent="0.25">
      <c r="A165" s="546" t="s">
        <v>645</v>
      </c>
      <c r="B165" s="546" t="s">
        <v>646</v>
      </c>
      <c r="C165" s="546" t="s">
        <v>186</v>
      </c>
      <c r="D165" s="546" t="s">
        <v>1162</v>
      </c>
      <c r="E165" s="399" t="s">
        <v>875</v>
      </c>
      <c r="F165" s="399" t="s">
        <v>876</v>
      </c>
      <c r="G165" s="399">
        <f>H165+I165</f>
        <v>96492449</v>
      </c>
      <c r="H165" s="399">
        <f>'d3'!E192-H166</f>
        <v>84889573</v>
      </c>
      <c r="I165" s="399">
        <f>'d3'!J192-I166</f>
        <v>11602876</v>
      </c>
      <c r="J165" s="399">
        <f>'d3'!K192-J166</f>
        <v>3222021</v>
      </c>
      <c r="K165" s="173"/>
      <c r="L165" s="173"/>
      <c r="M165" s="173"/>
    </row>
    <row r="166" spans="1:13" s="790" customFormat="1" ht="184.5" thickTop="1" thickBot="1" x14ac:dyDescent="0.25">
      <c r="A166" s="786" t="s">
        <v>645</v>
      </c>
      <c r="B166" s="786" t="s">
        <v>646</v>
      </c>
      <c r="C166" s="786" t="s">
        <v>186</v>
      </c>
      <c r="D166" s="786" t="s">
        <v>1162</v>
      </c>
      <c r="E166" s="406" t="s">
        <v>1510</v>
      </c>
      <c r="F166" s="787" t="s">
        <v>455</v>
      </c>
      <c r="G166" s="787">
        <f t="shared" ref="G166" si="21">H166+I166</f>
        <v>140088</v>
      </c>
      <c r="H166" s="787">
        <v>12927</v>
      </c>
      <c r="I166" s="787">
        <v>127161</v>
      </c>
      <c r="J166" s="787">
        <v>127161</v>
      </c>
      <c r="K166" s="173"/>
      <c r="L166" s="173"/>
      <c r="M166" s="173"/>
    </row>
    <row r="167" spans="1:13" ht="243" customHeight="1" thickTop="1" thickBot="1" x14ac:dyDescent="0.25">
      <c r="A167" s="546" t="s">
        <v>172</v>
      </c>
      <c r="B167" s="546" t="s">
        <v>173</v>
      </c>
      <c r="C167" s="546" t="s">
        <v>175</v>
      </c>
      <c r="D167" s="546" t="s">
        <v>176</v>
      </c>
      <c r="E167" s="787" t="s">
        <v>875</v>
      </c>
      <c r="F167" s="787" t="s">
        <v>876</v>
      </c>
      <c r="G167" s="787">
        <f t="shared" ref="G167:G184" si="22">H167+I167</f>
        <v>1156300</v>
      </c>
      <c r="H167" s="787">
        <f>'d3'!E194</f>
        <v>1156300</v>
      </c>
      <c r="I167" s="399">
        <f>'d3'!J194</f>
        <v>0</v>
      </c>
      <c r="J167" s="399">
        <f>'d3'!K194</f>
        <v>0</v>
      </c>
      <c r="K167" s="173"/>
      <c r="L167" s="173"/>
      <c r="M167" s="173"/>
    </row>
    <row r="168" spans="1:13" ht="184.5" thickTop="1" thickBot="1" x14ac:dyDescent="0.25">
      <c r="A168" s="546" t="s">
        <v>177</v>
      </c>
      <c r="B168" s="546" t="s">
        <v>178</v>
      </c>
      <c r="C168" s="546" t="s">
        <v>179</v>
      </c>
      <c r="D168" s="546" t="s">
        <v>180</v>
      </c>
      <c r="E168" s="787" t="s">
        <v>875</v>
      </c>
      <c r="F168" s="787" t="s">
        <v>876</v>
      </c>
      <c r="G168" s="787">
        <f t="shared" si="22"/>
        <v>16998997</v>
      </c>
      <c r="H168" s="787">
        <f>'d3'!E195-H169-H170</f>
        <v>16583497</v>
      </c>
      <c r="I168" s="399">
        <f>'d3'!J195-I169-I170</f>
        <v>415500</v>
      </c>
      <c r="J168" s="399">
        <f>'d3'!K195-J169-J170</f>
        <v>281500</v>
      </c>
      <c r="K168" s="173"/>
      <c r="L168" s="173"/>
      <c r="M168" s="173"/>
    </row>
    <row r="169" spans="1:13" ht="184.5" hidden="1" thickTop="1" thickBot="1" x14ac:dyDescent="0.25">
      <c r="A169" s="452" t="s">
        <v>177</v>
      </c>
      <c r="B169" s="452" t="s">
        <v>178</v>
      </c>
      <c r="C169" s="452" t="s">
        <v>179</v>
      </c>
      <c r="D169" s="452" t="s">
        <v>180</v>
      </c>
      <c r="E169" s="406" t="s">
        <v>454</v>
      </c>
      <c r="F169" s="457" t="s">
        <v>455</v>
      </c>
      <c r="G169" s="787">
        <f>H169+I169</f>
        <v>0</v>
      </c>
      <c r="H169" s="407">
        <v>0</v>
      </c>
      <c r="I169" s="454">
        <v>0</v>
      </c>
      <c r="J169" s="454">
        <v>0</v>
      </c>
      <c r="K169" s="173"/>
      <c r="L169" s="173"/>
      <c r="M169" s="173"/>
    </row>
    <row r="170" spans="1:13" ht="184.5" hidden="1" thickTop="1" thickBot="1" x14ac:dyDescent="0.25">
      <c r="A170" s="452" t="s">
        <v>177</v>
      </c>
      <c r="B170" s="452" t="s">
        <v>178</v>
      </c>
      <c r="C170" s="452" t="s">
        <v>179</v>
      </c>
      <c r="D170" s="452" t="s">
        <v>180</v>
      </c>
      <c r="E170" s="787" t="s">
        <v>873</v>
      </c>
      <c r="F170" s="787" t="s">
        <v>874</v>
      </c>
      <c r="G170" s="787">
        <f>H170+I170</f>
        <v>0</v>
      </c>
      <c r="H170" s="407">
        <v>0</v>
      </c>
      <c r="I170" s="454">
        <v>0</v>
      </c>
      <c r="J170" s="454">
        <v>0</v>
      </c>
      <c r="K170" s="173"/>
      <c r="L170" s="173"/>
      <c r="M170" s="173"/>
    </row>
    <row r="171" spans="1:13" ht="184.5" thickTop="1" thickBot="1" x14ac:dyDescent="0.25">
      <c r="A171" s="546" t="s">
        <v>181</v>
      </c>
      <c r="B171" s="546" t="s">
        <v>182</v>
      </c>
      <c r="C171" s="546" t="s">
        <v>179</v>
      </c>
      <c r="D171" s="546" t="s">
        <v>468</v>
      </c>
      <c r="E171" s="787" t="s">
        <v>875</v>
      </c>
      <c r="F171" s="787" t="s">
        <v>876</v>
      </c>
      <c r="G171" s="787">
        <f t="shared" si="22"/>
        <v>2566530</v>
      </c>
      <c r="H171" s="787">
        <f>'d3'!E196-H172</f>
        <v>2464930</v>
      </c>
      <c r="I171" s="399">
        <f>'d3'!J196-I172</f>
        <v>101600</v>
      </c>
      <c r="J171" s="399">
        <f>'d3'!K196-J172</f>
        <v>0</v>
      </c>
      <c r="K171" s="173"/>
      <c r="L171" s="173"/>
      <c r="M171" s="173"/>
    </row>
    <row r="172" spans="1:13" s="790" customFormat="1" ht="184.5" thickTop="1" thickBot="1" x14ac:dyDescent="0.25">
      <c r="A172" s="786" t="s">
        <v>181</v>
      </c>
      <c r="B172" s="786" t="s">
        <v>182</v>
      </c>
      <c r="C172" s="786" t="s">
        <v>179</v>
      </c>
      <c r="D172" s="786" t="s">
        <v>468</v>
      </c>
      <c r="E172" s="406" t="s">
        <v>1510</v>
      </c>
      <c r="F172" s="787" t="s">
        <v>455</v>
      </c>
      <c r="G172" s="787">
        <f t="shared" si="22"/>
        <v>150000</v>
      </c>
      <c r="H172" s="787">
        <v>50420</v>
      </c>
      <c r="I172" s="787">
        <v>99580</v>
      </c>
      <c r="J172" s="787">
        <v>99580</v>
      </c>
      <c r="K172" s="173"/>
      <c r="L172" s="173"/>
      <c r="M172" s="173"/>
    </row>
    <row r="173" spans="1:13" ht="184.5" thickTop="1" thickBot="1" x14ac:dyDescent="0.25">
      <c r="A173" s="546" t="s">
        <v>183</v>
      </c>
      <c r="B173" s="546" t="s">
        <v>174</v>
      </c>
      <c r="C173" s="546" t="s">
        <v>184</v>
      </c>
      <c r="D173" s="546" t="s">
        <v>185</v>
      </c>
      <c r="E173" s="399" t="s">
        <v>875</v>
      </c>
      <c r="F173" s="399" t="s">
        <v>876</v>
      </c>
      <c r="G173" s="399">
        <f t="shared" si="22"/>
        <v>22059247</v>
      </c>
      <c r="H173" s="399">
        <f>'d3'!E197-H174</f>
        <v>19579135</v>
      </c>
      <c r="I173" s="399">
        <f>'d3'!J197-I174</f>
        <v>2480112</v>
      </c>
      <c r="J173" s="399">
        <f>'d3'!K197-J174</f>
        <v>1932112</v>
      </c>
      <c r="K173" s="173"/>
      <c r="L173" s="173"/>
      <c r="M173" s="173"/>
    </row>
    <row r="174" spans="1:13" ht="184.5" hidden="1" thickTop="1" thickBot="1" x14ac:dyDescent="0.25">
      <c r="A174" s="44" t="s">
        <v>183</v>
      </c>
      <c r="B174" s="44" t="s">
        <v>174</v>
      </c>
      <c r="C174" s="44" t="s">
        <v>184</v>
      </c>
      <c r="D174" s="44" t="s">
        <v>185</v>
      </c>
      <c r="E174" s="307" t="s">
        <v>454</v>
      </c>
      <c r="F174" s="312" t="s">
        <v>455</v>
      </c>
      <c r="G174" s="77">
        <f>H174+I174</f>
        <v>0</v>
      </c>
      <c r="H174" s="308">
        <v>0</v>
      </c>
      <c r="I174" s="77">
        <v>0</v>
      </c>
      <c r="J174" s="77">
        <v>0</v>
      </c>
      <c r="K174" s="173"/>
      <c r="L174" s="173"/>
      <c r="M174" s="173"/>
    </row>
    <row r="175" spans="1:13" ht="184.5" thickTop="1" thickBot="1" x14ac:dyDescent="0.25">
      <c r="A175" s="717" t="s">
        <v>1243</v>
      </c>
      <c r="B175" s="717" t="s">
        <v>1244</v>
      </c>
      <c r="C175" s="717" t="s">
        <v>1246</v>
      </c>
      <c r="D175" s="717" t="s">
        <v>1245</v>
      </c>
      <c r="E175" s="399" t="s">
        <v>875</v>
      </c>
      <c r="F175" s="399" t="s">
        <v>876</v>
      </c>
      <c r="G175" s="399">
        <f>H175+I175</f>
        <v>197759</v>
      </c>
      <c r="H175" s="407">
        <f>'d3'!E198</f>
        <v>197759</v>
      </c>
      <c r="I175" s="399">
        <f>'d3'!J198</f>
        <v>0</v>
      </c>
      <c r="J175" s="399">
        <f>'d3'!K198</f>
        <v>0</v>
      </c>
      <c r="K175" s="173"/>
      <c r="L175" s="173"/>
      <c r="M175" s="173"/>
    </row>
    <row r="176" spans="1:13" ht="184.5" thickTop="1" thickBot="1" x14ac:dyDescent="0.25">
      <c r="A176" s="546" t="s">
        <v>338</v>
      </c>
      <c r="B176" s="546" t="s">
        <v>339</v>
      </c>
      <c r="C176" s="546" t="s">
        <v>187</v>
      </c>
      <c r="D176" s="546" t="s">
        <v>469</v>
      </c>
      <c r="E176" s="399" t="s">
        <v>875</v>
      </c>
      <c r="F176" s="399" t="s">
        <v>876</v>
      </c>
      <c r="G176" s="399">
        <f>H176+I176</f>
        <v>24335887</v>
      </c>
      <c r="H176" s="399">
        <f>'d3'!E200-H177</f>
        <v>24188887</v>
      </c>
      <c r="I176" s="399">
        <f>'d3'!J200-I177</f>
        <v>147000</v>
      </c>
      <c r="J176" s="399">
        <f>'d3'!K200-J177</f>
        <v>0</v>
      </c>
      <c r="K176" s="173"/>
      <c r="L176" s="173"/>
      <c r="M176" s="173"/>
    </row>
    <row r="177" spans="1:13" ht="199.5" customHeight="1" thickTop="1" thickBot="1" x14ac:dyDescent="0.25">
      <c r="A177" s="546" t="s">
        <v>338</v>
      </c>
      <c r="B177" s="546" t="s">
        <v>339</v>
      </c>
      <c r="C177" s="546" t="s">
        <v>187</v>
      </c>
      <c r="D177" s="546" t="s">
        <v>469</v>
      </c>
      <c r="E177" s="399" t="s">
        <v>1338</v>
      </c>
      <c r="F177" s="399" t="s">
        <v>411</v>
      </c>
      <c r="G177" s="399">
        <f t="shared" si="22"/>
        <v>1172500</v>
      </c>
      <c r="H177" s="399">
        <f>804000+368500</f>
        <v>1172500</v>
      </c>
      <c r="I177" s="399">
        <v>0</v>
      </c>
      <c r="J177" s="399">
        <v>0</v>
      </c>
      <c r="K177" s="173"/>
      <c r="L177" s="173"/>
      <c r="M177" s="173"/>
    </row>
    <row r="178" spans="1:13" ht="246" customHeight="1" thickTop="1" thickBot="1" x14ac:dyDescent="0.25">
      <c r="A178" s="546" t="s">
        <v>340</v>
      </c>
      <c r="B178" s="546" t="s">
        <v>341</v>
      </c>
      <c r="C178" s="546" t="s">
        <v>187</v>
      </c>
      <c r="D178" s="546" t="s">
        <v>470</v>
      </c>
      <c r="E178" s="399" t="s">
        <v>875</v>
      </c>
      <c r="F178" s="399" t="s">
        <v>876</v>
      </c>
      <c r="G178" s="399">
        <f t="shared" si="22"/>
        <v>4894981</v>
      </c>
      <c r="H178" s="399">
        <f>'d3'!E201-H179-H180</f>
        <v>4894981</v>
      </c>
      <c r="I178" s="399">
        <f>'d3'!J201-I179-I180</f>
        <v>0</v>
      </c>
      <c r="J178" s="399">
        <f>'d3'!K201-J179-J180</f>
        <v>0</v>
      </c>
      <c r="K178" s="173"/>
      <c r="L178" s="173"/>
      <c r="M178" s="173"/>
    </row>
    <row r="179" spans="1:13" ht="178.5" customHeight="1" thickTop="1" thickBot="1" x14ac:dyDescent="0.25">
      <c r="A179" s="546" t="s">
        <v>340</v>
      </c>
      <c r="B179" s="546" t="s">
        <v>341</v>
      </c>
      <c r="C179" s="546" t="s">
        <v>187</v>
      </c>
      <c r="D179" s="546" t="s">
        <v>470</v>
      </c>
      <c r="E179" s="399" t="s">
        <v>1338</v>
      </c>
      <c r="F179" s="399" t="s">
        <v>411</v>
      </c>
      <c r="G179" s="399">
        <f t="shared" si="22"/>
        <v>544040</v>
      </c>
      <c r="H179" s="399">
        <f>337680+206360</f>
        <v>544040</v>
      </c>
      <c r="I179" s="399">
        <v>0</v>
      </c>
      <c r="J179" s="399">
        <v>0</v>
      </c>
      <c r="K179" s="173"/>
      <c r="L179" s="173"/>
      <c r="M179" s="173"/>
    </row>
    <row r="180" spans="1:13" ht="310.7" customHeight="1" thickTop="1" thickBot="1" x14ac:dyDescent="0.25">
      <c r="A180" s="546" t="s">
        <v>340</v>
      </c>
      <c r="B180" s="546" t="s">
        <v>341</v>
      </c>
      <c r="C180" s="546" t="s">
        <v>187</v>
      </c>
      <c r="D180" s="546" t="s">
        <v>470</v>
      </c>
      <c r="E180" s="399" t="s">
        <v>873</v>
      </c>
      <c r="F180" s="399" t="s">
        <v>874</v>
      </c>
      <c r="G180" s="399">
        <f t="shared" si="22"/>
        <v>175000</v>
      </c>
      <c r="H180" s="399">
        <v>175000</v>
      </c>
      <c r="I180" s="399">
        <v>0</v>
      </c>
      <c r="J180" s="399">
        <v>0</v>
      </c>
      <c r="K180" s="173"/>
      <c r="L180" s="173"/>
      <c r="M180" s="173"/>
    </row>
    <row r="181" spans="1:13" ht="138.75" thickTop="1" thickBot="1" x14ac:dyDescent="0.25">
      <c r="A181" s="546" t="s">
        <v>1057</v>
      </c>
      <c r="B181" s="546" t="s">
        <v>1058</v>
      </c>
      <c r="C181" s="546" t="s">
        <v>218</v>
      </c>
      <c r="D181" s="546" t="s">
        <v>1056</v>
      </c>
      <c r="E181" s="399" t="s">
        <v>1060</v>
      </c>
      <c r="F181" s="399" t="s">
        <v>1059</v>
      </c>
      <c r="G181" s="399">
        <f t="shared" si="22"/>
        <v>1062625</v>
      </c>
      <c r="H181" s="399">
        <f>'d3'!E205</f>
        <v>1062625</v>
      </c>
      <c r="I181" s="399">
        <f>'d3'!J205</f>
        <v>0</v>
      </c>
      <c r="J181" s="399">
        <f>'d3'!K205</f>
        <v>0</v>
      </c>
      <c r="K181" s="321"/>
      <c r="L181" s="321"/>
      <c r="M181" s="173"/>
    </row>
    <row r="182" spans="1:13" s="549" customFormat="1" ht="184.5" thickTop="1" thickBot="1" x14ac:dyDescent="0.25">
      <c r="A182" s="546" t="s">
        <v>1346</v>
      </c>
      <c r="B182" s="546" t="s">
        <v>217</v>
      </c>
      <c r="C182" s="546" t="s">
        <v>218</v>
      </c>
      <c r="D182" s="546" t="s">
        <v>41</v>
      </c>
      <c r="E182" s="399" t="s">
        <v>875</v>
      </c>
      <c r="F182" s="399" t="s">
        <v>876</v>
      </c>
      <c r="G182" s="399">
        <f t="shared" si="22"/>
        <v>2767235</v>
      </c>
      <c r="H182" s="399">
        <f>'d3'!E206</f>
        <v>0</v>
      </c>
      <c r="I182" s="399">
        <f>'d3'!J206</f>
        <v>2767235</v>
      </c>
      <c r="J182" s="399">
        <f>'d3'!K206</f>
        <v>2767235</v>
      </c>
      <c r="K182" s="321"/>
      <c r="L182" s="321"/>
      <c r="M182" s="173"/>
    </row>
    <row r="183" spans="1:13" ht="184.5" thickTop="1" thickBot="1" x14ac:dyDescent="0.25">
      <c r="A183" s="835" t="s">
        <v>930</v>
      </c>
      <c r="B183" s="835" t="s">
        <v>202</v>
      </c>
      <c r="C183" s="835" t="s">
        <v>171</v>
      </c>
      <c r="D183" s="835" t="s">
        <v>34</v>
      </c>
      <c r="E183" s="834" t="s">
        <v>875</v>
      </c>
      <c r="F183" s="834" t="s">
        <v>876</v>
      </c>
      <c r="G183" s="834">
        <f t="shared" si="22"/>
        <v>940242</v>
      </c>
      <c r="H183" s="834">
        <f>'d3'!E207</f>
        <v>0</v>
      </c>
      <c r="I183" s="834">
        <f>'d3'!J207</f>
        <v>940242</v>
      </c>
      <c r="J183" s="834">
        <f>'d3'!K207</f>
        <v>940242</v>
      </c>
      <c r="K183" s="321"/>
      <c r="L183" s="321"/>
      <c r="M183" s="173"/>
    </row>
    <row r="184" spans="1:13" ht="138.75" hidden="1" thickTop="1" thickBot="1" x14ac:dyDescent="0.25">
      <c r="A184" s="44" t="s">
        <v>592</v>
      </c>
      <c r="B184" s="44" t="s">
        <v>368</v>
      </c>
      <c r="C184" s="44" t="s">
        <v>43</v>
      </c>
      <c r="D184" s="44" t="s">
        <v>369</v>
      </c>
      <c r="E184" s="307" t="s">
        <v>870</v>
      </c>
      <c r="F184" s="77" t="s">
        <v>871</v>
      </c>
      <c r="G184" s="77">
        <f t="shared" si="22"/>
        <v>0</v>
      </c>
      <c r="H184" s="77">
        <f>'d3'!E210</f>
        <v>0</v>
      </c>
      <c r="I184" s="77">
        <f>'d3'!J210</f>
        <v>0</v>
      </c>
      <c r="J184" s="77">
        <f>'d3'!K210</f>
        <v>0</v>
      </c>
      <c r="K184" s="321"/>
      <c r="L184" s="321"/>
      <c r="M184" s="173"/>
    </row>
    <row r="185" spans="1:13" ht="136.5" thickTop="1" thickBot="1" x14ac:dyDescent="0.25">
      <c r="A185" s="460" t="s">
        <v>22</v>
      </c>
      <c r="B185" s="460"/>
      <c r="C185" s="460"/>
      <c r="D185" s="461" t="s">
        <v>23</v>
      </c>
      <c r="E185" s="460"/>
      <c r="F185" s="460"/>
      <c r="G185" s="462">
        <f>G186</f>
        <v>156250554.47999999</v>
      </c>
      <c r="H185" s="462">
        <f t="shared" ref="H185:J185" si="23">H186</f>
        <v>117847529</v>
      </c>
      <c r="I185" s="462">
        <f t="shared" si="23"/>
        <v>38403025.479999997</v>
      </c>
      <c r="J185" s="462">
        <f t="shared" si="23"/>
        <v>35902003.479999997</v>
      </c>
      <c r="K185" s="111" t="b">
        <f>H185='d3'!E212+'d4'!F12</f>
        <v>1</v>
      </c>
      <c r="L185" s="112" t="b">
        <f>I185='d3'!J211+'d4'!G12</f>
        <v>1</v>
      </c>
      <c r="M185" s="112" t="b">
        <f>J185='d3'!K211+'d4'!H12</f>
        <v>1</v>
      </c>
    </row>
    <row r="186" spans="1:13" ht="175.7" customHeight="1" thickTop="1" thickBot="1" x14ac:dyDescent="0.25">
      <c r="A186" s="464" t="s">
        <v>21</v>
      </c>
      <c r="B186" s="464"/>
      <c r="C186" s="464"/>
      <c r="D186" s="465" t="s">
        <v>35</v>
      </c>
      <c r="E186" s="466"/>
      <c r="F186" s="466"/>
      <c r="G186" s="466">
        <f>SUM(G187:G206)</f>
        <v>156250554.47999999</v>
      </c>
      <c r="H186" s="466">
        <f>SUM(H187:H206)</f>
        <v>117847529</v>
      </c>
      <c r="I186" s="466">
        <f>SUM(I187:I206)</f>
        <v>38403025.479999997</v>
      </c>
      <c r="J186" s="466">
        <f>SUM(J187:J206)</f>
        <v>35902003.479999997</v>
      </c>
      <c r="K186" s="173"/>
      <c r="L186" s="173"/>
      <c r="M186" s="173"/>
    </row>
    <row r="187" spans="1:13" ht="230.25" hidden="1" thickTop="1" thickBot="1" x14ac:dyDescent="0.25">
      <c r="A187" s="162" t="s">
        <v>188</v>
      </c>
      <c r="B187" s="162" t="s">
        <v>189</v>
      </c>
      <c r="C187" s="162" t="s">
        <v>190</v>
      </c>
      <c r="D187" s="162" t="s">
        <v>647</v>
      </c>
      <c r="E187" s="304" t="s">
        <v>1211</v>
      </c>
      <c r="F187" s="233" t="s">
        <v>1212</v>
      </c>
      <c r="G187" s="233">
        <f t="shared" ref="G187:G189" si="24">H187+I187</f>
        <v>0</v>
      </c>
      <c r="H187" s="305">
        <f>'d3'!E215</f>
        <v>0</v>
      </c>
      <c r="I187" s="322">
        <f>'d3'!J215</f>
        <v>0</v>
      </c>
      <c r="J187" s="233">
        <f>'d3'!K215</f>
        <v>0</v>
      </c>
      <c r="K187" s="173"/>
      <c r="L187" s="173"/>
      <c r="M187" s="173"/>
    </row>
    <row r="188" spans="1:13" ht="230.25" thickTop="1" thickBot="1" x14ac:dyDescent="0.25">
      <c r="A188" s="445" t="s">
        <v>194</v>
      </c>
      <c r="B188" s="445" t="s">
        <v>195</v>
      </c>
      <c r="C188" s="445" t="s">
        <v>190</v>
      </c>
      <c r="D188" s="445" t="s">
        <v>10</v>
      </c>
      <c r="E188" s="406" t="s">
        <v>1326</v>
      </c>
      <c r="F188" s="399" t="s">
        <v>1212</v>
      </c>
      <c r="G188" s="399">
        <f t="shared" si="24"/>
        <v>7647461.4000000004</v>
      </c>
      <c r="H188" s="407">
        <f>'d3'!E217-H189</f>
        <v>5370023</v>
      </c>
      <c r="I188" s="538">
        <f>'d3'!J217-I189</f>
        <v>2277438.4</v>
      </c>
      <c r="J188" s="399">
        <f>'d3'!K217-J189</f>
        <v>1880038.3999999999</v>
      </c>
      <c r="K188" s="173"/>
      <c r="L188" s="173"/>
      <c r="M188" s="173"/>
    </row>
    <row r="189" spans="1:13" s="790" customFormat="1" ht="184.5" thickTop="1" thickBot="1" x14ac:dyDescent="0.25">
      <c r="A189" s="786" t="s">
        <v>194</v>
      </c>
      <c r="B189" s="786" t="s">
        <v>195</v>
      </c>
      <c r="C189" s="786" t="s">
        <v>190</v>
      </c>
      <c r="D189" s="786" t="s">
        <v>10</v>
      </c>
      <c r="E189" s="406" t="s">
        <v>1510</v>
      </c>
      <c r="F189" s="787" t="s">
        <v>455</v>
      </c>
      <c r="G189" s="787">
        <f t="shared" si="24"/>
        <v>149845</v>
      </c>
      <c r="H189" s="407">
        <v>75845</v>
      </c>
      <c r="I189" s="538">
        <v>74000</v>
      </c>
      <c r="J189" s="787">
        <v>74000</v>
      </c>
      <c r="K189" s="173"/>
      <c r="L189" s="173"/>
      <c r="M189" s="173"/>
    </row>
    <row r="190" spans="1:13" ht="230.25" thickTop="1" thickBot="1" x14ac:dyDescent="0.25">
      <c r="A190" s="445" t="s">
        <v>356</v>
      </c>
      <c r="B190" s="445" t="s">
        <v>357</v>
      </c>
      <c r="C190" s="445" t="s">
        <v>190</v>
      </c>
      <c r="D190" s="445" t="s">
        <v>358</v>
      </c>
      <c r="E190" s="406" t="s">
        <v>1326</v>
      </c>
      <c r="F190" s="399" t="s">
        <v>1212</v>
      </c>
      <c r="G190" s="399">
        <f t="shared" ref="G190:G194" si="25">H190+I190</f>
        <v>7809980</v>
      </c>
      <c r="H190" s="407">
        <f>'d3'!E218</f>
        <v>7754354</v>
      </c>
      <c r="I190" s="538">
        <f>'d3'!J218</f>
        <v>55626</v>
      </c>
      <c r="J190" s="399">
        <f>'d3'!K218</f>
        <v>55626</v>
      </c>
      <c r="K190" s="173"/>
      <c r="L190" s="173"/>
      <c r="M190" s="173"/>
    </row>
    <row r="191" spans="1:13" ht="230.25" thickTop="1" thickBot="1" x14ac:dyDescent="0.25">
      <c r="A191" s="445" t="s">
        <v>44</v>
      </c>
      <c r="B191" s="445" t="s">
        <v>191</v>
      </c>
      <c r="C191" s="445" t="s">
        <v>200</v>
      </c>
      <c r="D191" s="445" t="s">
        <v>45</v>
      </c>
      <c r="E191" s="406" t="s">
        <v>1326</v>
      </c>
      <c r="F191" s="399" t="s">
        <v>1212</v>
      </c>
      <c r="G191" s="399">
        <f t="shared" si="25"/>
        <v>25132670</v>
      </c>
      <c r="H191" s="399">
        <f>'d3'!E221</f>
        <v>25132670</v>
      </c>
      <c r="I191" s="538">
        <f>'d3'!J221</f>
        <v>0</v>
      </c>
      <c r="J191" s="399">
        <f>'d3'!K221</f>
        <v>0</v>
      </c>
      <c r="K191" s="173"/>
      <c r="L191" s="173"/>
      <c r="M191" s="173"/>
    </row>
    <row r="192" spans="1:13" ht="230.25" thickTop="1" thickBot="1" x14ac:dyDescent="0.25">
      <c r="A192" s="445" t="s">
        <v>46</v>
      </c>
      <c r="B192" s="445" t="s">
        <v>192</v>
      </c>
      <c r="C192" s="445" t="s">
        <v>200</v>
      </c>
      <c r="D192" s="445" t="s">
        <v>4</v>
      </c>
      <c r="E192" s="406" t="s">
        <v>1326</v>
      </c>
      <c r="F192" s="399" t="s">
        <v>1212</v>
      </c>
      <c r="G192" s="399">
        <f t="shared" si="25"/>
        <v>4101072</v>
      </c>
      <c r="H192" s="399">
        <f>'d3'!E222</f>
        <v>4101072</v>
      </c>
      <c r="I192" s="538">
        <f>'d3'!J222</f>
        <v>0</v>
      </c>
      <c r="J192" s="399">
        <f>'d3'!K222</f>
        <v>0</v>
      </c>
      <c r="K192" s="173"/>
      <c r="L192" s="173"/>
      <c r="M192" s="173"/>
    </row>
    <row r="193" spans="1:13" ht="230.25" thickTop="1" thickBot="1" x14ac:dyDescent="0.25">
      <c r="A193" s="445" t="s">
        <v>47</v>
      </c>
      <c r="B193" s="445" t="s">
        <v>193</v>
      </c>
      <c r="C193" s="445" t="s">
        <v>200</v>
      </c>
      <c r="D193" s="445" t="s">
        <v>354</v>
      </c>
      <c r="E193" s="406" t="s">
        <v>1326</v>
      </c>
      <c r="F193" s="399" t="s">
        <v>1212</v>
      </c>
      <c r="G193" s="399">
        <f t="shared" si="25"/>
        <v>53300</v>
      </c>
      <c r="H193" s="399">
        <f>'d3'!E224</f>
        <v>53300</v>
      </c>
      <c r="I193" s="538">
        <f>'d3'!J224</f>
        <v>0</v>
      </c>
      <c r="J193" s="399">
        <f>'d3'!K224</f>
        <v>0</v>
      </c>
      <c r="K193" s="173"/>
      <c r="L193" s="173"/>
      <c r="M193" s="173"/>
    </row>
    <row r="194" spans="1:13" ht="230.25" thickTop="1" thickBot="1" x14ac:dyDescent="0.25">
      <c r="A194" s="445" t="s">
        <v>28</v>
      </c>
      <c r="B194" s="445" t="s">
        <v>197</v>
      </c>
      <c r="C194" s="445" t="s">
        <v>200</v>
      </c>
      <c r="D194" s="445" t="s">
        <v>48</v>
      </c>
      <c r="E194" s="406" t="s">
        <v>1326</v>
      </c>
      <c r="F194" s="399" t="s">
        <v>1212</v>
      </c>
      <c r="G194" s="399">
        <f t="shared" si="25"/>
        <v>92035346.079999998</v>
      </c>
      <c r="H194" s="399">
        <f>'d3'!E226-H195</f>
        <v>61685476</v>
      </c>
      <c r="I194" s="538">
        <f>'d3'!J226-I195</f>
        <v>30349870.079999998</v>
      </c>
      <c r="J194" s="399">
        <f>'d3'!K226-J195</f>
        <v>28556248.079999998</v>
      </c>
      <c r="K194" s="173"/>
      <c r="L194" s="173"/>
      <c r="M194" s="173"/>
    </row>
    <row r="195" spans="1:13" ht="184.5" hidden="1" thickTop="1" thickBot="1" x14ac:dyDescent="0.25">
      <c r="A195" s="162" t="s">
        <v>28</v>
      </c>
      <c r="B195" s="162" t="s">
        <v>197</v>
      </c>
      <c r="C195" s="162" t="s">
        <v>200</v>
      </c>
      <c r="D195" s="162" t="s">
        <v>48</v>
      </c>
      <c r="E195" s="304" t="s">
        <v>454</v>
      </c>
      <c r="F195" s="185" t="s">
        <v>455</v>
      </c>
      <c r="G195" s="233">
        <f>H195+I195</f>
        <v>0</v>
      </c>
      <c r="H195" s="305">
        <v>0</v>
      </c>
      <c r="I195" s="233">
        <v>0</v>
      </c>
      <c r="J195" s="233">
        <v>0</v>
      </c>
      <c r="K195" s="173"/>
      <c r="L195" s="173"/>
      <c r="M195" s="173"/>
    </row>
    <row r="196" spans="1:13" ht="230.25" thickTop="1" thickBot="1" x14ac:dyDescent="0.25">
      <c r="A196" s="445" t="s">
        <v>29</v>
      </c>
      <c r="B196" s="445" t="s">
        <v>198</v>
      </c>
      <c r="C196" s="445" t="s">
        <v>200</v>
      </c>
      <c r="D196" s="445" t="s">
        <v>49</v>
      </c>
      <c r="E196" s="406" t="s">
        <v>1326</v>
      </c>
      <c r="F196" s="399" t="s">
        <v>1212</v>
      </c>
      <c r="G196" s="399">
        <f t="shared" ref="G196:G206" si="26">H196+I196</f>
        <v>6424339</v>
      </c>
      <c r="H196" s="399">
        <f>'d3'!E227</f>
        <v>6424339</v>
      </c>
      <c r="I196" s="538">
        <f>'d3'!J227</f>
        <v>0</v>
      </c>
      <c r="J196" s="399">
        <f>'d3'!K227</f>
        <v>0</v>
      </c>
      <c r="K196" s="173"/>
      <c r="L196" s="173"/>
      <c r="M196" s="173"/>
    </row>
    <row r="197" spans="1:13" s="779" customFormat="1" ht="230.25" thickTop="1" thickBot="1" x14ac:dyDescent="0.25">
      <c r="A197" s="776" t="s">
        <v>1502</v>
      </c>
      <c r="B197" s="776" t="s">
        <v>1503</v>
      </c>
      <c r="C197" s="776" t="s">
        <v>200</v>
      </c>
      <c r="D197" s="776" t="s">
        <v>1504</v>
      </c>
      <c r="E197" s="406" t="s">
        <v>1326</v>
      </c>
      <c r="F197" s="775" t="s">
        <v>1212</v>
      </c>
      <c r="G197" s="775">
        <f t="shared" si="26"/>
        <v>88281</v>
      </c>
      <c r="H197" s="775">
        <f>'d3'!E229</f>
        <v>88281</v>
      </c>
      <c r="I197" s="538">
        <f>'d3'!J229</f>
        <v>0</v>
      </c>
      <c r="J197" s="538">
        <f>'d3'!K229</f>
        <v>0</v>
      </c>
      <c r="K197" s="173"/>
      <c r="L197" s="173"/>
      <c r="M197" s="173"/>
    </row>
    <row r="198" spans="1:13" ht="230.25" thickTop="1" thickBot="1" x14ac:dyDescent="0.25">
      <c r="A198" s="503" t="s">
        <v>30</v>
      </c>
      <c r="B198" s="503" t="s">
        <v>199</v>
      </c>
      <c r="C198" s="503" t="s">
        <v>200</v>
      </c>
      <c r="D198" s="445" t="s">
        <v>31</v>
      </c>
      <c r="E198" s="406" t="s">
        <v>1326</v>
      </c>
      <c r="F198" s="399" t="s">
        <v>1212</v>
      </c>
      <c r="G198" s="399">
        <f t="shared" si="26"/>
        <v>1068095</v>
      </c>
      <c r="H198" s="399">
        <f>'d3'!E231</f>
        <v>1068095</v>
      </c>
      <c r="I198" s="538">
        <f>'d3'!J231</f>
        <v>0</v>
      </c>
      <c r="J198" s="399">
        <f>'d3'!K231</f>
        <v>0</v>
      </c>
      <c r="K198" s="173"/>
      <c r="L198" s="173"/>
      <c r="M198" s="173"/>
    </row>
    <row r="199" spans="1:13" ht="230.25" thickTop="1" thickBot="1" x14ac:dyDescent="0.25">
      <c r="A199" s="503" t="s">
        <v>517</v>
      </c>
      <c r="B199" s="503" t="s">
        <v>515</v>
      </c>
      <c r="C199" s="503" t="s">
        <v>200</v>
      </c>
      <c r="D199" s="445" t="s">
        <v>516</v>
      </c>
      <c r="E199" s="406" t="s">
        <v>1326</v>
      </c>
      <c r="F199" s="399" t="s">
        <v>1212</v>
      </c>
      <c r="G199" s="399">
        <f t="shared" si="26"/>
        <v>3791300</v>
      </c>
      <c r="H199" s="399">
        <f>'d3'!E232</f>
        <v>3791300</v>
      </c>
      <c r="I199" s="538">
        <f>'d3'!J232</f>
        <v>0</v>
      </c>
      <c r="J199" s="538">
        <f>'d3'!K232</f>
        <v>0</v>
      </c>
      <c r="K199" s="173"/>
      <c r="L199" s="173"/>
      <c r="M199" s="173"/>
    </row>
    <row r="200" spans="1:13" ht="230.25" thickTop="1" thickBot="1" x14ac:dyDescent="0.25">
      <c r="A200" s="503" t="s">
        <v>32</v>
      </c>
      <c r="B200" s="503" t="s">
        <v>201</v>
      </c>
      <c r="C200" s="503" t="s">
        <v>200</v>
      </c>
      <c r="D200" s="445" t="s">
        <v>33</v>
      </c>
      <c r="E200" s="406" t="s">
        <v>1326</v>
      </c>
      <c r="F200" s="399" t="s">
        <v>1212</v>
      </c>
      <c r="G200" s="399">
        <f t="shared" si="26"/>
        <v>1923774</v>
      </c>
      <c r="H200" s="399">
        <f>'d3'!E233</f>
        <v>1873774</v>
      </c>
      <c r="I200" s="538">
        <f>'d3'!J233</f>
        <v>50000</v>
      </c>
      <c r="J200" s="399">
        <f>'d3'!K233</f>
        <v>0</v>
      </c>
      <c r="K200" s="173"/>
      <c r="L200" s="173"/>
      <c r="M200" s="173"/>
    </row>
    <row r="201" spans="1:13" ht="276" thickTop="1" thickBot="1" x14ac:dyDescent="0.25">
      <c r="A201" s="503" t="s">
        <v>347</v>
      </c>
      <c r="B201" s="503" t="s">
        <v>346</v>
      </c>
      <c r="C201" s="503" t="s">
        <v>345</v>
      </c>
      <c r="D201" s="445" t="s">
        <v>648</v>
      </c>
      <c r="E201" s="406" t="s">
        <v>1326</v>
      </c>
      <c r="F201" s="399" t="s">
        <v>1212</v>
      </c>
      <c r="G201" s="399">
        <f t="shared" si="26"/>
        <v>39000</v>
      </c>
      <c r="H201" s="399">
        <f>'d3'!E236</f>
        <v>39000</v>
      </c>
      <c r="I201" s="538">
        <f>'d3'!J236</f>
        <v>0</v>
      </c>
      <c r="J201" s="538">
        <f>'d3'!K236</f>
        <v>0</v>
      </c>
      <c r="K201" s="173"/>
      <c r="L201" s="173"/>
      <c r="M201" s="173"/>
    </row>
    <row r="202" spans="1:13" ht="230.25" thickTop="1" thickBot="1" x14ac:dyDescent="0.25">
      <c r="A202" s="445" t="s">
        <v>1142</v>
      </c>
      <c r="B202" s="445" t="s">
        <v>318</v>
      </c>
      <c r="C202" s="445" t="s">
        <v>309</v>
      </c>
      <c r="D202" s="445" t="s">
        <v>1327</v>
      </c>
      <c r="E202" s="406" t="s">
        <v>1326</v>
      </c>
      <c r="F202" s="399" t="s">
        <v>1212</v>
      </c>
      <c r="G202" s="399">
        <f t="shared" si="26"/>
        <v>0</v>
      </c>
      <c r="H202" s="399">
        <f>'d3'!E240</f>
        <v>0</v>
      </c>
      <c r="I202" s="538">
        <f>'d3'!J240</f>
        <v>0</v>
      </c>
      <c r="J202" s="538">
        <f>'d3'!K240</f>
        <v>0</v>
      </c>
      <c r="K202" s="173"/>
      <c r="L202" s="173"/>
      <c r="M202" s="173"/>
    </row>
    <row r="203" spans="1:13" s="742" customFormat="1" ht="230.25" thickTop="1" thickBot="1" x14ac:dyDescent="0.25">
      <c r="A203" s="738" t="s">
        <v>1454</v>
      </c>
      <c r="B203" s="738" t="s">
        <v>217</v>
      </c>
      <c r="C203" s="738" t="s">
        <v>218</v>
      </c>
      <c r="D203" s="738" t="s">
        <v>41</v>
      </c>
      <c r="E203" s="406" t="s">
        <v>1326</v>
      </c>
      <c r="F203" s="739" t="s">
        <v>1212</v>
      </c>
      <c r="G203" s="739">
        <f t="shared" si="26"/>
        <v>5129000</v>
      </c>
      <c r="H203" s="739">
        <f>'d3'!E242</f>
        <v>0</v>
      </c>
      <c r="I203" s="538">
        <f>'d3'!J242</f>
        <v>5129000</v>
      </c>
      <c r="J203" s="538">
        <f>'d3'!K242</f>
        <v>5129000</v>
      </c>
      <c r="K203" s="173"/>
      <c r="L203" s="173"/>
      <c r="M203" s="173"/>
    </row>
    <row r="204" spans="1:13" ht="230.25" thickTop="1" thickBot="1" x14ac:dyDescent="0.25">
      <c r="A204" s="825" t="s">
        <v>615</v>
      </c>
      <c r="B204" s="825" t="s">
        <v>202</v>
      </c>
      <c r="C204" s="825" t="s">
        <v>171</v>
      </c>
      <c r="D204" s="825" t="s">
        <v>34</v>
      </c>
      <c r="E204" s="406" t="s">
        <v>1326</v>
      </c>
      <c r="F204" s="826" t="s">
        <v>1212</v>
      </c>
      <c r="G204" s="826">
        <f t="shared" ref="G204" si="27">H204+I204</f>
        <v>207091</v>
      </c>
      <c r="H204" s="826">
        <f>'d3'!E243</f>
        <v>0</v>
      </c>
      <c r="I204" s="538">
        <f>'d3'!J243</f>
        <v>207091</v>
      </c>
      <c r="J204" s="538">
        <f>'d3'!K243</f>
        <v>207091</v>
      </c>
      <c r="K204" s="173"/>
      <c r="L204" s="173"/>
      <c r="M204" s="173"/>
    </row>
    <row r="205" spans="1:13" ht="230.25" thickTop="1" thickBot="1" x14ac:dyDescent="0.25">
      <c r="A205" s="503" t="s">
        <v>462</v>
      </c>
      <c r="B205" s="503" t="s">
        <v>464</v>
      </c>
      <c r="C205" s="503" t="s">
        <v>50</v>
      </c>
      <c r="D205" s="445" t="s">
        <v>461</v>
      </c>
      <c r="E205" s="406" t="s">
        <v>1326</v>
      </c>
      <c r="F205" s="399" t="s">
        <v>1212</v>
      </c>
      <c r="G205" s="399">
        <f t="shared" si="26"/>
        <v>650000</v>
      </c>
      <c r="H205" s="399">
        <f>'d4'!F17</f>
        <v>390000</v>
      </c>
      <c r="I205" s="538">
        <f>'d4'!G17</f>
        <v>260000</v>
      </c>
      <c r="J205" s="538">
        <f>'d4'!H17</f>
        <v>0</v>
      </c>
      <c r="K205" s="409"/>
      <c r="L205" s="409"/>
      <c r="M205" s="409"/>
    </row>
    <row r="206" spans="1:13" ht="276" hidden="1" thickTop="1" thickBot="1" x14ac:dyDescent="0.25">
      <c r="A206" s="44" t="s">
        <v>1151</v>
      </c>
      <c r="B206" s="44" t="s">
        <v>368</v>
      </c>
      <c r="C206" s="44" t="s">
        <v>43</v>
      </c>
      <c r="D206" s="44" t="s">
        <v>369</v>
      </c>
      <c r="E206" s="307" t="s">
        <v>593</v>
      </c>
      <c r="F206" s="77" t="s">
        <v>413</v>
      </c>
      <c r="G206" s="77">
        <f t="shared" si="26"/>
        <v>0</v>
      </c>
      <c r="H206" s="77">
        <f>'d3'!E246</f>
        <v>0</v>
      </c>
      <c r="I206" s="323">
        <f>'d3'!J246</f>
        <v>0</v>
      </c>
      <c r="J206" s="323">
        <f>'d3'!K246</f>
        <v>0</v>
      </c>
      <c r="K206" s="409"/>
      <c r="L206" s="409"/>
      <c r="M206" s="409"/>
    </row>
    <row r="207" spans="1:13" ht="136.5" thickTop="1" thickBot="1" x14ac:dyDescent="0.25">
      <c r="A207" s="460" t="s">
        <v>159</v>
      </c>
      <c r="B207" s="460"/>
      <c r="C207" s="460"/>
      <c r="D207" s="461" t="s">
        <v>567</v>
      </c>
      <c r="E207" s="460"/>
      <c r="F207" s="460"/>
      <c r="G207" s="462">
        <f>G208</f>
        <v>101987532.87</v>
      </c>
      <c r="H207" s="462">
        <f t="shared" ref="H207:J207" si="28">H208</f>
        <v>45654570</v>
      </c>
      <c r="I207" s="462">
        <f t="shared" si="28"/>
        <v>56332962.869999997</v>
      </c>
      <c r="J207" s="462">
        <f t="shared" si="28"/>
        <v>55853237</v>
      </c>
      <c r="K207" s="111" t="b">
        <f>H207='d3'!E247-'d3'!E250+'d7'!H209</f>
        <v>1</v>
      </c>
      <c r="L207" s="111" t="b">
        <f>I207='d3'!J247-'d3'!J250+I209</f>
        <v>1</v>
      </c>
      <c r="M207" s="111" t="b">
        <f>J207='d3'!K247-'d3'!K250+J209</f>
        <v>1</v>
      </c>
    </row>
    <row r="208" spans="1:13" ht="136.5" thickTop="1" thickBot="1" x14ac:dyDescent="0.25">
      <c r="A208" s="464" t="s">
        <v>160</v>
      </c>
      <c r="B208" s="464"/>
      <c r="C208" s="464"/>
      <c r="D208" s="465" t="s">
        <v>568</v>
      </c>
      <c r="E208" s="466"/>
      <c r="F208" s="466"/>
      <c r="G208" s="466">
        <f>SUM(G209:G228)</f>
        <v>101987532.87</v>
      </c>
      <c r="H208" s="466">
        <f>SUM(H209:H228)</f>
        <v>45654570</v>
      </c>
      <c r="I208" s="466">
        <f>SUM(I209:I228)</f>
        <v>56332962.869999997</v>
      </c>
      <c r="J208" s="466">
        <f>SUM(J209:J228)</f>
        <v>55853237</v>
      </c>
      <c r="K208" s="173"/>
      <c r="L208" s="173"/>
      <c r="M208" s="173"/>
    </row>
    <row r="209" spans="1:13" ht="184.5" thickTop="1" thickBot="1" x14ac:dyDescent="0.25">
      <c r="A209" s="825" t="s">
        <v>426</v>
      </c>
      <c r="B209" s="825" t="s">
        <v>241</v>
      </c>
      <c r="C209" s="825" t="s">
        <v>239</v>
      </c>
      <c r="D209" s="825" t="s">
        <v>240</v>
      </c>
      <c r="E209" s="406" t="s">
        <v>1061</v>
      </c>
      <c r="F209" s="826" t="s">
        <v>867</v>
      </c>
      <c r="G209" s="834">
        <f t="shared" ref="G209:G265" si="29">H209+I209</f>
        <v>25000</v>
      </c>
      <c r="H209" s="407">
        <v>0</v>
      </c>
      <c r="I209" s="538">
        <v>25000</v>
      </c>
      <c r="J209" s="538">
        <v>25000</v>
      </c>
      <c r="K209" s="173"/>
      <c r="L209" s="173"/>
      <c r="M209" s="173"/>
    </row>
    <row r="210" spans="1:13" ht="367.5" thickTop="1" thickBot="1" x14ac:dyDescent="0.25">
      <c r="A210" s="546" t="s">
        <v>636</v>
      </c>
      <c r="B210" s="546" t="s">
        <v>367</v>
      </c>
      <c r="C210" s="546" t="s">
        <v>634</v>
      </c>
      <c r="D210" s="546" t="s">
        <v>635</v>
      </c>
      <c r="E210" s="406" t="s">
        <v>1386</v>
      </c>
      <c r="F210" s="399" t="s">
        <v>1387</v>
      </c>
      <c r="G210" s="399">
        <f t="shared" si="29"/>
        <v>12000</v>
      </c>
      <c r="H210" s="407">
        <f>'d3'!E251</f>
        <v>12000</v>
      </c>
      <c r="I210" s="538">
        <v>0</v>
      </c>
      <c r="J210" s="538">
        <v>0</v>
      </c>
      <c r="K210" s="173"/>
      <c r="L210" s="173"/>
      <c r="M210" s="173"/>
    </row>
    <row r="211" spans="1:13" ht="184.5" thickTop="1" thickBot="1" x14ac:dyDescent="0.25">
      <c r="A211" s="485" t="s">
        <v>285</v>
      </c>
      <c r="B211" s="485" t="s">
        <v>286</v>
      </c>
      <c r="C211" s="485" t="s">
        <v>345</v>
      </c>
      <c r="D211" s="485" t="s">
        <v>287</v>
      </c>
      <c r="E211" s="406" t="s">
        <v>1284</v>
      </c>
      <c r="F211" s="399" t="s">
        <v>1217</v>
      </c>
      <c r="G211" s="545">
        <f t="shared" si="29"/>
        <v>4119055</v>
      </c>
      <c r="H211" s="545">
        <f>0+150000</f>
        <v>150000</v>
      </c>
      <c r="I211" s="545">
        <f>(745000)+3224055</f>
        <v>3969055</v>
      </c>
      <c r="J211" s="725">
        <f>(745000)+3224055</f>
        <v>3969055</v>
      </c>
      <c r="K211" s="111" t="b">
        <f>H211+H212='d3'!E255</f>
        <v>1</v>
      </c>
      <c r="L211" s="112" t="b">
        <f>I211+I212='d3'!J255</f>
        <v>1</v>
      </c>
      <c r="M211" s="112" t="b">
        <f>J211+J212='d3'!K255</f>
        <v>1</v>
      </c>
    </row>
    <row r="212" spans="1:13" ht="276" customHeight="1" thickTop="1" thickBot="1" x14ac:dyDescent="0.25">
      <c r="A212" s="485" t="s">
        <v>285</v>
      </c>
      <c r="B212" s="485" t="s">
        <v>286</v>
      </c>
      <c r="C212" s="485" t="s">
        <v>345</v>
      </c>
      <c r="D212" s="485" t="s">
        <v>287</v>
      </c>
      <c r="E212" s="457" t="s">
        <v>1341</v>
      </c>
      <c r="F212" s="457" t="s">
        <v>591</v>
      </c>
      <c r="G212" s="545">
        <f t="shared" si="29"/>
        <v>6362326</v>
      </c>
      <c r="H212" s="407">
        <f>(1833100)+2000000</f>
        <v>3833100</v>
      </c>
      <c r="I212" s="538">
        <f>0+2529226</f>
        <v>2529226</v>
      </c>
      <c r="J212" s="538">
        <f>0+2529226</f>
        <v>2529226</v>
      </c>
      <c r="K212" s="173"/>
      <c r="L212" s="173"/>
      <c r="M212" s="173"/>
    </row>
    <row r="213" spans="1:13" ht="184.5" thickTop="1" thickBot="1" x14ac:dyDescent="0.25">
      <c r="A213" s="546" t="s">
        <v>306</v>
      </c>
      <c r="B213" s="546" t="s">
        <v>307</v>
      </c>
      <c r="C213" s="546" t="s">
        <v>288</v>
      </c>
      <c r="D213" s="546" t="s">
        <v>308</v>
      </c>
      <c r="E213" s="406" t="s">
        <v>1284</v>
      </c>
      <c r="F213" s="399" t="s">
        <v>1217</v>
      </c>
      <c r="G213" s="399">
        <f t="shared" si="29"/>
        <v>11237500</v>
      </c>
      <c r="H213" s="407">
        <f>'d3'!E256</f>
        <v>0</v>
      </c>
      <c r="I213" s="538">
        <f>'d3'!J256</f>
        <v>11237500</v>
      </c>
      <c r="J213" s="538">
        <f>'d3'!K256</f>
        <v>11237500</v>
      </c>
      <c r="K213" s="173"/>
      <c r="L213" s="173"/>
      <c r="M213" s="173"/>
    </row>
    <row r="214" spans="1:13" s="829" customFormat="1" ht="184.5" thickTop="1" thickBot="1" x14ac:dyDescent="0.25">
      <c r="A214" s="830" t="s">
        <v>289</v>
      </c>
      <c r="B214" s="830" t="s">
        <v>290</v>
      </c>
      <c r="C214" s="830" t="s">
        <v>288</v>
      </c>
      <c r="D214" s="830" t="s">
        <v>471</v>
      </c>
      <c r="E214" s="406" t="s">
        <v>1284</v>
      </c>
      <c r="F214" s="826" t="s">
        <v>1217</v>
      </c>
      <c r="G214" s="834">
        <f t="shared" si="29"/>
        <v>5300000</v>
      </c>
      <c r="H214" s="793">
        <v>2500000</v>
      </c>
      <c r="I214" s="538">
        <v>2800000</v>
      </c>
      <c r="J214" s="538">
        <v>2800000</v>
      </c>
      <c r="K214" s="173"/>
      <c r="L214" s="173"/>
      <c r="M214" s="173"/>
    </row>
    <row r="215" spans="1:13" ht="184.5" thickTop="1" thickBot="1" x14ac:dyDescent="0.25">
      <c r="A215" s="791" t="s">
        <v>289</v>
      </c>
      <c r="B215" s="791" t="s">
        <v>290</v>
      </c>
      <c r="C215" s="791" t="s">
        <v>288</v>
      </c>
      <c r="D215" s="791" t="s">
        <v>471</v>
      </c>
      <c r="E215" s="406" t="s">
        <v>1510</v>
      </c>
      <c r="F215" s="787" t="s">
        <v>455</v>
      </c>
      <c r="G215" s="834">
        <f t="shared" si="29"/>
        <v>378492</v>
      </c>
      <c r="H215" s="793">
        <f>'d3'!E257-H214</f>
        <v>0</v>
      </c>
      <c r="I215" s="538">
        <f>'d3'!J257-I214</f>
        <v>378492</v>
      </c>
      <c r="J215" s="538">
        <f>'d3'!K257-J214</f>
        <v>378492</v>
      </c>
      <c r="K215" s="173"/>
      <c r="L215" s="173"/>
      <c r="M215" s="173"/>
    </row>
    <row r="216" spans="1:13" ht="184.5" thickTop="1" thickBot="1" x14ac:dyDescent="0.25">
      <c r="A216" s="726" t="s">
        <v>942</v>
      </c>
      <c r="B216" s="726" t="s">
        <v>302</v>
      </c>
      <c r="C216" s="726" t="s">
        <v>288</v>
      </c>
      <c r="D216" s="726" t="s">
        <v>303</v>
      </c>
      <c r="E216" s="406" t="s">
        <v>1284</v>
      </c>
      <c r="F216" s="826" t="s">
        <v>1217</v>
      </c>
      <c r="G216" s="834">
        <f t="shared" ref="G216:G220" si="30">H216+I216</f>
        <v>608100</v>
      </c>
      <c r="H216" s="407">
        <f>'d3'!E258-H217</f>
        <v>608100</v>
      </c>
      <c r="I216" s="538">
        <f>'d3'!J258-I217</f>
        <v>0</v>
      </c>
      <c r="J216" s="538">
        <f>'d3'!K258-J217</f>
        <v>0</v>
      </c>
      <c r="K216" s="173"/>
      <c r="L216" s="173"/>
      <c r="M216" s="173"/>
    </row>
    <row r="217" spans="1:13" s="829" customFormat="1" ht="367.5" thickTop="1" thickBot="1" x14ac:dyDescent="0.25">
      <c r="A217" s="825" t="s">
        <v>942</v>
      </c>
      <c r="B217" s="825" t="s">
        <v>302</v>
      </c>
      <c r="C217" s="825" t="s">
        <v>288</v>
      </c>
      <c r="D217" s="825" t="s">
        <v>303</v>
      </c>
      <c r="E217" s="826" t="s">
        <v>1514</v>
      </c>
      <c r="F217" s="826" t="s">
        <v>869</v>
      </c>
      <c r="G217" s="834">
        <f t="shared" si="30"/>
        <v>5000000</v>
      </c>
      <c r="H217" s="407">
        <v>5000000</v>
      </c>
      <c r="I217" s="538">
        <v>0</v>
      </c>
      <c r="J217" s="538">
        <v>0</v>
      </c>
      <c r="K217" s="173"/>
      <c r="L217" s="173"/>
      <c r="M217" s="173"/>
    </row>
    <row r="218" spans="1:13" ht="184.5" thickTop="1" thickBot="1" x14ac:dyDescent="0.25">
      <c r="A218" s="726" t="s">
        <v>293</v>
      </c>
      <c r="B218" s="726" t="s">
        <v>294</v>
      </c>
      <c r="C218" s="726" t="s">
        <v>288</v>
      </c>
      <c r="D218" s="726" t="s">
        <v>295</v>
      </c>
      <c r="E218" s="406" t="s">
        <v>1284</v>
      </c>
      <c r="F218" s="399" t="s">
        <v>1217</v>
      </c>
      <c r="G218" s="399">
        <f t="shared" si="29"/>
        <v>34260038</v>
      </c>
      <c r="H218" s="407">
        <f>'d3'!E259</f>
        <v>20000000</v>
      </c>
      <c r="I218" s="538">
        <f>'d3'!J259</f>
        <v>14260038</v>
      </c>
      <c r="J218" s="538">
        <f>'d3'!K259</f>
        <v>14260038</v>
      </c>
      <c r="K218" s="173"/>
      <c r="L218" s="173"/>
      <c r="M218" s="173"/>
    </row>
    <row r="219" spans="1:13" s="549" customFormat="1" ht="276" thickTop="1" thickBot="1" x14ac:dyDescent="0.25">
      <c r="A219" s="546" t="s">
        <v>1340</v>
      </c>
      <c r="B219" s="546" t="s">
        <v>1193</v>
      </c>
      <c r="C219" s="546" t="s">
        <v>1194</v>
      </c>
      <c r="D219" s="546" t="s">
        <v>1191</v>
      </c>
      <c r="E219" s="406" t="s">
        <v>1374</v>
      </c>
      <c r="F219" s="399" t="s">
        <v>1375</v>
      </c>
      <c r="G219" s="399">
        <f t="shared" si="30"/>
        <v>2000000</v>
      </c>
      <c r="H219" s="558">
        <f>'d3'!E260-H220</f>
        <v>2000000</v>
      </c>
      <c r="I219" s="559">
        <f>'d3'!J260-I220</f>
        <v>0</v>
      </c>
      <c r="J219" s="559">
        <f>'d3'!K260-J220</f>
        <v>0</v>
      </c>
      <c r="K219" s="173"/>
      <c r="L219" s="173"/>
      <c r="M219" s="173"/>
    </row>
    <row r="220" spans="1:13" s="849" customFormat="1" ht="184.5" thickTop="1" thickBot="1" x14ac:dyDescent="0.25">
      <c r="A220" s="835" t="s">
        <v>1340</v>
      </c>
      <c r="B220" s="835" t="s">
        <v>1193</v>
      </c>
      <c r="C220" s="835" t="s">
        <v>1194</v>
      </c>
      <c r="D220" s="835" t="s">
        <v>1191</v>
      </c>
      <c r="E220" s="406" t="s">
        <v>1538</v>
      </c>
      <c r="F220" s="834"/>
      <c r="G220" s="834">
        <f t="shared" si="30"/>
        <v>3000000</v>
      </c>
      <c r="H220" s="558">
        <v>3000000</v>
      </c>
      <c r="I220" s="559">
        <v>0</v>
      </c>
      <c r="J220" s="559">
        <v>0</v>
      </c>
      <c r="K220" s="173"/>
      <c r="L220" s="173"/>
      <c r="M220" s="173"/>
    </row>
    <row r="221" spans="1:13" ht="230.25" thickTop="1" thickBot="1" x14ac:dyDescent="0.25">
      <c r="A221" s="726" t="s">
        <v>1190</v>
      </c>
      <c r="B221" s="726" t="s">
        <v>310</v>
      </c>
      <c r="C221" s="726" t="s">
        <v>309</v>
      </c>
      <c r="D221" s="726" t="s">
        <v>1342</v>
      </c>
      <c r="E221" s="406" t="s">
        <v>1472</v>
      </c>
      <c r="F221" s="764" t="s">
        <v>1473</v>
      </c>
      <c r="G221" s="399">
        <f t="shared" si="29"/>
        <v>4800000</v>
      </c>
      <c r="H221" s="558">
        <f>'d3'!E263</f>
        <v>0</v>
      </c>
      <c r="I221" s="559">
        <f>'d3'!J263</f>
        <v>4800000</v>
      </c>
      <c r="J221" s="559">
        <f>'d3'!K263</f>
        <v>4800000</v>
      </c>
      <c r="K221" s="173"/>
      <c r="L221" s="173"/>
      <c r="M221" s="173"/>
    </row>
    <row r="222" spans="1:13" ht="343.5" hidden="1" thickTop="1" thickBot="1" x14ac:dyDescent="0.25">
      <c r="A222" s="162" t="s">
        <v>301</v>
      </c>
      <c r="B222" s="162" t="s">
        <v>217</v>
      </c>
      <c r="C222" s="162" t="s">
        <v>218</v>
      </c>
      <c r="D222" s="162" t="s">
        <v>41</v>
      </c>
      <c r="E222" s="326" t="s">
        <v>1049</v>
      </c>
      <c r="F222" s="233" t="s">
        <v>594</v>
      </c>
      <c r="G222" s="318">
        <f>H222+I222</f>
        <v>0</v>
      </c>
      <c r="H222" s="318"/>
      <c r="I222" s="318">
        <v>0</v>
      </c>
      <c r="J222" s="318">
        <v>0</v>
      </c>
      <c r="K222" s="303" t="b">
        <f>H222+H223='d3'!E265</f>
        <v>1</v>
      </c>
      <c r="L222" s="310" t="b">
        <f>I222+I223='d3'!J265</f>
        <v>1</v>
      </c>
      <c r="M222" s="310" t="b">
        <f>J222+J223='d3'!K265</f>
        <v>1</v>
      </c>
    </row>
    <row r="223" spans="1:13" ht="138.75" thickTop="1" thickBot="1" x14ac:dyDescent="0.25">
      <c r="A223" s="485" t="s">
        <v>301</v>
      </c>
      <c r="B223" s="485" t="s">
        <v>217</v>
      </c>
      <c r="C223" s="485" t="s">
        <v>218</v>
      </c>
      <c r="D223" s="485" t="s">
        <v>41</v>
      </c>
      <c r="E223" s="406" t="s">
        <v>1048</v>
      </c>
      <c r="F223" s="399" t="s">
        <v>595</v>
      </c>
      <c r="G223" s="545">
        <f>H223+I223</f>
        <v>8551370</v>
      </c>
      <c r="H223" s="558">
        <f>(5844220)+2707150</f>
        <v>8551370</v>
      </c>
      <c r="I223" s="559">
        <v>0</v>
      </c>
      <c r="J223" s="559">
        <v>0</v>
      </c>
      <c r="K223" s="173"/>
      <c r="L223" s="173"/>
      <c r="M223" s="173"/>
    </row>
    <row r="224" spans="1:13" ht="184.5" thickTop="1" thickBot="1" x14ac:dyDescent="0.25">
      <c r="A224" s="546" t="s">
        <v>931</v>
      </c>
      <c r="B224" s="546" t="s">
        <v>202</v>
      </c>
      <c r="C224" s="546" t="s">
        <v>171</v>
      </c>
      <c r="D224" s="546" t="s">
        <v>34</v>
      </c>
      <c r="E224" s="406" t="s">
        <v>1284</v>
      </c>
      <c r="F224" s="399" t="s">
        <v>1217</v>
      </c>
      <c r="G224" s="399">
        <f t="shared" si="29"/>
        <v>15342869</v>
      </c>
      <c r="H224" s="407">
        <f>'d3'!E266-H225</f>
        <v>0</v>
      </c>
      <c r="I224" s="538">
        <f>'d3'!J266-I225</f>
        <v>15342869</v>
      </c>
      <c r="J224" s="538">
        <f>'d3'!K266-J225</f>
        <v>15342869</v>
      </c>
      <c r="K224" s="173"/>
      <c r="L224" s="173"/>
      <c r="M224" s="173"/>
    </row>
    <row r="225" spans="1:13" s="829" customFormat="1" ht="184.5" thickTop="1" thickBot="1" x14ac:dyDescent="0.25">
      <c r="A225" s="825" t="s">
        <v>931</v>
      </c>
      <c r="B225" s="825" t="s">
        <v>202</v>
      </c>
      <c r="C225" s="825" t="s">
        <v>171</v>
      </c>
      <c r="D225" s="825" t="s">
        <v>34</v>
      </c>
      <c r="E225" s="831" t="s">
        <v>1539</v>
      </c>
      <c r="F225" s="826" t="s">
        <v>1471</v>
      </c>
      <c r="G225" s="826">
        <f t="shared" si="29"/>
        <v>511057</v>
      </c>
      <c r="H225" s="558">
        <v>0</v>
      </c>
      <c r="I225" s="559">
        <v>511057</v>
      </c>
      <c r="J225" s="559">
        <v>511057</v>
      </c>
      <c r="K225" s="173"/>
      <c r="L225" s="173"/>
      <c r="M225" s="173"/>
    </row>
    <row r="226" spans="1:13" ht="282.75" customHeight="1" thickTop="1" thickBot="1" x14ac:dyDescent="0.7">
      <c r="A226" s="895" t="s">
        <v>429</v>
      </c>
      <c r="B226" s="895" t="s">
        <v>343</v>
      </c>
      <c r="C226" s="895" t="s">
        <v>171</v>
      </c>
      <c r="D226" s="86" t="s">
        <v>445</v>
      </c>
      <c r="E226" s="1025" t="s">
        <v>1369</v>
      </c>
      <c r="F226" s="1025" t="s">
        <v>1370</v>
      </c>
      <c r="G226" s="887">
        <f t="shared" si="29"/>
        <v>479725.87</v>
      </c>
      <c r="H226" s="887">
        <f>'d3'!E268</f>
        <v>0</v>
      </c>
      <c r="I226" s="887">
        <f>'d3'!J268</f>
        <v>479725.87</v>
      </c>
      <c r="J226" s="887">
        <f>'d3'!K268</f>
        <v>0</v>
      </c>
      <c r="K226" s="173"/>
      <c r="L226" s="173"/>
      <c r="M226" s="173"/>
    </row>
    <row r="227" spans="1:13" ht="138.75" thickTop="1" thickBot="1" x14ac:dyDescent="0.25">
      <c r="A227" s="926"/>
      <c r="B227" s="926"/>
      <c r="C227" s="926"/>
      <c r="D227" s="87" t="s">
        <v>446</v>
      </c>
      <c r="E227" s="1026"/>
      <c r="F227" s="1026"/>
      <c r="G227" s="1027"/>
      <c r="H227" s="1027"/>
      <c r="I227" s="1027"/>
      <c r="J227" s="1027"/>
      <c r="K227" s="173"/>
      <c r="L227" s="173"/>
      <c r="M227" s="173"/>
    </row>
    <row r="228" spans="1:13" ht="367.5" hidden="1" thickTop="1" thickBot="1" x14ac:dyDescent="0.25">
      <c r="A228" s="162" t="s">
        <v>1282</v>
      </c>
      <c r="B228" s="162" t="s">
        <v>1262</v>
      </c>
      <c r="C228" s="162" t="s">
        <v>1236</v>
      </c>
      <c r="D228" s="162" t="s">
        <v>1263</v>
      </c>
      <c r="E228" s="233" t="s">
        <v>1260</v>
      </c>
      <c r="F228" s="233" t="s">
        <v>869</v>
      </c>
      <c r="G228" s="318">
        <f>H228+I228</f>
        <v>0</v>
      </c>
      <c r="H228" s="324">
        <f>'d3'!E272</f>
        <v>0</v>
      </c>
      <c r="I228" s="325">
        <f>'d3'!J272</f>
        <v>0</v>
      </c>
      <c r="J228" s="325">
        <f>'d3'!K272</f>
        <v>0</v>
      </c>
      <c r="K228" s="173"/>
      <c r="L228" s="173"/>
      <c r="M228" s="173"/>
    </row>
    <row r="229" spans="1:13" ht="136.5" thickTop="1" thickBot="1" x14ac:dyDescent="0.25">
      <c r="A229" s="460" t="s">
        <v>546</v>
      </c>
      <c r="B229" s="460"/>
      <c r="C229" s="460"/>
      <c r="D229" s="461" t="s">
        <v>565</v>
      </c>
      <c r="E229" s="460"/>
      <c r="F229" s="460"/>
      <c r="G229" s="462">
        <f>H229+I229</f>
        <v>1044816649.6</v>
      </c>
      <c r="H229" s="462">
        <f>H230</f>
        <v>545053409</v>
      </c>
      <c r="I229" s="462">
        <f>I230</f>
        <v>499763240.60000002</v>
      </c>
      <c r="J229" s="462">
        <f>J230</f>
        <v>498910298.60000002</v>
      </c>
      <c r="K229" s="111" t="b">
        <f>H229='d3'!E274-'d3'!E276+'d7'!H231</f>
        <v>1</v>
      </c>
      <c r="L229" s="111" t="b">
        <f>I229='d3'!J274-'d3'!J276+'d7'!I231</f>
        <v>1</v>
      </c>
      <c r="M229" s="111" t="b">
        <f>J229='d3'!K274-'d3'!K276+'d7'!J231</f>
        <v>1</v>
      </c>
    </row>
    <row r="230" spans="1:13" ht="207.75" customHeight="1" thickTop="1" thickBot="1" x14ac:dyDescent="0.25">
      <c r="A230" s="464" t="s">
        <v>547</v>
      </c>
      <c r="B230" s="464"/>
      <c r="C230" s="464"/>
      <c r="D230" s="465" t="s">
        <v>566</v>
      </c>
      <c r="E230" s="466"/>
      <c r="F230" s="466"/>
      <c r="G230" s="466">
        <f>SUM(G231:G265)</f>
        <v>1044816649.6</v>
      </c>
      <c r="H230" s="466">
        <f>SUM(H231:H265)</f>
        <v>545053409</v>
      </c>
      <c r="I230" s="466">
        <f>SUM(I231:I265)</f>
        <v>499763240.60000002</v>
      </c>
      <c r="J230" s="466">
        <f>SUM(J231:J265)</f>
        <v>498910298.60000002</v>
      </c>
      <c r="K230" s="327"/>
      <c r="L230" s="173"/>
      <c r="M230" s="173"/>
    </row>
    <row r="231" spans="1:13" ht="184.5" thickTop="1" thickBot="1" x14ac:dyDescent="0.25">
      <c r="A231" s="717" t="s">
        <v>548</v>
      </c>
      <c r="B231" s="717" t="s">
        <v>241</v>
      </c>
      <c r="C231" s="717" t="s">
        <v>239</v>
      </c>
      <c r="D231" s="717" t="s">
        <v>240</v>
      </c>
      <c r="E231" s="406" t="s">
        <v>1061</v>
      </c>
      <c r="F231" s="399" t="s">
        <v>867</v>
      </c>
      <c r="G231" s="399">
        <f t="shared" si="29"/>
        <v>36120</v>
      </c>
      <c r="H231" s="399">
        <v>0</v>
      </c>
      <c r="I231" s="399">
        <v>36120</v>
      </c>
      <c r="J231" s="399">
        <v>36120</v>
      </c>
      <c r="K231" s="173"/>
      <c r="L231" s="173"/>
      <c r="M231" s="173"/>
    </row>
    <row r="232" spans="1:13" ht="367.5" hidden="1" thickTop="1" thickBot="1" x14ac:dyDescent="0.25">
      <c r="A232" s="162" t="s">
        <v>638</v>
      </c>
      <c r="B232" s="162" t="s">
        <v>367</v>
      </c>
      <c r="C232" s="162" t="s">
        <v>634</v>
      </c>
      <c r="D232" s="162" t="s">
        <v>635</v>
      </c>
      <c r="E232" s="304" t="s">
        <v>1224</v>
      </c>
      <c r="F232" s="233" t="s">
        <v>1225</v>
      </c>
      <c r="G232" s="233">
        <f t="shared" ref="G232" si="31">H232+I232</f>
        <v>0</v>
      </c>
      <c r="H232" s="305">
        <f>'d3'!E277</f>
        <v>0</v>
      </c>
      <c r="I232" s="322">
        <v>0</v>
      </c>
      <c r="J232" s="322">
        <v>0</v>
      </c>
      <c r="K232" s="173"/>
      <c r="L232" s="173"/>
      <c r="M232" s="173"/>
    </row>
    <row r="233" spans="1:13" ht="184.5" thickTop="1" thickBot="1" x14ac:dyDescent="0.25">
      <c r="A233" s="546" t="s">
        <v>549</v>
      </c>
      <c r="B233" s="546" t="s">
        <v>43</v>
      </c>
      <c r="C233" s="546" t="s">
        <v>42</v>
      </c>
      <c r="D233" s="546" t="s">
        <v>253</v>
      </c>
      <c r="E233" s="406" t="s">
        <v>1284</v>
      </c>
      <c r="F233" s="399" t="s">
        <v>1217</v>
      </c>
      <c r="G233" s="399">
        <f t="shared" si="29"/>
        <v>37065</v>
      </c>
      <c r="H233" s="399">
        <f>'d3'!E278</f>
        <v>37065</v>
      </c>
      <c r="I233" s="399">
        <f>'d3'!J278</f>
        <v>0</v>
      </c>
      <c r="J233" s="399">
        <f>'d3'!K278</f>
        <v>0</v>
      </c>
      <c r="K233" s="173"/>
      <c r="L233" s="173"/>
      <c r="M233" s="173"/>
    </row>
    <row r="234" spans="1:13" ht="205.5" customHeight="1" thickTop="1" thickBot="1" x14ac:dyDescent="0.25">
      <c r="A234" s="546" t="s">
        <v>550</v>
      </c>
      <c r="B234" s="546" t="s">
        <v>381</v>
      </c>
      <c r="C234" s="546" t="s">
        <v>288</v>
      </c>
      <c r="D234" s="546" t="s">
        <v>382</v>
      </c>
      <c r="E234" s="406" t="s">
        <v>1474</v>
      </c>
      <c r="F234" s="764" t="s">
        <v>1475</v>
      </c>
      <c r="G234" s="399">
        <f t="shared" si="29"/>
        <v>100000000</v>
      </c>
      <c r="H234" s="407">
        <f>'d3'!E281</f>
        <v>100000000</v>
      </c>
      <c r="I234" s="538">
        <f>'d3'!J281</f>
        <v>0</v>
      </c>
      <c r="J234" s="538">
        <f>'d3'!K281</f>
        <v>0</v>
      </c>
      <c r="K234" s="173"/>
      <c r="L234" s="173"/>
      <c r="M234" s="173"/>
    </row>
    <row r="235" spans="1:13" ht="184.5" thickTop="1" thickBot="1" x14ac:dyDescent="0.25">
      <c r="A235" s="546" t="s">
        <v>551</v>
      </c>
      <c r="B235" s="546" t="s">
        <v>291</v>
      </c>
      <c r="C235" s="546" t="s">
        <v>288</v>
      </c>
      <c r="D235" s="546" t="s">
        <v>292</v>
      </c>
      <c r="E235" s="406" t="s">
        <v>1284</v>
      </c>
      <c r="F235" s="399" t="s">
        <v>1217</v>
      </c>
      <c r="G235" s="399">
        <f t="shared" si="29"/>
        <v>2100000</v>
      </c>
      <c r="H235" s="407">
        <v>0</v>
      </c>
      <c r="I235" s="538">
        <f>'d3'!J282</f>
        <v>2100000</v>
      </c>
      <c r="J235" s="538">
        <f>'d3'!K282</f>
        <v>2100000</v>
      </c>
      <c r="K235" s="111" t="b">
        <f>'d3'!E282='d7'!H235+'d7'!H236</f>
        <v>1</v>
      </c>
      <c r="L235" s="111" t="b">
        <f>'d3'!J282='d7'!I235+'d7'!I236</f>
        <v>1</v>
      </c>
      <c r="M235" s="111" t="b">
        <f>'d3'!K282='d7'!J235+'d7'!J236</f>
        <v>1</v>
      </c>
    </row>
    <row r="236" spans="1:13" s="728" customFormat="1" ht="184.5" thickTop="1" thickBot="1" x14ac:dyDescent="0.25">
      <c r="A236" s="726" t="s">
        <v>551</v>
      </c>
      <c r="B236" s="726" t="s">
        <v>291</v>
      </c>
      <c r="C236" s="726" t="s">
        <v>288</v>
      </c>
      <c r="D236" s="726" t="s">
        <v>292</v>
      </c>
      <c r="E236" s="406" t="s">
        <v>1540</v>
      </c>
      <c r="F236" s="764" t="s">
        <v>1476</v>
      </c>
      <c r="G236" s="399">
        <f t="shared" si="29"/>
        <v>32259100</v>
      </c>
      <c r="H236" s="407">
        <f>(25050000)+7209100</f>
        <v>32259100</v>
      </c>
      <c r="I236" s="538">
        <v>0</v>
      </c>
      <c r="J236" s="538">
        <v>0</v>
      </c>
      <c r="K236" s="173"/>
      <c r="L236" s="173"/>
      <c r="M236" s="173"/>
    </row>
    <row r="237" spans="1:13" s="829" customFormat="1" ht="184.5" thickTop="1" thickBot="1" x14ac:dyDescent="0.25">
      <c r="A237" s="825" t="s">
        <v>1541</v>
      </c>
      <c r="B237" s="825" t="s">
        <v>1542</v>
      </c>
      <c r="C237" s="825" t="s">
        <v>288</v>
      </c>
      <c r="D237" s="825" t="s">
        <v>1543</v>
      </c>
      <c r="E237" s="406" t="s">
        <v>1540</v>
      </c>
      <c r="F237" s="826" t="s">
        <v>1476</v>
      </c>
      <c r="G237" s="834">
        <f t="shared" si="29"/>
        <v>3727208</v>
      </c>
      <c r="H237" s="407">
        <f>'d3'!E283</f>
        <v>3727208</v>
      </c>
      <c r="I237" s="538">
        <v>0</v>
      </c>
      <c r="J237" s="538">
        <v>0</v>
      </c>
      <c r="K237" s="173"/>
      <c r="L237" s="173"/>
      <c r="M237" s="173"/>
    </row>
    <row r="238" spans="1:13" ht="184.5" thickTop="1" thickBot="1" x14ac:dyDescent="0.25">
      <c r="A238" s="546" t="s">
        <v>552</v>
      </c>
      <c r="B238" s="546" t="s">
        <v>302</v>
      </c>
      <c r="C238" s="546" t="s">
        <v>288</v>
      </c>
      <c r="D238" s="546" t="s">
        <v>303</v>
      </c>
      <c r="E238" s="406" t="s">
        <v>1284</v>
      </c>
      <c r="F238" s="399" t="s">
        <v>1217</v>
      </c>
      <c r="G238" s="399">
        <f t="shared" si="29"/>
        <v>1300000</v>
      </c>
      <c r="H238" s="407">
        <f>'d3'!E284</f>
        <v>1300000</v>
      </c>
      <c r="I238" s="538">
        <f>'d3'!J284</f>
        <v>0</v>
      </c>
      <c r="J238" s="538">
        <f>'d3'!K284</f>
        <v>0</v>
      </c>
      <c r="K238" s="173"/>
      <c r="L238" s="173"/>
      <c r="M238" s="173"/>
    </row>
    <row r="239" spans="1:13" ht="138.75" hidden="1" customHeight="1" thickTop="1" thickBot="1" x14ac:dyDescent="0.25">
      <c r="A239" s="162"/>
      <c r="B239" s="162"/>
      <c r="C239" s="162"/>
      <c r="D239" s="162"/>
      <c r="E239" s="305" t="s">
        <v>887</v>
      </c>
      <c r="F239" s="233" t="s">
        <v>885</v>
      </c>
      <c r="G239" s="77"/>
      <c r="H239" s="308"/>
      <c r="I239" s="323"/>
      <c r="J239" s="323"/>
      <c r="K239" s="173"/>
      <c r="L239" s="173"/>
      <c r="M239" s="173"/>
    </row>
    <row r="240" spans="1:13" ht="184.5" thickTop="1" thickBot="1" x14ac:dyDescent="0.25">
      <c r="A240" s="485" t="s">
        <v>553</v>
      </c>
      <c r="B240" s="485">
        <v>6030</v>
      </c>
      <c r="C240" s="485" t="s">
        <v>288</v>
      </c>
      <c r="D240" s="485" t="s">
        <v>295</v>
      </c>
      <c r="E240" s="407" t="s">
        <v>1343</v>
      </c>
      <c r="F240" s="457" t="s">
        <v>884</v>
      </c>
      <c r="G240" s="399">
        <f t="shared" si="29"/>
        <v>50000</v>
      </c>
      <c r="H240" s="407">
        <v>50000</v>
      </c>
      <c r="I240" s="538">
        <v>0</v>
      </c>
      <c r="J240" s="538">
        <v>0</v>
      </c>
      <c r="K240" s="173"/>
      <c r="L240" s="173"/>
      <c r="M240" s="173"/>
    </row>
    <row r="241" spans="1:13" ht="184.5" thickTop="1" thickBot="1" x14ac:dyDescent="0.25">
      <c r="A241" s="546" t="s">
        <v>553</v>
      </c>
      <c r="B241" s="546">
        <v>6030</v>
      </c>
      <c r="C241" s="546" t="s">
        <v>288</v>
      </c>
      <c r="D241" s="546" t="s">
        <v>295</v>
      </c>
      <c r="E241" s="406" t="s">
        <v>1284</v>
      </c>
      <c r="F241" s="399" t="s">
        <v>1217</v>
      </c>
      <c r="G241" s="399">
        <f t="shared" si="29"/>
        <v>321268312</v>
      </c>
      <c r="H241" s="407">
        <f>((316010087)-23469000-1000000+15000000)+3494000+4624058+77967+1048200</f>
        <v>315785312</v>
      </c>
      <c r="I241" s="538">
        <f>((250000)+1000000+1000000+1343000)+1890000</f>
        <v>5483000</v>
      </c>
      <c r="J241" s="538">
        <f>((250000)+1000000+1000000+1343000)+1890000</f>
        <v>5483000</v>
      </c>
      <c r="K241" s="111" t="b">
        <f>H240+H242+H241='d3'!E285</f>
        <v>1</v>
      </c>
      <c r="L241" s="111" t="b">
        <f>I240+I242+I241='d3'!J285</f>
        <v>1</v>
      </c>
      <c r="M241" s="111" t="b">
        <f>J240+J242+J241='d3'!K285</f>
        <v>1</v>
      </c>
    </row>
    <row r="242" spans="1:13" ht="230.25" thickTop="1" thickBot="1" x14ac:dyDescent="0.25">
      <c r="A242" s="546" t="s">
        <v>553</v>
      </c>
      <c r="B242" s="546">
        <v>6030</v>
      </c>
      <c r="C242" s="546" t="s">
        <v>288</v>
      </c>
      <c r="D242" s="546" t="s">
        <v>295</v>
      </c>
      <c r="E242" s="407" t="s">
        <v>1376</v>
      </c>
      <c r="F242" s="399" t="s">
        <v>1377</v>
      </c>
      <c r="G242" s="399">
        <f>H242+I242</f>
        <v>7346043</v>
      </c>
      <c r="H242" s="538">
        <f>(8787843)-1441800</f>
        <v>7346043</v>
      </c>
      <c r="I242" s="538">
        <v>0</v>
      </c>
      <c r="J242" s="538">
        <v>0</v>
      </c>
      <c r="K242" s="173"/>
      <c r="L242" s="173"/>
      <c r="M242" s="173"/>
    </row>
    <row r="243" spans="1:13" ht="184.5" thickTop="1" thickBot="1" x14ac:dyDescent="0.25">
      <c r="A243" s="749" t="s">
        <v>1192</v>
      </c>
      <c r="B243" s="749" t="s">
        <v>1193</v>
      </c>
      <c r="C243" s="749" t="s">
        <v>1194</v>
      </c>
      <c r="D243" s="749" t="s">
        <v>1191</v>
      </c>
      <c r="E243" s="406" t="s">
        <v>1284</v>
      </c>
      <c r="F243" s="750" t="s">
        <v>1217</v>
      </c>
      <c r="G243" s="750">
        <f>H243+I243</f>
        <v>4049585</v>
      </c>
      <c r="H243" s="538">
        <f>'d3'!E286</f>
        <v>4049585</v>
      </c>
      <c r="I243" s="538">
        <f>'d3'!J286</f>
        <v>0</v>
      </c>
      <c r="J243" s="538">
        <f>'d3'!K286</f>
        <v>0</v>
      </c>
      <c r="K243" s="173"/>
      <c r="L243" s="173"/>
      <c r="M243" s="173"/>
    </row>
    <row r="244" spans="1:13" ht="184.5" thickTop="1" thickBot="1" x14ac:dyDescent="0.25">
      <c r="A244" s="726" t="s">
        <v>554</v>
      </c>
      <c r="B244" s="726" t="s">
        <v>310</v>
      </c>
      <c r="C244" s="726" t="s">
        <v>309</v>
      </c>
      <c r="D244" s="726" t="s">
        <v>474</v>
      </c>
      <c r="E244" s="406" t="s">
        <v>1284</v>
      </c>
      <c r="F244" s="399" t="s">
        <v>1217</v>
      </c>
      <c r="G244" s="399">
        <f t="shared" si="29"/>
        <v>6872064</v>
      </c>
      <c r="H244" s="407">
        <f>'d3'!E289</f>
        <v>0</v>
      </c>
      <c r="I244" s="538">
        <f>'d3'!J289</f>
        <v>6872064</v>
      </c>
      <c r="J244" s="538">
        <f>'d3'!K289</f>
        <v>6872064</v>
      </c>
      <c r="K244" s="173"/>
      <c r="L244" s="173"/>
      <c r="M244" s="173"/>
    </row>
    <row r="245" spans="1:13" ht="184.5" thickTop="1" thickBot="1" x14ac:dyDescent="0.25">
      <c r="A245" s="546" t="s">
        <v>555</v>
      </c>
      <c r="B245" s="546" t="s">
        <v>298</v>
      </c>
      <c r="C245" s="546" t="s">
        <v>300</v>
      </c>
      <c r="D245" s="967" t="s">
        <v>299</v>
      </c>
      <c r="E245" s="406" t="s">
        <v>1284</v>
      </c>
      <c r="F245" s="399" t="s">
        <v>1217</v>
      </c>
      <c r="G245" s="399">
        <f>H245+I245</f>
        <v>167968433</v>
      </c>
      <c r="H245" s="407">
        <f>'d3'!E292</f>
        <v>73907412</v>
      </c>
      <c r="I245" s="538">
        <f>'d3'!J292</f>
        <v>94061021</v>
      </c>
      <c r="J245" s="538">
        <f>'d3'!K292</f>
        <v>94061021</v>
      </c>
      <c r="K245" s="173"/>
      <c r="L245" s="173"/>
      <c r="M245" s="173"/>
    </row>
    <row r="246" spans="1:13" ht="138.75" hidden="1" customHeight="1" thickTop="1" thickBot="1" x14ac:dyDescent="0.25">
      <c r="A246" s="546" t="s">
        <v>555</v>
      </c>
      <c r="B246" s="546" t="s">
        <v>298</v>
      </c>
      <c r="C246" s="546" t="s">
        <v>300</v>
      </c>
      <c r="D246" s="1036"/>
      <c r="E246" s="407" t="s">
        <v>886</v>
      </c>
      <c r="F246" s="407" t="s">
        <v>903</v>
      </c>
      <c r="G246" s="399">
        <f t="shared" si="29"/>
        <v>0</v>
      </c>
      <c r="H246" s="407"/>
      <c r="I246" s="552"/>
      <c r="J246" s="552"/>
      <c r="K246" s="173"/>
      <c r="L246" s="173"/>
      <c r="M246" s="173"/>
    </row>
    <row r="247" spans="1:13" ht="184.5" thickTop="1" thickBot="1" x14ac:dyDescent="0.25">
      <c r="A247" s="546" t="s">
        <v>556</v>
      </c>
      <c r="B247" s="546" t="s">
        <v>217</v>
      </c>
      <c r="C247" s="546" t="s">
        <v>218</v>
      </c>
      <c r="D247" s="546" t="s">
        <v>41</v>
      </c>
      <c r="E247" s="406" t="s">
        <v>1216</v>
      </c>
      <c r="F247" s="399" t="s">
        <v>1217</v>
      </c>
      <c r="G247" s="407">
        <f t="shared" si="29"/>
        <v>16434368</v>
      </c>
      <c r="H247" s="407">
        <f>'d3'!E294</f>
        <v>0</v>
      </c>
      <c r="I247" s="407">
        <f>'d3'!J294</f>
        <v>16434368</v>
      </c>
      <c r="J247" s="407">
        <f>'d3'!K294</f>
        <v>16434368</v>
      </c>
      <c r="K247" s="173"/>
      <c r="L247" s="173"/>
      <c r="M247" s="173"/>
    </row>
    <row r="248" spans="1:13" s="763" customFormat="1" ht="184.5" thickTop="1" thickBot="1" x14ac:dyDescent="0.25">
      <c r="A248" s="762" t="s">
        <v>557</v>
      </c>
      <c r="B248" s="762" t="s">
        <v>202</v>
      </c>
      <c r="C248" s="762" t="s">
        <v>171</v>
      </c>
      <c r="D248" s="762" t="s">
        <v>34</v>
      </c>
      <c r="E248" s="406" t="s">
        <v>1216</v>
      </c>
      <c r="F248" s="761" t="s">
        <v>1217</v>
      </c>
      <c r="G248" s="407">
        <f t="shared" ref="G248" si="32">H248+I248</f>
        <v>31615578</v>
      </c>
      <c r="H248" s="407">
        <v>0</v>
      </c>
      <c r="I248" s="407">
        <f>(108523+1888075+6007800)+3150300+20460880</f>
        <v>31615578</v>
      </c>
      <c r="J248" s="407">
        <f>(108523+1888075+6007800)+3150300+20460880</f>
        <v>31615578</v>
      </c>
      <c r="K248" s="111" t="s">
        <v>1484</v>
      </c>
      <c r="L248" s="111" t="s">
        <v>1483</v>
      </c>
      <c r="M248" s="173"/>
    </row>
    <row r="249" spans="1:13" s="728" customFormat="1" ht="184.5" thickTop="1" thickBot="1" x14ac:dyDescent="0.25">
      <c r="A249" s="726" t="s">
        <v>557</v>
      </c>
      <c r="B249" s="726" t="s">
        <v>202</v>
      </c>
      <c r="C249" s="726" t="s">
        <v>171</v>
      </c>
      <c r="D249" s="726" t="s">
        <v>34</v>
      </c>
      <c r="E249" s="406" t="s">
        <v>1544</v>
      </c>
      <c r="F249" s="764" t="s">
        <v>1475</v>
      </c>
      <c r="G249" s="407">
        <f t="shared" si="29"/>
        <v>85791167</v>
      </c>
      <c r="H249" s="407">
        <v>0</v>
      </c>
      <c r="I249" s="407">
        <f>(54600602+10000000-3198000)+24388565</f>
        <v>85791167</v>
      </c>
      <c r="J249" s="407">
        <f>(54600602+10000000-3198000)+24388565</f>
        <v>85791167</v>
      </c>
      <c r="K249" s="111" t="b">
        <f>'d3'!E295='d7'!H249+'d7'!H250+'d7'!H251+'d7'!H252+'d7'!H253+'d7'!H254+'d7'!H255+'d7'!H257+'d7'!H258+H248+H256</f>
        <v>1</v>
      </c>
      <c r="L249" s="111" t="b">
        <f>'d3'!J295='d7'!I249+'d7'!I250+'d7'!I251+'d7'!I252+'d7'!I253+'d7'!I254+'d7'!I255+'d7'!I257+'d7'!I258+I248+I256</f>
        <v>1</v>
      </c>
      <c r="M249" s="111" t="b">
        <f>'d3'!K295='d7'!J249+'d7'!J250+'d7'!J251+'d7'!J252+'d7'!J253+'d7'!J254+'d7'!J255+'d7'!J257+'d7'!J258+J248+J256</f>
        <v>1</v>
      </c>
    </row>
    <row r="250" spans="1:13" s="728" customFormat="1" ht="184.5" thickTop="1" thickBot="1" x14ac:dyDescent="0.25">
      <c r="A250" s="726" t="s">
        <v>557</v>
      </c>
      <c r="B250" s="726" t="s">
        <v>202</v>
      </c>
      <c r="C250" s="726" t="s">
        <v>171</v>
      </c>
      <c r="D250" s="726" t="s">
        <v>34</v>
      </c>
      <c r="E250" s="406" t="s">
        <v>1540</v>
      </c>
      <c r="F250" s="764" t="s">
        <v>1476</v>
      </c>
      <c r="G250" s="407">
        <f t="shared" si="29"/>
        <v>134096637.59999999</v>
      </c>
      <c r="H250" s="407">
        <v>0</v>
      </c>
      <c r="I250" s="407">
        <f>(94960282.6+23987000+5891152)+9258203</f>
        <v>134096637.59999999</v>
      </c>
      <c r="J250" s="407">
        <f>(94960282.6+23987000+5891152)+9258203</f>
        <v>134096637.59999999</v>
      </c>
      <c r="K250" s="173"/>
      <c r="L250" s="173"/>
      <c r="M250" s="173"/>
    </row>
    <row r="251" spans="1:13" s="728" customFormat="1" ht="276" thickTop="1" thickBot="1" x14ac:dyDescent="0.25">
      <c r="A251" s="726" t="s">
        <v>557</v>
      </c>
      <c r="B251" s="726" t="s">
        <v>202</v>
      </c>
      <c r="C251" s="726" t="s">
        <v>171</v>
      </c>
      <c r="D251" s="726" t="s">
        <v>34</v>
      </c>
      <c r="E251" s="406" t="s">
        <v>1546</v>
      </c>
      <c r="F251" s="764" t="s">
        <v>1478</v>
      </c>
      <c r="G251" s="407">
        <f t="shared" si="29"/>
        <v>71680230</v>
      </c>
      <c r="H251" s="407">
        <v>0</v>
      </c>
      <c r="I251" s="407">
        <f>(64481200+2092500)+5106530</f>
        <v>71680230</v>
      </c>
      <c r="J251" s="407">
        <f>(64481200+2092500)+5106530</f>
        <v>71680230</v>
      </c>
      <c r="K251" s="173"/>
      <c r="L251" s="173"/>
      <c r="M251" s="173"/>
    </row>
    <row r="252" spans="1:13" s="728" customFormat="1" ht="276" thickTop="1" thickBot="1" x14ac:dyDescent="0.25">
      <c r="A252" s="726" t="s">
        <v>557</v>
      </c>
      <c r="B252" s="726" t="s">
        <v>202</v>
      </c>
      <c r="C252" s="726" t="s">
        <v>171</v>
      </c>
      <c r="D252" s="726" t="s">
        <v>34</v>
      </c>
      <c r="E252" s="406" t="s">
        <v>1545</v>
      </c>
      <c r="F252" s="764" t="s">
        <v>1477</v>
      </c>
      <c r="G252" s="407">
        <f t="shared" si="29"/>
        <v>12520330</v>
      </c>
      <c r="H252" s="407">
        <v>0</v>
      </c>
      <c r="I252" s="407">
        <f>(6525500)+5994830</f>
        <v>12520330</v>
      </c>
      <c r="J252" s="407">
        <f>(6525500)+5994830</f>
        <v>12520330</v>
      </c>
      <c r="K252" s="173"/>
      <c r="L252" s="173"/>
      <c r="M252" s="173"/>
    </row>
    <row r="253" spans="1:13" s="728" customFormat="1" ht="184.5" hidden="1" thickTop="1" thickBot="1" x14ac:dyDescent="0.25">
      <c r="A253" s="726" t="s">
        <v>557</v>
      </c>
      <c r="B253" s="726" t="s">
        <v>202</v>
      </c>
      <c r="C253" s="726" t="s">
        <v>171</v>
      </c>
      <c r="D253" s="726" t="s">
        <v>34</v>
      </c>
      <c r="E253" s="765" t="s">
        <v>1448</v>
      </c>
      <c r="F253" s="766"/>
      <c r="G253" s="407">
        <f t="shared" si="29"/>
        <v>0</v>
      </c>
      <c r="H253" s="407">
        <v>0</v>
      </c>
      <c r="I253" s="407">
        <f>1888075-1888075</f>
        <v>0</v>
      </c>
      <c r="J253" s="407">
        <f>1258075+630000-1888075</f>
        <v>0</v>
      </c>
      <c r="K253" s="173"/>
      <c r="L253" s="173"/>
      <c r="M253" s="173"/>
    </row>
    <row r="254" spans="1:13" s="728" customFormat="1" ht="184.5" thickTop="1" thickBot="1" x14ac:dyDescent="0.25">
      <c r="A254" s="726" t="s">
        <v>557</v>
      </c>
      <c r="B254" s="726" t="s">
        <v>202</v>
      </c>
      <c r="C254" s="726" t="s">
        <v>171</v>
      </c>
      <c r="D254" s="726" t="s">
        <v>34</v>
      </c>
      <c r="E254" s="406" t="s">
        <v>1547</v>
      </c>
      <c r="F254" s="764" t="s">
        <v>1479</v>
      </c>
      <c r="G254" s="407">
        <f t="shared" si="29"/>
        <v>2365985</v>
      </c>
      <c r="H254" s="407">
        <v>0</v>
      </c>
      <c r="I254" s="407">
        <f>(2323485)+42500</f>
        <v>2365985</v>
      </c>
      <c r="J254" s="407">
        <f>(2323485)+42500</f>
        <v>2365985</v>
      </c>
      <c r="K254" s="173"/>
      <c r="L254" s="173"/>
      <c r="M254" s="173"/>
    </row>
    <row r="255" spans="1:13" s="728" customFormat="1" ht="184.5" thickTop="1" thickBot="1" x14ac:dyDescent="0.25">
      <c r="A255" s="726" t="s">
        <v>557</v>
      </c>
      <c r="B255" s="726" t="s">
        <v>202</v>
      </c>
      <c r="C255" s="726" t="s">
        <v>171</v>
      </c>
      <c r="D255" s="726" t="s">
        <v>34</v>
      </c>
      <c r="E255" s="406" t="s">
        <v>1480</v>
      </c>
      <c r="F255" s="764" t="s">
        <v>1481</v>
      </c>
      <c r="G255" s="407">
        <f t="shared" si="29"/>
        <v>3651678</v>
      </c>
      <c r="H255" s="407">
        <v>0</v>
      </c>
      <c r="I255" s="407">
        <f>(3271678)+380000</f>
        <v>3651678</v>
      </c>
      <c r="J255" s="407">
        <f>(3271678)+380000</f>
        <v>3651678</v>
      </c>
      <c r="K255" s="173"/>
      <c r="L255" s="173"/>
      <c r="M255" s="173"/>
    </row>
    <row r="256" spans="1:13" s="829" customFormat="1" ht="184.5" thickTop="1" thickBot="1" x14ac:dyDescent="0.25">
      <c r="A256" s="825" t="s">
        <v>557</v>
      </c>
      <c r="B256" s="825" t="s">
        <v>202</v>
      </c>
      <c r="C256" s="825" t="s">
        <v>171</v>
      </c>
      <c r="D256" s="825" t="s">
        <v>34</v>
      </c>
      <c r="E256" s="831" t="s">
        <v>1539</v>
      </c>
      <c r="F256" s="826" t="s">
        <v>1471</v>
      </c>
      <c r="G256" s="407">
        <f t="shared" si="29"/>
        <v>481000</v>
      </c>
      <c r="H256" s="407">
        <v>0</v>
      </c>
      <c r="I256" s="407">
        <v>481000</v>
      </c>
      <c r="J256" s="407">
        <v>481000</v>
      </c>
      <c r="K256" s="173"/>
      <c r="L256" s="173"/>
      <c r="M256" s="173"/>
    </row>
    <row r="257" spans="1:13" s="728" customFormat="1" ht="184.5" thickTop="1" thickBot="1" x14ac:dyDescent="0.25">
      <c r="A257" s="726" t="s">
        <v>557</v>
      </c>
      <c r="B257" s="726" t="s">
        <v>202</v>
      </c>
      <c r="C257" s="726" t="s">
        <v>171</v>
      </c>
      <c r="D257" s="726" t="s">
        <v>34</v>
      </c>
      <c r="E257" s="406" t="s">
        <v>1548</v>
      </c>
      <c r="F257" s="764" t="s">
        <v>1482</v>
      </c>
      <c r="G257" s="407">
        <f t="shared" si="29"/>
        <v>30721120</v>
      </c>
      <c r="H257" s="407">
        <v>0</v>
      </c>
      <c r="I257" s="407">
        <f>(6100000)+24621120</f>
        <v>30721120</v>
      </c>
      <c r="J257" s="407">
        <f>(6100000)+24621120</f>
        <v>30721120</v>
      </c>
      <c r="K257" s="173"/>
      <c r="L257" s="173"/>
      <c r="M257" s="173"/>
    </row>
    <row r="258" spans="1:13" s="728" customFormat="1" ht="184.5" hidden="1" thickTop="1" thickBot="1" x14ac:dyDescent="0.25">
      <c r="A258" s="726" t="s">
        <v>557</v>
      </c>
      <c r="B258" s="726" t="s">
        <v>202</v>
      </c>
      <c r="C258" s="726" t="s">
        <v>171</v>
      </c>
      <c r="D258" s="726" t="s">
        <v>34</v>
      </c>
      <c r="E258" s="765" t="s">
        <v>1449</v>
      </c>
      <c r="F258" s="766"/>
      <c r="G258" s="407">
        <f t="shared" si="29"/>
        <v>0</v>
      </c>
      <c r="H258" s="407">
        <v>0</v>
      </c>
      <c r="I258" s="407">
        <f>6007800-6007800</f>
        <v>0</v>
      </c>
      <c r="J258" s="407">
        <f>6007800-6007800</f>
        <v>0</v>
      </c>
      <c r="K258" s="173"/>
      <c r="L258" s="173"/>
      <c r="M258" s="173"/>
    </row>
    <row r="259" spans="1:13" ht="138.75" hidden="1" thickTop="1" thickBot="1" x14ac:dyDescent="0.25">
      <c r="A259" s="162" t="s">
        <v>557</v>
      </c>
      <c r="B259" s="162" t="s">
        <v>202</v>
      </c>
      <c r="C259" s="162" t="s">
        <v>171</v>
      </c>
      <c r="D259" s="162" t="s">
        <v>34</v>
      </c>
      <c r="E259" s="305" t="s">
        <v>887</v>
      </c>
      <c r="F259" s="233" t="s">
        <v>885</v>
      </c>
      <c r="G259" s="322">
        <f t="shared" si="29"/>
        <v>0</v>
      </c>
      <c r="H259" s="305">
        <v>0</v>
      </c>
      <c r="I259" s="322"/>
      <c r="J259" s="322"/>
      <c r="K259" s="173"/>
      <c r="L259" s="173"/>
      <c r="M259" s="173"/>
    </row>
    <row r="260" spans="1:13" ht="321.75" thickTop="1" thickBot="1" x14ac:dyDescent="0.7">
      <c r="A260" s="895" t="s">
        <v>558</v>
      </c>
      <c r="B260" s="895" t="s">
        <v>343</v>
      </c>
      <c r="C260" s="895" t="s">
        <v>171</v>
      </c>
      <c r="D260" s="86" t="s">
        <v>445</v>
      </c>
      <c r="E260" s="895" t="s">
        <v>1208</v>
      </c>
      <c r="F260" s="895" t="s">
        <v>1209</v>
      </c>
      <c r="G260" s="894">
        <f t="shared" si="29"/>
        <v>852942</v>
      </c>
      <c r="H260" s="894">
        <f>'d3'!E297</f>
        <v>0</v>
      </c>
      <c r="I260" s="894">
        <f>'d3'!J297</f>
        <v>852942</v>
      </c>
      <c r="J260" s="894">
        <f>'d3'!K297</f>
        <v>0</v>
      </c>
      <c r="K260" s="173"/>
      <c r="L260" s="173"/>
      <c r="M260" s="173"/>
    </row>
    <row r="261" spans="1:13" ht="138.75" thickTop="1" thickBot="1" x14ac:dyDescent="0.25">
      <c r="A261" s="926"/>
      <c r="B261" s="926"/>
      <c r="C261" s="926"/>
      <c r="D261" s="87" t="s">
        <v>446</v>
      </c>
      <c r="E261" s="926" t="s">
        <v>1208</v>
      </c>
      <c r="F261" s="926" t="s">
        <v>1209</v>
      </c>
      <c r="G261" s="926">
        <f t="shared" si="29"/>
        <v>0</v>
      </c>
      <c r="H261" s="926"/>
      <c r="I261" s="926"/>
      <c r="J261" s="926"/>
      <c r="K261" s="173"/>
      <c r="L261" s="173"/>
      <c r="M261" s="173"/>
    </row>
    <row r="262" spans="1:13" ht="184.5" hidden="1" thickTop="1" thickBot="1" x14ac:dyDescent="0.25">
      <c r="A262" s="162" t="s">
        <v>1231</v>
      </c>
      <c r="B262" s="162" t="s">
        <v>262</v>
      </c>
      <c r="C262" s="162" t="s">
        <v>171</v>
      </c>
      <c r="D262" s="162" t="s">
        <v>260</v>
      </c>
      <c r="E262" s="304" t="s">
        <v>1284</v>
      </c>
      <c r="F262" s="233" t="s">
        <v>1217</v>
      </c>
      <c r="G262" s="322">
        <f t="shared" ref="G262" si="33">H262+I262</f>
        <v>0</v>
      </c>
      <c r="H262" s="305"/>
      <c r="I262" s="322"/>
      <c r="J262" s="322"/>
      <c r="K262" s="173"/>
      <c r="L262" s="173"/>
      <c r="M262" s="173"/>
    </row>
    <row r="263" spans="1:13" ht="367.5" thickTop="1" thickBot="1" x14ac:dyDescent="0.25">
      <c r="A263" s="546" t="s">
        <v>559</v>
      </c>
      <c r="B263" s="546" t="s">
        <v>523</v>
      </c>
      <c r="C263" s="546" t="s">
        <v>256</v>
      </c>
      <c r="D263" s="470" t="s">
        <v>524</v>
      </c>
      <c r="E263" s="407" t="s">
        <v>1265</v>
      </c>
      <c r="F263" s="399" t="s">
        <v>869</v>
      </c>
      <c r="G263" s="399">
        <f t="shared" si="29"/>
        <v>5361250</v>
      </c>
      <c r="H263" s="407">
        <f>'d3'!E302</f>
        <v>4361250</v>
      </c>
      <c r="I263" s="538">
        <f>'d3'!J302</f>
        <v>1000000</v>
      </c>
      <c r="J263" s="538">
        <f>'d3'!K302</f>
        <v>1000000</v>
      </c>
      <c r="K263" s="173"/>
      <c r="L263" s="173"/>
      <c r="M263" s="173"/>
    </row>
    <row r="264" spans="1:13" ht="367.5" thickTop="1" thickBot="1" x14ac:dyDescent="0.25">
      <c r="A264" s="546" t="s">
        <v>560</v>
      </c>
      <c r="B264" s="546" t="s">
        <v>255</v>
      </c>
      <c r="C264" s="546" t="s">
        <v>256</v>
      </c>
      <c r="D264" s="546" t="s">
        <v>254</v>
      </c>
      <c r="E264" s="407" t="s">
        <v>1265</v>
      </c>
      <c r="F264" s="399" t="s">
        <v>869</v>
      </c>
      <c r="G264" s="399">
        <f t="shared" si="29"/>
        <v>2230434</v>
      </c>
      <c r="H264" s="407">
        <f>'d3'!E303</f>
        <v>2230434</v>
      </c>
      <c r="I264" s="538">
        <f>'d3'!J303</f>
        <v>0</v>
      </c>
      <c r="J264" s="538">
        <f>'d3'!K303</f>
        <v>0</v>
      </c>
      <c r="K264" s="173"/>
      <c r="L264" s="173"/>
      <c r="M264" s="173"/>
    </row>
    <row r="265" spans="1:13" ht="367.5" hidden="1" thickTop="1" thickBot="1" x14ac:dyDescent="0.25">
      <c r="A265" s="44" t="s">
        <v>561</v>
      </c>
      <c r="B265" s="44" t="s">
        <v>562</v>
      </c>
      <c r="C265" s="44" t="s">
        <v>256</v>
      </c>
      <c r="D265" s="44" t="s">
        <v>563</v>
      </c>
      <c r="E265" s="308" t="s">
        <v>868</v>
      </c>
      <c r="F265" s="77" t="s">
        <v>869</v>
      </c>
      <c r="G265" s="77">
        <f t="shared" si="29"/>
        <v>0</v>
      </c>
      <c r="H265" s="308">
        <f>'d3'!E304</f>
        <v>0</v>
      </c>
      <c r="I265" s="323">
        <f>'d3'!J304</f>
        <v>0</v>
      </c>
      <c r="J265" s="323">
        <f>'d3'!K304</f>
        <v>0</v>
      </c>
      <c r="K265" s="173"/>
      <c r="L265" s="173"/>
      <c r="M265" s="173"/>
    </row>
    <row r="266" spans="1:13" ht="136.5" thickTop="1" thickBot="1" x14ac:dyDescent="0.25">
      <c r="A266" s="460" t="s">
        <v>25</v>
      </c>
      <c r="B266" s="460"/>
      <c r="C266" s="460"/>
      <c r="D266" s="461" t="s">
        <v>904</v>
      </c>
      <c r="E266" s="460"/>
      <c r="F266" s="460"/>
      <c r="G266" s="462">
        <f>G267</f>
        <v>104886684</v>
      </c>
      <c r="H266" s="462">
        <f>H267</f>
        <v>10000</v>
      </c>
      <c r="I266" s="462">
        <f>I267</f>
        <v>104876684</v>
      </c>
      <c r="J266" s="462">
        <f>J267</f>
        <v>104876684</v>
      </c>
      <c r="K266" s="173"/>
      <c r="L266" s="173"/>
      <c r="M266" s="173"/>
    </row>
    <row r="267" spans="1:13" ht="136.5" thickTop="1" thickBot="1" x14ac:dyDescent="0.25">
      <c r="A267" s="464" t="s">
        <v>26</v>
      </c>
      <c r="B267" s="464"/>
      <c r="C267" s="464"/>
      <c r="D267" s="465" t="s">
        <v>905</v>
      </c>
      <c r="E267" s="466"/>
      <c r="F267" s="466"/>
      <c r="G267" s="466">
        <f>SUM(G268:G284)</f>
        <v>104886684</v>
      </c>
      <c r="H267" s="466">
        <f>SUM(H268:H284)</f>
        <v>10000</v>
      </c>
      <c r="I267" s="466">
        <f>SUM(I268:I284)</f>
        <v>104876684</v>
      </c>
      <c r="J267" s="466">
        <f>SUM(J268:J284)</f>
        <v>104876684</v>
      </c>
      <c r="K267" s="111" t="b">
        <f>H267='d3'!E306-'d3'!E308</f>
        <v>1</v>
      </c>
      <c r="L267" s="112" t="b">
        <f>I267='d3'!J306</f>
        <v>1</v>
      </c>
      <c r="M267" s="112" t="b">
        <f>J267='d3'!K306</f>
        <v>1</v>
      </c>
    </row>
    <row r="268" spans="1:13" ht="367.5" thickTop="1" thickBot="1" x14ac:dyDescent="0.25">
      <c r="A268" s="546" t="s">
        <v>639</v>
      </c>
      <c r="B268" s="546" t="s">
        <v>367</v>
      </c>
      <c r="C268" s="546" t="s">
        <v>634</v>
      </c>
      <c r="D268" s="546" t="s">
        <v>635</v>
      </c>
      <c r="E268" s="406" t="s">
        <v>1386</v>
      </c>
      <c r="F268" s="399" t="s">
        <v>1387</v>
      </c>
      <c r="G268" s="399">
        <f t="shared" ref="G268:G270" si="34">H268+I268</f>
        <v>10000</v>
      </c>
      <c r="H268" s="407">
        <f>'d3'!E309</f>
        <v>10000</v>
      </c>
      <c r="I268" s="538">
        <v>0</v>
      </c>
      <c r="J268" s="538">
        <v>0</v>
      </c>
      <c r="K268" s="306"/>
      <c r="L268" s="306"/>
      <c r="M268" s="306"/>
    </row>
    <row r="269" spans="1:13" ht="184.5" hidden="1" thickTop="1" thickBot="1" x14ac:dyDescent="0.25">
      <c r="A269" s="162" t="s">
        <v>941</v>
      </c>
      <c r="B269" s="162" t="s">
        <v>43</v>
      </c>
      <c r="C269" s="162" t="s">
        <v>42</v>
      </c>
      <c r="D269" s="162" t="s">
        <v>253</v>
      </c>
      <c r="E269" s="304" t="s">
        <v>1188</v>
      </c>
      <c r="F269" s="233"/>
      <c r="G269" s="233">
        <f t="shared" si="34"/>
        <v>0</v>
      </c>
      <c r="H269" s="305">
        <f>'d3'!E310</f>
        <v>0</v>
      </c>
      <c r="I269" s="322">
        <f>'d3'!J310</f>
        <v>0</v>
      </c>
      <c r="J269" s="322">
        <f>'d3'!K310</f>
        <v>0</v>
      </c>
      <c r="K269" s="306"/>
      <c r="L269" s="306"/>
      <c r="M269" s="306"/>
    </row>
    <row r="270" spans="1:13" ht="184.5" thickTop="1" thickBot="1" x14ac:dyDescent="0.25">
      <c r="A270" s="546" t="s">
        <v>1286</v>
      </c>
      <c r="B270" s="546" t="s">
        <v>1249</v>
      </c>
      <c r="C270" s="546" t="s">
        <v>211</v>
      </c>
      <c r="D270" s="470" t="s">
        <v>1250</v>
      </c>
      <c r="E270" s="406" t="s">
        <v>1369</v>
      </c>
      <c r="F270" s="399" t="s">
        <v>1370</v>
      </c>
      <c r="G270" s="399">
        <f t="shared" si="34"/>
        <v>5098000</v>
      </c>
      <c r="H270" s="407">
        <f>'d3'!E312</f>
        <v>0</v>
      </c>
      <c r="I270" s="538">
        <f>'d3'!J312</f>
        <v>5098000</v>
      </c>
      <c r="J270" s="538">
        <f>'d3'!K312</f>
        <v>5098000</v>
      </c>
      <c r="K270" s="306"/>
      <c r="L270" s="306"/>
      <c r="M270" s="306"/>
    </row>
    <row r="271" spans="1:13" ht="321.75" thickTop="1" thickBot="1" x14ac:dyDescent="0.25">
      <c r="A271" s="546" t="s">
        <v>438</v>
      </c>
      <c r="B271" s="546" t="s">
        <v>439</v>
      </c>
      <c r="C271" s="546" t="s">
        <v>200</v>
      </c>
      <c r="D271" s="546" t="s">
        <v>1226</v>
      </c>
      <c r="E271" s="406" t="s">
        <v>1369</v>
      </c>
      <c r="F271" s="399" t="s">
        <v>1370</v>
      </c>
      <c r="G271" s="399">
        <f>H271+I271</f>
        <v>3000000</v>
      </c>
      <c r="H271" s="399">
        <f>'d3'!E315</f>
        <v>0</v>
      </c>
      <c r="I271" s="399">
        <f>'d3'!J315</f>
        <v>3000000</v>
      </c>
      <c r="J271" s="399">
        <f>'d3'!K315</f>
        <v>3000000</v>
      </c>
      <c r="K271" s="173"/>
      <c r="L271" s="173"/>
      <c r="M271" s="173"/>
    </row>
    <row r="272" spans="1:13" ht="138.75" thickTop="1" thickBot="1" x14ac:dyDescent="0.25">
      <c r="A272" s="546" t="s">
        <v>940</v>
      </c>
      <c r="B272" s="546" t="s">
        <v>310</v>
      </c>
      <c r="C272" s="546" t="s">
        <v>309</v>
      </c>
      <c r="D272" s="546" t="s">
        <v>1342</v>
      </c>
      <c r="E272" s="406" t="s">
        <v>1369</v>
      </c>
      <c r="F272" s="399" t="s">
        <v>1370</v>
      </c>
      <c r="G272" s="399">
        <f t="shared" ref="G272:G284" si="35">H272+I272</f>
        <v>4500000</v>
      </c>
      <c r="H272" s="399">
        <f>'d3'!E318</f>
        <v>0</v>
      </c>
      <c r="I272" s="399">
        <f>'d3'!J318</f>
        <v>4500000</v>
      </c>
      <c r="J272" s="399">
        <f>'d3'!K318</f>
        <v>4500000</v>
      </c>
      <c r="K272" s="173"/>
      <c r="L272" s="173"/>
      <c r="M272" s="173"/>
    </row>
    <row r="273" spans="1:13" ht="138.75" thickTop="1" thickBot="1" x14ac:dyDescent="0.25">
      <c r="A273" s="546" t="s">
        <v>315</v>
      </c>
      <c r="B273" s="546" t="s">
        <v>316</v>
      </c>
      <c r="C273" s="546" t="s">
        <v>309</v>
      </c>
      <c r="D273" s="546" t="s">
        <v>1319</v>
      </c>
      <c r="E273" s="406" t="s">
        <v>1369</v>
      </c>
      <c r="F273" s="399" t="s">
        <v>1370</v>
      </c>
      <c r="G273" s="399">
        <f t="shared" si="35"/>
        <v>8633650</v>
      </c>
      <c r="H273" s="399">
        <f>'d3'!E320-H274-H275</f>
        <v>0</v>
      </c>
      <c r="I273" s="399">
        <f>'d3'!J320-I275-I274</f>
        <v>8633650</v>
      </c>
      <c r="J273" s="809">
        <f>'d3'!K320-J275-J274</f>
        <v>8633650</v>
      </c>
      <c r="K273" s="173"/>
      <c r="L273" s="173"/>
      <c r="M273" s="173"/>
    </row>
    <row r="274" spans="1:13" s="817" customFormat="1" ht="367.5" thickTop="1" thickBot="1" x14ac:dyDescent="0.25">
      <c r="A274" s="808" t="s">
        <v>315</v>
      </c>
      <c r="B274" s="808" t="s">
        <v>316</v>
      </c>
      <c r="C274" s="808" t="s">
        <v>309</v>
      </c>
      <c r="D274" s="808" t="s">
        <v>1319</v>
      </c>
      <c r="E274" s="407" t="s">
        <v>1265</v>
      </c>
      <c r="F274" s="809" t="s">
        <v>869</v>
      </c>
      <c r="G274" s="834">
        <f t="shared" si="35"/>
        <v>40000000</v>
      </c>
      <c r="H274" s="834">
        <v>0</v>
      </c>
      <c r="I274" s="834">
        <v>40000000</v>
      </c>
      <c r="J274" s="834">
        <v>40000000</v>
      </c>
      <c r="K274" s="173"/>
      <c r="L274" s="173"/>
      <c r="M274" s="173"/>
    </row>
    <row r="275" spans="1:13" s="817" customFormat="1" ht="138.75" thickTop="1" thickBot="1" x14ac:dyDescent="0.25">
      <c r="A275" s="808" t="s">
        <v>315</v>
      </c>
      <c r="B275" s="808" t="s">
        <v>316</v>
      </c>
      <c r="C275" s="808" t="s">
        <v>309</v>
      </c>
      <c r="D275" s="808" t="s">
        <v>1319</v>
      </c>
      <c r="E275" s="406" t="s">
        <v>1524</v>
      </c>
      <c r="F275" s="809" t="s">
        <v>1215</v>
      </c>
      <c r="G275" s="834">
        <f t="shared" si="35"/>
        <v>3500000</v>
      </c>
      <c r="H275" s="834">
        <v>0</v>
      </c>
      <c r="I275" s="834">
        <f>3000000+500000</f>
        <v>3500000</v>
      </c>
      <c r="J275" s="834">
        <f>3000000+500000</f>
        <v>3500000</v>
      </c>
      <c r="K275" s="173"/>
      <c r="L275" s="173"/>
      <c r="M275" s="173"/>
    </row>
    <row r="276" spans="1:13" ht="138.75" thickTop="1" thickBot="1" x14ac:dyDescent="0.25">
      <c r="A276" s="546" t="s">
        <v>521</v>
      </c>
      <c r="B276" s="546" t="s">
        <v>522</v>
      </c>
      <c r="C276" s="546" t="s">
        <v>309</v>
      </c>
      <c r="D276" s="546" t="s">
        <v>1348</v>
      </c>
      <c r="E276" s="406" t="s">
        <v>1369</v>
      </c>
      <c r="F276" s="399" t="s">
        <v>1370</v>
      </c>
      <c r="G276" s="399">
        <f t="shared" si="35"/>
        <v>1400000</v>
      </c>
      <c r="H276" s="399">
        <f>'d3'!E321</f>
        <v>0</v>
      </c>
      <c r="I276" s="399">
        <f>'d3'!J321</f>
        <v>1400000</v>
      </c>
      <c r="J276" s="399">
        <f>I276</f>
        <v>1400000</v>
      </c>
      <c r="K276" s="173"/>
      <c r="L276" s="173"/>
      <c r="M276" s="173"/>
    </row>
    <row r="277" spans="1:13" ht="138.75" hidden="1" thickTop="1" thickBot="1" x14ac:dyDescent="0.25">
      <c r="A277" s="162" t="s">
        <v>317</v>
      </c>
      <c r="B277" s="162" t="s">
        <v>318</v>
      </c>
      <c r="C277" s="162" t="s">
        <v>309</v>
      </c>
      <c r="D277" s="162" t="s">
        <v>1289</v>
      </c>
      <c r="E277" s="304" t="s">
        <v>1208</v>
      </c>
      <c r="F277" s="233" t="s">
        <v>1209</v>
      </c>
      <c r="G277" s="233">
        <f t="shared" si="35"/>
        <v>0</v>
      </c>
      <c r="H277" s="233">
        <f>'d3'!E322</f>
        <v>0</v>
      </c>
      <c r="I277" s="233">
        <f>'d3'!J322</f>
        <v>0</v>
      </c>
      <c r="J277" s="233">
        <f>I277</f>
        <v>0</v>
      </c>
      <c r="K277" s="173"/>
      <c r="L277" s="173"/>
      <c r="M277" s="173"/>
    </row>
    <row r="278" spans="1:13" ht="138.75" thickTop="1" thickBot="1" x14ac:dyDescent="0.25">
      <c r="A278" s="546" t="s">
        <v>319</v>
      </c>
      <c r="B278" s="546" t="s">
        <v>320</v>
      </c>
      <c r="C278" s="546" t="s">
        <v>309</v>
      </c>
      <c r="D278" s="546" t="s">
        <v>1349</v>
      </c>
      <c r="E278" s="406" t="s">
        <v>1369</v>
      </c>
      <c r="F278" s="399" t="s">
        <v>1370</v>
      </c>
      <c r="G278" s="399">
        <f t="shared" si="35"/>
        <v>6276144</v>
      </c>
      <c r="H278" s="399">
        <f>'d3'!E323-H280-H279</f>
        <v>0</v>
      </c>
      <c r="I278" s="399">
        <f>'d3'!J323-I280-I279</f>
        <v>6276144</v>
      </c>
      <c r="J278" s="399">
        <f>'d3'!K323-J280-J279</f>
        <v>6276144</v>
      </c>
      <c r="K278" s="173"/>
      <c r="L278" s="173"/>
      <c r="M278" s="173"/>
    </row>
    <row r="279" spans="1:13" s="817" customFormat="1" ht="138.75" thickTop="1" thickBot="1" x14ac:dyDescent="0.25">
      <c r="A279" s="808" t="s">
        <v>319</v>
      </c>
      <c r="B279" s="808" t="s">
        <v>320</v>
      </c>
      <c r="C279" s="808" t="s">
        <v>309</v>
      </c>
      <c r="D279" s="808" t="s">
        <v>1349</v>
      </c>
      <c r="E279" s="406" t="s">
        <v>1557</v>
      </c>
      <c r="F279" s="826"/>
      <c r="G279" s="809">
        <f t="shared" si="35"/>
        <v>6223274</v>
      </c>
      <c r="H279" s="809">
        <v>0</v>
      </c>
      <c r="I279" s="809">
        <f>1860720+4362554</f>
        <v>6223274</v>
      </c>
      <c r="J279" s="826">
        <f>1860720+4362554</f>
        <v>6223274</v>
      </c>
      <c r="K279" s="173"/>
      <c r="L279" s="173"/>
      <c r="M279" s="173"/>
    </row>
    <row r="280" spans="1:13" ht="138.75" thickTop="1" thickBot="1" x14ac:dyDescent="0.25">
      <c r="A280" s="808" t="s">
        <v>319</v>
      </c>
      <c r="B280" s="808" t="s">
        <v>320</v>
      </c>
      <c r="C280" s="808" t="s">
        <v>309</v>
      </c>
      <c r="D280" s="808" t="s">
        <v>1349</v>
      </c>
      <c r="E280" s="406" t="s">
        <v>1525</v>
      </c>
      <c r="F280" s="457" t="s">
        <v>430</v>
      </c>
      <c r="G280" s="809">
        <f t="shared" si="35"/>
        <v>26245616</v>
      </c>
      <c r="H280" s="809">
        <v>0</v>
      </c>
      <c r="I280" s="809">
        <f>3334326+10000000+165223+10000000+2000000+746067</f>
        <v>26245616</v>
      </c>
      <c r="J280" s="809">
        <f>3334326+10000000+165223+10000000+2000000+746067</f>
        <v>26245616</v>
      </c>
      <c r="K280" s="173"/>
      <c r="L280" s="173"/>
      <c r="M280" s="173"/>
    </row>
    <row r="281" spans="1:13" ht="184.5" hidden="1" thickTop="1" thickBot="1" x14ac:dyDescent="0.25">
      <c r="A281" s="162" t="s">
        <v>442</v>
      </c>
      <c r="B281" s="162" t="s">
        <v>355</v>
      </c>
      <c r="C281" s="162" t="s">
        <v>171</v>
      </c>
      <c r="D281" s="162" t="s">
        <v>267</v>
      </c>
      <c r="E281" s="304" t="s">
        <v>1188</v>
      </c>
      <c r="F281" s="233"/>
      <c r="G281" s="233">
        <f t="shared" si="35"/>
        <v>0</v>
      </c>
      <c r="H281" s="233">
        <f>'d3'!E324</f>
        <v>0</v>
      </c>
      <c r="I281" s="233">
        <f>'d3'!J324</f>
        <v>0</v>
      </c>
      <c r="J281" s="233">
        <f>'d3'!K324</f>
        <v>0</v>
      </c>
      <c r="K281" s="173"/>
      <c r="L281" s="173"/>
      <c r="M281" s="173"/>
    </row>
    <row r="282" spans="1:13" ht="321.75" hidden="1" thickTop="1" thickBot="1" x14ac:dyDescent="0.7">
      <c r="A282" s="918" t="s">
        <v>1009</v>
      </c>
      <c r="B282" s="918" t="s">
        <v>343</v>
      </c>
      <c r="C282" s="918" t="s">
        <v>171</v>
      </c>
      <c r="D282" s="189" t="s">
        <v>445</v>
      </c>
      <c r="E282" s="918" t="s">
        <v>1188</v>
      </c>
      <c r="F282" s="918"/>
      <c r="G282" s="233">
        <f t="shared" si="35"/>
        <v>0</v>
      </c>
      <c r="H282" s="916">
        <f>'d3'!E327</f>
        <v>0</v>
      </c>
      <c r="I282" s="916">
        <f>'d3'!J327</f>
        <v>0</v>
      </c>
      <c r="J282" s="916">
        <f>'d3'!K327</f>
        <v>0</v>
      </c>
      <c r="K282" s="173"/>
      <c r="L282" s="173"/>
      <c r="M282" s="173"/>
    </row>
    <row r="283" spans="1:13" ht="138.75" hidden="1" thickTop="1" thickBot="1" x14ac:dyDescent="0.25">
      <c r="A283" s="918"/>
      <c r="B283" s="918"/>
      <c r="C283" s="918"/>
      <c r="D283" s="190" t="s">
        <v>446</v>
      </c>
      <c r="E283" s="918"/>
      <c r="F283" s="918"/>
      <c r="G283" s="233">
        <f t="shared" si="35"/>
        <v>0</v>
      </c>
      <c r="H283" s="927"/>
      <c r="I283" s="927"/>
      <c r="J283" s="927"/>
      <c r="K283" s="173"/>
      <c r="L283" s="173"/>
      <c r="M283" s="173"/>
    </row>
    <row r="284" spans="1:13" ht="138.75" hidden="1" thickTop="1" thickBot="1" x14ac:dyDescent="0.25">
      <c r="A284" s="162" t="s">
        <v>1242</v>
      </c>
      <c r="B284" s="162" t="s">
        <v>262</v>
      </c>
      <c r="C284" s="162" t="s">
        <v>171</v>
      </c>
      <c r="D284" s="190" t="s">
        <v>260</v>
      </c>
      <c r="E284" s="304" t="s">
        <v>1208</v>
      </c>
      <c r="F284" s="233" t="s">
        <v>1209</v>
      </c>
      <c r="G284" s="233">
        <f t="shared" si="35"/>
        <v>0</v>
      </c>
      <c r="H284" s="233"/>
      <c r="I284" s="233">
        <v>0</v>
      </c>
      <c r="J284" s="233">
        <v>0</v>
      </c>
      <c r="K284" s="173"/>
      <c r="L284" s="173"/>
      <c r="M284" s="173"/>
    </row>
    <row r="285" spans="1:13" ht="136.5" thickTop="1" thickBot="1" x14ac:dyDescent="0.25">
      <c r="A285" s="460" t="s">
        <v>161</v>
      </c>
      <c r="B285" s="460"/>
      <c r="C285" s="460"/>
      <c r="D285" s="461" t="s">
        <v>906</v>
      </c>
      <c r="E285" s="460"/>
      <c r="F285" s="460"/>
      <c r="G285" s="462">
        <f>G286</f>
        <v>3709996.81</v>
      </c>
      <c r="H285" s="462">
        <f t="shared" ref="H285:J285" si="36">H286</f>
        <v>2179996.81</v>
      </c>
      <c r="I285" s="462">
        <f t="shared" si="36"/>
        <v>1530000</v>
      </c>
      <c r="J285" s="462">
        <f t="shared" si="36"/>
        <v>1530000</v>
      </c>
      <c r="K285" s="111" t="b">
        <f>H285='d3'!E331-'d3'!E333+H287+H290</f>
        <v>1</v>
      </c>
      <c r="L285" s="112" t="b">
        <f>I285='d3'!J331-'d3'!J333+'d7'!I287</f>
        <v>1</v>
      </c>
      <c r="M285" s="112" t="b">
        <f>J285='d3'!K331-'d3'!K333+'d7'!J287</f>
        <v>1</v>
      </c>
    </row>
    <row r="286" spans="1:13" ht="181.5" thickTop="1" thickBot="1" x14ac:dyDescent="0.25">
      <c r="A286" s="464" t="s">
        <v>162</v>
      </c>
      <c r="B286" s="464"/>
      <c r="C286" s="464"/>
      <c r="D286" s="465" t="s">
        <v>911</v>
      </c>
      <c r="E286" s="466"/>
      <c r="F286" s="466"/>
      <c r="G286" s="466">
        <f>SUM(G287:G290)</f>
        <v>3709996.81</v>
      </c>
      <c r="H286" s="466">
        <f>SUM(H287:H290)</f>
        <v>2179996.81</v>
      </c>
      <c r="I286" s="466">
        <f>SUM(I287:I290)</f>
        <v>1530000</v>
      </c>
      <c r="J286" s="466">
        <f>SUM(J287:J290)</f>
        <v>1530000</v>
      </c>
      <c r="K286" s="173"/>
      <c r="L286" s="173"/>
      <c r="M286" s="173"/>
    </row>
    <row r="287" spans="1:13" ht="184.5" thickTop="1" thickBot="1" x14ac:dyDescent="0.25">
      <c r="A287" s="717" t="s">
        <v>424</v>
      </c>
      <c r="B287" s="717" t="s">
        <v>241</v>
      </c>
      <c r="C287" s="717" t="s">
        <v>239</v>
      </c>
      <c r="D287" s="717" t="s">
        <v>240</v>
      </c>
      <c r="E287" s="406" t="s">
        <v>1061</v>
      </c>
      <c r="F287" s="399" t="s">
        <v>867</v>
      </c>
      <c r="G287" s="399">
        <f>H287+I287</f>
        <v>80000</v>
      </c>
      <c r="H287" s="399">
        <v>0</v>
      </c>
      <c r="I287" s="399">
        <f>(30000)+50000</f>
        <v>80000</v>
      </c>
      <c r="J287" s="826">
        <f>(30000)+50000</f>
        <v>80000</v>
      </c>
      <c r="K287" s="173"/>
      <c r="L287" s="173"/>
      <c r="M287" s="173"/>
    </row>
    <row r="288" spans="1:13" ht="367.5" thickTop="1" thickBot="1" x14ac:dyDescent="0.25">
      <c r="A288" s="546" t="s">
        <v>640</v>
      </c>
      <c r="B288" s="546" t="s">
        <v>367</v>
      </c>
      <c r="C288" s="546" t="s">
        <v>634</v>
      </c>
      <c r="D288" s="546" t="s">
        <v>635</v>
      </c>
      <c r="E288" s="406" t="s">
        <v>1386</v>
      </c>
      <c r="F288" s="399" t="s">
        <v>1387</v>
      </c>
      <c r="G288" s="399">
        <f t="shared" ref="G288:G290" si="37">H288+I288</f>
        <v>10000</v>
      </c>
      <c r="H288" s="407">
        <f>'d3'!E334</f>
        <v>10000</v>
      </c>
      <c r="I288" s="538">
        <v>0</v>
      </c>
      <c r="J288" s="538">
        <v>0</v>
      </c>
      <c r="K288" s="173"/>
      <c r="L288" s="173"/>
      <c r="M288" s="173"/>
    </row>
    <row r="289" spans="1:13" s="549" customFormat="1" ht="138.75" thickTop="1" thickBot="1" x14ac:dyDescent="0.25">
      <c r="A289" s="546" t="s">
        <v>1339</v>
      </c>
      <c r="B289" s="546" t="s">
        <v>43</v>
      </c>
      <c r="C289" s="546" t="s">
        <v>42</v>
      </c>
      <c r="D289" s="546" t="s">
        <v>253</v>
      </c>
      <c r="E289" s="406" t="s">
        <v>1369</v>
      </c>
      <c r="F289" s="399" t="s">
        <v>1370</v>
      </c>
      <c r="G289" s="399">
        <f t="shared" si="37"/>
        <v>2169996.81</v>
      </c>
      <c r="H289" s="407">
        <f>'d3'!E335</f>
        <v>2169996.81</v>
      </c>
      <c r="I289" s="538">
        <f>'d3'!J335</f>
        <v>0</v>
      </c>
      <c r="J289" s="538">
        <f>'d3'!K335</f>
        <v>0</v>
      </c>
      <c r="K289" s="173"/>
      <c r="L289" s="173"/>
      <c r="M289" s="173"/>
    </row>
    <row r="290" spans="1:13" ht="138.75" thickTop="1" thickBot="1" x14ac:dyDescent="0.25">
      <c r="A290" s="706" t="s">
        <v>924</v>
      </c>
      <c r="B290" s="706" t="s">
        <v>925</v>
      </c>
      <c r="C290" s="706" t="s">
        <v>309</v>
      </c>
      <c r="D290" s="706" t="s">
        <v>926</v>
      </c>
      <c r="E290" s="406" t="s">
        <v>1369</v>
      </c>
      <c r="F290" s="399" t="s">
        <v>1370</v>
      </c>
      <c r="G290" s="399">
        <f t="shared" si="37"/>
        <v>1450000</v>
      </c>
      <c r="H290" s="407">
        <f>'d3'!E338</f>
        <v>0</v>
      </c>
      <c r="I290" s="538">
        <f>'d3'!J338</f>
        <v>1450000</v>
      </c>
      <c r="J290" s="538">
        <f>'d3'!K338</f>
        <v>1450000</v>
      </c>
      <c r="K290" s="173"/>
      <c r="L290" s="173"/>
      <c r="M290" s="173"/>
    </row>
    <row r="291" spans="1:13" ht="136.5" thickTop="1" thickBot="1" x14ac:dyDescent="0.25">
      <c r="A291" s="460" t="s">
        <v>449</v>
      </c>
      <c r="B291" s="460"/>
      <c r="C291" s="460"/>
      <c r="D291" s="461" t="s">
        <v>451</v>
      </c>
      <c r="E291" s="460"/>
      <c r="F291" s="460"/>
      <c r="G291" s="462">
        <f>G292</f>
        <v>188336521</v>
      </c>
      <c r="H291" s="462">
        <f t="shared" ref="H291:J291" si="38">H292</f>
        <v>142158761</v>
      </c>
      <c r="I291" s="462">
        <f t="shared" si="38"/>
        <v>46177760</v>
      </c>
      <c r="J291" s="462">
        <f t="shared" si="38"/>
        <v>46177760</v>
      </c>
      <c r="K291" s="173"/>
      <c r="L291" s="173"/>
      <c r="M291" s="173"/>
    </row>
    <row r="292" spans="1:13" ht="136.5" thickTop="1" thickBot="1" x14ac:dyDescent="0.25">
      <c r="A292" s="464" t="s">
        <v>450</v>
      </c>
      <c r="B292" s="464"/>
      <c r="C292" s="464"/>
      <c r="D292" s="465" t="s">
        <v>452</v>
      </c>
      <c r="E292" s="466"/>
      <c r="F292" s="466"/>
      <c r="G292" s="466">
        <f>SUM(G293:G302)</f>
        <v>188336521</v>
      </c>
      <c r="H292" s="466">
        <f t="shared" ref="H292" si="39">SUM(H293:H302)</f>
        <v>142158761</v>
      </c>
      <c r="I292" s="466">
        <f>SUM(I293:I302)</f>
        <v>46177760</v>
      </c>
      <c r="J292" s="466">
        <f>SUM(J293:J302)</f>
        <v>46177760</v>
      </c>
      <c r="K292" s="111" t="b">
        <f>H292='d3'!E340-'d3'!E342+'d7'!H293</f>
        <v>1</v>
      </c>
      <c r="L292" s="112" t="b">
        <f>I292='d3'!J340-'d3'!J342+'d7'!I293</f>
        <v>1</v>
      </c>
      <c r="M292" s="112" t="b">
        <f>J292='d3'!K340-'d3'!K342+'d7'!J293</f>
        <v>1</v>
      </c>
    </row>
    <row r="293" spans="1:13" ht="184.5" thickTop="1" thickBot="1" x14ac:dyDescent="0.25">
      <c r="A293" s="825" t="s">
        <v>453</v>
      </c>
      <c r="B293" s="825" t="s">
        <v>241</v>
      </c>
      <c r="C293" s="825" t="s">
        <v>239</v>
      </c>
      <c r="D293" s="825" t="s">
        <v>240</v>
      </c>
      <c r="E293" s="406" t="s">
        <v>1061</v>
      </c>
      <c r="F293" s="826" t="s">
        <v>867</v>
      </c>
      <c r="G293" s="834">
        <f>H293+I293</f>
        <v>153760</v>
      </c>
      <c r="H293" s="407">
        <v>0</v>
      </c>
      <c r="I293" s="834">
        <v>153760</v>
      </c>
      <c r="J293" s="834">
        <v>153760</v>
      </c>
      <c r="K293" s="173"/>
      <c r="L293" s="173"/>
      <c r="M293" s="173"/>
    </row>
    <row r="294" spans="1:13" ht="367.5" hidden="1" thickTop="1" thickBot="1" x14ac:dyDescent="0.25">
      <c r="A294" s="162" t="s">
        <v>641</v>
      </c>
      <c r="B294" s="162" t="s">
        <v>367</v>
      </c>
      <c r="C294" s="162" t="s">
        <v>634</v>
      </c>
      <c r="D294" s="162" t="s">
        <v>635</v>
      </c>
      <c r="E294" s="304" t="s">
        <v>895</v>
      </c>
      <c r="F294" s="233" t="s">
        <v>896</v>
      </c>
      <c r="G294" s="233">
        <f t="shared" ref="G294:G296" si="40">H294+I294</f>
        <v>0</v>
      </c>
      <c r="H294" s="305">
        <f>'d3'!E343</f>
        <v>0</v>
      </c>
      <c r="I294" s="322"/>
      <c r="J294" s="322"/>
      <c r="K294" s="173"/>
      <c r="L294" s="173"/>
      <c r="M294" s="173"/>
    </row>
    <row r="295" spans="1:13" ht="184.5" thickTop="1" thickBot="1" x14ac:dyDescent="0.25">
      <c r="A295" s="786" t="s">
        <v>472</v>
      </c>
      <c r="B295" s="786" t="s">
        <v>417</v>
      </c>
      <c r="C295" s="786" t="s">
        <v>418</v>
      </c>
      <c r="D295" s="786" t="s">
        <v>419</v>
      </c>
      <c r="E295" s="786" t="s">
        <v>1508</v>
      </c>
      <c r="F295" s="787" t="s">
        <v>1373</v>
      </c>
      <c r="G295" s="787">
        <f t="shared" si="40"/>
        <v>505540</v>
      </c>
      <c r="H295" s="407">
        <f>'d3'!E347</f>
        <v>505540</v>
      </c>
      <c r="I295" s="538">
        <f>'d3'!J347</f>
        <v>0</v>
      </c>
      <c r="J295" s="538">
        <f>'d3'!K347</f>
        <v>0</v>
      </c>
      <c r="K295" s="173"/>
      <c r="L295" s="173"/>
      <c r="M295" s="173"/>
    </row>
    <row r="296" spans="1:13" ht="184.5" thickTop="1" thickBot="1" x14ac:dyDescent="0.25">
      <c r="A296" s="546" t="s">
        <v>473</v>
      </c>
      <c r="B296" s="546" t="s">
        <v>296</v>
      </c>
      <c r="C296" s="546" t="s">
        <v>1490</v>
      </c>
      <c r="D296" s="546" t="s">
        <v>297</v>
      </c>
      <c r="E296" s="406" t="s">
        <v>1347</v>
      </c>
      <c r="F296" s="399" t="s">
        <v>951</v>
      </c>
      <c r="G296" s="399">
        <f t="shared" si="40"/>
        <v>136783221</v>
      </c>
      <c r="H296" s="407">
        <f>'d3'!E349</f>
        <v>136783221</v>
      </c>
      <c r="I296" s="538">
        <f>'d3'!J349</f>
        <v>0</v>
      </c>
      <c r="J296" s="538">
        <f>'d3'!K349</f>
        <v>0</v>
      </c>
      <c r="K296" s="173"/>
      <c r="L296" s="173"/>
      <c r="M296" s="173"/>
    </row>
    <row r="297" spans="1:13" ht="184.5" hidden="1" thickTop="1" thickBot="1" x14ac:dyDescent="0.25">
      <c r="A297" s="1024" t="s">
        <v>1138</v>
      </c>
      <c r="B297" s="1024" t="s">
        <v>1139</v>
      </c>
      <c r="C297" s="1024" t="s">
        <v>300</v>
      </c>
      <c r="D297" s="1024" t="s">
        <v>1137</v>
      </c>
      <c r="E297" s="304" t="s">
        <v>1036</v>
      </c>
      <c r="F297" s="233" t="s">
        <v>494</v>
      </c>
      <c r="G297" s="1016">
        <f>H297+I297</f>
        <v>0</v>
      </c>
      <c r="H297" s="1021"/>
      <c r="I297" s="1023">
        <v>0</v>
      </c>
      <c r="J297" s="1023">
        <v>0</v>
      </c>
      <c r="K297" s="173"/>
      <c r="L297" s="173"/>
      <c r="M297" s="173"/>
    </row>
    <row r="298" spans="1:13" ht="138.75" hidden="1" thickTop="1" thickBot="1" x14ac:dyDescent="0.25">
      <c r="A298" s="1022"/>
      <c r="B298" s="1022" t="s">
        <v>1139</v>
      </c>
      <c r="C298" s="1022"/>
      <c r="D298" s="1022"/>
      <c r="E298" s="304" t="s">
        <v>1208</v>
      </c>
      <c r="F298" s="233" t="s">
        <v>1209</v>
      </c>
      <c r="G298" s="1022"/>
      <c r="H298" s="1022"/>
      <c r="I298" s="1022"/>
      <c r="J298" s="1022"/>
      <c r="K298" s="173"/>
      <c r="L298" s="173"/>
      <c r="M298" s="173"/>
    </row>
    <row r="299" spans="1:13" ht="184.5" thickTop="1" thickBot="1" x14ac:dyDescent="0.25">
      <c r="A299" s="722" t="s">
        <v>1222</v>
      </c>
      <c r="B299" s="722" t="s">
        <v>202</v>
      </c>
      <c r="C299" s="722" t="s">
        <v>171</v>
      </c>
      <c r="D299" s="722" t="s">
        <v>1223</v>
      </c>
      <c r="E299" s="406" t="s">
        <v>1553</v>
      </c>
      <c r="F299" s="399" t="s">
        <v>494</v>
      </c>
      <c r="G299" s="399">
        <f t="shared" ref="G299:G300" si="41">H299+I299</f>
        <v>34703000</v>
      </c>
      <c r="H299" s="407">
        <f>'d3'!E352-H300</f>
        <v>0</v>
      </c>
      <c r="I299" s="538">
        <f>(31000000)+3703000</f>
        <v>34703000</v>
      </c>
      <c r="J299" s="538">
        <f>(31000000)+3703000</f>
        <v>34703000</v>
      </c>
      <c r="K299" s="111" t="b">
        <f>H299+H300='d3'!E352</f>
        <v>1</v>
      </c>
      <c r="L299" s="112" t="b">
        <f>I299+I300='d3'!J352</f>
        <v>1</v>
      </c>
      <c r="M299" s="112" t="b">
        <f>J299+J300='d3'!K352</f>
        <v>1</v>
      </c>
    </row>
    <row r="300" spans="1:13" ht="138.75" thickTop="1" thickBot="1" x14ac:dyDescent="0.25">
      <c r="A300" s="722" t="s">
        <v>1222</v>
      </c>
      <c r="B300" s="722" t="s">
        <v>202</v>
      </c>
      <c r="C300" s="722" t="s">
        <v>171</v>
      </c>
      <c r="D300" s="722" t="s">
        <v>1223</v>
      </c>
      <c r="E300" s="406" t="s">
        <v>1554</v>
      </c>
      <c r="F300" s="399" t="s">
        <v>951</v>
      </c>
      <c r="G300" s="399">
        <f t="shared" si="41"/>
        <v>11321000</v>
      </c>
      <c r="H300" s="407">
        <v>0</v>
      </c>
      <c r="I300" s="538">
        <f>(2260000+5800000)+3261000</f>
        <v>11321000</v>
      </c>
      <c r="J300" s="538">
        <f>(2260000+5800000)+3261000</f>
        <v>11321000</v>
      </c>
      <c r="K300" s="173"/>
      <c r="L300" s="173"/>
      <c r="M300" s="173"/>
    </row>
    <row r="301" spans="1:13" ht="184.5" thickTop="1" thickBot="1" x14ac:dyDescent="0.25">
      <c r="A301" s="546" t="s">
        <v>1270</v>
      </c>
      <c r="B301" s="546" t="s">
        <v>1271</v>
      </c>
      <c r="C301" s="546" t="s">
        <v>1236</v>
      </c>
      <c r="D301" s="546" t="s">
        <v>1272</v>
      </c>
      <c r="E301" s="698" t="s">
        <v>1508</v>
      </c>
      <c r="F301" s="399" t="s">
        <v>1373</v>
      </c>
      <c r="G301" s="399">
        <f>H301+I301</f>
        <v>4750000</v>
      </c>
      <c r="H301" s="407">
        <f>'d3'!E355</f>
        <v>4750000</v>
      </c>
      <c r="I301" s="538">
        <f>'d3'!J355</f>
        <v>0</v>
      </c>
      <c r="J301" s="538">
        <f>'d3'!K355</f>
        <v>0</v>
      </c>
      <c r="K301" s="173"/>
      <c r="L301" s="173"/>
      <c r="M301" s="173"/>
    </row>
    <row r="302" spans="1:13" s="742" customFormat="1" ht="184.5" thickTop="1" thickBot="1" x14ac:dyDescent="0.25">
      <c r="A302" s="738" t="s">
        <v>1453</v>
      </c>
      <c r="B302" s="738" t="s">
        <v>519</v>
      </c>
      <c r="C302" s="738" t="s">
        <v>43</v>
      </c>
      <c r="D302" s="738" t="s">
        <v>520</v>
      </c>
      <c r="E302" s="738" t="s">
        <v>1485</v>
      </c>
      <c r="F302" s="764" t="s">
        <v>1486</v>
      </c>
      <c r="G302" s="739">
        <f>H302+I302</f>
        <v>120000</v>
      </c>
      <c r="H302" s="407">
        <v>120000</v>
      </c>
      <c r="I302" s="538">
        <v>0</v>
      </c>
      <c r="J302" s="538">
        <v>0</v>
      </c>
      <c r="K302" s="173"/>
      <c r="L302" s="173"/>
      <c r="M302" s="173"/>
    </row>
    <row r="303" spans="1:13" ht="160.5" customHeight="1" thickTop="1" thickBot="1" x14ac:dyDescent="0.25">
      <c r="A303" s="460" t="s">
        <v>167</v>
      </c>
      <c r="B303" s="460"/>
      <c r="C303" s="460"/>
      <c r="D303" s="461" t="s">
        <v>359</v>
      </c>
      <c r="E303" s="460"/>
      <c r="F303" s="460"/>
      <c r="G303" s="462">
        <f>G304</f>
        <v>8695970</v>
      </c>
      <c r="H303" s="462">
        <f t="shared" ref="H303:J303" si="42">H304</f>
        <v>8113238</v>
      </c>
      <c r="I303" s="462">
        <f t="shared" si="42"/>
        <v>582732</v>
      </c>
      <c r="J303" s="462">
        <f t="shared" si="42"/>
        <v>582732</v>
      </c>
      <c r="K303" s="111" t="b">
        <f>H303='d3'!E358</f>
        <v>1</v>
      </c>
      <c r="L303" s="112" t="b">
        <f>I303='d3'!J358</f>
        <v>1</v>
      </c>
      <c r="M303" s="112" t="b">
        <f>J303='d3'!K358</f>
        <v>1</v>
      </c>
    </row>
    <row r="304" spans="1:13" ht="136.5" thickTop="1" thickBot="1" x14ac:dyDescent="0.25">
      <c r="A304" s="464" t="s">
        <v>168</v>
      </c>
      <c r="B304" s="464"/>
      <c r="C304" s="464"/>
      <c r="D304" s="465" t="s">
        <v>360</v>
      </c>
      <c r="E304" s="466"/>
      <c r="F304" s="466"/>
      <c r="G304" s="466">
        <f>SUM(G305:G315)</f>
        <v>8695970</v>
      </c>
      <c r="H304" s="466">
        <f>SUM(H305:H315)</f>
        <v>8113238</v>
      </c>
      <c r="I304" s="466">
        <f>SUM(I305:I315)</f>
        <v>582732</v>
      </c>
      <c r="J304" s="466">
        <f>SUM(J305:J315)</f>
        <v>582732</v>
      </c>
      <c r="K304" s="173"/>
      <c r="L304" s="173"/>
      <c r="M304" s="173"/>
    </row>
    <row r="305" spans="1:13" s="709" customFormat="1" ht="184.5" thickTop="1" thickBot="1" x14ac:dyDescent="0.25">
      <c r="A305" s="706" t="s">
        <v>1410</v>
      </c>
      <c r="B305" s="706" t="s">
        <v>1249</v>
      </c>
      <c r="C305" s="706" t="s">
        <v>211</v>
      </c>
      <c r="D305" s="470" t="s">
        <v>1250</v>
      </c>
      <c r="E305" s="399" t="s">
        <v>1201</v>
      </c>
      <c r="F305" s="399" t="s">
        <v>1405</v>
      </c>
      <c r="G305" s="407">
        <f>H305+I305</f>
        <v>951800</v>
      </c>
      <c r="H305" s="399">
        <f>'d3'!E361</f>
        <v>794919</v>
      </c>
      <c r="I305" s="399">
        <f>'d3'!J361</f>
        <v>156881</v>
      </c>
      <c r="J305" s="399">
        <f>'d3'!K361</f>
        <v>156881</v>
      </c>
      <c r="K305" s="173"/>
      <c r="L305" s="173"/>
      <c r="M305" s="173"/>
    </row>
    <row r="306" spans="1:13" ht="138.75" thickTop="1" thickBot="1" x14ac:dyDescent="0.25">
      <c r="A306" s="546" t="s">
        <v>1032</v>
      </c>
      <c r="B306" s="546" t="s">
        <v>355</v>
      </c>
      <c r="C306" s="546" t="s">
        <v>171</v>
      </c>
      <c r="D306" s="546" t="s">
        <v>267</v>
      </c>
      <c r="E306" s="406" t="s">
        <v>1369</v>
      </c>
      <c r="F306" s="399" t="s">
        <v>1370</v>
      </c>
      <c r="G306" s="407">
        <f>H306+I306</f>
        <v>50000</v>
      </c>
      <c r="H306" s="399">
        <v>50000</v>
      </c>
      <c r="I306" s="399">
        <v>0</v>
      </c>
      <c r="J306" s="399">
        <v>0</v>
      </c>
      <c r="K306" s="111" t="b">
        <f>H306='d3'!E364</f>
        <v>1</v>
      </c>
      <c r="L306" s="112" t="b">
        <f>I306='d3'!J364</f>
        <v>1</v>
      </c>
      <c r="M306" s="112" t="b">
        <f>J306='d3'!K364</f>
        <v>1</v>
      </c>
    </row>
    <row r="307" spans="1:13" ht="138.75" thickTop="1" thickBot="1" x14ac:dyDescent="0.25">
      <c r="A307" s="546" t="s">
        <v>265</v>
      </c>
      <c r="B307" s="546" t="s">
        <v>266</v>
      </c>
      <c r="C307" s="546" t="s">
        <v>264</v>
      </c>
      <c r="D307" s="546" t="s">
        <v>263</v>
      </c>
      <c r="E307" s="406" t="s">
        <v>1389</v>
      </c>
      <c r="F307" s="399" t="s">
        <v>1210</v>
      </c>
      <c r="G307" s="407">
        <f>H307+I307</f>
        <v>5765000</v>
      </c>
      <c r="H307" s="399">
        <f>(((2455000)+3000000)+650000)-340000</f>
        <v>5765000</v>
      </c>
      <c r="I307" s="399">
        <v>0</v>
      </c>
      <c r="J307" s="399">
        <v>0</v>
      </c>
      <c r="K307" s="111" t="b">
        <f>H307+H308='d3'!E366</f>
        <v>1</v>
      </c>
      <c r="L307" s="112" t="b">
        <f>I307+I308='d3'!J366</f>
        <v>1</v>
      </c>
      <c r="M307" s="112" t="b">
        <f>J307+J308='d3'!K366</f>
        <v>1</v>
      </c>
    </row>
    <row r="308" spans="1:13" ht="138.75" thickTop="1" thickBot="1" x14ac:dyDescent="0.25">
      <c r="A308" s="546" t="s">
        <v>265</v>
      </c>
      <c r="B308" s="546" t="s">
        <v>266</v>
      </c>
      <c r="C308" s="546" t="s">
        <v>264</v>
      </c>
      <c r="D308" s="546" t="s">
        <v>263</v>
      </c>
      <c r="E308" s="406" t="s">
        <v>1525</v>
      </c>
      <c r="F308" s="457" t="s">
        <v>430</v>
      </c>
      <c r="G308" s="407">
        <f t="shared" ref="G308:G315" si="43">H308+I308</f>
        <v>100000</v>
      </c>
      <c r="H308" s="399">
        <v>100000</v>
      </c>
      <c r="I308" s="399">
        <v>0</v>
      </c>
      <c r="J308" s="399">
        <v>0</v>
      </c>
      <c r="K308" s="173"/>
      <c r="L308" s="173"/>
      <c r="M308" s="310"/>
    </row>
    <row r="309" spans="1:13" ht="230.25" thickTop="1" thickBot="1" x14ac:dyDescent="0.25">
      <c r="A309" s="546" t="s">
        <v>257</v>
      </c>
      <c r="B309" s="546" t="s">
        <v>259</v>
      </c>
      <c r="C309" s="546" t="s">
        <v>218</v>
      </c>
      <c r="D309" s="546" t="s">
        <v>258</v>
      </c>
      <c r="E309" s="399" t="s">
        <v>1357</v>
      </c>
      <c r="F309" s="399" t="s">
        <v>872</v>
      </c>
      <c r="G309" s="407">
        <f t="shared" si="43"/>
        <v>955000</v>
      </c>
      <c r="H309" s="399">
        <f>(615000)+340000</f>
        <v>955000</v>
      </c>
      <c r="I309" s="399">
        <v>0</v>
      </c>
      <c r="J309" s="399">
        <v>0</v>
      </c>
      <c r="K309" s="111" t="b">
        <f>H309='d3'!E367</f>
        <v>1</v>
      </c>
      <c r="L309" s="112" t="b">
        <f>I309='d3'!J367</f>
        <v>1</v>
      </c>
      <c r="M309" s="112" t="b">
        <f>J309='d3'!K367</f>
        <v>1</v>
      </c>
    </row>
    <row r="310" spans="1:13" s="709" customFormat="1" ht="138.75" thickTop="1" thickBot="1" x14ac:dyDescent="0.25">
      <c r="A310" s="706" t="s">
        <v>1404</v>
      </c>
      <c r="B310" s="706" t="s">
        <v>217</v>
      </c>
      <c r="C310" s="706" t="s">
        <v>218</v>
      </c>
      <c r="D310" s="706" t="s">
        <v>41</v>
      </c>
      <c r="E310" s="399" t="s">
        <v>1201</v>
      </c>
      <c r="F310" s="399" t="s">
        <v>1405</v>
      </c>
      <c r="G310" s="407">
        <f t="shared" si="43"/>
        <v>237650</v>
      </c>
      <c r="H310" s="399">
        <f>'d3'!E368</f>
        <v>42254</v>
      </c>
      <c r="I310" s="399">
        <f>'d3'!J368</f>
        <v>195396</v>
      </c>
      <c r="J310" s="399">
        <f>'d3'!K368</f>
        <v>195396</v>
      </c>
      <c r="K310" s="111"/>
      <c r="L310" s="112"/>
      <c r="M310" s="112"/>
    </row>
    <row r="311" spans="1:13" ht="138.75" hidden="1" thickTop="1" thickBot="1" x14ac:dyDescent="0.25">
      <c r="A311" s="162" t="s">
        <v>261</v>
      </c>
      <c r="B311" s="162" t="s">
        <v>262</v>
      </c>
      <c r="C311" s="162" t="s">
        <v>171</v>
      </c>
      <c r="D311" s="162" t="s">
        <v>260</v>
      </c>
      <c r="E311" s="233" t="s">
        <v>1201</v>
      </c>
      <c r="F311" s="233" t="s">
        <v>596</v>
      </c>
      <c r="G311" s="305">
        <f t="shared" si="43"/>
        <v>0</v>
      </c>
      <c r="H311" s="233"/>
      <c r="I311" s="233"/>
      <c r="J311" s="233"/>
    </row>
    <row r="312" spans="1:13" ht="184.5" hidden="1" thickTop="1" thickBot="1" x14ac:dyDescent="0.25">
      <c r="A312" s="44" t="s">
        <v>261</v>
      </c>
      <c r="B312" s="44" t="s">
        <v>262</v>
      </c>
      <c r="C312" s="44" t="s">
        <v>171</v>
      </c>
      <c r="D312" s="44" t="s">
        <v>260</v>
      </c>
      <c r="E312" s="307" t="s">
        <v>972</v>
      </c>
      <c r="F312" s="77" t="s">
        <v>973</v>
      </c>
      <c r="G312" s="308">
        <f t="shared" si="43"/>
        <v>0</v>
      </c>
      <c r="H312" s="77">
        <v>0</v>
      </c>
      <c r="I312" s="77">
        <v>0</v>
      </c>
      <c r="J312" s="77">
        <v>0</v>
      </c>
      <c r="K312" s="303"/>
      <c r="L312" s="310"/>
      <c r="M312" s="311"/>
    </row>
    <row r="313" spans="1:13" ht="184.5" thickTop="1" thickBot="1" x14ac:dyDescent="0.25">
      <c r="A313" s="706" t="s">
        <v>261</v>
      </c>
      <c r="B313" s="706" t="s">
        <v>262</v>
      </c>
      <c r="C313" s="706" t="s">
        <v>171</v>
      </c>
      <c r="D313" s="706" t="s">
        <v>260</v>
      </c>
      <c r="E313" s="406" t="s">
        <v>1487</v>
      </c>
      <c r="F313" s="457" t="s">
        <v>1488</v>
      </c>
      <c r="G313" s="407">
        <f t="shared" si="43"/>
        <v>300000</v>
      </c>
      <c r="H313" s="399">
        <f>(300000)-80000</f>
        <v>220000</v>
      </c>
      <c r="I313" s="399">
        <f>0+80000</f>
        <v>80000</v>
      </c>
      <c r="J313" s="834">
        <f>0+80000</f>
        <v>80000</v>
      </c>
      <c r="K313" s="111" t="b">
        <f>'d3'!E370=H311+H312+H313</f>
        <v>1</v>
      </c>
      <c r="L313" s="112" t="b">
        <f>'d3'!J370=I311+I312+I313</f>
        <v>1</v>
      </c>
      <c r="M313" s="112" t="b">
        <f>'d3'!K370=J311+J312+J313</f>
        <v>1</v>
      </c>
    </row>
    <row r="314" spans="1:13" s="709" customFormat="1" ht="138.75" thickTop="1" thickBot="1" x14ac:dyDescent="0.25">
      <c r="A314" s="706" t="s">
        <v>1408</v>
      </c>
      <c r="B314" s="706" t="s">
        <v>1238</v>
      </c>
      <c r="C314" s="706" t="s">
        <v>1236</v>
      </c>
      <c r="D314" s="706" t="s">
        <v>1235</v>
      </c>
      <c r="E314" s="399" t="s">
        <v>1201</v>
      </c>
      <c r="F314" s="399" t="s">
        <v>1405</v>
      </c>
      <c r="G314" s="407">
        <f t="shared" ref="G314" si="44">H314+I314</f>
        <v>336520</v>
      </c>
      <c r="H314" s="399">
        <f>'d3'!E373</f>
        <v>186065</v>
      </c>
      <c r="I314" s="399">
        <f>'d3'!J373</f>
        <v>150455</v>
      </c>
      <c r="J314" s="399">
        <f>'d3'!K373</f>
        <v>150455</v>
      </c>
      <c r="K314" s="303"/>
      <c r="L314" s="310"/>
      <c r="M314" s="311"/>
    </row>
    <row r="315" spans="1:13" ht="138.75" hidden="1" thickTop="1" thickBot="1" x14ac:dyDescent="0.25">
      <c r="A315" s="44" t="s">
        <v>921</v>
      </c>
      <c r="B315" s="44" t="s">
        <v>368</v>
      </c>
      <c r="C315" s="44" t="s">
        <v>43</v>
      </c>
      <c r="D315" s="44" t="s">
        <v>369</v>
      </c>
      <c r="E315" s="307" t="s">
        <v>870</v>
      </c>
      <c r="F315" s="77" t="s">
        <v>871</v>
      </c>
      <c r="G315" s="308">
        <f t="shared" si="43"/>
        <v>0</v>
      </c>
      <c r="H315" s="77">
        <f>'d3'!E376</f>
        <v>0</v>
      </c>
      <c r="I315" s="77">
        <f>'d3'!J376</f>
        <v>0</v>
      </c>
      <c r="J315" s="77">
        <f>'d3'!K376</f>
        <v>0</v>
      </c>
      <c r="K315" s="303"/>
      <c r="L315" s="310"/>
      <c r="M315" s="311"/>
    </row>
    <row r="316" spans="1:13" ht="181.5" thickTop="1" thickBot="1" x14ac:dyDescent="0.25">
      <c r="A316" s="460" t="s">
        <v>165</v>
      </c>
      <c r="B316" s="460"/>
      <c r="C316" s="460"/>
      <c r="D316" s="461" t="s">
        <v>899</v>
      </c>
      <c r="E316" s="460"/>
      <c r="F316" s="460"/>
      <c r="G316" s="462">
        <f>G317</f>
        <v>4145434</v>
      </c>
      <c r="H316" s="462">
        <f t="shared" ref="H316:J316" si="45">H317</f>
        <v>36131</v>
      </c>
      <c r="I316" s="462">
        <f t="shared" si="45"/>
        <v>4109303</v>
      </c>
      <c r="J316" s="462">
        <f t="shared" si="45"/>
        <v>152869</v>
      </c>
      <c r="K316" s="111" t="b">
        <f>H316='d3'!E378-'d3'!E380+H318</f>
        <v>1</v>
      </c>
      <c r="L316" s="112" t="b">
        <f>I316='d3'!J378-'d3'!J380+'d7'!I318</f>
        <v>1</v>
      </c>
      <c r="M316" s="112" t="b">
        <f>J316='d3'!K378-'d3'!K380+'d7'!J318</f>
        <v>1</v>
      </c>
    </row>
    <row r="317" spans="1:13" ht="181.5" thickTop="1" thickBot="1" x14ac:dyDescent="0.25">
      <c r="A317" s="464" t="s">
        <v>166</v>
      </c>
      <c r="B317" s="464"/>
      <c r="C317" s="464"/>
      <c r="D317" s="465" t="s">
        <v>900</v>
      </c>
      <c r="E317" s="466"/>
      <c r="F317" s="466"/>
      <c r="G317" s="466">
        <f>SUM(G318:G322)</f>
        <v>4145434</v>
      </c>
      <c r="H317" s="466">
        <f>SUM(H318:H322)</f>
        <v>36131</v>
      </c>
      <c r="I317" s="466">
        <f>SUM(I318:I322)</f>
        <v>4109303</v>
      </c>
      <c r="J317" s="466">
        <f>SUM(J318:J322)</f>
        <v>152869</v>
      </c>
      <c r="K317" s="173"/>
      <c r="L317" s="173"/>
      <c r="M317" s="173"/>
    </row>
    <row r="318" spans="1:13" ht="184.5" hidden="1" thickTop="1" thickBot="1" x14ac:dyDescent="0.25">
      <c r="A318" s="162" t="s">
        <v>427</v>
      </c>
      <c r="B318" s="162" t="s">
        <v>241</v>
      </c>
      <c r="C318" s="162" t="s">
        <v>239</v>
      </c>
      <c r="D318" s="162" t="s">
        <v>240</v>
      </c>
      <c r="E318" s="304" t="s">
        <v>1061</v>
      </c>
      <c r="F318" s="233" t="s">
        <v>867</v>
      </c>
      <c r="G318" s="233">
        <f>H318+I318</f>
        <v>0</v>
      </c>
      <c r="H318" s="305"/>
      <c r="I318" s="233"/>
      <c r="J318" s="233"/>
      <c r="K318" s="173"/>
      <c r="L318" s="173"/>
      <c r="M318" s="173"/>
    </row>
    <row r="319" spans="1:13" ht="391.7" hidden="1" customHeight="1" thickTop="1" thickBot="1" x14ac:dyDescent="0.25">
      <c r="A319" s="162" t="s">
        <v>642</v>
      </c>
      <c r="B319" s="162" t="s">
        <v>367</v>
      </c>
      <c r="C319" s="162" t="s">
        <v>634</v>
      </c>
      <c r="D319" s="162" t="s">
        <v>635</v>
      </c>
      <c r="E319" s="314" t="s">
        <v>895</v>
      </c>
      <c r="F319" s="315" t="s">
        <v>896</v>
      </c>
      <c r="G319" s="233">
        <f t="shared" ref="G319" si="46">H319+I319</f>
        <v>0</v>
      </c>
      <c r="H319" s="305">
        <f>'d3'!E381</f>
        <v>0</v>
      </c>
      <c r="I319" s="322"/>
      <c r="J319" s="322"/>
      <c r="K319" s="173"/>
      <c r="L319" s="173"/>
      <c r="M319" s="173"/>
    </row>
    <row r="320" spans="1:13" ht="138.75" thickTop="1" thickBot="1" x14ac:dyDescent="0.25">
      <c r="A320" s="130" t="s">
        <v>1170</v>
      </c>
      <c r="B320" s="130" t="s">
        <v>1171</v>
      </c>
      <c r="C320" s="130" t="s">
        <v>51</v>
      </c>
      <c r="D320" s="130" t="s">
        <v>1172</v>
      </c>
      <c r="E320" s="406" t="s">
        <v>1256</v>
      </c>
      <c r="F320" s="399" t="s">
        <v>971</v>
      </c>
      <c r="G320" s="407">
        <f t="shared" ref="G320:G322" si="47">H320+I320</f>
        <v>3178434</v>
      </c>
      <c r="H320" s="399">
        <f>'d3'!E384</f>
        <v>0</v>
      </c>
      <c r="I320" s="399">
        <f>(572000)+46434+40000+13000+520000+100000+420000+78000+1200000+189000</f>
        <v>3178434</v>
      </c>
      <c r="J320" s="399">
        <f>'d3'!K384</f>
        <v>0</v>
      </c>
      <c r="K320" s="111" t="b">
        <f>H320+H321='d3'!E384</f>
        <v>1</v>
      </c>
      <c r="L320" s="111" t="b">
        <f>I320+I321='d3'!J384</f>
        <v>1</v>
      </c>
      <c r="M320" s="111" t="b">
        <f>J320+J321='d3'!K384</f>
        <v>1</v>
      </c>
    </row>
    <row r="321" spans="1:15" s="134" customFormat="1" ht="184.5" thickTop="1" thickBot="1" x14ac:dyDescent="0.25">
      <c r="A321" s="130" t="s">
        <v>1170</v>
      </c>
      <c r="B321" s="130" t="s">
        <v>1171</v>
      </c>
      <c r="C321" s="130" t="s">
        <v>51</v>
      </c>
      <c r="D321" s="130" t="s">
        <v>1172</v>
      </c>
      <c r="E321" s="406" t="s">
        <v>1362</v>
      </c>
      <c r="F321" s="399" t="s">
        <v>1309</v>
      </c>
      <c r="G321" s="407">
        <f t="shared" si="47"/>
        <v>778000</v>
      </c>
      <c r="H321" s="399">
        <v>0</v>
      </c>
      <c r="I321" s="399">
        <v>778000</v>
      </c>
      <c r="J321" s="399">
        <v>0</v>
      </c>
      <c r="K321" s="173"/>
      <c r="L321" s="173"/>
      <c r="M321" s="173"/>
    </row>
    <row r="322" spans="1:15" s="134" customFormat="1" ht="184.5" thickTop="1" thickBot="1" x14ac:dyDescent="0.25">
      <c r="A322" s="130" t="s">
        <v>1305</v>
      </c>
      <c r="B322" s="130" t="s">
        <v>519</v>
      </c>
      <c r="C322" s="130" t="s">
        <v>43</v>
      </c>
      <c r="D322" s="130" t="s">
        <v>520</v>
      </c>
      <c r="E322" s="406" t="s">
        <v>1362</v>
      </c>
      <c r="F322" s="399" t="s">
        <v>1309</v>
      </c>
      <c r="G322" s="407">
        <f t="shared" si="47"/>
        <v>189000</v>
      </c>
      <c r="H322" s="399">
        <f>'d3'!E386</f>
        <v>36131</v>
      </c>
      <c r="I322" s="399">
        <f>'d3'!J386</f>
        <v>152869</v>
      </c>
      <c r="J322" s="399">
        <f>'d3'!K386</f>
        <v>152869</v>
      </c>
      <c r="K322" s="173"/>
      <c r="L322" s="173"/>
      <c r="M322" s="173"/>
    </row>
    <row r="323" spans="1:15" ht="136.5" thickTop="1" thickBot="1" x14ac:dyDescent="0.25">
      <c r="A323" s="460" t="s">
        <v>163</v>
      </c>
      <c r="B323" s="460"/>
      <c r="C323" s="460"/>
      <c r="D323" s="461" t="s">
        <v>912</v>
      </c>
      <c r="E323" s="460"/>
      <c r="F323" s="460"/>
      <c r="G323" s="462">
        <f>G324</f>
        <v>1598000</v>
      </c>
      <c r="H323" s="462">
        <f t="shared" ref="H323:J323" si="48">H324</f>
        <v>190000</v>
      </c>
      <c r="I323" s="462">
        <f t="shared" si="48"/>
        <v>1408000</v>
      </c>
      <c r="J323" s="462">
        <f t="shared" si="48"/>
        <v>1408000</v>
      </c>
      <c r="K323" s="111" t="b">
        <f>H323='d3'!E388-'d3'!E390+H325</f>
        <v>1</v>
      </c>
      <c r="L323" s="112" t="b">
        <f>I323='d3'!J388-'d3'!J390+I325</f>
        <v>1</v>
      </c>
      <c r="M323" s="112" t="b">
        <f>J323='d3'!K388-'d3'!K390+J325</f>
        <v>1</v>
      </c>
    </row>
    <row r="324" spans="1:15" ht="181.5" thickTop="1" thickBot="1" x14ac:dyDescent="0.25">
      <c r="A324" s="464" t="s">
        <v>164</v>
      </c>
      <c r="B324" s="464"/>
      <c r="C324" s="464"/>
      <c r="D324" s="465" t="s">
        <v>913</v>
      </c>
      <c r="E324" s="466"/>
      <c r="F324" s="466"/>
      <c r="G324" s="466">
        <f>SUM(G325:G328)</f>
        <v>1598000</v>
      </c>
      <c r="H324" s="466">
        <f>SUM(H325:H328)</f>
        <v>190000</v>
      </c>
      <c r="I324" s="466">
        <f>SUM(I325:I328)</f>
        <v>1408000</v>
      </c>
      <c r="J324" s="466">
        <f>SUM(J325:J328)</f>
        <v>1408000</v>
      </c>
      <c r="K324" s="173"/>
      <c r="L324" s="173"/>
      <c r="M324" s="173"/>
    </row>
    <row r="325" spans="1:15" ht="184.5" thickTop="1" thickBot="1" x14ac:dyDescent="0.25">
      <c r="A325" s="717" t="s">
        <v>423</v>
      </c>
      <c r="B325" s="717" t="s">
        <v>241</v>
      </c>
      <c r="C325" s="717" t="s">
        <v>239</v>
      </c>
      <c r="D325" s="717" t="s">
        <v>240</v>
      </c>
      <c r="E325" s="406" t="s">
        <v>1061</v>
      </c>
      <c r="F325" s="399" t="s">
        <v>867</v>
      </c>
      <c r="G325" s="399">
        <f>H325+I325</f>
        <v>85500</v>
      </c>
      <c r="H325" s="407">
        <v>0</v>
      </c>
      <c r="I325" s="399">
        <v>85500</v>
      </c>
      <c r="J325" s="399">
        <v>85500</v>
      </c>
      <c r="K325" s="173"/>
      <c r="L325" s="173"/>
      <c r="M325" s="173"/>
    </row>
    <row r="326" spans="1:15" ht="138.75" thickTop="1" thickBot="1" x14ac:dyDescent="0.25">
      <c r="A326" s="546" t="s">
        <v>311</v>
      </c>
      <c r="B326" s="546" t="s">
        <v>312</v>
      </c>
      <c r="C326" s="546" t="s">
        <v>313</v>
      </c>
      <c r="D326" s="546" t="s">
        <v>466</v>
      </c>
      <c r="E326" s="406" t="s">
        <v>1369</v>
      </c>
      <c r="F326" s="399" t="s">
        <v>1370</v>
      </c>
      <c r="G326" s="407">
        <f t="shared" ref="G326:G328" si="49">H326+I326</f>
        <v>1210000</v>
      </c>
      <c r="H326" s="399">
        <v>0</v>
      </c>
      <c r="I326" s="399">
        <f>'d3'!J393</f>
        <v>1210000</v>
      </c>
      <c r="J326" s="399">
        <f>'d3'!K393</f>
        <v>1210000</v>
      </c>
      <c r="K326" s="173"/>
      <c r="L326" s="173"/>
      <c r="M326" s="173"/>
    </row>
    <row r="327" spans="1:15" ht="138.75" thickTop="1" thickBot="1" x14ac:dyDescent="0.25">
      <c r="A327" s="546" t="s">
        <v>311</v>
      </c>
      <c r="B327" s="546" t="s">
        <v>312</v>
      </c>
      <c r="C327" s="546" t="s">
        <v>313</v>
      </c>
      <c r="D327" s="546" t="s">
        <v>466</v>
      </c>
      <c r="E327" s="406" t="s">
        <v>1256</v>
      </c>
      <c r="F327" s="399" t="s">
        <v>971</v>
      </c>
      <c r="G327" s="407">
        <f t="shared" si="49"/>
        <v>190000</v>
      </c>
      <c r="H327" s="399">
        <v>190000</v>
      </c>
      <c r="I327" s="399">
        <v>0</v>
      </c>
      <c r="J327" s="399">
        <v>0</v>
      </c>
      <c r="K327" s="173"/>
      <c r="L327" s="173"/>
      <c r="M327" s="173"/>
    </row>
    <row r="328" spans="1:15" ht="138.75" thickTop="1" thickBot="1" x14ac:dyDescent="1.2">
      <c r="A328" s="546" t="s">
        <v>373</v>
      </c>
      <c r="B328" s="546" t="s">
        <v>374</v>
      </c>
      <c r="C328" s="546" t="s">
        <v>171</v>
      </c>
      <c r="D328" s="546" t="s">
        <v>375</v>
      </c>
      <c r="E328" s="406" t="s">
        <v>1369</v>
      </c>
      <c r="F328" s="399" t="s">
        <v>1370</v>
      </c>
      <c r="G328" s="407">
        <f t="shared" si="49"/>
        <v>112500</v>
      </c>
      <c r="H328" s="399">
        <f>'d3'!E395</f>
        <v>0</v>
      </c>
      <c r="I328" s="399">
        <f>'d3'!J395</f>
        <v>112500</v>
      </c>
      <c r="J328" s="399">
        <f>'d3'!K395</f>
        <v>112500</v>
      </c>
      <c r="K328" s="408" t="b">
        <f>G334=G328+G327+G326+G321+G320+G309+G308+G307+G306+G301+G296+G289+G288+G278+G276+G273+G272+G271+G270+G268+G264+G263+G247+G245+G242+G241+G240+G238+G235+G234+G233+G224+G223+G219+G213+G212+G211+G210+G205+G202+G201+G200+G199+G198+G196+G194+G193+G192+G191+G190+G188+G182+G181+G180+G179+G178+G177+G176+G173+G171+G168+G167+G165+G157+G154+G153+G151+G149+G148+G147+G146+G144+G143+G141+G138+G136+G135+G134+G133+G132+G131+G130+G129+G128+G127+G126+G125+G116+G114+G113+G112+G111+G109+G105+G104+G103+G101+G100+G95+G93+G92+G91+G86+G78+G76+G74+G73+G71+G70+G69+G68+G64+G62+G61+G58+G57+G55+G42+G41+G40+G39+G38+G37+G36+G35+G33+G32+G29+G26+G25+G24+G23+G22+G20+G17+G28+G99+G142+G72+G66+G65+G77+G84+G46+G45+G44+G43+G52+G325+G322+G314+G313+G310+G305+G300+G299+G290+G287+G258+G257+G255+G254+G253+G252+G251+G250+G249+G244+G236+G231+G226+G221+G218+G216+G175+G160+G124+G94+G50+G47+G302+G203+G155+G51+G243+G156+G145+G248+G197+G295+G215+G189+G172+G166+G152+G137+G106+G102+G59+G333+G293+G280+G279+G275+G274+G260+G256+G237+G225+G220+G217+G214+G209+G204+G183+G139+G123+G90+G89+G88+G49+G48+G31+G27+G21</f>
        <v>1</v>
      </c>
      <c r="L328" s="408" t="b">
        <f t="shared" ref="L328:N328" si="50">H334=H328+H327+H326+H321+H320+H309+H308+H307+H306+H301+H296+H289+H288+H278+H276+H273+H272+H271+H270+H268+H264+H263+H247+H245+H242+H241+H240+H238+H235+H234+H233+H224+H223+H219+H213+H212+H211+H210+H205+H202+H201+H200+H199+H198+H196+H194+H193+H192+H191+H190+H188+H182+H181+H180+H179+H178+H177+H176+H173+H171+H168+H167+H165+H157+H154+H153+H151+H149+H148+H147+H146+H144+H143+H141+H138+H136+H135+H134+H133+H132+H131+H130+H129+H128+H127+H126+H125+H116+H114+H113+H112+H111+H109+H105+H104+H103+H101+H100+H95+H93+H92+H91+H86+H78+H76+H74+H73+H71+H70+H69+H68+H64+H62+H61+H58+H57+H55+H42+H41+H40+H39+H38+H37+H36+H35+H33+H32+H29+H26+H25+H24+H23+H22+H20+H17+H28+H99+H142+H72+H66+H65+H77+H84+H46+H45+H44+H43+H52+H325+H322+H314+H313+H310+H305+H300+H299+H290+H287+H258+H257+H255+H254+H253+H252+H251+H250+H249+H244+H236+H231+H226+H221+H218+H216+H175+H160+H124+H94+H50+H47+H302+H203+H155+H51+H243+H156+H145+H248+H197+H295+H215+H189+H172+H166+H152+H137+H106+H102+H59+H333+H293+H280+H279+H275+H274+H260+H256+H237+H225+H220+H217+H214+H209+H204+H183+H139+H123+H90+H89+H88+H49+H48+H31+H27+H21</f>
        <v>1</v>
      </c>
      <c r="M328" s="408" t="b">
        <f t="shared" si="50"/>
        <v>1</v>
      </c>
      <c r="N328" s="408" t="b">
        <f t="shared" si="50"/>
        <v>1</v>
      </c>
    </row>
    <row r="329" spans="1:15" ht="91.5" thickTop="1" thickBot="1" x14ac:dyDescent="0.25">
      <c r="A329" s="460" t="s">
        <v>169</v>
      </c>
      <c r="B329" s="460"/>
      <c r="C329" s="460"/>
      <c r="D329" s="461" t="s">
        <v>27</v>
      </c>
      <c r="E329" s="460"/>
      <c r="F329" s="460"/>
      <c r="G329" s="462">
        <f>G330</f>
        <v>8941082.5</v>
      </c>
      <c r="H329" s="462">
        <f t="shared" ref="H329:J329" si="51">H330</f>
        <v>0</v>
      </c>
      <c r="I329" s="462">
        <f t="shared" si="51"/>
        <v>8941082.5</v>
      </c>
      <c r="J329" s="462">
        <f t="shared" si="51"/>
        <v>8941082.5</v>
      </c>
      <c r="K329" s="173"/>
      <c r="L329" s="173"/>
      <c r="M329" s="173"/>
    </row>
    <row r="330" spans="1:15" ht="136.5" thickTop="1" thickBot="1" x14ac:dyDescent="0.25">
      <c r="A330" s="464" t="s">
        <v>170</v>
      </c>
      <c r="B330" s="464"/>
      <c r="C330" s="464"/>
      <c r="D330" s="465" t="s">
        <v>40</v>
      </c>
      <c r="E330" s="466"/>
      <c r="F330" s="466"/>
      <c r="G330" s="466">
        <f>SUM(G331:G333)</f>
        <v>8941082.5</v>
      </c>
      <c r="H330" s="466">
        <f t="shared" ref="H330:J330" si="52">SUM(H331:H333)</f>
        <v>0</v>
      </c>
      <c r="I330" s="466">
        <f t="shared" si="52"/>
        <v>8941082.5</v>
      </c>
      <c r="J330" s="466">
        <f t="shared" si="52"/>
        <v>8941082.5</v>
      </c>
      <c r="K330" s="173"/>
      <c r="L330" s="173"/>
      <c r="M330" s="173"/>
    </row>
    <row r="331" spans="1:15" ht="184.5" hidden="1" thickTop="1" thickBot="1" x14ac:dyDescent="0.25">
      <c r="A331" s="44" t="s">
        <v>425</v>
      </c>
      <c r="B331" s="44" t="s">
        <v>241</v>
      </c>
      <c r="C331" s="44" t="s">
        <v>239</v>
      </c>
      <c r="D331" s="44" t="s">
        <v>240</v>
      </c>
      <c r="E331" s="307" t="s">
        <v>1061</v>
      </c>
      <c r="F331" s="77" t="s">
        <v>867</v>
      </c>
      <c r="G331" s="77">
        <f t="shared" ref="G331:G333" si="53">H331+I331</f>
        <v>0</v>
      </c>
      <c r="H331" s="308">
        <f>0</f>
        <v>0</v>
      </c>
      <c r="I331" s="323">
        <v>0</v>
      </c>
      <c r="J331" s="323">
        <v>0</v>
      </c>
      <c r="K331" s="173"/>
      <c r="L331" s="173"/>
      <c r="M331" s="173"/>
    </row>
    <row r="332" spans="1:15" ht="367.5" hidden="1" thickTop="1" thickBot="1" x14ac:dyDescent="1.2">
      <c r="A332" s="162" t="s">
        <v>643</v>
      </c>
      <c r="B332" s="162" t="s">
        <v>367</v>
      </c>
      <c r="C332" s="162" t="s">
        <v>634</v>
      </c>
      <c r="D332" s="162" t="s">
        <v>635</v>
      </c>
      <c r="E332" s="304" t="s">
        <v>1224</v>
      </c>
      <c r="F332" s="233" t="s">
        <v>1225</v>
      </c>
      <c r="G332" s="233">
        <f t="shared" si="53"/>
        <v>0</v>
      </c>
      <c r="H332" s="305">
        <f>'d3'!E400</f>
        <v>0</v>
      </c>
      <c r="I332" s="322">
        <v>0</v>
      </c>
      <c r="J332" s="322">
        <v>0</v>
      </c>
      <c r="O332" s="328"/>
    </row>
    <row r="333" spans="1:15" s="829" customFormat="1" ht="184.5" thickTop="1" thickBot="1" x14ac:dyDescent="1.2">
      <c r="A333" s="825" t="s">
        <v>1493</v>
      </c>
      <c r="B333" s="825" t="s">
        <v>1494</v>
      </c>
      <c r="C333" s="825" t="s">
        <v>171</v>
      </c>
      <c r="D333" s="825" t="s">
        <v>1200</v>
      </c>
      <c r="E333" s="406" t="s">
        <v>1369</v>
      </c>
      <c r="F333" s="826" t="s">
        <v>1370</v>
      </c>
      <c r="G333" s="826">
        <f t="shared" si="53"/>
        <v>8941082.5</v>
      </c>
      <c r="H333" s="407">
        <f>'d4'!F25</f>
        <v>0</v>
      </c>
      <c r="I333" s="538">
        <f>'d4'!G27</f>
        <v>8941082.5</v>
      </c>
      <c r="J333" s="538">
        <f>'d4'!H27</f>
        <v>8941082.5</v>
      </c>
      <c r="K333" s="157"/>
      <c r="L333" s="157"/>
      <c r="M333" s="157"/>
      <c r="O333" s="328"/>
    </row>
    <row r="334" spans="1:15" ht="91.5" thickTop="1" thickBot="1" x14ac:dyDescent="1.2">
      <c r="A334" s="661" t="s">
        <v>386</v>
      </c>
      <c r="B334" s="661" t="s">
        <v>386</v>
      </c>
      <c r="C334" s="661" t="s">
        <v>386</v>
      </c>
      <c r="D334" s="662" t="s">
        <v>396</v>
      </c>
      <c r="E334" s="661" t="s">
        <v>386</v>
      </c>
      <c r="F334" s="661" t="s">
        <v>386</v>
      </c>
      <c r="G334" s="663">
        <f>G16+G54+G186+G98+G122+G164+G267+G304+G317+G324+G292+G286+G230+G208+G330</f>
        <v>5158517339.46</v>
      </c>
      <c r="H334" s="663">
        <f>H16+H54+H186+H98+H122+H164+H267+H304+H317+H324+H292+H286+H230+H208+H330</f>
        <v>3581691347.9999995</v>
      </c>
      <c r="I334" s="663">
        <f>I16+I54+I186+I98+I122+I164+I267+I304+I317+I324+I292+I286+I230+I208+I330</f>
        <v>1576825991.46</v>
      </c>
      <c r="J334" s="663">
        <f>J16+J54+J186+J98+J122+J164+J267+J304+J317+J324+J292+J286+J230+J208+J330</f>
        <v>1372147427.3800001</v>
      </c>
      <c r="K334" s="408" t="b">
        <f>G334=H334+I334</f>
        <v>1</v>
      </c>
      <c r="L334" s="409"/>
      <c r="M334" s="409"/>
      <c r="N334" s="410"/>
    </row>
    <row r="335" spans="1:15" s="15" customFormat="1" ht="31.7" customHeight="1" thickTop="1" x14ac:dyDescent="0.2">
      <c r="A335" s="1019" t="s">
        <v>1358</v>
      </c>
      <c r="B335" s="1020"/>
      <c r="C335" s="1020"/>
      <c r="D335" s="1020"/>
      <c r="E335" s="1020"/>
      <c r="F335" s="1020"/>
      <c r="G335" s="1020"/>
      <c r="H335" s="1020"/>
      <c r="I335" s="1020"/>
      <c r="J335" s="1020"/>
      <c r="K335" s="329"/>
      <c r="L335" s="329"/>
      <c r="M335" s="329"/>
    </row>
    <row r="336" spans="1:15" ht="4.5" customHeight="1" x14ac:dyDescent="0.2">
      <c r="A336" s="602"/>
      <c r="B336" s="603"/>
      <c r="C336" s="603"/>
      <c r="D336" s="603"/>
      <c r="E336" s="603"/>
      <c r="F336" s="603"/>
      <c r="G336" s="603"/>
      <c r="H336" s="603"/>
      <c r="I336" s="603"/>
      <c r="J336" s="603"/>
    </row>
    <row r="337" spans="1:17" ht="75" customHeight="1" x14ac:dyDescent="0.65">
      <c r="A337" s="602"/>
      <c r="B337" s="603"/>
      <c r="C337" s="603"/>
      <c r="D337" s="999" t="s">
        <v>1558</v>
      </c>
      <c r="E337" s="942"/>
      <c r="F337" s="756"/>
      <c r="G337" s="756" t="s">
        <v>1559</v>
      </c>
      <c r="H337" s="19"/>
      <c r="I337" s="19"/>
      <c r="J337" s="19"/>
      <c r="K337" s="331"/>
      <c r="L337" s="239"/>
      <c r="M337" s="332"/>
      <c r="N337" s="333"/>
      <c r="O337" s="239"/>
      <c r="P337" s="239"/>
      <c r="Q337" s="334"/>
    </row>
    <row r="338" spans="1:17" ht="3.75" customHeight="1" x14ac:dyDescent="0.65">
      <c r="A338" s="551"/>
      <c r="B338" s="551"/>
      <c r="C338" s="551"/>
      <c r="D338" s="3"/>
      <c r="E338" s="3"/>
      <c r="F338" s="3"/>
      <c r="G338" s="3"/>
      <c r="H338" s="2"/>
      <c r="I338" s="2"/>
      <c r="J338" s="2"/>
      <c r="K338" s="240"/>
      <c r="L338" s="239"/>
      <c r="M338" s="332"/>
      <c r="N338" s="333"/>
      <c r="O338" s="239"/>
      <c r="P338" s="239"/>
      <c r="Q338" s="334"/>
    </row>
    <row r="339" spans="1:17" ht="93.75" customHeight="1" x14ac:dyDescent="0.65">
      <c r="A339" s="401"/>
      <c r="B339" s="401"/>
      <c r="C339" s="401"/>
      <c r="D339" s="999" t="s">
        <v>529</v>
      </c>
      <c r="E339" s="942"/>
      <c r="F339" s="3"/>
      <c r="G339" s="3" t="s">
        <v>1465</v>
      </c>
      <c r="H339" s="604"/>
      <c r="I339" s="605"/>
      <c r="J339" s="606"/>
      <c r="K339" s="158"/>
      <c r="L339" s="158"/>
      <c r="M339" s="158"/>
      <c r="N339" s="6"/>
      <c r="O339" s="6"/>
      <c r="P339" s="6"/>
      <c r="Q339" s="6"/>
    </row>
    <row r="340" spans="1:17" ht="45.75" x14ac:dyDescent="0.65">
      <c r="D340" s="871"/>
      <c r="E340" s="871"/>
      <c r="F340" s="871"/>
      <c r="G340" s="871"/>
      <c r="H340" s="871"/>
      <c r="I340" s="871"/>
      <c r="J340" s="871"/>
      <c r="K340" s="158"/>
      <c r="L340" s="158"/>
      <c r="M340" s="158"/>
      <c r="N340" s="6"/>
      <c r="O340" s="6"/>
      <c r="P340" s="6"/>
      <c r="Q340" s="6"/>
    </row>
    <row r="341" spans="1:17" x14ac:dyDescent="0.2">
      <c r="E341" s="336"/>
      <c r="F341" s="337"/>
    </row>
    <row r="342" spans="1:17" x14ac:dyDescent="0.2">
      <c r="E342" s="336"/>
      <c r="F342" s="337"/>
    </row>
    <row r="343" spans="1:17" ht="62.25" x14ac:dyDescent="0.8">
      <c r="A343" s="125"/>
      <c r="B343" s="125"/>
      <c r="C343" s="125"/>
      <c r="D343" s="125"/>
      <c r="E343" s="334"/>
      <c r="F343" s="333"/>
      <c r="I343" s="125"/>
      <c r="J343" s="339"/>
    </row>
    <row r="344" spans="1:17" ht="45.75" x14ac:dyDescent="0.2">
      <c r="E344" s="340"/>
      <c r="F344" s="335"/>
    </row>
    <row r="345" spans="1:17" ht="45.75" x14ac:dyDescent="0.2">
      <c r="A345" s="125"/>
      <c r="B345" s="125"/>
      <c r="C345" s="125"/>
      <c r="D345" s="125"/>
      <c r="E345" s="334"/>
      <c r="F345" s="333"/>
      <c r="I345" s="125"/>
      <c r="J345" s="125"/>
    </row>
    <row r="346" spans="1:17" ht="45.75" x14ac:dyDescent="0.2">
      <c r="E346" s="340"/>
      <c r="F346" s="335"/>
    </row>
    <row r="347" spans="1:17" ht="45.75" x14ac:dyDescent="0.2">
      <c r="E347" s="340"/>
      <c r="F347" s="335"/>
    </row>
    <row r="348" spans="1:17" ht="45.75" x14ac:dyDescent="0.2">
      <c r="E348" s="340"/>
      <c r="F348" s="335"/>
    </row>
    <row r="349" spans="1:17" ht="45.75" x14ac:dyDescent="0.2">
      <c r="A349" s="125"/>
      <c r="B349" s="125"/>
      <c r="C349" s="125"/>
      <c r="D349" s="125"/>
      <c r="E349" s="340"/>
      <c r="F349" s="335"/>
      <c r="G349" s="125"/>
      <c r="H349" s="125"/>
      <c r="I349" s="125"/>
      <c r="J349" s="125"/>
    </row>
    <row r="350" spans="1:17" ht="45.75" x14ac:dyDescent="0.2">
      <c r="A350" s="125"/>
      <c r="B350" s="125"/>
      <c r="C350" s="125"/>
      <c r="D350" s="125"/>
      <c r="E350" s="340"/>
      <c r="F350" s="335"/>
      <c r="G350" s="125"/>
      <c r="H350" s="125"/>
      <c r="I350" s="125"/>
      <c r="J350" s="125"/>
    </row>
    <row r="351" spans="1:17" ht="45.75" x14ac:dyDescent="0.2">
      <c r="A351" s="125"/>
      <c r="B351" s="125"/>
      <c r="C351" s="125"/>
      <c r="D351" s="125"/>
      <c r="E351" s="340"/>
      <c r="F351" s="335"/>
      <c r="G351" s="125"/>
      <c r="H351" s="125"/>
      <c r="I351" s="125"/>
      <c r="J351" s="125"/>
    </row>
    <row r="352" spans="1:17" ht="45.75" x14ac:dyDescent="0.2">
      <c r="A352" s="125"/>
      <c r="B352" s="125"/>
      <c r="C352" s="125"/>
      <c r="D352" s="125"/>
      <c r="E352" s="340"/>
      <c r="F352" s="335"/>
      <c r="G352" s="125"/>
      <c r="H352" s="125"/>
      <c r="I352" s="125"/>
      <c r="J352" s="125"/>
    </row>
  </sheetData>
  <mergeCells count="93">
    <mergeCell ref="M151:M154"/>
    <mergeCell ref="I282:I283"/>
    <mergeCell ref="J282:J283"/>
    <mergeCell ref="H260:H261"/>
    <mergeCell ref="I260:I261"/>
    <mergeCell ref="J260:J261"/>
    <mergeCell ref="H282:H283"/>
    <mergeCell ref="G260:G261"/>
    <mergeCell ref="K151:K154"/>
    <mergeCell ref="J33:J34"/>
    <mergeCell ref="G33:G34"/>
    <mergeCell ref="L151:L154"/>
    <mergeCell ref="I161:I162"/>
    <mergeCell ref="J161:J162"/>
    <mergeCell ref="I226:I227"/>
    <mergeCell ref="J226:J227"/>
    <mergeCell ref="H33:H34"/>
    <mergeCell ref="I33:I34"/>
    <mergeCell ref="F282:F283"/>
    <mergeCell ref="A260:A261"/>
    <mergeCell ref="B260:B261"/>
    <mergeCell ref="C260:C261"/>
    <mergeCell ref="E260:E261"/>
    <mergeCell ref="F260:F261"/>
    <mergeCell ref="D245:D246"/>
    <mergeCell ref="A282:A283"/>
    <mergeCell ref="B282:B283"/>
    <mergeCell ref="C282:C283"/>
    <mergeCell ref="E282:E283"/>
    <mergeCell ref="L24:L26"/>
    <mergeCell ref="M24:M26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4:K26"/>
    <mergeCell ref="I1:J1"/>
    <mergeCell ref="I2:J2"/>
    <mergeCell ref="I3:J3"/>
    <mergeCell ref="A5:J5"/>
    <mergeCell ref="A8:J8"/>
    <mergeCell ref="A33:A34"/>
    <mergeCell ref="B33:B34"/>
    <mergeCell ref="C33:C34"/>
    <mergeCell ref="E33:E34"/>
    <mergeCell ref="F33:F34"/>
    <mergeCell ref="A161:A162"/>
    <mergeCell ref="B161:B162"/>
    <mergeCell ref="C161:C162"/>
    <mergeCell ref="E161:E162"/>
    <mergeCell ref="F161:F162"/>
    <mergeCell ref="C226:C227"/>
    <mergeCell ref="E226:E227"/>
    <mergeCell ref="F226:F227"/>
    <mergeCell ref="G226:G227"/>
    <mergeCell ref="H226:H227"/>
    <mergeCell ref="D340:J340"/>
    <mergeCell ref="A335:J335"/>
    <mergeCell ref="H297:H298"/>
    <mergeCell ref="I297:I298"/>
    <mergeCell ref="J297:J298"/>
    <mergeCell ref="D297:D298"/>
    <mergeCell ref="A297:A298"/>
    <mergeCell ref="B297:B298"/>
    <mergeCell ref="C297:C298"/>
    <mergeCell ref="G297:G298"/>
    <mergeCell ref="D339:E339"/>
    <mergeCell ref="D337:E337"/>
    <mergeCell ref="A226:A227"/>
    <mergeCell ref="J82:J83"/>
    <mergeCell ref="A82:A83"/>
    <mergeCell ref="B82:B83"/>
    <mergeCell ref="C82:C83"/>
    <mergeCell ref="D82:D83"/>
    <mergeCell ref="G82:G83"/>
    <mergeCell ref="H82:H83"/>
    <mergeCell ref="I82:I83"/>
    <mergeCell ref="B226:B227"/>
    <mergeCell ref="G117:G118"/>
    <mergeCell ref="H117:H118"/>
    <mergeCell ref="I117:I118"/>
    <mergeCell ref="J117:J118"/>
    <mergeCell ref="G161:G162"/>
    <mergeCell ref="H161:H162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2" manualBreakCount="2">
    <brk id="302" max="9" man="1"/>
    <brk id="339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J167"/>
  <sheetViews>
    <sheetView view="pageBreakPreview" topLeftCell="A23" zoomScale="85" zoomScaleNormal="85" zoomScaleSheetLayoutView="85" workbookViewId="0">
      <selection activeCell="B38" sqref="B38:D38"/>
    </sheetView>
  </sheetViews>
  <sheetFormatPr defaultColWidth="9.140625" defaultRowHeight="12.75" x14ac:dyDescent="0.2"/>
  <cols>
    <col min="1" max="1" width="18.140625" style="124" customWidth="1"/>
    <col min="2" max="2" width="108" style="124" customWidth="1"/>
    <col min="3" max="3" width="4" style="124" hidden="1" customWidth="1"/>
    <col min="4" max="4" width="17" style="124" customWidth="1"/>
    <col min="5" max="5" width="14.7109375" style="124" customWidth="1"/>
    <col min="6" max="6" width="21.85546875" style="124" bestFit="1" customWidth="1"/>
    <col min="7" max="7" width="18.85546875" style="124" bestFit="1" customWidth="1"/>
    <col min="8" max="9" width="9.140625" style="124"/>
    <col min="10" max="10" width="52.5703125" style="124" customWidth="1"/>
    <col min="11" max="16384" width="9.140625" style="124"/>
  </cols>
  <sheetData>
    <row r="1" spans="1:9" ht="16.5" customHeight="1" x14ac:dyDescent="0.2">
      <c r="A1" s="366"/>
      <c r="B1" s="366"/>
      <c r="C1" s="857" t="s">
        <v>600</v>
      </c>
      <c r="D1" s="857"/>
      <c r="E1" s="367"/>
      <c r="F1" s="367"/>
      <c r="G1" s="366"/>
      <c r="H1" s="366"/>
      <c r="I1" s="366"/>
    </row>
    <row r="2" spans="1:9" ht="16.5" customHeight="1" x14ac:dyDescent="0.2">
      <c r="A2" s="366"/>
      <c r="B2" s="366"/>
      <c r="C2" s="1060" t="s">
        <v>979</v>
      </c>
      <c r="D2" s="1061"/>
      <c r="E2" s="1061"/>
      <c r="F2" s="1061"/>
      <c r="G2" s="366"/>
      <c r="H2" s="366"/>
      <c r="I2" s="366"/>
    </row>
    <row r="3" spans="1:9" ht="12.75" customHeight="1" x14ac:dyDescent="0.2">
      <c r="A3" s="366"/>
      <c r="B3" s="366"/>
      <c r="C3" s="857" t="s">
        <v>1398</v>
      </c>
      <c r="D3" s="1057"/>
      <c r="E3" s="366"/>
      <c r="F3" s="366"/>
      <c r="G3" s="366"/>
      <c r="H3" s="366"/>
      <c r="I3" s="366"/>
    </row>
    <row r="4" spans="1:9" ht="12.75" customHeight="1" x14ac:dyDescent="0.2">
      <c r="A4" s="366"/>
      <c r="B4" s="366"/>
      <c r="C4" s="857"/>
      <c r="D4" s="859"/>
      <c r="E4" s="366"/>
      <c r="F4" s="366"/>
      <c r="G4" s="366"/>
      <c r="H4" s="366"/>
      <c r="I4" s="366"/>
    </row>
    <row r="5" spans="1:9" ht="16.5" x14ac:dyDescent="0.25">
      <c r="A5" s="1044" t="s">
        <v>574</v>
      </c>
      <c r="B5" s="1044"/>
      <c r="C5" s="1044"/>
      <c r="D5" s="859"/>
      <c r="E5" s="1062"/>
      <c r="F5" s="1063"/>
      <c r="G5" s="1063"/>
      <c r="H5" s="1063"/>
      <c r="I5" s="1064"/>
    </row>
    <row r="6" spans="1:9" ht="16.5" x14ac:dyDescent="0.25">
      <c r="A6" s="1044" t="s">
        <v>573</v>
      </c>
      <c r="B6" s="1044"/>
      <c r="C6" s="1044"/>
      <c r="D6" s="859"/>
      <c r="E6" s="127"/>
      <c r="F6" s="128"/>
      <c r="G6" s="128"/>
      <c r="H6" s="128"/>
      <c r="I6" s="368"/>
    </row>
    <row r="7" spans="1:9" ht="16.5" x14ac:dyDescent="0.25">
      <c r="A7" s="1045" t="s">
        <v>127</v>
      </c>
      <c r="B7" s="1045"/>
      <c r="C7" s="1045"/>
      <c r="D7" s="1046"/>
      <c r="E7" s="1062"/>
      <c r="F7" s="1062"/>
      <c r="G7" s="1062"/>
      <c r="H7" s="1062"/>
      <c r="I7" s="858"/>
    </row>
    <row r="8" spans="1:9" ht="16.5" x14ac:dyDescent="0.2">
      <c r="A8" s="1045" t="s">
        <v>1293</v>
      </c>
      <c r="B8" s="1045"/>
      <c r="C8" s="1045"/>
      <c r="D8" s="1046"/>
      <c r="E8" s="1065"/>
      <c r="F8" s="1065"/>
      <c r="G8" s="1065"/>
      <c r="H8" s="1065"/>
      <c r="I8" s="1066"/>
    </row>
    <row r="9" spans="1:9" ht="16.5" x14ac:dyDescent="0.2">
      <c r="A9" s="123"/>
      <c r="B9" s="123"/>
      <c r="C9" s="123"/>
      <c r="D9" s="369"/>
      <c r="E9" s="129"/>
      <c r="F9" s="129"/>
      <c r="G9" s="129"/>
      <c r="H9" s="129"/>
      <c r="I9" s="370"/>
    </row>
    <row r="10" spans="1:9" ht="16.5" x14ac:dyDescent="0.2">
      <c r="A10" s="371">
        <v>2256400000</v>
      </c>
      <c r="B10" s="89"/>
      <c r="C10" s="90"/>
      <c r="D10" s="372"/>
      <c r="E10" s="78"/>
      <c r="F10" s="78"/>
      <c r="G10" s="78"/>
      <c r="H10" s="129"/>
      <c r="I10" s="370"/>
    </row>
    <row r="11" spans="1:9" ht="16.5" x14ac:dyDescent="0.2">
      <c r="A11" s="373" t="s">
        <v>495</v>
      </c>
      <c r="B11" s="126"/>
      <c r="C11" s="90"/>
      <c r="D11" s="372"/>
      <c r="E11" s="78"/>
      <c r="F11" s="78"/>
      <c r="G11" s="78"/>
      <c r="H11" s="129"/>
      <c r="I11" s="370"/>
    </row>
    <row r="12" spans="1:9" ht="17.25" thickBot="1" x14ac:dyDescent="0.25">
      <c r="A12" s="374"/>
      <c r="B12" s="374"/>
      <c r="C12" s="91"/>
      <c r="D12" s="91" t="s">
        <v>409</v>
      </c>
      <c r="E12" s="78"/>
      <c r="F12" s="78"/>
      <c r="G12" s="79"/>
      <c r="H12" s="366"/>
      <c r="I12" s="366"/>
    </row>
    <row r="13" spans="1:9" s="341" customFormat="1" ht="50.25" customHeight="1" thickTop="1" thickBot="1" x14ac:dyDescent="0.25">
      <c r="A13" s="678" t="s">
        <v>128</v>
      </c>
      <c r="B13" s="1058" t="s">
        <v>129</v>
      </c>
      <c r="C13" s="1059"/>
      <c r="D13" s="1059"/>
      <c r="E13" s="80"/>
      <c r="F13" s="80"/>
      <c r="G13" s="80"/>
    </row>
    <row r="14" spans="1:9" s="341" customFormat="1" ht="39.75" customHeight="1" thickTop="1" thickBot="1" x14ac:dyDescent="0.25">
      <c r="A14" s="115" t="s">
        <v>130</v>
      </c>
      <c r="B14" s="1041" t="s">
        <v>131</v>
      </c>
      <c r="C14" s="1042"/>
      <c r="D14" s="88">
        <v>100</v>
      </c>
      <c r="E14" s="80"/>
      <c r="F14" s="80"/>
      <c r="G14" s="80"/>
    </row>
    <row r="15" spans="1:9" s="341" customFormat="1" ht="40.700000000000003" customHeight="1" thickTop="1" thickBot="1" x14ac:dyDescent="0.25">
      <c r="A15" s="115" t="s">
        <v>132</v>
      </c>
      <c r="B15" s="1041" t="s">
        <v>133</v>
      </c>
      <c r="C15" s="1042"/>
      <c r="D15" s="88">
        <f>(2200000)+1250000</f>
        <v>3450000</v>
      </c>
      <c r="E15" s="80"/>
      <c r="F15" s="80"/>
      <c r="G15" s="80"/>
    </row>
    <row r="16" spans="1:9" s="341" customFormat="1" ht="66" customHeight="1" thickTop="1" thickBot="1" x14ac:dyDescent="0.25">
      <c r="A16" s="115" t="s">
        <v>134</v>
      </c>
      <c r="B16" s="1041" t="s">
        <v>1295</v>
      </c>
      <c r="C16" s="1042"/>
      <c r="D16" s="88">
        <v>150000</v>
      </c>
      <c r="E16" s="80"/>
      <c r="F16" s="80"/>
      <c r="G16" s="80"/>
    </row>
    <row r="17" spans="1:7" s="341" customFormat="1" ht="41.25" customHeight="1" thickTop="1" thickBot="1" x14ac:dyDescent="0.25">
      <c r="A17" s="115" t="s">
        <v>1029</v>
      </c>
      <c r="B17" s="1041" t="s">
        <v>1030</v>
      </c>
      <c r="C17" s="1042"/>
      <c r="D17" s="88">
        <v>200000</v>
      </c>
      <c r="E17" s="80"/>
      <c r="F17" s="80"/>
      <c r="G17" s="80"/>
    </row>
    <row r="18" spans="1:7" s="341" customFormat="1" ht="41.25" customHeight="1" thickTop="1" thickBot="1" x14ac:dyDescent="0.25">
      <c r="A18" s="115" t="s">
        <v>135</v>
      </c>
      <c r="B18" s="1041" t="s">
        <v>136</v>
      </c>
      <c r="C18" s="1042"/>
      <c r="D18" s="88">
        <v>600</v>
      </c>
      <c r="E18" s="80"/>
      <c r="F18" s="80"/>
      <c r="G18" s="80"/>
    </row>
    <row r="19" spans="1:7" s="341" customFormat="1" ht="41.25" customHeight="1" thickTop="1" thickBot="1" x14ac:dyDescent="0.25">
      <c r="A19" s="115" t="s">
        <v>1296</v>
      </c>
      <c r="B19" s="1041" t="s">
        <v>1297</v>
      </c>
      <c r="C19" s="1042"/>
      <c r="D19" s="88">
        <v>300000</v>
      </c>
      <c r="E19" s="80"/>
      <c r="F19" s="80"/>
      <c r="G19" s="80"/>
    </row>
    <row r="20" spans="1:7" s="341" customFormat="1" ht="41.25" customHeight="1" thickTop="1" thickBot="1" x14ac:dyDescent="0.25">
      <c r="A20" s="115" t="s">
        <v>1298</v>
      </c>
      <c r="B20" s="1041" t="s">
        <v>1299</v>
      </c>
      <c r="C20" s="1042"/>
      <c r="D20" s="88">
        <v>100000</v>
      </c>
      <c r="E20" s="1039" t="s">
        <v>1379</v>
      </c>
      <c r="F20" s="1040"/>
      <c r="G20" s="80"/>
    </row>
    <row r="21" spans="1:7" s="341" customFormat="1" ht="18.75" thickTop="1" thickBot="1" x14ac:dyDescent="0.25">
      <c r="A21" s="342"/>
      <c r="B21" s="1050" t="s">
        <v>137</v>
      </c>
      <c r="C21" s="1042"/>
      <c r="D21" s="92">
        <f>SUM(D14:D20)</f>
        <v>4200700</v>
      </c>
      <c r="E21" s="80"/>
      <c r="F21" s="80"/>
      <c r="G21" s="80"/>
    </row>
    <row r="22" spans="1:7" s="341" customFormat="1" ht="18.75" hidden="1" thickTop="1" thickBot="1" x14ac:dyDescent="0.25">
      <c r="A22" s="342"/>
      <c r="B22" s="1050" t="s">
        <v>444</v>
      </c>
      <c r="C22" s="1042"/>
      <c r="D22" s="92"/>
      <c r="E22" s="80"/>
      <c r="F22" s="80"/>
      <c r="G22" s="80"/>
    </row>
    <row r="23" spans="1:7" s="341" customFormat="1" ht="18.75" thickTop="1" thickBot="1" x14ac:dyDescent="0.25">
      <c r="A23" s="342"/>
      <c r="B23" s="1050" t="s">
        <v>1294</v>
      </c>
      <c r="C23" s="1042"/>
      <c r="D23" s="92">
        <v>1286664.08</v>
      </c>
      <c r="E23" s="80"/>
      <c r="F23" s="80"/>
      <c r="G23" s="80"/>
    </row>
    <row r="24" spans="1:7" s="341" customFormat="1" ht="26.45" customHeight="1" thickTop="1" thickBot="1" x14ac:dyDescent="0.25">
      <c r="A24" s="664" t="s">
        <v>386</v>
      </c>
      <c r="B24" s="1051" t="s">
        <v>499</v>
      </c>
      <c r="C24" s="1052"/>
      <c r="D24" s="665">
        <f>D21+D23</f>
        <v>5487364.0800000001</v>
      </c>
      <c r="E24" s="93" t="b">
        <f>D24='d1'!E103+D23</f>
        <v>1</v>
      </c>
      <c r="G24" s="80"/>
    </row>
    <row r="25" spans="1:7" s="341" customFormat="1" ht="47.25" customHeight="1" thickTop="1" thickBot="1" x14ac:dyDescent="0.25">
      <c r="A25" s="678" t="s">
        <v>128</v>
      </c>
      <c r="B25" s="1058" t="s">
        <v>138</v>
      </c>
      <c r="C25" s="1059"/>
      <c r="D25" s="1059"/>
      <c r="E25" s="80"/>
      <c r="F25" s="80"/>
      <c r="G25" s="80"/>
    </row>
    <row r="26" spans="1:7" s="341" customFormat="1" ht="43.5" customHeight="1" thickTop="1" thickBot="1" x14ac:dyDescent="0.25">
      <c r="A26" s="115" t="s">
        <v>139</v>
      </c>
      <c r="B26" s="1041" t="s">
        <v>140</v>
      </c>
      <c r="C26" s="1042"/>
      <c r="D26" s="88">
        <v>20000</v>
      </c>
      <c r="E26" s="80"/>
      <c r="F26" s="80"/>
      <c r="G26" s="80"/>
    </row>
    <row r="27" spans="1:7" s="341" customFormat="1" ht="44.45" customHeight="1" thickTop="1" thickBot="1" x14ac:dyDescent="0.25">
      <c r="A27" s="115" t="s">
        <v>141</v>
      </c>
      <c r="B27" s="1041" t="s">
        <v>142</v>
      </c>
      <c r="C27" s="1042"/>
      <c r="D27" s="88">
        <f>((153400)-30000)+6360</f>
        <v>129760</v>
      </c>
      <c r="E27" s="80"/>
      <c r="F27" s="80"/>
      <c r="G27" s="80"/>
    </row>
    <row r="28" spans="1:7" s="341" customFormat="1" ht="44.45" hidden="1" customHeight="1" thickTop="1" thickBot="1" x14ac:dyDescent="0.25">
      <c r="A28" s="342" t="s">
        <v>475</v>
      </c>
      <c r="B28" s="1055" t="s">
        <v>414</v>
      </c>
      <c r="C28" s="1056"/>
      <c r="D28" s="343">
        <v>0</v>
      </c>
      <c r="E28" s="80"/>
      <c r="F28" s="80"/>
      <c r="G28" s="80"/>
    </row>
    <row r="29" spans="1:7" s="341" customFormat="1" ht="32.25" customHeight="1" thickTop="1" thickBot="1" x14ac:dyDescent="0.25">
      <c r="A29" s="115" t="s">
        <v>143</v>
      </c>
      <c r="B29" s="1041" t="s">
        <v>145</v>
      </c>
      <c r="C29" s="1042"/>
      <c r="D29" s="88">
        <v>322000</v>
      </c>
      <c r="E29" s="80"/>
      <c r="F29" s="80"/>
      <c r="G29" s="80"/>
    </row>
    <row r="30" spans="1:7" s="341" customFormat="1" ht="55.5" customHeight="1" thickTop="1" thickBot="1" x14ac:dyDescent="0.25">
      <c r="A30" s="115" t="s">
        <v>144</v>
      </c>
      <c r="B30" s="1041" t="s">
        <v>1205</v>
      </c>
      <c r="C30" s="1043"/>
      <c r="D30" s="88">
        <f>((1425300)+500578.21+300000)+397058</f>
        <v>2622936.21</v>
      </c>
      <c r="E30" s="80"/>
      <c r="F30" s="80"/>
      <c r="G30" s="80"/>
    </row>
    <row r="31" spans="1:7" s="341" customFormat="1" ht="104.25" customHeight="1" thickTop="1" thickBot="1" x14ac:dyDescent="0.25">
      <c r="A31" s="115" t="s">
        <v>146</v>
      </c>
      <c r="B31" s="1041" t="s">
        <v>1259</v>
      </c>
      <c r="C31" s="1042"/>
      <c r="D31" s="88">
        <f>(141725.87+338000)+852942</f>
        <v>1332667.8700000001</v>
      </c>
      <c r="E31" s="80"/>
      <c r="F31" s="80"/>
      <c r="G31" s="80"/>
    </row>
    <row r="32" spans="1:7" s="341" customFormat="1" ht="51" hidden="1" thickTop="1" thickBot="1" x14ac:dyDescent="0.25">
      <c r="A32" s="344" t="s">
        <v>1010</v>
      </c>
      <c r="B32" s="345" t="s">
        <v>1011</v>
      </c>
      <c r="C32" s="346"/>
      <c r="D32" s="347">
        <v>0</v>
      </c>
      <c r="E32" s="80"/>
      <c r="F32" s="80"/>
      <c r="G32" s="80"/>
    </row>
    <row r="33" spans="1:7" s="341" customFormat="1" ht="17.25" hidden="1" thickTop="1" thickBot="1" x14ac:dyDescent="0.25">
      <c r="A33" s="342" t="s">
        <v>476</v>
      </c>
      <c r="B33" s="1055" t="s">
        <v>147</v>
      </c>
      <c r="C33" s="1056"/>
      <c r="D33" s="343">
        <f>(20000)-20000</f>
        <v>0</v>
      </c>
      <c r="E33" s="80"/>
      <c r="F33" s="80"/>
      <c r="G33" s="80"/>
    </row>
    <row r="34" spans="1:7" s="341" customFormat="1" ht="17.25" hidden="1" thickTop="1" thickBot="1" x14ac:dyDescent="0.25">
      <c r="A34" s="115" t="s">
        <v>476</v>
      </c>
      <c r="B34" s="1041" t="s">
        <v>147</v>
      </c>
      <c r="C34" s="1043"/>
      <c r="D34" s="88"/>
      <c r="E34" s="80"/>
      <c r="F34" s="80"/>
      <c r="G34" s="80"/>
    </row>
    <row r="35" spans="1:7" s="341" customFormat="1" ht="157.5" customHeight="1" thickTop="1" thickBot="1" x14ac:dyDescent="0.25">
      <c r="A35" s="115" t="s">
        <v>477</v>
      </c>
      <c r="B35" s="1053" t="s">
        <v>1300</v>
      </c>
      <c r="C35" s="1054"/>
      <c r="D35" s="116">
        <v>1060000</v>
      </c>
      <c r="E35" s="80"/>
      <c r="F35" s="80"/>
      <c r="G35" s="80"/>
    </row>
    <row r="36" spans="1:7" s="341" customFormat="1" ht="27.75" customHeight="1" thickTop="1" thickBot="1" x14ac:dyDescent="0.25">
      <c r="A36" s="664" t="s">
        <v>386</v>
      </c>
      <c r="B36" s="1051" t="s">
        <v>499</v>
      </c>
      <c r="C36" s="1052"/>
      <c r="D36" s="665">
        <f>SUM(D26:D35)</f>
        <v>5487364.0800000001</v>
      </c>
      <c r="E36" s="93" t="b">
        <f>D24=D36</f>
        <v>1</v>
      </c>
      <c r="F36" s="93" t="b">
        <f>D36='d3'!J30+'d3'!J187+'d3'!J268+'d3'!J297+'d3'!J327</f>
        <v>1</v>
      </c>
      <c r="G36" s="93" t="b">
        <f>D36='d7'!G260+'d7'!G226+'d7'!G161+'d7'!G33+'d7'!G282</f>
        <v>1</v>
      </c>
    </row>
    <row r="37" spans="1:7" s="352" customFormat="1" ht="27.75" customHeight="1" thickTop="1" x14ac:dyDescent="0.2">
      <c r="A37" s="348"/>
      <c r="B37" s="349"/>
      <c r="C37" s="350"/>
      <c r="D37" s="351"/>
      <c r="E37" s="12"/>
      <c r="F37" s="12"/>
    </row>
    <row r="38" spans="1:7" ht="19.5" customHeight="1" x14ac:dyDescent="0.25">
      <c r="B38" s="960" t="s">
        <v>1558</v>
      </c>
      <c r="C38" s="1000"/>
      <c r="D38" s="1076" t="s">
        <v>1559</v>
      </c>
      <c r="E38" s="353"/>
      <c r="F38" s="11"/>
    </row>
    <row r="39" spans="1:7" ht="15" x14ac:dyDescent="0.25">
      <c r="B39" s="532"/>
      <c r="C39" s="532"/>
      <c r="D39" s="532"/>
      <c r="E39" s="13"/>
    </row>
    <row r="40" spans="1:7" ht="22.5" customHeight="1" x14ac:dyDescent="0.65">
      <c r="A40" s="354" t="s">
        <v>531</v>
      </c>
      <c r="B40" s="960" t="s">
        <v>529</v>
      </c>
      <c r="C40" s="1000"/>
      <c r="D40" s="532" t="s">
        <v>1465</v>
      </c>
      <c r="E40" s="3"/>
    </row>
    <row r="41" spans="1:7" ht="18.75" x14ac:dyDescent="0.2">
      <c r="A41" s="354"/>
      <c r="B41" s="354"/>
      <c r="C41" s="354"/>
    </row>
    <row r="42" spans="1:7" ht="18.75" x14ac:dyDescent="0.2">
      <c r="A42" s="1049"/>
      <c r="B42" s="1049"/>
      <c r="C42" s="355"/>
    </row>
    <row r="48" spans="1:7" ht="16.5" x14ac:dyDescent="0.2">
      <c r="A48" s="1048"/>
      <c r="B48" s="356"/>
      <c r="C48" s="357"/>
      <c r="D48" s="358"/>
    </row>
    <row r="49" spans="1:4" ht="16.5" x14ac:dyDescent="0.2">
      <c r="A49" s="1048"/>
      <c r="B49" s="359"/>
      <c r="C49" s="357"/>
      <c r="D49" s="358"/>
    </row>
    <row r="50" spans="1:4" ht="16.5" x14ac:dyDescent="0.2">
      <c r="A50" s="1048"/>
      <c r="B50" s="360"/>
      <c r="C50" s="357"/>
      <c r="D50" s="358"/>
    </row>
    <row r="51" spans="1:4" ht="16.5" x14ac:dyDescent="0.2">
      <c r="A51" s="1048"/>
      <c r="B51" s="356"/>
      <c r="C51" s="357"/>
      <c r="D51" s="358"/>
    </row>
    <row r="52" spans="1:4" ht="16.5" x14ac:dyDescent="0.2">
      <c r="A52" s="1048"/>
      <c r="B52" s="356"/>
      <c r="C52" s="357"/>
      <c r="D52" s="358"/>
    </row>
    <row r="83" spans="6:6" x14ac:dyDescent="0.2">
      <c r="F83" s="1047"/>
    </row>
    <row r="84" spans="6:6" x14ac:dyDescent="0.2">
      <c r="F84" s="953"/>
    </row>
    <row r="120" spans="4:6" x14ac:dyDescent="0.2">
      <c r="D120" s="124">
        <f>SUM(D121:D133)+D140</f>
        <v>88281</v>
      </c>
      <c r="F120" s="124">
        <f>G120+H120</f>
        <v>0</v>
      </c>
    </row>
    <row r="122" spans="4:6" x14ac:dyDescent="0.2">
      <c r="F122" s="124">
        <f t="shared" ref="F122:F132" si="0">G122+H122</f>
        <v>0</v>
      </c>
    </row>
    <row r="123" spans="4:6" x14ac:dyDescent="0.2">
      <c r="F123" s="124">
        <f t="shared" si="0"/>
        <v>0</v>
      </c>
    </row>
    <row r="124" spans="4:6" x14ac:dyDescent="0.2">
      <c r="F124" s="124">
        <f t="shared" si="0"/>
        <v>0</v>
      </c>
    </row>
    <row r="125" spans="4:6" x14ac:dyDescent="0.2">
      <c r="F125" s="124">
        <f t="shared" si="0"/>
        <v>0</v>
      </c>
    </row>
    <row r="126" spans="4:6" x14ac:dyDescent="0.2">
      <c r="F126" s="124">
        <f t="shared" si="0"/>
        <v>0</v>
      </c>
    </row>
    <row r="127" spans="4:6" x14ac:dyDescent="0.2">
      <c r="F127" s="124">
        <f t="shared" si="0"/>
        <v>0</v>
      </c>
    </row>
    <row r="128" spans="4:6" x14ac:dyDescent="0.2">
      <c r="F128" s="124">
        <f t="shared" si="0"/>
        <v>0</v>
      </c>
    </row>
    <row r="129" spans="1:10" x14ac:dyDescent="0.2">
      <c r="F129" s="124">
        <f t="shared" si="0"/>
        <v>0</v>
      </c>
    </row>
    <row r="130" spans="1:10" x14ac:dyDescent="0.2">
      <c r="F130" s="124">
        <f t="shared" si="0"/>
        <v>0</v>
      </c>
    </row>
    <row r="131" spans="1:10" x14ac:dyDescent="0.2">
      <c r="F131" s="124">
        <f t="shared" si="0"/>
        <v>0</v>
      </c>
    </row>
    <row r="132" spans="1:10" x14ac:dyDescent="0.2">
      <c r="F132" s="124">
        <f t="shared" si="0"/>
        <v>0</v>
      </c>
    </row>
    <row r="134" spans="1:10" x14ac:dyDescent="0.2">
      <c r="F134" s="124">
        <f>G135+H135</f>
        <v>0</v>
      </c>
    </row>
    <row r="135" spans="1:10" x14ac:dyDescent="0.2">
      <c r="F135" s="124">
        <f t="shared" ref="F135" si="1">G135+H135</f>
        <v>0</v>
      </c>
    </row>
    <row r="136" spans="1:10" x14ac:dyDescent="0.2">
      <c r="F136" s="124">
        <f>G136+H136</f>
        <v>0</v>
      </c>
    </row>
    <row r="137" spans="1:10" x14ac:dyDescent="0.2">
      <c r="F137" s="124">
        <f>G137+H137</f>
        <v>0</v>
      </c>
    </row>
    <row r="138" spans="1:10" x14ac:dyDescent="0.2">
      <c r="F138" s="124">
        <f>G138+H138</f>
        <v>0</v>
      </c>
    </row>
    <row r="139" spans="1:10" x14ac:dyDescent="0.2">
      <c r="F139" s="124">
        <f>G139+H139</f>
        <v>0</v>
      </c>
    </row>
    <row r="140" spans="1:10" s="773" customFormat="1" x14ac:dyDescent="0.2">
      <c r="A140" s="773">
        <v>41057700</v>
      </c>
      <c r="B140" s="773" t="s">
        <v>1500</v>
      </c>
      <c r="D140" s="773">
        <v>88281</v>
      </c>
    </row>
    <row r="141" spans="1:10" x14ac:dyDescent="0.2">
      <c r="G141" s="124" t="b">
        <f>C141=C137+C136+C135+C115+C109+C103+C97+C96+C92+C91+C90+C89+C86+C85+C84+C83+C81+C80+C78+C76+C75+C74+C71+C70+C69+C67+C66+C62+C61+C60+C57+C56+C55+C53+C52+C48+C47+C46+C45+C44+C43+C42+C41+C40+C39+C35+C33+C30+C28+C26+C23+C21+C20+C19+C18+C101+C100+C36+C50+C126+C125+C107+C140</f>
        <v>1</v>
      </c>
      <c r="H141" s="124" t="e">
        <f>D141=D137+D136+D135+D115+D109+D103+D97+D96+D92+D91+D90+D89+D86+D85+D84+D83+D81+D80+D78+D76+D75+D74+D71+D70+D69+D67+D66+D62+D61+D60+D57+D56+D55+D53+D52+D48+D47+D46+D45+D44+D43+D42+D41+D40+D39+D35+D33+D30+D28+D26+D23+D21+D20+D19+D18+D101+D100+D36+D50+D126+D125+D107+D140</f>
        <v>#VALUE!</v>
      </c>
      <c r="I141" s="124" t="e">
        <f>E141=E137+E136+E135+E115+E109+E103+E97+E96+E92+E91+E90+E89+E86+E85+E84+E83+E81+E80+E78+E76+E75+E74+E71+E70+E69+E67+E66+E62+E61+E60+E57+E56+E55+E53+E52+E48+E47+E46+E45+E44+E43+E42+E41+E40+E39+E35+E33+E30+E28+E26+E23+E21+E20+E19+E18+E101+E100+E36+E50+E126+E125+E107+E140</f>
        <v>#VALUE!</v>
      </c>
      <c r="J141" s="124" t="b">
        <f>F141=F137+F136+F135+F115+F109+F103+F97+F96+F92+F91+F90+F89+F86+F85+F84+F83+F81+F80+F78+F76+F75+F74+F71+F70+F69+F67+F66+F62+F61+F60+F57+F56+F55+F53+F52+F48+F47+F46+F45+F44+F43+F42+F41+F40+F39+F35+F33+F30+F28+F26+F23+F21+F20+F19+F18+F101+F100+F36+F50+F126+F125+F107+F140</f>
        <v>0</v>
      </c>
    </row>
    <row r="142" spans="1:10" x14ac:dyDescent="0.2">
      <c r="G142" s="124" t="b">
        <f>(3453807039-'d2'!C32+7423154+961639+622418100+3715400+4544686)+16400+4309689+6350319+16579700+88281=C141</f>
        <v>0</v>
      </c>
    </row>
    <row r="145" spans="6:9" ht="46.5" x14ac:dyDescent="0.2">
      <c r="I145" s="14"/>
    </row>
    <row r="148" spans="6:9" ht="46.5" x14ac:dyDescent="0.2">
      <c r="F148" s="14">
        <f>G148+H148</f>
        <v>0</v>
      </c>
      <c r="I148" s="14"/>
    </row>
    <row r="167" spans="10:10" ht="90" x14ac:dyDescent="0.2">
      <c r="J167" s="361" t="b">
        <f>F167=G167+H167</f>
        <v>1</v>
      </c>
    </row>
  </sheetData>
  <mergeCells count="40">
    <mergeCell ref="C1:D1"/>
    <mergeCell ref="C3:D3"/>
    <mergeCell ref="C4:D4"/>
    <mergeCell ref="B29:C29"/>
    <mergeCell ref="B28:C28"/>
    <mergeCell ref="B27:C27"/>
    <mergeCell ref="B26:C26"/>
    <mergeCell ref="B25:D25"/>
    <mergeCell ref="B13:D13"/>
    <mergeCell ref="B24:C24"/>
    <mergeCell ref="C2:F2"/>
    <mergeCell ref="E5:I5"/>
    <mergeCell ref="E7:I7"/>
    <mergeCell ref="E8:I8"/>
    <mergeCell ref="B18:C18"/>
    <mergeCell ref="A8:D8"/>
    <mergeCell ref="F83:F84"/>
    <mergeCell ref="A48:A52"/>
    <mergeCell ref="A42:B42"/>
    <mergeCell ref="B22:C22"/>
    <mergeCell ref="B21:C21"/>
    <mergeCell ref="B36:C36"/>
    <mergeCell ref="B35:C35"/>
    <mergeCell ref="B33:C33"/>
    <mergeCell ref="B31:C31"/>
    <mergeCell ref="B30:C30"/>
    <mergeCell ref="B23:C23"/>
    <mergeCell ref="B40:C40"/>
    <mergeCell ref="B38:C38"/>
    <mergeCell ref="B16:C16"/>
    <mergeCell ref="B15:C15"/>
    <mergeCell ref="B14:C14"/>
    <mergeCell ref="A5:D5"/>
    <mergeCell ref="A7:D7"/>
    <mergeCell ref="A6:D6"/>
    <mergeCell ref="E20:F20"/>
    <mergeCell ref="B17:C17"/>
    <mergeCell ref="B19:C19"/>
    <mergeCell ref="B20:C20"/>
    <mergeCell ref="B34:C34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view="pageBreakPreview" zoomScale="70" zoomScaleNormal="85" zoomScaleSheetLayoutView="70" workbookViewId="0">
      <selection activeCell="J18" sqref="J18"/>
    </sheetView>
  </sheetViews>
  <sheetFormatPr defaultColWidth="9.140625" defaultRowHeight="12.75" x14ac:dyDescent="0.2"/>
  <cols>
    <col min="1" max="1" width="6.85546875" style="712" customWidth="1"/>
    <col min="2" max="2" width="15.140625" style="712" customWidth="1"/>
    <col min="3" max="3" width="15.28515625" style="712" customWidth="1"/>
    <col min="4" max="4" width="10.85546875" style="712" customWidth="1"/>
    <col min="5" max="5" width="62" style="712" customWidth="1"/>
    <col min="6" max="6" width="17.5703125" style="712" customWidth="1"/>
    <col min="7" max="7" width="10.85546875" style="712" bestFit="1" customWidth="1"/>
    <col min="8" max="10" width="9.140625" style="712"/>
    <col min="11" max="11" width="52.5703125" style="712" customWidth="1"/>
    <col min="12" max="16384" width="9.140625" style="712"/>
  </cols>
  <sheetData>
    <row r="1" spans="1:10" x14ac:dyDescent="0.2">
      <c r="A1" s="375"/>
      <c r="B1" s="375"/>
      <c r="C1" s="375"/>
      <c r="D1" s="375"/>
      <c r="E1" s="375"/>
      <c r="F1" s="375" t="s">
        <v>601</v>
      </c>
      <c r="G1" s="376"/>
      <c r="H1" s="376"/>
      <c r="I1" s="376"/>
    </row>
    <row r="2" spans="1:10" x14ac:dyDescent="0.2">
      <c r="A2" s="375"/>
      <c r="B2" s="375"/>
      <c r="C2" s="375"/>
      <c r="D2" s="375"/>
      <c r="E2" s="375"/>
      <c r="F2" s="375" t="s">
        <v>980</v>
      </c>
      <c r="G2" s="376"/>
      <c r="H2" s="376"/>
      <c r="I2" s="376"/>
    </row>
    <row r="3" spans="1:10" x14ac:dyDescent="0.2">
      <c r="A3" s="375"/>
      <c r="B3" s="375"/>
      <c r="C3" s="375"/>
      <c r="D3" s="375"/>
      <c r="E3" s="375"/>
      <c r="F3" s="1070" t="s">
        <v>1399</v>
      </c>
      <c r="G3" s="1071"/>
      <c r="H3" s="1071"/>
      <c r="I3" s="1071"/>
    </row>
    <row r="4" spans="1:10" ht="15.75" x14ac:dyDescent="0.25">
      <c r="A4" s="1072" t="s">
        <v>576</v>
      </c>
      <c r="B4" s="1073"/>
      <c r="C4" s="1073"/>
      <c r="D4" s="1073"/>
      <c r="E4" s="1073"/>
      <c r="F4" s="1073"/>
      <c r="G4" s="376"/>
      <c r="H4" s="376"/>
      <c r="I4" s="376"/>
    </row>
    <row r="5" spans="1:10" ht="15.75" x14ac:dyDescent="0.25">
      <c r="A5" s="1072" t="s">
        <v>575</v>
      </c>
      <c r="B5" s="1073"/>
      <c r="C5" s="1073"/>
      <c r="D5" s="1073"/>
      <c r="E5" s="1073"/>
      <c r="F5" s="1073"/>
      <c r="G5" s="376"/>
      <c r="H5" s="376"/>
      <c r="I5" s="376"/>
    </row>
    <row r="6" spans="1:10" ht="15.75" x14ac:dyDescent="0.25">
      <c r="A6" s="1072" t="s">
        <v>910</v>
      </c>
      <c r="B6" s="1073"/>
      <c r="C6" s="1073"/>
      <c r="D6" s="1073"/>
      <c r="E6" s="1073"/>
      <c r="F6" s="1073"/>
      <c r="G6" s="376"/>
      <c r="H6" s="376"/>
      <c r="I6" s="376"/>
    </row>
    <row r="7" spans="1:10" ht="15.75" x14ac:dyDescent="0.25">
      <c r="A7" s="376"/>
      <c r="B7" s="376"/>
      <c r="C7" s="1072" t="s">
        <v>1301</v>
      </c>
      <c r="D7" s="1073"/>
      <c r="E7" s="1073"/>
      <c r="F7" s="376"/>
      <c r="G7" s="376"/>
      <c r="H7" s="376"/>
      <c r="I7" s="376"/>
    </row>
    <row r="8" spans="1:10" ht="12.75" customHeight="1" x14ac:dyDescent="0.25">
      <c r="A8" s="377"/>
      <c r="B8" s="377"/>
      <c r="C8" s="377"/>
      <c r="D8" s="377"/>
      <c r="E8" s="377"/>
      <c r="F8" s="377"/>
      <c r="G8" s="378"/>
      <c r="H8" s="378"/>
      <c r="I8" s="378"/>
      <c r="J8" s="362"/>
    </row>
    <row r="9" spans="1:10" x14ac:dyDescent="0.2">
      <c r="A9" s="1074">
        <v>2256400000</v>
      </c>
      <c r="B9" s="877"/>
      <c r="C9" s="711"/>
      <c r="D9" s="711"/>
      <c r="E9" s="711"/>
      <c r="F9" s="711"/>
      <c r="G9" s="376"/>
      <c r="H9" s="376"/>
      <c r="I9" s="376"/>
    </row>
    <row r="10" spans="1:10" x14ac:dyDescent="0.2">
      <c r="A10" s="1067" t="s">
        <v>495</v>
      </c>
      <c r="B10" s="1068"/>
      <c r="C10" s="711"/>
      <c r="D10" s="711"/>
      <c r="E10" s="711"/>
      <c r="F10" s="711"/>
      <c r="G10" s="376"/>
      <c r="H10" s="376"/>
      <c r="I10" s="376"/>
    </row>
    <row r="11" spans="1:10" ht="13.5" thickBot="1" x14ac:dyDescent="0.25">
      <c r="A11" s="714"/>
      <c r="B11" s="714"/>
      <c r="C11" s="711"/>
      <c r="D11" s="711"/>
      <c r="E11" s="711"/>
      <c r="F11" s="711"/>
      <c r="G11" s="376"/>
      <c r="H11" s="376"/>
      <c r="I11" s="376"/>
    </row>
    <row r="12" spans="1:10" ht="48" customHeight="1" thickTop="1" thickBot="1" x14ac:dyDescent="0.25">
      <c r="A12" s="379" t="s">
        <v>321</v>
      </c>
      <c r="B12" s="380" t="s">
        <v>322</v>
      </c>
      <c r="C12" s="380" t="s">
        <v>20</v>
      </c>
      <c r="D12" s="380" t="s">
        <v>16</v>
      </c>
      <c r="E12" s="379" t="s">
        <v>323</v>
      </c>
      <c r="F12" s="381" t="s">
        <v>410</v>
      </c>
      <c r="G12" s="37"/>
      <c r="H12" s="376"/>
      <c r="I12" s="376"/>
    </row>
    <row r="13" spans="1:10" ht="33" thickTop="1" thickBot="1" x14ac:dyDescent="0.25">
      <c r="A13" s="411">
        <v>1</v>
      </c>
      <c r="B13" s="384" t="s">
        <v>1170</v>
      </c>
      <c r="C13" s="384" t="s">
        <v>1171</v>
      </c>
      <c r="D13" s="384" t="s">
        <v>51</v>
      </c>
      <c r="E13" s="412" t="s">
        <v>1560</v>
      </c>
      <c r="F13" s="413">
        <f>46434+600000</f>
        <v>646434</v>
      </c>
      <c r="G13" s="22"/>
    </row>
    <row r="14" spans="1:10" ht="64.5" thickTop="1" thickBot="1" x14ac:dyDescent="0.25">
      <c r="A14" s="411">
        <v>2</v>
      </c>
      <c r="B14" s="384" t="s">
        <v>1170</v>
      </c>
      <c r="C14" s="384" t="s">
        <v>1171</v>
      </c>
      <c r="D14" s="384" t="s">
        <v>51</v>
      </c>
      <c r="E14" s="412" t="s">
        <v>1310</v>
      </c>
      <c r="F14" s="413">
        <v>81000</v>
      </c>
      <c r="G14" s="22"/>
    </row>
    <row r="15" spans="1:10" ht="48.75" thickTop="1" thickBot="1" x14ac:dyDescent="0.25">
      <c r="A15" s="411">
        <v>3</v>
      </c>
      <c r="B15" s="384" t="s">
        <v>1170</v>
      </c>
      <c r="C15" s="384" t="s">
        <v>1171</v>
      </c>
      <c r="D15" s="384" t="s">
        <v>51</v>
      </c>
      <c r="E15" s="412" t="s">
        <v>1311</v>
      </c>
      <c r="F15" s="413">
        <v>50000</v>
      </c>
      <c r="G15" s="22"/>
    </row>
    <row r="16" spans="1:10" ht="33" thickTop="1" thickBot="1" x14ac:dyDescent="0.25">
      <c r="A16" s="411">
        <v>4</v>
      </c>
      <c r="B16" s="384" t="s">
        <v>1170</v>
      </c>
      <c r="C16" s="384" t="s">
        <v>1171</v>
      </c>
      <c r="D16" s="384" t="s">
        <v>51</v>
      </c>
      <c r="E16" s="718" t="s">
        <v>1411</v>
      </c>
      <c r="F16" s="413">
        <v>10000</v>
      </c>
      <c r="G16" s="22"/>
    </row>
    <row r="17" spans="1:7" ht="33" thickTop="1" thickBot="1" x14ac:dyDescent="0.25">
      <c r="A17" s="411">
        <v>5</v>
      </c>
      <c r="B17" s="384" t="s">
        <v>1170</v>
      </c>
      <c r="C17" s="384" t="s">
        <v>1171</v>
      </c>
      <c r="D17" s="384" t="s">
        <v>51</v>
      </c>
      <c r="E17" s="414" t="s">
        <v>1302</v>
      </c>
      <c r="F17" s="413">
        <f>40000+40000</f>
        <v>80000</v>
      </c>
      <c r="G17" s="22"/>
    </row>
    <row r="18" spans="1:7" ht="48.75" thickTop="1" thickBot="1" x14ac:dyDescent="0.25">
      <c r="A18" s="411">
        <v>6</v>
      </c>
      <c r="B18" s="384" t="s">
        <v>1170</v>
      </c>
      <c r="C18" s="384" t="s">
        <v>1171</v>
      </c>
      <c r="D18" s="384" t="s">
        <v>51</v>
      </c>
      <c r="E18" s="414" t="s">
        <v>1303</v>
      </c>
      <c r="F18" s="413">
        <v>80000</v>
      </c>
      <c r="G18" s="22"/>
    </row>
    <row r="19" spans="1:7" ht="33" thickTop="1" thickBot="1" x14ac:dyDescent="0.25">
      <c r="A19" s="411">
        <v>7</v>
      </c>
      <c r="B19" s="384" t="s">
        <v>1170</v>
      </c>
      <c r="C19" s="384" t="s">
        <v>1171</v>
      </c>
      <c r="D19" s="384" t="s">
        <v>51</v>
      </c>
      <c r="E19" s="414" t="s">
        <v>1173</v>
      </c>
      <c r="F19" s="413">
        <f>96000+13000</f>
        <v>109000</v>
      </c>
      <c r="G19" s="22"/>
    </row>
    <row r="20" spans="1:7" ht="48" customHeight="1" thickTop="1" thickBot="1" x14ac:dyDescent="0.25">
      <c r="A20" s="411">
        <v>8</v>
      </c>
      <c r="B20" s="384" t="s">
        <v>1170</v>
      </c>
      <c r="C20" s="384" t="s">
        <v>1171</v>
      </c>
      <c r="D20" s="384" t="s">
        <v>51</v>
      </c>
      <c r="E20" s="414" t="s">
        <v>1304</v>
      </c>
      <c r="F20" s="413">
        <v>778000</v>
      </c>
      <c r="G20" s="22"/>
    </row>
    <row r="21" spans="1:7" ht="64.5" customHeight="1" thickTop="1" thickBot="1" x14ac:dyDescent="0.25">
      <c r="A21" s="411">
        <v>9</v>
      </c>
      <c r="B21" s="384" t="s">
        <v>1170</v>
      </c>
      <c r="C21" s="384" t="s">
        <v>1171</v>
      </c>
      <c r="D21" s="384" t="s">
        <v>51</v>
      </c>
      <c r="E21" s="414" t="s">
        <v>1312</v>
      </c>
      <c r="F21" s="413">
        <v>75000</v>
      </c>
      <c r="G21" s="22"/>
    </row>
    <row r="22" spans="1:7" ht="80.25" thickTop="1" thickBot="1" x14ac:dyDescent="0.25">
      <c r="A22" s="411">
        <v>10</v>
      </c>
      <c r="B22" s="384" t="s">
        <v>1170</v>
      </c>
      <c r="C22" s="384" t="s">
        <v>1171</v>
      </c>
      <c r="D22" s="384" t="s">
        <v>51</v>
      </c>
      <c r="E22" s="719" t="s">
        <v>1530</v>
      </c>
      <c r="F22" s="413">
        <v>520000</v>
      </c>
      <c r="G22" s="22"/>
    </row>
    <row r="23" spans="1:7" ht="48.75" thickTop="1" thickBot="1" x14ac:dyDescent="0.25">
      <c r="A23" s="411">
        <v>11</v>
      </c>
      <c r="B23" s="384" t="s">
        <v>1170</v>
      </c>
      <c r="C23" s="384" t="s">
        <v>1171</v>
      </c>
      <c r="D23" s="384" t="s">
        <v>51</v>
      </c>
      <c r="E23" s="414" t="s">
        <v>1412</v>
      </c>
      <c r="F23" s="413">
        <v>420000</v>
      </c>
      <c r="G23" s="22"/>
    </row>
    <row r="24" spans="1:7" ht="80.25" thickTop="1" thickBot="1" x14ac:dyDescent="0.25">
      <c r="A24" s="411">
        <v>12</v>
      </c>
      <c r="B24" s="384" t="s">
        <v>1170</v>
      </c>
      <c r="C24" s="384" t="s">
        <v>1171</v>
      </c>
      <c r="D24" s="384" t="s">
        <v>51</v>
      </c>
      <c r="E24" s="719" t="s">
        <v>1413</v>
      </c>
      <c r="F24" s="413">
        <f>78000+220000</f>
        <v>298000</v>
      </c>
      <c r="G24" s="22"/>
    </row>
    <row r="25" spans="1:7" ht="48.75" thickTop="1" thickBot="1" x14ac:dyDescent="0.25">
      <c r="A25" s="411">
        <v>13</v>
      </c>
      <c r="B25" s="384" t="s">
        <v>1170</v>
      </c>
      <c r="C25" s="384" t="s">
        <v>1171</v>
      </c>
      <c r="D25" s="384" t="s">
        <v>51</v>
      </c>
      <c r="E25" s="719" t="s">
        <v>1531</v>
      </c>
      <c r="F25" s="413">
        <v>20000</v>
      </c>
      <c r="G25" s="22"/>
    </row>
    <row r="26" spans="1:7" ht="33" thickTop="1" thickBot="1" x14ac:dyDescent="0.25">
      <c r="A26" s="411">
        <v>14</v>
      </c>
      <c r="B26" s="384" t="s">
        <v>1170</v>
      </c>
      <c r="C26" s="384" t="s">
        <v>1171</v>
      </c>
      <c r="D26" s="384" t="s">
        <v>51</v>
      </c>
      <c r="E26" s="414" t="s">
        <v>1414</v>
      </c>
      <c r="F26" s="413">
        <f>189000+500000+100000</f>
        <v>789000</v>
      </c>
      <c r="G26" s="22"/>
    </row>
    <row r="27" spans="1:7" ht="32.25" customHeight="1" thickTop="1" thickBot="1" x14ac:dyDescent="0.25">
      <c r="A27" s="666" t="s">
        <v>386</v>
      </c>
      <c r="B27" s="666" t="s">
        <v>386</v>
      </c>
      <c r="C27" s="666" t="s">
        <v>386</v>
      </c>
      <c r="D27" s="666" t="s">
        <v>386</v>
      </c>
      <c r="E27" s="666" t="s">
        <v>396</v>
      </c>
      <c r="F27" s="667">
        <f>SUM(F13:F26)</f>
        <v>3956434</v>
      </c>
      <c r="G27" s="638" t="b">
        <f>F27='d3'!P384</f>
        <v>1</v>
      </c>
    </row>
    <row r="28" spans="1:7" ht="15" customHeight="1" thickTop="1" x14ac:dyDescent="0.2">
      <c r="A28" s="363"/>
      <c r="B28" s="363"/>
      <c r="C28" s="363"/>
      <c r="D28" s="363"/>
      <c r="E28" s="363"/>
      <c r="F28" s="364"/>
    </row>
    <row r="29" spans="1:7" ht="15.75" hidden="1" customHeight="1" x14ac:dyDescent="0.25">
      <c r="A29" s="710"/>
      <c r="B29" s="1"/>
      <c r="C29" s="120"/>
      <c r="D29" s="1"/>
      <c r="E29" s="1"/>
      <c r="F29" s="1"/>
    </row>
    <row r="30" spans="1:7" ht="27" hidden="1" customHeight="1" x14ac:dyDescent="0.2">
      <c r="A30" s="1069" t="s">
        <v>529</v>
      </c>
      <c r="B30" s="1069"/>
      <c r="C30" s="1069"/>
      <c r="D30" s="1069"/>
      <c r="E30" s="710"/>
      <c r="F30" s="382" t="s">
        <v>530</v>
      </c>
    </row>
    <row r="31" spans="1:7" ht="15.75" hidden="1" x14ac:dyDescent="0.2">
      <c r="A31" s="713"/>
      <c r="B31" s="713"/>
      <c r="C31" s="713"/>
      <c r="D31" s="713"/>
      <c r="E31" s="710"/>
      <c r="F31" s="383"/>
    </row>
    <row r="32" spans="1:7" ht="15.75" customHeight="1" x14ac:dyDescent="0.25">
      <c r="A32" s="710"/>
      <c r="B32" s="960" t="s">
        <v>1558</v>
      </c>
      <c r="C32" s="1000"/>
      <c r="D32" s="1076"/>
      <c r="E32" s="1"/>
      <c r="F32" s="1076" t="s">
        <v>1559</v>
      </c>
    </row>
    <row r="33" spans="1:6" ht="15.75" x14ac:dyDescent="0.25">
      <c r="A33" s="713"/>
      <c r="B33" s="532"/>
      <c r="C33" s="532"/>
      <c r="D33" s="532"/>
      <c r="E33" s="532"/>
      <c r="F33" s="532"/>
    </row>
    <row r="34" spans="1:6" ht="15.75" x14ac:dyDescent="0.25">
      <c r="A34" s="713"/>
      <c r="B34" s="960" t="s">
        <v>529</v>
      </c>
      <c r="C34" s="1000"/>
      <c r="D34" s="532"/>
      <c r="E34" s="532"/>
      <c r="F34" s="532" t="s">
        <v>1465</v>
      </c>
    </row>
    <row r="83" spans="7:7" x14ac:dyDescent="0.2">
      <c r="G83" s="953"/>
    </row>
    <row r="84" spans="7:7" x14ac:dyDescent="0.2">
      <c r="G84" s="953"/>
    </row>
    <row r="118" spans="4:4" x14ac:dyDescent="0.2">
      <c r="D118" s="712">
        <f>SUM(D119:D131)+D138</f>
        <v>88281</v>
      </c>
    </row>
    <row r="138" spans="1:10" s="772" customFormat="1" x14ac:dyDescent="0.2">
      <c r="A138" s="772">
        <v>41057700</v>
      </c>
      <c r="B138" s="772" t="s">
        <v>1500</v>
      </c>
      <c r="D138" s="772">
        <v>88281</v>
      </c>
    </row>
    <row r="139" spans="1:10" x14ac:dyDescent="0.2">
      <c r="G139" s="712" t="e">
        <f>C139=C135+C134+C133+C113+C107+C101+C95+C94+C90+C89+C88+C87+C84+C83+C82+C81+C79+C78+C76+C74+C73+C72+C69+C68+C67+C65+C64+C60+C59+C58+C55+C54+C53+C51+C50+C46+C45+C44+C43+C42+C41+C40+C39+C38+C37+C33+C31+C28+#REF!+#REF!+C23+C21+C20+C19+C18+C99+C98+C34+C48+C124+C123+C105+C138</f>
        <v>#REF!</v>
      </c>
      <c r="H139" s="712" t="e">
        <f>D139=D135+D134+D133+D113+D107+D101+D95+D94+D90+D89+D88+D87+D84+D83+D82+D81+D79+D78+D76+D74+D73+D72+D69+D68+D67+D65+D64+D60+D59+D58+D55+D54+D53+D51+D50+D46+D45+D44+D43+D42+D41+D40+D39+D38+D37+D33+D31+D28+#REF!+#REF!+D23+D21+D20+D19+D18+D99+D98+D34+D48+D124+D123+D105+D138</f>
        <v>#REF!</v>
      </c>
      <c r="I139" s="712" t="e">
        <f>E139=E135+E134+E133+E113+E107+E101+E95+E94+E90+E89+E88+E87+E84+E83+E82+E81+E79+E78+E76+E74+E73+E72+E69+E68+E67+E65+E64+E60+E59+E58+E55+E54+E53+E51+E50+E46+E45+E44+E43+E42+E41+E40+E39+E38+E37+E33+E31+E28+#REF!+#REF!+E23+E21+E20+E19+E18+E99+E98+E34+E48+E124+E123+E105+E138</f>
        <v>#REF!</v>
      </c>
      <c r="J139" s="712" t="e">
        <f>F139=F135+F134+F133+F113+F107+F101+F95+F94+F90+F89+F88+F87+F84+F83+F82+F81+F79+F78+F76+F74+F73+F72+F69+F68+F67+F65+F64+F60+F59+F58+F55+F54+F53+F51+F50+F46+F45+F44+F43+F42+F41+F40+F39+F38+F37+F33+F31+F28+#REF!+#REF!+F23+F21+F20+F19+F18+F99+F98+F34+F48+F124+F123+F105+F138</f>
        <v>#REF!</v>
      </c>
    </row>
    <row r="140" spans="1:10" x14ac:dyDescent="0.2">
      <c r="G140" s="712" t="b">
        <f>(3453807039-'d2'!C32+7423154+961639+622418100+3715400+4544686)+16400+4309689+6350319+16579700+88281=C139</f>
        <v>0</v>
      </c>
    </row>
    <row r="145" spans="7:10" ht="46.5" x14ac:dyDescent="0.65">
      <c r="J145" s="10"/>
    </row>
    <row r="148" spans="7:10" ht="46.5" x14ac:dyDescent="0.65">
      <c r="G148" s="10"/>
      <c r="J148" s="10"/>
    </row>
    <row r="167" spans="11:11" ht="90" x14ac:dyDescent="1.1499999999999999">
      <c r="K167" s="365" t="b">
        <f>G167=H167+I167</f>
        <v>1</v>
      </c>
    </row>
  </sheetData>
  <mergeCells count="11">
    <mergeCell ref="A10:B10"/>
    <mergeCell ref="A30:D30"/>
    <mergeCell ref="G83:G84"/>
    <mergeCell ref="F3:I3"/>
    <mergeCell ref="A4:F4"/>
    <mergeCell ref="A5:F5"/>
    <mergeCell ref="A6:F6"/>
    <mergeCell ref="C7:E7"/>
    <mergeCell ref="A9:B9"/>
    <mergeCell ref="B34:C34"/>
    <mergeCell ref="B32:C32"/>
  </mergeCells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18</vt:i4>
      </vt:variant>
    </vt:vector>
  </HeadingPairs>
  <TitlesOfParts>
    <vt:vector size="3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d1П</vt:lpstr>
      <vt:lpstr>d1РП</vt:lpstr>
      <vt:lpstr>d3П</vt:lpstr>
      <vt:lpstr>d3РП</vt:lpstr>
      <vt:lpstr>'d3'!Заголовки_для_друку</vt:lpstr>
      <vt:lpstr>d3П!Заголовки_для_друку</vt:lpstr>
      <vt:lpstr>d3РП!Заголовки_для_друку</vt:lpstr>
      <vt:lpstr>'d6'!Заголовки_для_друку</vt:lpstr>
      <vt:lpstr>'d7'!Заголовки_для_друку</vt:lpstr>
      <vt:lpstr>'d1'!Область_друку</vt:lpstr>
      <vt:lpstr>d1П!Область_друку</vt:lpstr>
      <vt:lpstr>d1РП!Область_друку</vt:lpstr>
      <vt:lpstr>'d2'!Область_друку</vt:lpstr>
      <vt:lpstr>'d3'!Область_друку</vt:lpstr>
      <vt:lpstr>d3П!Область_друку</vt:lpstr>
      <vt:lpstr>d3РП!Область_друку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</vt:vector>
  </TitlesOfParts>
  <Company>Міське фінуправління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2023-07-12T10:46:53Z</cp:lastPrinted>
  <dcterms:created xsi:type="dcterms:W3CDTF">2001-12-03T09:30:42Z</dcterms:created>
  <dcterms:modified xsi:type="dcterms:W3CDTF">2023-07-12T12:05:08Z</dcterms:modified>
</cp:coreProperties>
</file>