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2\Рішення бюджет МВК від 14.07.2022 року №\"/>
    </mc:Choice>
  </mc:AlternateContent>
  <xr:revisionPtr revIDLastSave="0" documentId="13_ncr:1_{346F0606-54DF-4563-B921-308ED06B75EF}" xr6:coauthVersionLast="45" xr6:coauthVersionMax="45" xr10:uidLastSave="{00000000-0000-0000-0000-000000000000}"/>
  <bookViews>
    <workbookView xWindow="-120" yWindow="480" windowWidth="29040" windowHeight="15840" tabRatio="583" activeTab="8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Area" localSheetId="0">'d1'!$A$1:$F$143</definedName>
    <definedName name="_xlnm.Print_Area" localSheetId="1">'d2'!$A$1:$F$55</definedName>
    <definedName name="_xlnm.Print_Area" localSheetId="2">'d3'!$A$1:$P$386</definedName>
    <definedName name="_xlnm.Print_Area" localSheetId="3">'d4'!$B$1:$Q$24</definedName>
    <definedName name="_xlnm.Print_Area" localSheetId="4">'d5'!$A$1:$D$98</definedName>
    <definedName name="_xlnm.Print_Area" localSheetId="5">'d6'!$B$1:$K$107</definedName>
    <definedName name="_xlnm.Print_Area" localSheetId="6">'d7'!$A$1:$J$274</definedName>
    <definedName name="_xlnm.Print_Area" localSheetId="7">'d8'!$A$1:$D$37</definedName>
    <definedName name="_xlnm.Print_Area" localSheetId="8">'d9'!$A$1:$F$22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K268" i="167" l="1"/>
  <c r="N268" i="167"/>
  <c r="M268" i="167"/>
  <c r="L268" i="167"/>
  <c r="F48" i="165"/>
  <c r="G46" i="165"/>
  <c r="F46" i="165"/>
  <c r="G382" i="165"/>
  <c r="H59" i="165" l="1"/>
  <c r="F59" i="165"/>
  <c r="H48" i="165"/>
  <c r="F57" i="165"/>
  <c r="F50" i="165"/>
  <c r="F49" i="165"/>
  <c r="H46" i="165"/>
  <c r="F382" i="165"/>
  <c r="P382" i="165"/>
  <c r="F373" i="165"/>
  <c r="H382" i="165"/>
  <c r="O382" i="165" l="1"/>
  <c r="K382" i="165"/>
  <c r="J382" i="165"/>
  <c r="N213" i="165" l="1"/>
  <c r="H163" i="165"/>
  <c r="G243" i="167"/>
  <c r="J235" i="167"/>
  <c r="I235" i="167"/>
  <c r="H235" i="167"/>
  <c r="G235" i="167"/>
  <c r="Q316" i="165"/>
  <c r="P316" i="165"/>
  <c r="O316" i="165"/>
  <c r="N316" i="165"/>
  <c r="M316" i="165"/>
  <c r="L316" i="165"/>
  <c r="K316" i="165"/>
  <c r="J316" i="165"/>
  <c r="I316" i="165"/>
  <c r="H316" i="165"/>
  <c r="G316" i="165"/>
  <c r="F316" i="165"/>
  <c r="E316" i="165"/>
  <c r="P329" i="165"/>
  <c r="O329" i="165"/>
  <c r="N329" i="165"/>
  <c r="M329" i="165"/>
  <c r="L329" i="165"/>
  <c r="K329" i="165"/>
  <c r="J329" i="165"/>
  <c r="I329" i="165"/>
  <c r="H329" i="165"/>
  <c r="G329" i="165"/>
  <c r="F329" i="165"/>
  <c r="E329" i="165"/>
  <c r="O330" i="165"/>
  <c r="N330" i="165"/>
  <c r="M330" i="165"/>
  <c r="L330" i="165"/>
  <c r="K330" i="165"/>
  <c r="J330" i="165"/>
  <c r="I330" i="165"/>
  <c r="H330" i="165"/>
  <c r="G330" i="165"/>
  <c r="E330" i="165"/>
  <c r="F330" i="165"/>
  <c r="O331" i="165"/>
  <c r="J331" i="165" s="1"/>
  <c r="E331" i="165"/>
  <c r="D73" i="170"/>
  <c r="D82" i="170"/>
  <c r="H35" i="167"/>
  <c r="J37" i="167"/>
  <c r="I37" i="167"/>
  <c r="K42" i="165"/>
  <c r="F42" i="165"/>
  <c r="D21" i="172"/>
  <c r="F35" i="165"/>
  <c r="P331" i="165" l="1"/>
  <c r="P330" i="165" s="1"/>
  <c r="F163" i="165"/>
  <c r="H137" i="165"/>
  <c r="F137" i="165"/>
  <c r="H136" i="165"/>
  <c r="F136" i="165"/>
  <c r="J206" i="167"/>
  <c r="I206" i="167"/>
  <c r="J207" i="167"/>
  <c r="I207" i="167"/>
  <c r="D26" i="170"/>
  <c r="D23" i="170"/>
  <c r="G139" i="188"/>
  <c r="J138" i="188"/>
  <c r="I138" i="188"/>
  <c r="H138" i="188"/>
  <c r="G138" i="188"/>
  <c r="D33" i="188"/>
  <c r="D31" i="188"/>
  <c r="D18" i="188"/>
  <c r="D19" i="188"/>
  <c r="D106" i="188"/>
  <c r="C108" i="188"/>
  <c r="J53" i="184" l="1"/>
  <c r="J54" i="184"/>
  <c r="J52" i="184"/>
  <c r="J56" i="184"/>
  <c r="J57" i="184"/>
  <c r="J55" i="184"/>
  <c r="K274" i="165"/>
  <c r="J43" i="184"/>
  <c r="J44" i="184"/>
  <c r="K268" i="165"/>
  <c r="F281" i="165"/>
  <c r="K271" i="165"/>
  <c r="F264" i="165"/>
  <c r="J40" i="184"/>
  <c r="K246" i="165"/>
  <c r="F243" i="165"/>
  <c r="K241" i="165"/>
  <c r="F241" i="165"/>
  <c r="J176" i="167"/>
  <c r="I176" i="167"/>
  <c r="H176" i="167"/>
  <c r="K239" i="165"/>
  <c r="F239" i="165"/>
  <c r="N382" i="165"/>
  <c r="N59" i="165"/>
  <c r="H202" i="165" l="1"/>
  <c r="G202" i="165"/>
  <c r="F202" i="165"/>
  <c r="J113" i="167"/>
  <c r="I113" i="167"/>
  <c r="H113" i="167"/>
  <c r="H139" i="165"/>
  <c r="G139" i="165"/>
  <c r="F139" i="165"/>
  <c r="O139" i="165"/>
  <c r="J139" i="165" s="1"/>
  <c r="P139" i="165" s="1"/>
  <c r="E139" i="165"/>
  <c r="F164" i="165"/>
  <c r="G40" i="167"/>
  <c r="G236" i="167"/>
  <c r="F99" i="165"/>
  <c r="F33" i="165"/>
  <c r="J30" i="167"/>
  <c r="N33" i="165"/>
  <c r="M33" i="165"/>
  <c r="L33" i="165"/>
  <c r="K33" i="165"/>
  <c r="I33" i="165"/>
  <c r="H33" i="165"/>
  <c r="G33" i="165"/>
  <c r="O34" i="165"/>
  <c r="J34" i="165" s="1"/>
  <c r="E34" i="165"/>
  <c r="H30" i="167" s="1"/>
  <c r="J36" i="167"/>
  <c r="I36" i="167"/>
  <c r="J51" i="184"/>
  <c r="F271" i="165"/>
  <c r="K264" i="165"/>
  <c r="J175" i="167"/>
  <c r="I175" i="167"/>
  <c r="G113" i="167" l="1"/>
  <c r="I30" i="167"/>
  <c r="G30" i="167" s="1"/>
  <c r="P34" i="165"/>
  <c r="N204" i="165" l="1"/>
  <c r="D34" i="188" l="1"/>
  <c r="C36" i="188"/>
  <c r="E27" i="172" l="1"/>
  <c r="K328" i="165"/>
  <c r="F39" i="172"/>
  <c r="E39" i="172"/>
  <c r="F19" i="172"/>
  <c r="E19" i="172"/>
  <c r="J49" i="184" l="1"/>
  <c r="K273" i="165"/>
  <c r="F371" i="165"/>
  <c r="F262" i="165"/>
  <c r="F318" i="165"/>
  <c r="F21" i="172" l="1"/>
  <c r="E21" i="172"/>
  <c r="H213" i="165" l="1"/>
  <c r="F213" i="165"/>
  <c r="F261" i="165" l="1"/>
  <c r="G318" i="165" l="1"/>
  <c r="D45" i="172" l="1"/>
  <c r="F161" i="165"/>
  <c r="J35" i="167"/>
  <c r="I35" i="167"/>
  <c r="G263" i="167" l="1"/>
  <c r="K75" i="165"/>
  <c r="G75" i="165"/>
  <c r="F75" i="165"/>
  <c r="G66" i="165"/>
  <c r="F66" i="165"/>
  <c r="G60" i="165"/>
  <c r="F60" i="165"/>
  <c r="G52" i="165"/>
  <c r="F52" i="165"/>
  <c r="D44" i="170"/>
  <c r="D36" i="170"/>
  <c r="D35" i="170"/>
  <c r="D17" i="170"/>
  <c r="D124" i="188"/>
  <c r="D123" i="188"/>
  <c r="D113" i="188"/>
  <c r="F376" i="165" l="1"/>
  <c r="N368" i="165"/>
  <c r="N367" i="165" s="1"/>
  <c r="M368" i="165"/>
  <c r="M367" i="165" s="1"/>
  <c r="L368" i="165"/>
  <c r="L367" i="165" s="1"/>
  <c r="K368" i="165"/>
  <c r="K367" i="165" s="1"/>
  <c r="I368" i="165"/>
  <c r="I367" i="165" s="1"/>
  <c r="H368" i="165"/>
  <c r="H367" i="165" s="1"/>
  <c r="G368" i="165"/>
  <c r="G367" i="165" s="1"/>
  <c r="F368" i="165"/>
  <c r="F367" i="165" s="1"/>
  <c r="O369" i="165"/>
  <c r="J369" i="165" s="1"/>
  <c r="J368" i="165" s="1"/>
  <c r="J367" i="165" s="1"/>
  <c r="E369" i="165"/>
  <c r="E368" i="165" s="1"/>
  <c r="E367" i="165" s="1"/>
  <c r="O368" i="165" l="1"/>
  <c r="O367" i="165" s="1"/>
  <c r="P369" i="165"/>
  <c r="P368" i="165" s="1"/>
  <c r="P367" i="165" s="1"/>
  <c r="F107" i="165" l="1"/>
  <c r="H37" i="167"/>
  <c r="J121" i="167" l="1"/>
  <c r="O161" i="165"/>
  <c r="J161" i="165" s="1"/>
  <c r="I121" i="167" s="1"/>
  <c r="E161" i="165"/>
  <c r="H121" i="167" s="1"/>
  <c r="J90" i="167"/>
  <c r="F108" i="165"/>
  <c r="G108" i="165"/>
  <c r="H108" i="165"/>
  <c r="I108" i="165"/>
  <c r="K108" i="165"/>
  <c r="L108" i="165"/>
  <c r="M108" i="165"/>
  <c r="N108" i="165"/>
  <c r="O109" i="165"/>
  <c r="J109" i="165" s="1"/>
  <c r="J108" i="165" s="1"/>
  <c r="E109" i="165"/>
  <c r="E108" i="165" s="1"/>
  <c r="H90" i="167" l="1"/>
  <c r="P161" i="165"/>
  <c r="G121" i="167"/>
  <c r="I90" i="167"/>
  <c r="O108" i="165"/>
  <c r="P109" i="165"/>
  <c r="L382" i="165"/>
  <c r="O251" i="165"/>
  <c r="L251" i="165"/>
  <c r="G90" i="167" l="1"/>
  <c r="P108" i="165"/>
  <c r="G142" i="167" l="1"/>
  <c r="O186" i="165" l="1"/>
  <c r="J186" i="165" s="1"/>
  <c r="E186" i="165"/>
  <c r="P186" i="165" l="1"/>
  <c r="G228" i="167" l="1"/>
  <c r="G227" i="167"/>
  <c r="G224" i="167"/>
  <c r="N303" i="165" l="1"/>
  <c r="M303" i="165"/>
  <c r="L303" i="165"/>
  <c r="K303" i="165"/>
  <c r="I303" i="165"/>
  <c r="H303" i="165"/>
  <c r="G303" i="165"/>
  <c r="F303" i="165"/>
  <c r="O306" i="165"/>
  <c r="J306" i="165" s="1"/>
  <c r="E306" i="165"/>
  <c r="O326" i="165"/>
  <c r="J326" i="165" s="1"/>
  <c r="E326" i="165"/>
  <c r="P306" i="165" l="1"/>
  <c r="P326" i="165"/>
  <c r="G210" i="167"/>
  <c r="D32" i="108" l="1"/>
  <c r="L29" i="165"/>
  <c r="F325" i="165" l="1"/>
  <c r="J31" i="167"/>
  <c r="O35" i="165"/>
  <c r="O33" i="165" s="1"/>
  <c r="E35" i="165"/>
  <c r="E33" i="165" s="1"/>
  <c r="N275" i="165"/>
  <c r="M275" i="165"/>
  <c r="L275" i="165"/>
  <c r="K275" i="165"/>
  <c r="I275" i="165"/>
  <c r="H275" i="165"/>
  <c r="G275" i="165"/>
  <c r="F275" i="165"/>
  <c r="O278" i="165"/>
  <c r="E278" i="165"/>
  <c r="F98" i="165"/>
  <c r="K97" i="165"/>
  <c r="F97" i="165"/>
  <c r="J91" i="167"/>
  <c r="J24" i="184"/>
  <c r="H24" i="184"/>
  <c r="K27" i="184"/>
  <c r="J278" i="165" l="1"/>
  <c r="P278" i="165" s="1"/>
  <c r="I272" i="165"/>
  <c r="N272" i="165"/>
  <c r="F272" i="165"/>
  <c r="K272" i="165"/>
  <c r="O275" i="165"/>
  <c r="M272" i="165"/>
  <c r="H31" i="167"/>
  <c r="E275" i="165"/>
  <c r="G272" i="165"/>
  <c r="L272" i="165"/>
  <c r="H272" i="165"/>
  <c r="J35" i="165"/>
  <c r="P35" i="165" l="1"/>
  <c r="P33" i="165" s="1"/>
  <c r="J33" i="165"/>
  <c r="I31" i="167"/>
  <c r="G31" i="167" s="1"/>
  <c r="N112" i="165"/>
  <c r="M112" i="165"/>
  <c r="L112" i="165"/>
  <c r="K112" i="165"/>
  <c r="I112" i="165"/>
  <c r="H112" i="165"/>
  <c r="G112" i="165"/>
  <c r="F112" i="165"/>
  <c r="O113" i="165"/>
  <c r="O112" i="165" s="1"/>
  <c r="E113" i="165"/>
  <c r="E112" i="165" s="1"/>
  <c r="K96" i="165"/>
  <c r="F96" i="165"/>
  <c r="J113" i="165" l="1"/>
  <c r="P113" i="165" s="1"/>
  <c r="H91" i="167"/>
  <c r="F45" i="172"/>
  <c r="E45" i="172"/>
  <c r="J112" i="165" l="1"/>
  <c r="I91" i="167"/>
  <c r="G91" i="167" s="1"/>
  <c r="P112" i="165"/>
  <c r="K41" i="165" l="1"/>
  <c r="M206" i="167" l="1"/>
  <c r="M183" i="167"/>
  <c r="G184" i="167"/>
  <c r="M175" i="167"/>
  <c r="G176" i="167"/>
  <c r="J242" i="167" l="1"/>
  <c r="N327" i="165"/>
  <c r="M327" i="165"/>
  <c r="L327" i="165"/>
  <c r="K327" i="165"/>
  <c r="I327" i="165"/>
  <c r="H327" i="165"/>
  <c r="G327" i="165"/>
  <c r="F327" i="165"/>
  <c r="F323" i="165"/>
  <c r="I48" i="184" l="1"/>
  <c r="K48" i="184" s="1"/>
  <c r="J74" i="184" l="1"/>
  <c r="N46" i="165" l="1"/>
  <c r="K48" i="165" l="1"/>
  <c r="K85" i="165"/>
  <c r="F36" i="172" l="1"/>
  <c r="E36" i="172"/>
  <c r="F27" i="172"/>
  <c r="C50" i="188" l="1"/>
  <c r="D49" i="188"/>
  <c r="C49" i="188" l="1"/>
  <c r="D38" i="188"/>
  <c r="E102" i="188"/>
  <c r="D95" i="188"/>
  <c r="H247" i="167" l="1"/>
  <c r="F338" i="165"/>
  <c r="K300" i="165" l="1"/>
  <c r="E58" i="188" l="1"/>
  <c r="H42" i="184" l="1"/>
  <c r="H39" i="184"/>
  <c r="H36" i="184"/>
  <c r="H32" i="184"/>
  <c r="H20" i="184"/>
  <c r="G250" i="167"/>
  <c r="M250" i="167"/>
  <c r="F341" i="165"/>
  <c r="O361" i="165"/>
  <c r="O359" i="165"/>
  <c r="C41" i="172"/>
  <c r="C42" i="172"/>
  <c r="O376" i="165" l="1"/>
  <c r="E376" i="165"/>
  <c r="N375" i="165"/>
  <c r="M375" i="165"/>
  <c r="L375" i="165"/>
  <c r="K375" i="165"/>
  <c r="I375" i="165"/>
  <c r="H375" i="165"/>
  <c r="G375" i="165"/>
  <c r="F375" i="165"/>
  <c r="N374" i="165"/>
  <c r="I29" i="184"/>
  <c r="I37" i="184"/>
  <c r="K37" i="184" s="1"/>
  <c r="K227" i="165"/>
  <c r="K204" i="165"/>
  <c r="F13" i="107"/>
  <c r="H13" i="107"/>
  <c r="J13" i="107"/>
  <c r="K13" i="107"/>
  <c r="L13" i="107"/>
  <c r="G213" i="165"/>
  <c r="H205" i="165"/>
  <c r="H204" i="165"/>
  <c r="O213" i="165"/>
  <c r="M213" i="165"/>
  <c r="L213" i="165"/>
  <c r="M382" i="165"/>
  <c r="H374" i="165" l="1"/>
  <c r="O204" i="165"/>
  <c r="I374" i="165"/>
  <c r="F374" i="165"/>
  <c r="K374" i="165"/>
  <c r="E375" i="165"/>
  <c r="M374" i="165"/>
  <c r="G374" i="165"/>
  <c r="L374" i="165"/>
  <c r="J376" i="165"/>
  <c r="O375" i="165"/>
  <c r="K163" i="165"/>
  <c r="H125" i="167"/>
  <c r="H126" i="167"/>
  <c r="G163" i="165"/>
  <c r="H118" i="167"/>
  <c r="G137" i="165"/>
  <c r="N136" i="165"/>
  <c r="E374" i="165" l="1"/>
  <c r="O374" i="165"/>
  <c r="J375" i="165"/>
  <c r="P376" i="165"/>
  <c r="N163" i="165"/>
  <c r="M163" i="165"/>
  <c r="L163" i="165"/>
  <c r="O163" i="165"/>
  <c r="P375" i="165" l="1"/>
  <c r="J374" i="165"/>
  <c r="J39" i="184"/>
  <c r="J38" i="184" s="1"/>
  <c r="I39" i="184"/>
  <c r="I38" i="184" s="1"/>
  <c r="H38" i="184"/>
  <c r="K40" i="184"/>
  <c r="P374" i="165" l="1"/>
  <c r="M17" i="167"/>
  <c r="G20" i="167"/>
  <c r="F260" i="165"/>
  <c r="O271" i="165"/>
  <c r="H282" i="165" l="1"/>
  <c r="J200" i="167"/>
  <c r="F259" i="165"/>
  <c r="O265" i="165"/>
  <c r="E265" i="165"/>
  <c r="J182" i="167"/>
  <c r="O246" i="165"/>
  <c r="E246" i="165"/>
  <c r="N245" i="165"/>
  <c r="M245" i="165"/>
  <c r="L245" i="165"/>
  <c r="K245" i="165"/>
  <c r="I245" i="165"/>
  <c r="H245" i="165"/>
  <c r="G245" i="165"/>
  <c r="F245" i="165"/>
  <c r="E245" i="165" l="1"/>
  <c r="J265" i="165"/>
  <c r="J246" i="165"/>
  <c r="H200" i="167"/>
  <c r="H182" i="167"/>
  <c r="O245" i="165"/>
  <c r="I71" i="184"/>
  <c r="O304" i="165"/>
  <c r="J236" i="165"/>
  <c r="E236" i="165"/>
  <c r="N233" i="165"/>
  <c r="M233" i="165"/>
  <c r="L233" i="165"/>
  <c r="K233" i="165"/>
  <c r="I233" i="165"/>
  <c r="G233" i="165"/>
  <c r="F233" i="165"/>
  <c r="K43" i="184"/>
  <c r="K45" i="184"/>
  <c r="K46" i="184"/>
  <c r="K47" i="184"/>
  <c r="K49" i="184"/>
  <c r="K51" i="184"/>
  <c r="K52" i="184"/>
  <c r="K53" i="184"/>
  <c r="K54" i="184"/>
  <c r="K55" i="184"/>
  <c r="K56" i="184"/>
  <c r="K57" i="184"/>
  <c r="I50" i="184"/>
  <c r="I42" i="184" s="1"/>
  <c r="J42" i="184"/>
  <c r="J304" i="165" l="1"/>
  <c r="J303" i="165" s="1"/>
  <c r="O303" i="165"/>
  <c r="J245" i="165"/>
  <c r="P265" i="165"/>
  <c r="P246" i="165"/>
  <c r="I200" i="167"/>
  <c r="G200" i="167" s="1"/>
  <c r="H174" i="167"/>
  <c r="G174" i="167" s="1"/>
  <c r="I182" i="167"/>
  <c r="G182" i="167" s="1"/>
  <c r="K44" i="184"/>
  <c r="P236" i="165"/>
  <c r="K50" i="184"/>
  <c r="O188" i="165"/>
  <c r="O180" i="165"/>
  <c r="O185" i="165"/>
  <c r="H31" i="184"/>
  <c r="I33" i="184"/>
  <c r="K33" i="184" s="1"/>
  <c r="I41" i="184"/>
  <c r="H41" i="184"/>
  <c r="H35" i="184"/>
  <c r="H23" i="184"/>
  <c r="H19" i="184"/>
  <c r="D74" i="170"/>
  <c r="H188" i="165"/>
  <c r="H185" i="165"/>
  <c r="P245" i="165" l="1"/>
  <c r="I32" i="184"/>
  <c r="H184" i="165"/>
  <c r="H180" i="165"/>
  <c r="H183" i="165"/>
  <c r="D28" i="108" l="1"/>
  <c r="J54" i="167"/>
  <c r="N62" i="165" l="1"/>
  <c r="O57" i="165"/>
  <c r="N57" i="165"/>
  <c r="N49" i="165"/>
  <c r="N48" i="165"/>
  <c r="K62" i="165"/>
  <c r="K59" i="165"/>
  <c r="J20" i="184"/>
  <c r="J19" i="184" s="1"/>
  <c r="I21" i="184"/>
  <c r="I22" i="184"/>
  <c r="K22" i="184" s="1"/>
  <c r="O59" i="165" l="1"/>
  <c r="O62" i="165"/>
  <c r="I20" i="184"/>
  <c r="I19" i="184" s="1"/>
  <c r="O48" i="165"/>
  <c r="K46" i="165"/>
  <c r="O46" i="165" l="1"/>
  <c r="F67" i="165"/>
  <c r="F65" i="165"/>
  <c r="F62" i="165"/>
  <c r="E53" i="165"/>
  <c r="J53" i="165"/>
  <c r="K51" i="165"/>
  <c r="L51" i="165"/>
  <c r="M51" i="165"/>
  <c r="N51" i="165"/>
  <c r="I51" i="165"/>
  <c r="H51" i="165"/>
  <c r="G51" i="165"/>
  <c r="F51" i="165"/>
  <c r="H49" i="165"/>
  <c r="N351" i="165"/>
  <c r="M351" i="165"/>
  <c r="L351" i="165"/>
  <c r="K351" i="165"/>
  <c r="I351" i="165"/>
  <c r="H351" i="165"/>
  <c r="G351" i="165"/>
  <c r="F351" i="165"/>
  <c r="E351" i="165"/>
  <c r="I54" i="167" l="1"/>
  <c r="H54" i="167"/>
  <c r="P53" i="165"/>
  <c r="O352" i="165"/>
  <c r="J59" i="184"/>
  <c r="I75" i="184"/>
  <c r="I74" i="184"/>
  <c r="K74" i="184" s="1"/>
  <c r="I73" i="184"/>
  <c r="K73" i="184" s="1"/>
  <c r="I72" i="184"/>
  <c r="K72" i="184" s="1"/>
  <c r="K71" i="184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K65" i="184" s="1"/>
  <c r="I64" i="184"/>
  <c r="K64" i="184" s="1"/>
  <c r="I63" i="184"/>
  <c r="H63" i="184"/>
  <c r="I62" i="184"/>
  <c r="K62" i="184" s="1"/>
  <c r="I61" i="184"/>
  <c r="K61" i="184" s="1"/>
  <c r="I60" i="184"/>
  <c r="G54" i="167" l="1"/>
  <c r="O351" i="165"/>
  <c r="K75" i="184"/>
  <c r="H59" i="184"/>
  <c r="H58" i="184" s="1"/>
  <c r="H101" i="184" s="1"/>
  <c r="L101" i="184" s="1"/>
  <c r="K60" i="184"/>
  <c r="I59" i="184"/>
  <c r="I58" i="184" s="1"/>
  <c r="K63" i="184"/>
  <c r="I26" i="184" l="1"/>
  <c r="I24" i="184" s="1"/>
  <c r="O97" i="165" l="1"/>
  <c r="K26" i="184"/>
  <c r="I23" i="184"/>
  <c r="H106" i="165"/>
  <c r="J80" i="167" l="1"/>
  <c r="H23" i="167"/>
  <c r="H18" i="165"/>
  <c r="J231" i="167"/>
  <c r="I231" i="167"/>
  <c r="H365" i="165"/>
  <c r="H356" i="165"/>
  <c r="H348" i="165"/>
  <c r="H318" i="165"/>
  <c r="H310" i="165"/>
  <c r="H287" i="165"/>
  <c r="H256" i="165"/>
  <c r="H234" i="165"/>
  <c r="H122" i="165"/>
  <c r="H94" i="165"/>
  <c r="H233" i="165" l="1"/>
  <c r="F128" i="165"/>
  <c r="J169" i="167"/>
  <c r="D78" i="170"/>
  <c r="O230" i="165"/>
  <c r="J230" i="165" s="1"/>
  <c r="E85" i="170" s="1"/>
  <c r="E230" i="165"/>
  <c r="E229" i="165" s="1"/>
  <c r="E228" i="165" s="1"/>
  <c r="N229" i="165"/>
  <c r="N228" i="165" s="1"/>
  <c r="M229" i="165"/>
  <c r="M228" i="165" s="1"/>
  <c r="L229" i="165"/>
  <c r="L228" i="165" s="1"/>
  <c r="K229" i="165"/>
  <c r="K228" i="165" s="1"/>
  <c r="I229" i="165"/>
  <c r="I228" i="165" s="1"/>
  <c r="H229" i="165"/>
  <c r="H228" i="165" s="1"/>
  <c r="G229" i="165"/>
  <c r="G228" i="165" s="1"/>
  <c r="F229" i="165"/>
  <c r="F228" i="165" s="1"/>
  <c r="E76" i="170" l="1"/>
  <c r="H169" i="167"/>
  <c r="I169" i="167"/>
  <c r="O229" i="165"/>
  <c r="O228" i="165" s="1"/>
  <c r="J229" i="165"/>
  <c r="J228" i="165" s="1"/>
  <c r="P230" i="165"/>
  <c r="P229" i="165" s="1"/>
  <c r="P228" i="165" s="1"/>
  <c r="G169" i="167" l="1"/>
  <c r="J223" i="167"/>
  <c r="J23" i="184"/>
  <c r="K94" i="165"/>
  <c r="D110" i="188"/>
  <c r="D14" i="170" l="1"/>
  <c r="D22" i="170" s="1"/>
  <c r="S365" i="165"/>
  <c r="F81" i="165" l="1"/>
  <c r="D72" i="170" l="1"/>
  <c r="D56" i="170" l="1"/>
  <c r="D54" i="170"/>
  <c r="J166" i="167" l="1"/>
  <c r="O225" i="165"/>
  <c r="E225" i="165"/>
  <c r="N224" i="165"/>
  <c r="M224" i="165"/>
  <c r="L224" i="165"/>
  <c r="K224" i="165"/>
  <c r="I224" i="165"/>
  <c r="H224" i="165"/>
  <c r="G224" i="165"/>
  <c r="F224" i="165"/>
  <c r="J32" i="184"/>
  <c r="H166" i="167" l="1"/>
  <c r="E224" i="165"/>
  <c r="I223" i="165"/>
  <c r="K223" i="165"/>
  <c r="M223" i="165"/>
  <c r="E223" i="165"/>
  <c r="F223" i="165"/>
  <c r="G223" i="165"/>
  <c r="J225" i="165"/>
  <c r="L223" i="165"/>
  <c r="H223" i="165"/>
  <c r="N223" i="165"/>
  <c r="O224" i="165"/>
  <c r="O328" i="165"/>
  <c r="E328" i="165"/>
  <c r="O327" i="165" l="1"/>
  <c r="E327" i="165"/>
  <c r="H242" i="167"/>
  <c r="P225" i="165"/>
  <c r="O223" i="165"/>
  <c r="J224" i="165"/>
  <c r="I166" i="167"/>
  <c r="G166" i="167" s="1"/>
  <c r="J328" i="165"/>
  <c r="P224" i="165" l="1"/>
  <c r="P223" i="165" s="1"/>
  <c r="J327" i="165"/>
  <c r="I242" i="167"/>
  <c r="P328" i="165"/>
  <c r="G240" i="167"/>
  <c r="J223" i="165"/>
  <c r="G242" i="167" l="1"/>
  <c r="P327" i="165"/>
  <c r="G18" i="167"/>
  <c r="D87" i="170"/>
  <c r="J76" i="167"/>
  <c r="N86" i="165"/>
  <c r="M86" i="165"/>
  <c r="L86" i="165"/>
  <c r="K86" i="165"/>
  <c r="I86" i="165"/>
  <c r="H86" i="165"/>
  <c r="G86" i="165"/>
  <c r="O87" i="165"/>
  <c r="J75" i="167"/>
  <c r="F84" i="165"/>
  <c r="G84" i="165"/>
  <c r="H84" i="165"/>
  <c r="I84" i="165"/>
  <c r="K84" i="165"/>
  <c r="L84" i="165"/>
  <c r="M84" i="165"/>
  <c r="N84" i="165"/>
  <c r="O85" i="165"/>
  <c r="E85" i="165"/>
  <c r="N83" i="165" l="1"/>
  <c r="K83" i="165"/>
  <c r="I83" i="165"/>
  <c r="H83" i="165"/>
  <c r="M83" i="165"/>
  <c r="H75" i="167"/>
  <c r="G83" i="165"/>
  <c r="J87" i="165"/>
  <c r="L83" i="165"/>
  <c r="J85" i="165"/>
  <c r="F83" i="165"/>
  <c r="E87" i="165"/>
  <c r="E84" i="165"/>
  <c r="F86" i="165"/>
  <c r="O86" i="165"/>
  <c r="O84" i="165"/>
  <c r="J84" i="165" l="1"/>
  <c r="P87" i="165"/>
  <c r="H76" i="167"/>
  <c r="J86" i="165"/>
  <c r="P85" i="165"/>
  <c r="I75" i="167"/>
  <c r="G75" i="167" s="1"/>
  <c r="M82" i="165"/>
  <c r="G82" i="165"/>
  <c r="E83" i="165"/>
  <c r="E86" i="165"/>
  <c r="I76" i="167"/>
  <c r="I82" i="165"/>
  <c r="K82" i="165"/>
  <c r="F82" i="165"/>
  <c r="O83" i="165"/>
  <c r="L82" i="165"/>
  <c r="H82" i="165"/>
  <c r="N82" i="165"/>
  <c r="F131" i="188"/>
  <c r="D131" i="188"/>
  <c r="C137" i="188"/>
  <c r="C136" i="188"/>
  <c r="D77" i="188"/>
  <c r="G76" i="167" l="1"/>
  <c r="J83" i="165"/>
  <c r="J82" i="165" s="1"/>
  <c r="P86" i="165"/>
  <c r="D54" i="188"/>
  <c r="D73" i="188"/>
  <c r="E131" i="188"/>
  <c r="O82" i="165"/>
  <c r="E82" i="165"/>
  <c r="P84" i="165"/>
  <c r="D68" i="188"/>
  <c r="P83" i="165" l="1"/>
  <c r="P82" i="165" l="1"/>
  <c r="D48" i="170" l="1"/>
  <c r="D50" i="170" s="1"/>
  <c r="Q365" i="165" l="1"/>
  <c r="J128" i="167" l="1"/>
  <c r="O168" i="165"/>
  <c r="E168" i="165"/>
  <c r="N166" i="165"/>
  <c r="M166" i="165"/>
  <c r="L166" i="165"/>
  <c r="K166" i="165"/>
  <c r="I166" i="165"/>
  <c r="H166" i="165"/>
  <c r="G166" i="165"/>
  <c r="F166" i="165"/>
  <c r="J168" i="165" l="1"/>
  <c r="I128" i="167" s="1"/>
  <c r="H128" i="167"/>
  <c r="N147" i="165"/>
  <c r="M147" i="165"/>
  <c r="L147" i="165"/>
  <c r="K147" i="165"/>
  <c r="I147" i="165"/>
  <c r="H147" i="165"/>
  <c r="G147" i="165"/>
  <c r="F147" i="165"/>
  <c r="P168" i="165" l="1"/>
  <c r="G128" i="167"/>
  <c r="O158" i="165"/>
  <c r="E158" i="165"/>
  <c r="O155" i="165"/>
  <c r="E155" i="165"/>
  <c r="O151" i="165"/>
  <c r="E151" i="165"/>
  <c r="O148" i="165"/>
  <c r="E148" i="165"/>
  <c r="J151" i="165" l="1"/>
  <c r="J158" i="165"/>
  <c r="J155" i="165"/>
  <c r="E147" i="165"/>
  <c r="O147" i="165"/>
  <c r="J148" i="165"/>
  <c r="J92" i="167"/>
  <c r="P151" i="165" l="1"/>
  <c r="P158" i="165"/>
  <c r="P155" i="165"/>
  <c r="P148" i="165"/>
  <c r="J147" i="165"/>
  <c r="O115" i="165"/>
  <c r="J115" i="165" s="1"/>
  <c r="E115" i="165"/>
  <c r="N114" i="165"/>
  <c r="N111" i="165" s="1"/>
  <c r="M114" i="165"/>
  <c r="M111" i="165" s="1"/>
  <c r="L114" i="165"/>
  <c r="L111" i="165" s="1"/>
  <c r="K114" i="165"/>
  <c r="K111" i="165" s="1"/>
  <c r="I114" i="165"/>
  <c r="I111" i="165" s="1"/>
  <c r="H114" i="165"/>
  <c r="H111" i="165" s="1"/>
  <c r="G114" i="165"/>
  <c r="G111" i="165" s="1"/>
  <c r="F114" i="165"/>
  <c r="F111" i="165" s="1"/>
  <c r="I92" i="167" l="1"/>
  <c r="P147" i="165"/>
  <c r="E114" i="165"/>
  <c r="E111" i="165" s="1"/>
  <c r="H92" i="167"/>
  <c r="J114" i="165"/>
  <c r="J111" i="165" s="1"/>
  <c r="P115" i="165"/>
  <c r="O114" i="165"/>
  <c r="O111" i="165" s="1"/>
  <c r="G92" i="167" l="1"/>
  <c r="P114" i="165"/>
  <c r="P111" i="165" s="1"/>
  <c r="J73" i="167" l="1"/>
  <c r="O81" i="165"/>
  <c r="E81" i="165"/>
  <c r="N79" i="165"/>
  <c r="M79" i="165"/>
  <c r="L79" i="165"/>
  <c r="I79" i="165"/>
  <c r="H79" i="165"/>
  <c r="G79" i="165"/>
  <c r="F79" i="165"/>
  <c r="C130" i="188"/>
  <c r="C122" i="188"/>
  <c r="C121" i="188"/>
  <c r="C120" i="188"/>
  <c r="C119" i="188"/>
  <c r="C123" i="188"/>
  <c r="F110" i="188"/>
  <c r="E110" i="188"/>
  <c r="C114" i="188"/>
  <c r="C112" i="188"/>
  <c r="H73" i="167" l="1"/>
  <c r="J81" i="165"/>
  <c r="C132" i="188"/>
  <c r="E118" i="188"/>
  <c r="C85" i="188"/>
  <c r="C20" i="188"/>
  <c r="C19" i="188"/>
  <c r="C18" i="188"/>
  <c r="P81" i="165" l="1"/>
  <c r="I73" i="167"/>
  <c r="G73" i="167" s="1"/>
  <c r="C107" i="188"/>
  <c r="C125" i="188"/>
  <c r="C124" i="188"/>
  <c r="F118" i="188"/>
  <c r="C131" i="188"/>
  <c r="E99" i="188"/>
  <c r="F94" i="188"/>
  <c r="E94" i="188"/>
  <c r="C103" i="188"/>
  <c r="C111" i="188"/>
  <c r="C113" i="188"/>
  <c r="C115" i="188"/>
  <c r="C116" i="188"/>
  <c r="C117" i="188"/>
  <c r="C126" i="188"/>
  <c r="C128" i="188"/>
  <c r="C129" i="188"/>
  <c r="C133" i="188"/>
  <c r="C134" i="188"/>
  <c r="C135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9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48" i="167"/>
  <c r="N192" i="165"/>
  <c r="M192" i="165"/>
  <c r="L192" i="165"/>
  <c r="K192" i="165"/>
  <c r="I192" i="165"/>
  <c r="H192" i="165"/>
  <c r="G192" i="165"/>
  <c r="F192" i="165"/>
  <c r="O193" i="165"/>
  <c r="E193" i="165"/>
  <c r="J77" i="167"/>
  <c r="K72" i="165"/>
  <c r="O90" i="165"/>
  <c r="E90" i="165"/>
  <c r="N89" i="165"/>
  <c r="M89" i="165"/>
  <c r="L89" i="165"/>
  <c r="K89" i="165"/>
  <c r="I89" i="165"/>
  <c r="H89" i="165"/>
  <c r="G89" i="165"/>
  <c r="F89" i="165"/>
  <c r="K73" i="165"/>
  <c r="D43" i="170"/>
  <c r="D127" i="188"/>
  <c r="N191" i="165" l="1"/>
  <c r="M88" i="165"/>
  <c r="N88" i="165"/>
  <c r="F88" i="165"/>
  <c r="H148" i="167"/>
  <c r="H77" i="167"/>
  <c r="I88" i="165"/>
  <c r="F191" i="165"/>
  <c r="G191" i="165"/>
  <c r="L88" i="165"/>
  <c r="H191" i="165"/>
  <c r="E89" i="165"/>
  <c r="E192" i="165"/>
  <c r="C127" i="188"/>
  <c r="D118" i="188"/>
  <c r="H88" i="165"/>
  <c r="M191" i="165"/>
  <c r="I191" i="165"/>
  <c r="G88" i="165"/>
  <c r="K88" i="165"/>
  <c r="J90" i="165"/>
  <c r="L191" i="165"/>
  <c r="J193" i="165"/>
  <c r="O192" i="165"/>
  <c r="O89" i="165"/>
  <c r="E88" i="165" l="1"/>
  <c r="P90" i="165"/>
  <c r="D109" i="188"/>
  <c r="C118" i="188"/>
  <c r="J89" i="165"/>
  <c r="E84" i="170"/>
  <c r="I77" i="167"/>
  <c r="G77" i="167" s="1"/>
  <c r="O88" i="165"/>
  <c r="J192" i="165"/>
  <c r="I148" i="167"/>
  <c r="G148" i="167" s="1"/>
  <c r="P193" i="165"/>
  <c r="D105" i="188" l="1"/>
  <c r="P89" i="165"/>
  <c r="P88" i="165" s="1"/>
  <c r="P192" i="165"/>
  <c r="J88" i="165"/>
  <c r="F105" i="188" l="1"/>
  <c r="C100" i="188"/>
  <c r="F99" i="188"/>
  <c r="E98" i="188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C30" i="188"/>
  <c r="C79" i="188"/>
  <c r="E109" i="188"/>
  <c r="C110" i="188"/>
  <c r="C98" i="188"/>
  <c r="E93" i="188"/>
  <c r="D15" i="188" l="1"/>
  <c r="C15" i="188" s="1"/>
  <c r="D63" i="188"/>
  <c r="F93" i="188"/>
  <c r="C29" i="188"/>
  <c r="C93" i="188"/>
  <c r="E104" i="188"/>
  <c r="E138" i="188" s="1"/>
  <c r="C72" i="188"/>
  <c r="C109" i="188"/>
  <c r="E105" i="188"/>
  <c r="C105" i="188" s="1"/>
  <c r="C37" i="188"/>
  <c r="F104" i="188" l="1"/>
  <c r="F138" i="188" s="1"/>
  <c r="D104" i="188"/>
  <c r="C104" i="188" s="1"/>
  <c r="C63" i="188"/>
  <c r="D138" i="188" l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1" i="167"/>
  <c r="N138" i="165"/>
  <c r="M138" i="165"/>
  <c r="L138" i="165"/>
  <c r="I138" i="165"/>
  <c r="H138" i="165"/>
  <c r="G138" i="165"/>
  <c r="F138" i="165"/>
  <c r="J69" i="167"/>
  <c r="I69" i="167"/>
  <c r="J68" i="167"/>
  <c r="N71" i="165"/>
  <c r="M71" i="165"/>
  <c r="L71" i="165"/>
  <c r="K71" i="165"/>
  <c r="I71" i="165"/>
  <c r="H71" i="165"/>
  <c r="G71" i="165"/>
  <c r="F71" i="165"/>
  <c r="O73" i="165"/>
  <c r="E73" i="165"/>
  <c r="C138" i="188" l="1"/>
  <c r="K138" i="165"/>
  <c r="H68" i="167"/>
  <c r="J73" i="165"/>
  <c r="F372" i="165"/>
  <c r="J238" i="167"/>
  <c r="J239" i="167"/>
  <c r="N322" i="165"/>
  <c r="M322" i="165"/>
  <c r="L322" i="165"/>
  <c r="K322" i="165"/>
  <c r="I322" i="165"/>
  <c r="H322" i="165"/>
  <c r="G322" i="165"/>
  <c r="F322" i="165"/>
  <c r="O323" i="165"/>
  <c r="E323" i="165"/>
  <c r="M246" i="167"/>
  <c r="G246" i="167"/>
  <c r="F370" i="165" l="1"/>
  <c r="O322" i="165"/>
  <c r="H238" i="167"/>
  <c r="J323" i="165"/>
  <c r="E322" i="165"/>
  <c r="E138" i="165"/>
  <c r="I68" i="167"/>
  <c r="G68" i="167" s="1"/>
  <c r="P73" i="165"/>
  <c r="O138" i="165"/>
  <c r="F335" i="165"/>
  <c r="N335" i="165"/>
  <c r="M335" i="165"/>
  <c r="L335" i="165"/>
  <c r="K335" i="165"/>
  <c r="I335" i="165"/>
  <c r="H335" i="165"/>
  <c r="G335" i="165"/>
  <c r="O336" i="165"/>
  <c r="E336" i="165"/>
  <c r="P138" i="165" l="1"/>
  <c r="J138" i="165"/>
  <c r="P323" i="165"/>
  <c r="G114" i="167"/>
  <c r="J336" i="165"/>
  <c r="O335" i="165"/>
  <c r="K246" i="167"/>
  <c r="E335" i="165"/>
  <c r="J322" i="165"/>
  <c r="I238" i="167"/>
  <c r="G238" i="167" l="1"/>
  <c r="P322" i="165"/>
  <c r="J36" i="184"/>
  <c r="P336" i="165"/>
  <c r="L246" i="167"/>
  <c r="J335" i="165"/>
  <c r="D19" i="108"/>
  <c r="P335" i="165" l="1"/>
  <c r="F47" i="165"/>
  <c r="J46" i="167"/>
  <c r="I46" i="167"/>
  <c r="E80" i="165"/>
  <c r="E79" i="165"/>
  <c r="J67" i="167"/>
  <c r="O72" i="165"/>
  <c r="E72" i="165"/>
  <c r="J52" i="167"/>
  <c r="K47" i="165"/>
  <c r="I47" i="165"/>
  <c r="O50" i="165"/>
  <c r="E50" i="165"/>
  <c r="K79" i="165" l="1"/>
  <c r="J72" i="167"/>
  <c r="G47" i="165"/>
  <c r="H52" i="167"/>
  <c r="H47" i="165"/>
  <c r="O80" i="165"/>
  <c r="H72" i="167"/>
  <c r="J72" i="165"/>
  <c r="O71" i="165"/>
  <c r="E71" i="165"/>
  <c r="H67" i="167"/>
  <c r="J50" i="165"/>
  <c r="O79" i="165" l="1"/>
  <c r="P50" i="165"/>
  <c r="P72" i="165"/>
  <c r="J80" i="165"/>
  <c r="I67" i="167"/>
  <c r="G67" i="167" s="1"/>
  <c r="J71" i="165"/>
  <c r="I52" i="167"/>
  <c r="G52" i="167" s="1"/>
  <c r="P80" i="165" l="1"/>
  <c r="J79" i="165"/>
  <c r="I72" i="167"/>
  <c r="G72" i="167" s="1"/>
  <c r="P71" i="165"/>
  <c r="J226" i="167"/>
  <c r="E304" i="165"/>
  <c r="E303" i="165" s="1"/>
  <c r="P79" i="165" l="1"/>
  <c r="H302" i="165"/>
  <c r="N302" i="165"/>
  <c r="I302" i="165"/>
  <c r="G302" i="165"/>
  <c r="M302" i="165"/>
  <c r="L302" i="165"/>
  <c r="H226" i="167"/>
  <c r="F302" i="165"/>
  <c r="K302" i="165"/>
  <c r="O302" i="165" l="1"/>
  <c r="E302" i="165"/>
  <c r="I226" i="167"/>
  <c r="G226" i="167" s="1"/>
  <c r="P304" i="165"/>
  <c r="P303" i="165" s="1"/>
  <c r="J302" i="165" l="1"/>
  <c r="P302" i="165" l="1"/>
  <c r="J99" i="184"/>
  <c r="J266" i="167"/>
  <c r="I266" i="167"/>
  <c r="H267" i="167"/>
  <c r="G267" i="167" s="1"/>
  <c r="J66" i="167" l="1"/>
  <c r="O70" i="165"/>
  <c r="E70" i="165"/>
  <c r="N68" i="165"/>
  <c r="M68" i="165"/>
  <c r="L68" i="165"/>
  <c r="K68" i="165"/>
  <c r="I68" i="165"/>
  <c r="H68" i="165"/>
  <c r="G68" i="165"/>
  <c r="J25" i="167"/>
  <c r="M25" i="167" s="1"/>
  <c r="J25" i="165"/>
  <c r="E25" i="165"/>
  <c r="N23" i="165"/>
  <c r="M23" i="165"/>
  <c r="L23" i="165"/>
  <c r="K23" i="165"/>
  <c r="I23" i="165"/>
  <c r="H23" i="165"/>
  <c r="G23" i="165"/>
  <c r="F23" i="165"/>
  <c r="I25" i="167" l="1"/>
  <c r="L25" i="167" s="1"/>
  <c r="H66" i="167"/>
  <c r="J70" i="165"/>
  <c r="P25" i="165"/>
  <c r="H25" i="167"/>
  <c r="P70" i="165" l="1"/>
  <c r="I66" i="167"/>
  <c r="G66" i="167" s="1"/>
  <c r="K25" i="167"/>
  <c r="G25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3" i="184" l="1"/>
  <c r="J92" i="184" s="1"/>
  <c r="J86" i="184"/>
  <c r="I36" i="184"/>
  <c r="I35" i="184" s="1"/>
  <c r="I31" i="184"/>
  <c r="I101" i="184" l="1"/>
  <c r="M101" i="184" s="1"/>
  <c r="H29" i="184"/>
  <c r="H28" i="184" s="1"/>
  <c r="I28" i="184"/>
  <c r="J12" i="184"/>
  <c r="J11" i="184" s="1"/>
  <c r="J85" i="184"/>
  <c r="J31" i="184"/>
  <c r="J83" i="184"/>
  <c r="J82" i="184" s="1"/>
  <c r="J90" i="184"/>
  <c r="J89" i="184" s="1"/>
  <c r="J77" i="184"/>
  <c r="J76" i="184" s="1"/>
  <c r="J29" i="184"/>
  <c r="J28" i="184" s="1"/>
  <c r="J35" i="184" l="1"/>
  <c r="J58" i="184"/>
  <c r="J41" i="184"/>
  <c r="J98" i="184"/>
  <c r="F35" i="172"/>
  <c r="F32" i="172" s="1"/>
  <c r="E35" i="172"/>
  <c r="E32" i="172" s="1"/>
  <c r="C40" i="172"/>
  <c r="C37" i="172" s="1"/>
  <c r="C28" i="172"/>
  <c r="C27" i="172"/>
  <c r="J101" i="184" l="1"/>
  <c r="N101" i="184" s="1"/>
  <c r="C26" i="172"/>
  <c r="C25" i="172" s="1"/>
  <c r="C35" i="172"/>
  <c r="C32" i="172" s="1"/>
  <c r="N270" i="165"/>
  <c r="M270" i="165"/>
  <c r="L270" i="165"/>
  <c r="I270" i="165"/>
  <c r="H270" i="165"/>
  <c r="G270" i="165"/>
  <c r="C31" i="172" l="1"/>
  <c r="H269" i="165"/>
  <c r="L269" i="165"/>
  <c r="I269" i="165"/>
  <c r="M269" i="165"/>
  <c r="G269" i="165"/>
  <c r="N269" i="165"/>
  <c r="J71" i="167" l="1"/>
  <c r="O76" i="165"/>
  <c r="K191" i="165" l="1"/>
  <c r="E76" i="165"/>
  <c r="J76" i="165"/>
  <c r="E118" i="165"/>
  <c r="O118" i="165"/>
  <c r="J118" i="165" s="1"/>
  <c r="H71" i="167" l="1"/>
  <c r="I71" i="167"/>
  <c r="K270" i="165"/>
  <c r="P76" i="165"/>
  <c r="P118" i="165"/>
  <c r="G71" i="167" l="1"/>
  <c r="K269" i="165"/>
  <c r="G252" i="167" l="1"/>
  <c r="G42" i="167" l="1"/>
  <c r="G39" i="167" l="1"/>
  <c r="G38" i="167"/>
  <c r="G37" i="167"/>
  <c r="G36" i="167"/>
  <c r="E42" i="165"/>
  <c r="G251" i="167"/>
  <c r="K35" i="167" l="1"/>
  <c r="O42" i="165"/>
  <c r="M35" i="167"/>
  <c r="E72" i="170"/>
  <c r="J42" i="165" l="1"/>
  <c r="F78" i="165"/>
  <c r="P42" i="165" l="1"/>
  <c r="L35" i="167"/>
  <c r="N54" i="165"/>
  <c r="M54" i="165"/>
  <c r="L54" i="165"/>
  <c r="I54" i="165"/>
  <c r="H54" i="165"/>
  <c r="G54" i="165"/>
  <c r="F54" i="165"/>
  <c r="E56" i="165"/>
  <c r="J180" i="167"/>
  <c r="O242" i="165"/>
  <c r="E242" i="165"/>
  <c r="K54" i="165" l="1"/>
  <c r="H180" i="167"/>
  <c r="E54" i="165"/>
  <c r="O56" i="165"/>
  <c r="H55" i="167"/>
  <c r="J242" i="165"/>
  <c r="J55" i="167"/>
  <c r="J56" i="165" l="1"/>
  <c r="O54" i="165"/>
  <c r="P242" i="165"/>
  <c r="I180" i="167"/>
  <c r="G180" i="167" s="1"/>
  <c r="J54" i="165" l="1"/>
  <c r="P56" i="165"/>
  <c r="I55" i="167"/>
  <c r="G55" i="167" s="1"/>
  <c r="P54" i="165"/>
  <c r="J219" i="167" l="1"/>
  <c r="J217" i="167"/>
  <c r="N286" i="165" l="1"/>
  <c r="M286" i="165"/>
  <c r="L286" i="165"/>
  <c r="K286" i="165"/>
  <c r="I286" i="165"/>
  <c r="G286" i="165"/>
  <c r="O289" i="165"/>
  <c r="E289" i="165"/>
  <c r="O295" i="165"/>
  <c r="E295" i="165"/>
  <c r="J295" i="165" l="1"/>
  <c r="H217" i="167"/>
  <c r="J289" i="165"/>
  <c r="H219" i="167"/>
  <c r="N171" i="165"/>
  <c r="M171" i="165"/>
  <c r="L171" i="165"/>
  <c r="I171" i="165"/>
  <c r="H171" i="165"/>
  <c r="G171" i="165"/>
  <c r="F171" i="165"/>
  <c r="G100" i="167"/>
  <c r="P295" i="165" l="1"/>
  <c r="K171" i="165"/>
  <c r="H170" i="165"/>
  <c r="M170" i="165"/>
  <c r="I170" i="165"/>
  <c r="N170" i="165"/>
  <c r="P289" i="165"/>
  <c r="I217" i="167"/>
  <c r="F170" i="165"/>
  <c r="O172" i="165"/>
  <c r="J129" i="167"/>
  <c r="G170" i="165"/>
  <c r="L170" i="165"/>
  <c r="I219" i="167"/>
  <c r="G219" i="167" s="1"/>
  <c r="K170" i="165" l="1"/>
  <c r="J172" i="165"/>
  <c r="G217" i="167"/>
  <c r="O171" i="165"/>
  <c r="J171" i="165" l="1"/>
  <c r="I129" i="167"/>
  <c r="O170" i="165"/>
  <c r="J109" i="167"/>
  <c r="O133" i="165"/>
  <c r="E133" i="165"/>
  <c r="J101" i="167"/>
  <c r="J102" i="167"/>
  <c r="N121" i="165"/>
  <c r="M121" i="165"/>
  <c r="L121" i="165"/>
  <c r="I121" i="165"/>
  <c r="G121" i="165"/>
  <c r="J124" i="165"/>
  <c r="E124" i="165"/>
  <c r="J170" i="165" l="1"/>
  <c r="I102" i="167"/>
  <c r="H109" i="167"/>
  <c r="J133" i="165"/>
  <c r="K121" i="165"/>
  <c r="P124" i="165"/>
  <c r="H102" i="167"/>
  <c r="I109" i="167" l="1"/>
  <c r="G109" i="167" s="1"/>
  <c r="G102" i="167"/>
  <c r="P133" i="165"/>
  <c r="F283" i="165"/>
  <c r="G283" i="165"/>
  <c r="H283" i="165"/>
  <c r="J185" i="167"/>
  <c r="O249" i="165"/>
  <c r="E249" i="165"/>
  <c r="F270" i="165" l="1"/>
  <c r="O270" i="165"/>
  <c r="H185" i="167"/>
  <c r="J249" i="165"/>
  <c r="P249" i="165" l="1"/>
  <c r="F269" i="165"/>
  <c r="O269" i="165"/>
  <c r="I185" i="167"/>
  <c r="G185" i="167" s="1"/>
  <c r="F121" i="165" l="1"/>
  <c r="J149" i="167" l="1"/>
  <c r="O194" i="165" l="1"/>
  <c r="E194" i="165"/>
  <c r="L190" i="165"/>
  <c r="G138" i="167"/>
  <c r="O191" i="165" l="1"/>
  <c r="E191" i="165"/>
  <c r="M190" i="165"/>
  <c r="K190" i="165"/>
  <c r="I190" i="165"/>
  <c r="N190" i="165"/>
  <c r="F190" i="165"/>
  <c r="H149" i="167"/>
  <c r="G190" i="165"/>
  <c r="H190" i="165"/>
  <c r="J194" i="165"/>
  <c r="J191" i="165" l="1"/>
  <c r="E190" i="165"/>
  <c r="O190" i="165"/>
  <c r="I149" i="167"/>
  <c r="G149" i="167" s="1"/>
  <c r="P194" i="165"/>
  <c r="P191" i="165" l="1"/>
  <c r="J190" i="165"/>
  <c r="P190" i="165" l="1"/>
  <c r="G261" i="167"/>
  <c r="D33" i="108"/>
  <c r="F286" i="165" l="1"/>
  <c r="J29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29" i="167" l="1"/>
  <c r="H29" i="167"/>
  <c r="J28" i="165"/>
  <c r="P31" i="165"/>
  <c r="J233" i="167"/>
  <c r="G29" i="167" l="1"/>
  <c r="O314" i="165"/>
  <c r="E314" i="165"/>
  <c r="N313" i="165"/>
  <c r="M313" i="165"/>
  <c r="L313" i="165"/>
  <c r="K313" i="165"/>
  <c r="I313" i="165"/>
  <c r="H313" i="165"/>
  <c r="G313" i="165"/>
  <c r="F313" i="165"/>
  <c r="L312" i="165" l="1"/>
  <c r="N312" i="165"/>
  <c r="H312" i="165"/>
  <c r="M312" i="165"/>
  <c r="F17" i="153"/>
  <c r="F312" i="165"/>
  <c r="K312" i="165"/>
  <c r="J314" i="165"/>
  <c r="G312" i="165"/>
  <c r="I312" i="165"/>
  <c r="E313" i="165"/>
  <c r="H233" i="167"/>
  <c r="O313" i="165"/>
  <c r="J313" i="165" l="1"/>
  <c r="P314" i="165"/>
  <c r="E312" i="165"/>
  <c r="O312" i="165"/>
  <c r="I233" i="167"/>
  <c r="G233" i="167" s="1"/>
  <c r="J312" i="165" l="1"/>
  <c r="P313" i="165"/>
  <c r="P312" i="165" l="1"/>
  <c r="J253" i="167" l="1"/>
  <c r="J245" i="167" s="1"/>
  <c r="O344" i="165" l="1"/>
  <c r="E344" i="165"/>
  <c r="N343" i="165"/>
  <c r="M343" i="165"/>
  <c r="L343" i="165"/>
  <c r="K343" i="165"/>
  <c r="I343" i="165"/>
  <c r="H343" i="165"/>
  <c r="G343" i="165"/>
  <c r="F343" i="165"/>
  <c r="M342" i="165" l="1"/>
  <c r="N342" i="165"/>
  <c r="H342" i="165"/>
  <c r="I342" i="165"/>
  <c r="F342" i="165"/>
  <c r="K342" i="165"/>
  <c r="H253" i="167"/>
  <c r="H245" i="167" s="1"/>
  <c r="G342" i="165"/>
  <c r="L342" i="165"/>
  <c r="J344" i="165"/>
  <c r="O343" i="165"/>
  <c r="E343" i="165"/>
  <c r="E86" i="170" l="1"/>
  <c r="E342" i="165"/>
  <c r="J343" i="165"/>
  <c r="I253" i="167"/>
  <c r="I245" i="167" s="1"/>
  <c r="P344" i="165"/>
  <c r="O342" i="165"/>
  <c r="G253" i="167" l="1"/>
  <c r="P343" i="165"/>
  <c r="J342" i="165"/>
  <c r="P342" i="165" l="1"/>
  <c r="J116" i="167" l="1"/>
  <c r="N141" i="165"/>
  <c r="M141" i="165"/>
  <c r="L141" i="165"/>
  <c r="K141" i="165"/>
  <c r="I141" i="165"/>
  <c r="H141" i="165"/>
  <c r="G141" i="165"/>
  <c r="F141" i="165"/>
  <c r="J110" i="167"/>
  <c r="J108" i="167"/>
  <c r="E141" i="165" l="1"/>
  <c r="O141" i="165"/>
  <c r="J141" i="165" l="1"/>
  <c r="F17" i="165" l="1"/>
  <c r="P141" i="165"/>
  <c r="J197" i="167"/>
  <c r="M198" i="167" s="1"/>
  <c r="G199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78" i="165"/>
  <c r="M378" i="165"/>
  <c r="L378" i="165"/>
  <c r="K378" i="165"/>
  <c r="I378" i="165"/>
  <c r="H378" i="165"/>
  <c r="G378" i="165"/>
  <c r="F378" i="165"/>
  <c r="N372" i="165"/>
  <c r="M372" i="165"/>
  <c r="L372" i="165"/>
  <c r="K372" i="165"/>
  <c r="I372" i="165"/>
  <c r="H372" i="165"/>
  <c r="G372" i="165"/>
  <c r="O371" i="165"/>
  <c r="N364" i="165"/>
  <c r="M364" i="165"/>
  <c r="L364" i="165"/>
  <c r="K364" i="165"/>
  <c r="I364" i="165"/>
  <c r="G364" i="165"/>
  <c r="O358" i="165"/>
  <c r="N358" i="165"/>
  <c r="M358" i="165"/>
  <c r="L358" i="165"/>
  <c r="K358" i="165"/>
  <c r="I358" i="165"/>
  <c r="H358" i="165"/>
  <c r="G358" i="165"/>
  <c r="F358" i="165"/>
  <c r="N360" i="165"/>
  <c r="M360" i="165"/>
  <c r="L360" i="165"/>
  <c r="K360" i="165"/>
  <c r="I360" i="165"/>
  <c r="H360" i="165"/>
  <c r="G360" i="165"/>
  <c r="F360" i="165"/>
  <c r="N355" i="165"/>
  <c r="M355" i="165"/>
  <c r="L355" i="165"/>
  <c r="K355" i="165"/>
  <c r="I355" i="165"/>
  <c r="G355" i="165"/>
  <c r="F355" i="165"/>
  <c r="N347" i="165"/>
  <c r="M347" i="165"/>
  <c r="L347" i="165"/>
  <c r="K347" i="165"/>
  <c r="I347" i="165"/>
  <c r="G347" i="165"/>
  <c r="N64" i="165"/>
  <c r="M64" i="165"/>
  <c r="L64" i="165"/>
  <c r="K64" i="165"/>
  <c r="I64" i="165"/>
  <c r="M61" i="165"/>
  <c r="K61" i="165"/>
  <c r="I61" i="165"/>
  <c r="M58" i="165"/>
  <c r="K58" i="165"/>
  <c r="I58" i="165"/>
  <c r="N340" i="165"/>
  <c r="M340" i="165"/>
  <c r="L340" i="165"/>
  <c r="I340" i="165"/>
  <c r="H340" i="165"/>
  <c r="G340" i="165"/>
  <c r="N324" i="165"/>
  <c r="N321" i="165" s="1"/>
  <c r="M324" i="165"/>
  <c r="M321" i="165" s="1"/>
  <c r="L324" i="165"/>
  <c r="L321" i="165" s="1"/>
  <c r="K324" i="165"/>
  <c r="K321" i="165" s="1"/>
  <c r="I324" i="165"/>
  <c r="I321" i="165" s="1"/>
  <c r="H324" i="165"/>
  <c r="H321" i="165" s="1"/>
  <c r="G324" i="165"/>
  <c r="G321" i="165" s="1"/>
  <c r="F324" i="165"/>
  <c r="F321" i="165" s="1"/>
  <c r="N317" i="165"/>
  <c r="M317" i="165"/>
  <c r="L317" i="165"/>
  <c r="K317" i="165"/>
  <c r="I317" i="165"/>
  <c r="G317" i="165"/>
  <c r="N309" i="165"/>
  <c r="M309" i="165"/>
  <c r="L309" i="165"/>
  <c r="K309" i="165"/>
  <c r="I309" i="165"/>
  <c r="G309" i="165"/>
  <c r="N296" i="165"/>
  <c r="M296" i="165"/>
  <c r="L296" i="165"/>
  <c r="K296" i="165"/>
  <c r="I296" i="165"/>
  <c r="H296" i="165"/>
  <c r="G296" i="165"/>
  <c r="F296" i="165"/>
  <c r="N291" i="165"/>
  <c r="M291" i="165"/>
  <c r="L291" i="165"/>
  <c r="I291" i="165"/>
  <c r="H291" i="165"/>
  <c r="G291" i="165"/>
  <c r="F291" i="165"/>
  <c r="I370" i="165" l="1"/>
  <c r="N370" i="165"/>
  <c r="K370" i="165"/>
  <c r="L370" i="165"/>
  <c r="G370" i="165"/>
  <c r="H370" i="165"/>
  <c r="M370" i="165"/>
  <c r="L377" i="165"/>
  <c r="G377" i="165"/>
  <c r="K45" i="165"/>
  <c r="I45" i="165"/>
  <c r="M308" i="165"/>
  <c r="G337" i="165"/>
  <c r="M337" i="165"/>
  <c r="H377" i="165"/>
  <c r="M377" i="165"/>
  <c r="G290" i="165"/>
  <c r="I290" i="165"/>
  <c r="F294" i="165"/>
  <c r="G308" i="165"/>
  <c r="F290" i="165"/>
  <c r="L290" i="165"/>
  <c r="G294" i="165"/>
  <c r="L294" i="165"/>
  <c r="I308" i="165"/>
  <c r="N308" i="165"/>
  <c r="H337" i="165"/>
  <c r="N337" i="165"/>
  <c r="I377" i="165"/>
  <c r="N377" i="165"/>
  <c r="M290" i="165"/>
  <c r="M294" i="165"/>
  <c r="K308" i="165"/>
  <c r="I337" i="165"/>
  <c r="J371" i="165"/>
  <c r="F377" i="165"/>
  <c r="K377" i="165"/>
  <c r="H294" i="165"/>
  <c r="H290" i="165"/>
  <c r="N290" i="165"/>
  <c r="I294" i="165"/>
  <c r="N294" i="165"/>
  <c r="L308" i="165"/>
  <c r="L337" i="165"/>
  <c r="K294" i="165"/>
  <c r="H357" i="165"/>
  <c r="K357" i="165"/>
  <c r="G357" i="165"/>
  <c r="L357" i="165"/>
  <c r="I357" i="165"/>
  <c r="M357" i="165"/>
  <c r="F357" i="165"/>
  <c r="N357" i="165"/>
  <c r="N280" i="165"/>
  <c r="M280" i="165"/>
  <c r="L280" i="165"/>
  <c r="K280" i="165"/>
  <c r="I280" i="165"/>
  <c r="F280" i="165"/>
  <c r="N267" i="165"/>
  <c r="M267" i="165"/>
  <c r="L267" i="165"/>
  <c r="K267" i="165"/>
  <c r="I267" i="165"/>
  <c r="H267" i="165"/>
  <c r="G267" i="165"/>
  <c r="F267" i="165"/>
  <c r="N260" i="165"/>
  <c r="M260" i="165"/>
  <c r="L260" i="165"/>
  <c r="K260" i="165"/>
  <c r="I260" i="165"/>
  <c r="H260" i="165"/>
  <c r="G260" i="165"/>
  <c r="N255" i="165"/>
  <c r="M255" i="165"/>
  <c r="L255" i="165"/>
  <c r="K255" i="165"/>
  <c r="I255" i="165"/>
  <c r="G255" i="165"/>
  <c r="N250" i="165"/>
  <c r="M250" i="165"/>
  <c r="L250" i="165"/>
  <c r="K250" i="165"/>
  <c r="I250" i="165"/>
  <c r="H250" i="165"/>
  <c r="G250" i="165"/>
  <c r="F250" i="165"/>
  <c r="N238" i="165"/>
  <c r="M238" i="165"/>
  <c r="L238" i="165"/>
  <c r="I238" i="165"/>
  <c r="H238" i="165"/>
  <c r="G238" i="165"/>
  <c r="F238" i="165"/>
  <c r="N226" i="165"/>
  <c r="M226" i="165"/>
  <c r="L226" i="165"/>
  <c r="K226" i="165"/>
  <c r="I226" i="165"/>
  <c r="H226" i="165"/>
  <c r="G226" i="165"/>
  <c r="F226" i="165"/>
  <c r="N220" i="165"/>
  <c r="M220" i="165"/>
  <c r="L220" i="165"/>
  <c r="K220" i="165"/>
  <c r="I220" i="165"/>
  <c r="H220" i="165"/>
  <c r="G220" i="165"/>
  <c r="F220" i="165"/>
  <c r="N215" i="165"/>
  <c r="M215" i="165"/>
  <c r="L215" i="165"/>
  <c r="I215" i="165"/>
  <c r="H215" i="165"/>
  <c r="G215" i="165"/>
  <c r="M212" i="165"/>
  <c r="I212" i="165"/>
  <c r="G212" i="165"/>
  <c r="N210" i="165"/>
  <c r="M210" i="165"/>
  <c r="L210" i="165"/>
  <c r="K210" i="165"/>
  <c r="I210" i="165"/>
  <c r="H210" i="165"/>
  <c r="G210" i="165"/>
  <c r="N207" i="165"/>
  <c r="M207" i="165"/>
  <c r="L207" i="165"/>
  <c r="K207" i="165"/>
  <c r="I207" i="165"/>
  <c r="H207" i="165"/>
  <c r="G207" i="165"/>
  <c r="M203" i="165"/>
  <c r="I203" i="165"/>
  <c r="G203" i="165"/>
  <c r="N201" i="165"/>
  <c r="M201" i="165"/>
  <c r="L201" i="165"/>
  <c r="K201" i="165"/>
  <c r="I201" i="165"/>
  <c r="G201" i="165"/>
  <c r="N196" i="165"/>
  <c r="M196" i="165"/>
  <c r="L196" i="165"/>
  <c r="K196" i="165"/>
  <c r="I196" i="165"/>
  <c r="H196" i="165"/>
  <c r="G196" i="165"/>
  <c r="F196" i="165"/>
  <c r="N187" i="165"/>
  <c r="M187" i="165"/>
  <c r="K187" i="165"/>
  <c r="I187" i="165"/>
  <c r="G187" i="165"/>
  <c r="M179" i="165"/>
  <c r="K179" i="165"/>
  <c r="I179" i="165"/>
  <c r="N174" i="165"/>
  <c r="M174" i="165"/>
  <c r="L174" i="165"/>
  <c r="K174" i="165"/>
  <c r="I174" i="165"/>
  <c r="H174" i="165"/>
  <c r="G174" i="165"/>
  <c r="F174" i="165"/>
  <c r="M162" i="165"/>
  <c r="I162" i="165"/>
  <c r="N144" i="165"/>
  <c r="M144" i="165"/>
  <c r="L144" i="165"/>
  <c r="K144" i="165"/>
  <c r="I144" i="165"/>
  <c r="H144" i="165"/>
  <c r="G144" i="165"/>
  <c r="M135" i="165"/>
  <c r="K135" i="165"/>
  <c r="I135" i="165"/>
  <c r="F135" i="165"/>
  <c r="N126" i="165"/>
  <c r="M126" i="165"/>
  <c r="L126" i="165"/>
  <c r="K126" i="165"/>
  <c r="I126" i="165"/>
  <c r="H126" i="165"/>
  <c r="G126" i="165"/>
  <c r="L363" i="165" l="1"/>
  <c r="M363" i="165"/>
  <c r="K363" i="165"/>
  <c r="N363" i="165"/>
  <c r="G363" i="165"/>
  <c r="I363" i="165"/>
  <c r="H320" i="165"/>
  <c r="L320" i="165"/>
  <c r="F320" i="165"/>
  <c r="N320" i="165"/>
  <c r="M320" i="165"/>
  <c r="G320" i="165"/>
  <c r="K320" i="165"/>
  <c r="I320" i="165"/>
  <c r="K259" i="165"/>
  <c r="N219" i="165"/>
  <c r="I259" i="165"/>
  <c r="G259" i="165"/>
  <c r="L259" i="165"/>
  <c r="N259" i="165"/>
  <c r="H259" i="165"/>
  <c r="M259" i="165"/>
  <c r="I222" i="165"/>
  <c r="K222" i="165"/>
  <c r="L222" i="165"/>
  <c r="M222" i="165"/>
  <c r="N222" i="165"/>
  <c r="M125" i="165"/>
  <c r="F222" i="165"/>
  <c r="G222" i="165"/>
  <c r="H222" i="165"/>
  <c r="I125" i="165"/>
  <c r="N293" i="165"/>
  <c r="H293" i="165"/>
  <c r="I334" i="165"/>
  <c r="M334" i="165"/>
  <c r="K293" i="165"/>
  <c r="I293" i="165"/>
  <c r="G334" i="165"/>
  <c r="L334" i="165"/>
  <c r="M293" i="165"/>
  <c r="N334" i="165"/>
  <c r="L293" i="165"/>
  <c r="H334" i="165"/>
  <c r="G293" i="165"/>
  <c r="F293" i="165"/>
  <c r="F165" i="165"/>
  <c r="K165" i="165"/>
  <c r="F173" i="165"/>
  <c r="K173" i="165"/>
  <c r="I181" i="165"/>
  <c r="F195" i="165"/>
  <c r="K195" i="165"/>
  <c r="M200" i="165"/>
  <c r="I219" i="165"/>
  <c r="G237" i="165"/>
  <c r="M237" i="165"/>
  <c r="L279" i="165"/>
  <c r="F354" i="165"/>
  <c r="L354" i="165"/>
  <c r="M350" i="165"/>
  <c r="L350" i="165"/>
  <c r="G165" i="165"/>
  <c r="L165" i="165"/>
  <c r="G173" i="165"/>
  <c r="L173" i="165"/>
  <c r="G195" i="165"/>
  <c r="L195" i="165"/>
  <c r="F219" i="165"/>
  <c r="K219" i="165"/>
  <c r="H237" i="165"/>
  <c r="N237" i="165"/>
  <c r="F279" i="165"/>
  <c r="M279" i="165"/>
  <c r="M354" i="165"/>
  <c r="G354" i="165"/>
  <c r="N350" i="165"/>
  <c r="K350" i="165"/>
  <c r="H165" i="165"/>
  <c r="M165" i="165"/>
  <c r="H173" i="165"/>
  <c r="M173" i="165"/>
  <c r="M181" i="165"/>
  <c r="H195" i="165"/>
  <c r="M195" i="165"/>
  <c r="G219" i="165"/>
  <c r="L219" i="165"/>
  <c r="I237" i="165"/>
  <c r="I279" i="165"/>
  <c r="N279" i="165"/>
  <c r="I354" i="165"/>
  <c r="H350" i="165"/>
  <c r="G350" i="165"/>
  <c r="I165" i="165"/>
  <c r="N165" i="165"/>
  <c r="I173" i="165"/>
  <c r="N173" i="165"/>
  <c r="G181" i="165"/>
  <c r="I195" i="165"/>
  <c r="N195" i="165"/>
  <c r="H219" i="165"/>
  <c r="M219" i="165"/>
  <c r="F237" i="165"/>
  <c r="L237" i="165"/>
  <c r="K279" i="165"/>
  <c r="N354" i="165"/>
  <c r="K354" i="165"/>
  <c r="I350" i="165"/>
  <c r="F350" i="165"/>
  <c r="I247" i="165"/>
  <c r="F247" i="165"/>
  <c r="K247" i="165"/>
  <c r="G247" i="165"/>
  <c r="L247" i="165"/>
  <c r="N247" i="165"/>
  <c r="G200" i="165"/>
  <c r="H247" i="165"/>
  <c r="M247" i="165"/>
  <c r="I206" i="165"/>
  <c r="M206" i="165"/>
  <c r="G206" i="165"/>
  <c r="I200" i="165"/>
  <c r="N116" i="165"/>
  <c r="M116" i="165"/>
  <c r="L116" i="165"/>
  <c r="I116" i="165"/>
  <c r="H116" i="165"/>
  <c r="G116" i="165"/>
  <c r="F116" i="165"/>
  <c r="N105" i="165"/>
  <c r="M105" i="165"/>
  <c r="L105" i="165"/>
  <c r="K105" i="165"/>
  <c r="I105" i="165"/>
  <c r="N103" i="165"/>
  <c r="M103" i="165"/>
  <c r="L103" i="165"/>
  <c r="K103" i="165"/>
  <c r="I103" i="165"/>
  <c r="H103" i="165"/>
  <c r="G103" i="165"/>
  <c r="F103" i="165"/>
  <c r="N101" i="165"/>
  <c r="M101" i="165"/>
  <c r="L101" i="165"/>
  <c r="K101" i="165"/>
  <c r="I101" i="165"/>
  <c r="H101" i="165"/>
  <c r="G101" i="165"/>
  <c r="F101" i="165"/>
  <c r="O100" i="165"/>
  <c r="N93" i="165"/>
  <c r="M93" i="165"/>
  <c r="L93" i="165"/>
  <c r="K93" i="165"/>
  <c r="I93" i="165"/>
  <c r="N77" i="165"/>
  <c r="M77" i="165"/>
  <c r="L77" i="165"/>
  <c r="K77" i="165"/>
  <c r="I77" i="165"/>
  <c r="H77" i="165"/>
  <c r="G77" i="165"/>
  <c r="F77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63" i="167"/>
  <c r="J62" i="167"/>
  <c r="J60" i="167"/>
  <c r="M60" i="167" s="1"/>
  <c r="J59" i="167"/>
  <c r="G32" i="165" l="1"/>
  <c r="L32" i="165"/>
  <c r="H32" i="165"/>
  <c r="M32" i="165"/>
  <c r="I32" i="165"/>
  <c r="N32" i="165"/>
  <c r="F32" i="165"/>
  <c r="K32" i="165"/>
  <c r="K244" i="165"/>
  <c r="N244" i="165"/>
  <c r="F244" i="165"/>
  <c r="M244" i="165"/>
  <c r="L244" i="165"/>
  <c r="I244" i="165"/>
  <c r="H244" i="165"/>
  <c r="G244" i="165"/>
  <c r="N266" i="165"/>
  <c r="M199" i="165"/>
  <c r="G199" i="165"/>
  <c r="I199" i="165"/>
  <c r="I44" i="165"/>
  <c r="K44" i="165"/>
  <c r="F110" i="165"/>
  <c r="G110" i="165"/>
  <c r="H110" i="165"/>
  <c r="I110" i="165"/>
  <c r="L110" i="165"/>
  <c r="M110" i="165"/>
  <c r="N110" i="165"/>
  <c r="H266" i="165"/>
  <c r="L266" i="165"/>
  <c r="K266" i="165"/>
  <c r="M266" i="165"/>
  <c r="I266" i="165"/>
  <c r="I178" i="165"/>
  <c r="M178" i="165"/>
  <c r="G266" i="165"/>
  <c r="N285" i="165"/>
  <c r="F266" i="165"/>
  <c r="I22" i="165"/>
  <c r="N22" i="165"/>
  <c r="E36" i="165"/>
  <c r="N38" i="165"/>
  <c r="F22" i="165"/>
  <c r="K22" i="165"/>
  <c r="F38" i="165"/>
  <c r="K38" i="165"/>
  <c r="M285" i="165"/>
  <c r="I169" i="165"/>
  <c r="M333" i="165"/>
  <c r="G346" i="165"/>
  <c r="H169" i="165"/>
  <c r="I333" i="165"/>
  <c r="N346" i="165"/>
  <c r="L169" i="165"/>
  <c r="M346" i="165"/>
  <c r="G22" i="165"/>
  <c r="G38" i="165"/>
  <c r="I346" i="165"/>
  <c r="L346" i="165"/>
  <c r="K169" i="165"/>
  <c r="L38" i="165"/>
  <c r="H22" i="165"/>
  <c r="H38" i="165"/>
  <c r="M38" i="165"/>
  <c r="J100" i="165"/>
  <c r="L285" i="165"/>
  <c r="H333" i="165"/>
  <c r="N169" i="165"/>
  <c r="G285" i="165"/>
  <c r="M169" i="165"/>
  <c r="K346" i="165"/>
  <c r="I285" i="165"/>
  <c r="L333" i="165"/>
  <c r="G169" i="165"/>
  <c r="G333" i="165"/>
  <c r="I38" i="165"/>
  <c r="N333" i="165"/>
  <c r="F169" i="165"/>
  <c r="M22" i="165"/>
  <c r="I95" i="165"/>
  <c r="I92" i="165" s="1"/>
  <c r="N95" i="165"/>
  <c r="N92" i="165" s="1"/>
  <c r="L26" i="165"/>
  <c r="L95" i="165"/>
  <c r="L92" i="165" s="1"/>
  <c r="K95" i="165"/>
  <c r="M95" i="165"/>
  <c r="M92" i="165" s="1"/>
  <c r="G61" i="167"/>
  <c r="J58" i="167"/>
  <c r="J57" i="167"/>
  <c r="N254" i="165" l="1"/>
  <c r="E32" i="165"/>
  <c r="K254" i="165"/>
  <c r="L254" i="165"/>
  <c r="M120" i="165"/>
  <c r="M254" i="165"/>
  <c r="I254" i="165"/>
  <c r="M16" i="165"/>
  <c r="M232" i="165"/>
  <c r="N16" i="165"/>
  <c r="I16" i="165"/>
  <c r="G232" i="165"/>
  <c r="I120" i="165"/>
  <c r="I232" i="165"/>
  <c r="L22" i="165"/>
  <c r="L232" i="165"/>
  <c r="N232" i="165"/>
  <c r="J53" i="167"/>
  <c r="L16" i="165" l="1"/>
  <c r="O66" i="165"/>
  <c r="G58" i="165"/>
  <c r="F58" i="165"/>
  <c r="J60" i="165"/>
  <c r="E60" i="165"/>
  <c r="O52" i="165"/>
  <c r="E52" i="165"/>
  <c r="J65" i="167"/>
  <c r="E51" i="165" l="1"/>
  <c r="O51" i="165"/>
  <c r="E66" i="165"/>
  <c r="H58" i="167"/>
  <c r="J66" i="165"/>
  <c r="I58" i="167"/>
  <c r="F64" i="165"/>
  <c r="G64" i="165"/>
  <c r="H53" i="167"/>
  <c r="P60" i="165"/>
  <c r="F68" i="165"/>
  <c r="O69" i="165"/>
  <c r="J50" i="167"/>
  <c r="M50" i="167" s="1"/>
  <c r="J64" i="167"/>
  <c r="M47" i="165" l="1"/>
  <c r="O68" i="165"/>
  <c r="G58" i="167"/>
  <c r="I63" i="167"/>
  <c r="H63" i="167"/>
  <c r="E69" i="165"/>
  <c r="P66" i="165"/>
  <c r="J47" i="167"/>
  <c r="M47" i="167" s="1"/>
  <c r="J69" i="165"/>
  <c r="J52" i="165"/>
  <c r="O67" i="165"/>
  <c r="E67" i="165"/>
  <c r="H61" i="165"/>
  <c r="F61" i="165"/>
  <c r="J70" i="167"/>
  <c r="O75" i="165"/>
  <c r="J51" i="165" l="1"/>
  <c r="M45" i="165"/>
  <c r="F45" i="165"/>
  <c r="P69" i="165"/>
  <c r="G63" i="167"/>
  <c r="H64" i="167"/>
  <c r="E68" i="165"/>
  <c r="J67" i="165"/>
  <c r="I65" i="167"/>
  <c r="G61" i="165"/>
  <c r="E75" i="165"/>
  <c r="J75" i="165"/>
  <c r="H65" i="167"/>
  <c r="I53" i="167"/>
  <c r="G53" i="167" s="1"/>
  <c r="J68" i="165"/>
  <c r="P52" i="165"/>
  <c r="O366" i="165"/>
  <c r="E366" i="165"/>
  <c r="I265" i="167"/>
  <c r="H347" i="165"/>
  <c r="O349" i="165"/>
  <c r="E349" i="165"/>
  <c r="F317" i="165"/>
  <c r="O319" i="165"/>
  <c r="E319" i="165"/>
  <c r="F309" i="165"/>
  <c r="O311" i="165"/>
  <c r="E311" i="165"/>
  <c r="F285" i="165"/>
  <c r="O288" i="165"/>
  <c r="E288" i="165"/>
  <c r="F255" i="165"/>
  <c r="O257" i="165"/>
  <c r="E257" i="165"/>
  <c r="O123" i="165"/>
  <c r="E123" i="165"/>
  <c r="P51" i="165" l="1"/>
  <c r="G45" i="165"/>
  <c r="M44" i="165"/>
  <c r="F44" i="165"/>
  <c r="P68" i="165"/>
  <c r="P67" i="165"/>
  <c r="P75" i="165"/>
  <c r="H237" i="167"/>
  <c r="H216" i="167"/>
  <c r="J311" i="165"/>
  <c r="H191" i="167"/>
  <c r="G191" i="167" s="1"/>
  <c r="J288" i="165"/>
  <c r="F308" i="165"/>
  <c r="H257" i="167"/>
  <c r="G257" i="167" s="1"/>
  <c r="F364" i="165"/>
  <c r="F363" i="165" s="1"/>
  <c r="I70" i="167"/>
  <c r="G65" i="167"/>
  <c r="J257" i="165"/>
  <c r="J349" i="165"/>
  <c r="H232" i="167"/>
  <c r="H230" i="167" s="1"/>
  <c r="J319" i="165"/>
  <c r="F347" i="165"/>
  <c r="H268" i="167"/>
  <c r="J123" i="165"/>
  <c r="H346" i="165"/>
  <c r="J366" i="165"/>
  <c r="H70" i="167"/>
  <c r="I64" i="167"/>
  <c r="G64" i="167" s="1"/>
  <c r="H101" i="167"/>
  <c r="J265" i="167"/>
  <c r="G44" i="165" l="1"/>
  <c r="P319" i="165"/>
  <c r="G232" i="167"/>
  <c r="P349" i="165"/>
  <c r="P366" i="165"/>
  <c r="P288" i="165"/>
  <c r="P123" i="165"/>
  <c r="G237" i="167"/>
  <c r="G70" i="167"/>
  <c r="G216" i="167"/>
  <c r="G268" i="167"/>
  <c r="H266" i="167"/>
  <c r="H265" i="167" s="1"/>
  <c r="P311" i="165"/>
  <c r="P257" i="165"/>
  <c r="I101" i="167"/>
  <c r="G101" i="167" s="1"/>
  <c r="F346" i="165"/>
  <c r="O235" i="165"/>
  <c r="E235" i="165"/>
  <c r="G266" i="167" l="1"/>
  <c r="G265" i="167" s="1"/>
  <c r="H173" i="167"/>
  <c r="G173" i="167" s="1"/>
  <c r="J235" i="165"/>
  <c r="F232" i="165"/>
  <c r="P235" i="165" l="1"/>
  <c r="O20" i="165"/>
  <c r="E20" i="165"/>
  <c r="J20" i="165" l="1"/>
  <c r="H21" i="167"/>
  <c r="G21" i="167" s="1"/>
  <c r="P20" i="165" l="1"/>
  <c r="K116" i="165" l="1"/>
  <c r="K110" i="165" l="1"/>
  <c r="K92" i="165" s="1"/>
  <c r="F254" i="165"/>
  <c r="F40" i="172" l="1"/>
  <c r="F37" i="172" s="1"/>
  <c r="E40" i="172"/>
  <c r="E37" i="172" l="1"/>
  <c r="F31" i="172"/>
  <c r="J393" i="165" l="1"/>
  <c r="E31" i="172"/>
  <c r="K238" i="165"/>
  <c r="K237" i="165" l="1"/>
  <c r="J167" i="167"/>
  <c r="K232" i="165" l="1"/>
  <c r="K17" i="165" l="1"/>
  <c r="K16" i="165" l="1"/>
  <c r="O227" i="165"/>
  <c r="E227" i="165"/>
  <c r="F212" i="165"/>
  <c r="H212" i="165" l="1"/>
  <c r="H167" i="167"/>
  <c r="E226" i="165"/>
  <c r="J227" i="165"/>
  <c r="O226" i="165"/>
  <c r="E222" i="165" l="1"/>
  <c r="O222" i="165"/>
  <c r="P227" i="165"/>
  <c r="H206" i="165"/>
  <c r="I167" i="167"/>
  <c r="G167" i="167" s="1"/>
  <c r="J226" i="165"/>
  <c r="J222" i="165" l="1"/>
  <c r="P226" i="165"/>
  <c r="P20" i="107"/>
  <c r="I17" i="107"/>
  <c r="I13" i="107" s="1"/>
  <c r="P222" i="165" l="1"/>
  <c r="I12" i="107"/>
  <c r="I20" i="107" s="1"/>
  <c r="I16" i="107"/>
  <c r="I15" i="107" s="1"/>
  <c r="I14" i="107" s="1"/>
  <c r="D79" i="170"/>
  <c r="D70" i="170"/>
  <c r="D67" i="170"/>
  <c r="F340" i="165" l="1"/>
  <c r="H364" i="165" l="1"/>
  <c r="H363" i="165" s="1"/>
  <c r="K340" i="165"/>
  <c r="F337" i="165"/>
  <c r="J264" i="167"/>
  <c r="J262" i="167"/>
  <c r="F334" i="165" l="1"/>
  <c r="H355" i="165"/>
  <c r="K337" i="165"/>
  <c r="J260" i="167"/>
  <c r="J258" i="167"/>
  <c r="H258" i="167"/>
  <c r="G256" i="167"/>
  <c r="K334" i="165" l="1"/>
  <c r="H317" i="165"/>
  <c r="H354" i="165"/>
  <c r="F333" i="165"/>
  <c r="J255" i="167"/>
  <c r="J230" i="167"/>
  <c r="I230" i="167"/>
  <c r="J213" i="167"/>
  <c r="J211" i="167"/>
  <c r="J212" i="167"/>
  <c r="J208" i="167"/>
  <c r="H208" i="167"/>
  <c r="J204" i="167"/>
  <c r="J202" i="167"/>
  <c r="J201" i="167"/>
  <c r="J195" i="167"/>
  <c r="J194" i="167"/>
  <c r="J193" i="167"/>
  <c r="J192" i="167"/>
  <c r="O283" i="165"/>
  <c r="J283" i="165" s="1"/>
  <c r="O281" i="165"/>
  <c r="O282" i="165"/>
  <c r="J186" i="167"/>
  <c r="J181" i="167"/>
  <c r="J178" i="167"/>
  <c r="J177" i="167"/>
  <c r="H286" i="165" l="1"/>
  <c r="H255" i="165"/>
  <c r="H309" i="165"/>
  <c r="H232" i="165"/>
  <c r="K333" i="165"/>
  <c r="J281" i="165"/>
  <c r="O280" i="165"/>
  <c r="I213" i="167"/>
  <c r="J171" i="167"/>
  <c r="J189" i="167"/>
  <c r="J188" i="167" s="1"/>
  <c r="M188" i="167" s="1"/>
  <c r="J155" i="167"/>
  <c r="L203" i="165"/>
  <c r="I211" i="167" l="1"/>
  <c r="L200" i="165"/>
  <c r="O279" i="165"/>
  <c r="H308" i="165"/>
  <c r="N203" i="165"/>
  <c r="N212" i="165"/>
  <c r="L212" i="165"/>
  <c r="H285" i="165"/>
  <c r="K212" i="165"/>
  <c r="K215" i="165"/>
  <c r="L206" i="165" l="1"/>
  <c r="N200" i="165"/>
  <c r="N206" i="165"/>
  <c r="K203" i="165"/>
  <c r="K206" i="165"/>
  <c r="J154" i="167"/>
  <c r="P13" i="107"/>
  <c r="P12" i="107" s="1"/>
  <c r="F201" i="165"/>
  <c r="E379" i="165"/>
  <c r="I177" i="165"/>
  <c r="J150" i="167"/>
  <c r="L199" i="165" l="1"/>
  <c r="N199" i="165"/>
  <c r="N179" i="165"/>
  <c r="H201" i="165"/>
  <c r="O179" i="165"/>
  <c r="F207" i="165"/>
  <c r="K200" i="165"/>
  <c r="L179" i="165"/>
  <c r="F210" i="165"/>
  <c r="L187" i="165"/>
  <c r="E79" i="170"/>
  <c r="F215" i="165"/>
  <c r="E378" i="165"/>
  <c r="H203" i="165"/>
  <c r="N181" i="165"/>
  <c r="F203" i="165"/>
  <c r="O197" i="165"/>
  <c r="E197" i="165"/>
  <c r="E74" i="170" s="1"/>
  <c r="K199" i="165" l="1"/>
  <c r="F206" i="165"/>
  <c r="L181" i="165"/>
  <c r="H187" i="165"/>
  <c r="F200" i="165"/>
  <c r="H200" i="165"/>
  <c r="E377" i="165"/>
  <c r="N178" i="165"/>
  <c r="F187" i="165"/>
  <c r="E196" i="165"/>
  <c r="J197" i="165"/>
  <c r="O196" i="165"/>
  <c r="H150" i="167"/>
  <c r="J139" i="167"/>
  <c r="J136" i="167"/>
  <c r="J134" i="167"/>
  <c r="H199" i="165" l="1"/>
  <c r="F199" i="165"/>
  <c r="L178" i="165"/>
  <c r="E195" i="165"/>
  <c r="P197" i="165"/>
  <c r="O195" i="165"/>
  <c r="I150" i="167"/>
  <c r="G150" i="167" s="1"/>
  <c r="J196" i="165"/>
  <c r="K181" i="165"/>
  <c r="F181" i="165"/>
  <c r="G209" i="167"/>
  <c r="G207" i="167"/>
  <c r="G205" i="167"/>
  <c r="G203" i="167"/>
  <c r="G198" i="167"/>
  <c r="G190" i="167"/>
  <c r="G179" i="167"/>
  <c r="G172" i="167"/>
  <c r="J170" i="167"/>
  <c r="K178" i="165" l="1"/>
  <c r="J195" i="165"/>
  <c r="H179" i="165"/>
  <c r="F179" i="165"/>
  <c r="H181" i="165"/>
  <c r="G179" i="165"/>
  <c r="P196" i="165"/>
  <c r="O19" i="165"/>
  <c r="E19" i="165"/>
  <c r="J19" i="165" l="1"/>
  <c r="G178" i="165"/>
  <c r="F178" i="165"/>
  <c r="P195" i="165"/>
  <c r="H178" i="165"/>
  <c r="J120" i="167"/>
  <c r="P19" i="165" l="1"/>
  <c r="L162" i="165"/>
  <c r="L135" i="165"/>
  <c r="N162" i="165"/>
  <c r="N135" i="165"/>
  <c r="J130" i="167"/>
  <c r="J127" i="167"/>
  <c r="J124" i="167"/>
  <c r="J119" i="167"/>
  <c r="J117" i="167"/>
  <c r="J115" i="167"/>
  <c r="J112" i="167"/>
  <c r="J111" i="167"/>
  <c r="J107" i="167"/>
  <c r="J106" i="167"/>
  <c r="J105" i="167"/>
  <c r="J104" i="167"/>
  <c r="J103" i="167"/>
  <c r="L125" i="165" l="1"/>
  <c r="N125" i="165"/>
  <c r="J83" i="167"/>
  <c r="J82" i="167"/>
  <c r="N120" i="165" l="1"/>
  <c r="L120" i="165"/>
  <c r="H135" i="165"/>
  <c r="G162" i="165"/>
  <c r="H121" i="165"/>
  <c r="H162" i="165"/>
  <c r="G135" i="165"/>
  <c r="J122" i="167"/>
  <c r="K162" i="165"/>
  <c r="K125" i="165" l="1"/>
  <c r="G125" i="165"/>
  <c r="H125" i="165"/>
  <c r="H105" i="165"/>
  <c r="G105" i="165"/>
  <c r="F105" i="165"/>
  <c r="K120" i="165" l="1"/>
  <c r="G120" i="165"/>
  <c r="F95" i="165"/>
  <c r="F93" i="165"/>
  <c r="G93" i="165"/>
  <c r="H93" i="165"/>
  <c r="G95" i="165"/>
  <c r="H95" i="165"/>
  <c r="H120" i="165"/>
  <c r="K291" i="165"/>
  <c r="F92" i="165" l="1"/>
  <c r="H92" i="165"/>
  <c r="G92" i="165"/>
  <c r="K290" i="165"/>
  <c r="F16" i="165"/>
  <c r="L58" i="165"/>
  <c r="N58" i="165" l="1"/>
  <c r="L61" i="165"/>
  <c r="O58" i="165"/>
  <c r="N61" i="165"/>
  <c r="K285" i="165"/>
  <c r="N47" i="165" l="1"/>
  <c r="L47" i="165"/>
  <c r="L45" i="165" l="1"/>
  <c r="N45" i="165"/>
  <c r="J45" i="167"/>
  <c r="G46" i="167"/>
  <c r="L44" i="165" l="1"/>
  <c r="N44" i="165"/>
  <c r="M45" i="167"/>
  <c r="J56" i="167" l="1"/>
  <c r="H58" i="165"/>
  <c r="H64" i="165" l="1"/>
  <c r="J34" i="167"/>
  <c r="M34" i="167" s="1"/>
  <c r="O41" i="165"/>
  <c r="E41" i="165"/>
  <c r="J26" i="167"/>
  <c r="M26" i="167" s="1"/>
  <c r="H45" i="165" l="1"/>
  <c r="J41" i="165"/>
  <c r="E70" i="170"/>
  <c r="H34" i="167"/>
  <c r="P41" i="165" l="1"/>
  <c r="H44" i="165"/>
  <c r="I34" i="167"/>
  <c r="L34" i="167" s="1"/>
  <c r="K34" i="167"/>
  <c r="G34" i="167" l="1"/>
  <c r="G19" i="167"/>
  <c r="G17" i="165"/>
  <c r="H17" i="165" l="1"/>
  <c r="G16" i="165"/>
  <c r="H280" i="165"/>
  <c r="G280" i="165"/>
  <c r="H279" i="165" l="1"/>
  <c r="G279" i="165"/>
  <c r="H16" i="165"/>
  <c r="O175" i="165"/>
  <c r="E175" i="165"/>
  <c r="O167" i="165"/>
  <c r="E167" i="165"/>
  <c r="O164" i="165"/>
  <c r="E164" i="165"/>
  <c r="H124" i="167" s="1"/>
  <c r="O146" i="165"/>
  <c r="E146" i="165"/>
  <c r="O145" i="165"/>
  <c r="O143" i="165"/>
  <c r="E143" i="165"/>
  <c r="O142" i="165"/>
  <c r="E142" i="165"/>
  <c r="O140" i="165"/>
  <c r="E140" i="165"/>
  <c r="O137" i="165"/>
  <c r="E137" i="165"/>
  <c r="O136" i="165"/>
  <c r="E136" i="165"/>
  <c r="O134" i="165"/>
  <c r="E134" i="165"/>
  <c r="O132" i="165"/>
  <c r="E132" i="165"/>
  <c r="O131" i="165"/>
  <c r="E131" i="165"/>
  <c r="O130" i="165"/>
  <c r="E130" i="165"/>
  <c r="O129" i="165"/>
  <c r="E129" i="165"/>
  <c r="O128" i="165"/>
  <c r="E128" i="165"/>
  <c r="O127" i="165"/>
  <c r="O122" i="165"/>
  <c r="E122" i="165"/>
  <c r="H117" i="167" l="1"/>
  <c r="O166" i="165"/>
  <c r="E166" i="165"/>
  <c r="E135" i="165"/>
  <c r="J140" i="165"/>
  <c r="J143" i="165"/>
  <c r="J128" i="165"/>
  <c r="H105" i="167"/>
  <c r="H107" i="167"/>
  <c r="H110" i="167"/>
  <c r="H112" i="167"/>
  <c r="H116" i="167"/>
  <c r="H254" i="165"/>
  <c r="J131" i="165"/>
  <c r="J137" i="165"/>
  <c r="J142" i="165"/>
  <c r="O121" i="165"/>
  <c r="J130" i="165"/>
  <c r="J132" i="165"/>
  <c r="J129" i="165"/>
  <c r="J134" i="165"/>
  <c r="E121" i="165"/>
  <c r="H106" i="167"/>
  <c r="H108" i="167"/>
  <c r="H115" i="167"/>
  <c r="J164" i="165"/>
  <c r="G254" i="165"/>
  <c r="E127" i="165"/>
  <c r="F126" i="165"/>
  <c r="E145" i="165"/>
  <c r="F144" i="165"/>
  <c r="E163" i="165"/>
  <c r="F162" i="165"/>
  <c r="J122" i="165"/>
  <c r="H130" i="167"/>
  <c r="E174" i="165"/>
  <c r="J175" i="165"/>
  <c r="O174" i="165"/>
  <c r="H127" i="167"/>
  <c r="J167" i="165"/>
  <c r="J163" i="165"/>
  <c r="O162" i="165"/>
  <c r="H120" i="167"/>
  <c r="J146" i="165"/>
  <c r="J145" i="165"/>
  <c r="O144" i="165"/>
  <c r="H111" i="167"/>
  <c r="J136" i="165"/>
  <c r="O135" i="165"/>
  <c r="J127" i="165"/>
  <c r="O126" i="165"/>
  <c r="H104" i="167"/>
  <c r="P131" i="165" l="1"/>
  <c r="P143" i="165"/>
  <c r="I124" i="167"/>
  <c r="J166" i="165"/>
  <c r="P146" i="165"/>
  <c r="F125" i="165"/>
  <c r="O125" i="165"/>
  <c r="P140" i="165"/>
  <c r="P130" i="165"/>
  <c r="P128" i="165"/>
  <c r="P137" i="165"/>
  <c r="P129" i="165"/>
  <c r="P142" i="165"/>
  <c r="P132" i="165"/>
  <c r="H122" i="167"/>
  <c r="P134" i="165"/>
  <c r="P164" i="165"/>
  <c r="P136" i="165"/>
  <c r="O165" i="165"/>
  <c r="O173" i="165"/>
  <c r="J121" i="165"/>
  <c r="E144" i="165"/>
  <c r="I105" i="167"/>
  <c r="I106" i="167"/>
  <c r="I112" i="167"/>
  <c r="I104" i="167"/>
  <c r="I117" i="167"/>
  <c r="P167" i="165"/>
  <c r="P175" i="165"/>
  <c r="P127" i="165"/>
  <c r="E165" i="165"/>
  <c r="E173" i="165"/>
  <c r="E162" i="165"/>
  <c r="H103" i="167"/>
  <c r="I110" i="167"/>
  <c r="I108" i="167"/>
  <c r="I116" i="167"/>
  <c r="I107" i="167"/>
  <c r="I115" i="167"/>
  <c r="P145" i="165"/>
  <c r="H119" i="167"/>
  <c r="P122" i="165"/>
  <c r="P163" i="165"/>
  <c r="E126" i="165"/>
  <c r="I130" i="167"/>
  <c r="G130" i="167" s="1"/>
  <c r="J174" i="165"/>
  <c r="I127" i="167"/>
  <c r="I122" i="167"/>
  <c r="J162" i="165"/>
  <c r="I120" i="167"/>
  <c r="I119" i="167"/>
  <c r="J144" i="165"/>
  <c r="I111" i="167"/>
  <c r="J135" i="165"/>
  <c r="I103" i="167"/>
  <c r="J126" i="165"/>
  <c r="E361" i="165"/>
  <c r="J359" i="165"/>
  <c r="E359" i="165"/>
  <c r="O356" i="165"/>
  <c r="E356" i="165"/>
  <c r="O348" i="165"/>
  <c r="E348" i="165"/>
  <c r="O325" i="165"/>
  <c r="E325" i="165"/>
  <c r="O318" i="165"/>
  <c r="E318" i="165"/>
  <c r="O310" i="165"/>
  <c r="E310" i="165"/>
  <c r="E283" i="165"/>
  <c r="J282" i="165"/>
  <c r="E282" i="165"/>
  <c r="E281" i="165"/>
  <c r="O274" i="165"/>
  <c r="E274" i="165"/>
  <c r="O273" i="165"/>
  <c r="E273" i="165"/>
  <c r="E271" i="165"/>
  <c r="O268" i="165"/>
  <c r="E268" i="165"/>
  <c r="O264" i="165"/>
  <c r="E264" i="165"/>
  <c r="O263" i="165"/>
  <c r="E263" i="165"/>
  <c r="O262" i="165"/>
  <c r="E262" i="165"/>
  <c r="O261" i="165"/>
  <c r="E261" i="165"/>
  <c r="O258" i="165"/>
  <c r="E258" i="165"/>
  <c r="O256" i="165"/>
  <c r="E256" i="165"/>
  <c r="M253" i="165"/>
  <c r="L253" i="165"/>
  <c r="K253" i="165"/>
  <c r="I253" i="165"/>
  <c r="H253" i="165"/>
  <c r="G253" i="165"/>
  <c r="F253" i="165"/>
  <c r="N253" i="165"/>
  <c r="E251" i="165"/>
  <c r="O248" i="165"/>
  <c r="E248" i="165"/>
  <c r="O243" i="165"/>
  <c r="E243" i="165"/>
  <c r="O241" i="165"/>
  <c r="E241" i="165"/>
  <c r="O240" i="165"/>
  <c r="E240" i="165"/>
  <c r="O239" i="165"/>
  <c r="E239" i="165"/>
  <c r="O234" i="165"/>
  <c r="E234" i="165"/>
  <c r="M231" i="165"/>
  <c r="L231" i="165"/>
  <c r="K231" i="165"/>
  <c r="M170" i="167" s="1"/>
  <c r="H231" i="165"/>
  <c r="F231" i="165"/>
  <c r="N231" i="165"/>
  <c r="I231" i="165"/>
  <c r="G231" i="165"/>
  <c r="E125" i="165" l="1"/>
  <c r="K175" i="167"/>
  <c r="E272" i="165"/>
  <c r="O272" i="165"/>
  <c r="O233" i="165"/>
  <c r="E233" i="165"/>
  <c r="E280" i="165"/>
  <c r="P166" i="165"/>
  <c r="J165" i="165"/>
  <c r="J125" i="165"/>
  <c r="P126" i="165"/>
  <c r="H239" i="167"/>
  <c r="P174" i="165"/>
  <c r="E270" i="165"/>
  <c r="P135" i="165"/>
  <c r="E172" i="165"/>
  <c r="J241" i="165"/>
  <c r="H177" i="167"/>
  <c r="H181" i="167"/>
  <c r="H192" i="167"/>
  <c r="H194" i="167"/>
  <c r="H197" i="167"/>
  <c r="K198" i="167" s="1"/>
  <c r="J274" i="165"/>
  <c r="J173" i="165"/>
  <c r="P121" i="165"/>
  <c r="J240" i="165"/>
  <c r="J243" i="165"/>
  <c r="J258" i="165"/>
  <c r="J262" i="165"/>
  <c r="J264" i="165"/>
  <c r="E309" i="165"/>
  <c r="E347" i="165"/>
  <c r="J352" i="165"/>
  <c r="O169" i="165"/>
  <c r="H195" i="167"/>
  <c r="O309" i="165"/>
  <c r="O347" i="165"/>
  <c r="E355" i="165"/>
  <c r="P144" i="165"/>
  <c r="H178" i="167"/>
  <c r="J263" i="165"/>
  <c r="H206" i="167"/>
  <c r="K206" i="167" s="1"/>
  <c r="P162" i="165"/>
  <c r="F120" i="165"/>
  <c r="F380" i="165" s="1"/>
  <c r="E317" i="165"/>
  <c r="E255" i="165"/>
  <c r="J276" i="165"/>
  <c r="J318" i="165"/>
  <c r="O317" i="165"/>
  <c r="J325" i="165"/>
  <c r="O324" i="165"/>
  <c r="O321" i="165" s="1"/>
  <c r="E358" i="165"/>
  <c r="J268" i="165"/>
  <c r="O267" i="165"/>
  <c r="I262" i="167"/>
  <c r="J358" i="165"/>
  <c r="H264" i="167"/>
  <c r="E360" i="165"/>
  <c r="J251" i="165"/>
  <c r="O250" i="165"/>
  <c r="J271" i="165"/>
  <c r="I212" i="167"/>
  <c r="J280" i="165"/>
  <c r="E324" i="165"/>
  <c r="E321" i="165" s="1"/>
  <c r="J356" i="165"/>
  <c r="O355" i="165"/>
  <c r="J361" i="165"/>
  <c r="O360" i="165"/>
  <c r="H212" i="167"/>
  <c r="H204" i="167"/>
  <c r="J273" i="165"/>
  <c r="H202" i="167"/>
  <c r="H201" i="167"/>
  <c r="E267" i="165"/>
  <c r="O255" i="165"/>
  <c r="J261" i="165"/>
  <c r="O260" i="165"/>
  <c r="H193" i="167"/>
  <c r="E260" i="165"/>
  <c r="J248" i="165"/>
  <c r="H186" i="167"/>
  <c r="E250" i="165"/>
  <c r="H183" i="167"/>
  <c r="K183" i="167" s="1"/>
  <c r="J239" i="165"/>
  <c r="O238" i="165"/>
  <c r="E238" i="165"/>
  <c r="J310" i="165"/>
  <c r="J348" i="165"/>
  <c r="J234" i="165"/>
  <c r="H213" i="167"/>
  <c r="G213" i="167" s="1"/>
  <c r="P283" i="165"/>
  <c r="J256" i="165"/>
  <c r="H211" i="167"/>
  <c r="G211" i="167" s="1"/>
  <c r="P281" i="165"/>
  <c r="P282" i="165"/>
  <c r="P359" i="165"/>
  <c r="L175" i="167" l="1"/>
  <c r="J275" i="165"/>
  <c r="L206" i="167"/>
  <c r="L183" i="167"/>
  <c r="G175" i="167"/>
  <c r="E259" i="165"/>
  <c r="J233" i="165"/>
  <c r="O259" i="165"/>
  <c r="F33" i="108"/>
  <c r="Q352" i="165"/>
  <c r="J351" i="165"/>
  <c r="P173" i="165"/>
  <c r="P125" i="165"/>
  <c r="P263" i="165"/>
  <c r="P262" i="165"/>
  <c r="I239" i="167"/>
  <c r="P258" i="165"/>
  <c r="P241" i="165"/>
  <c r="G212" i="167"/>
  <c r="J270" i="165"/>
  <c r="E269" i="165"/>
  <c r="P352" i="165"/>
  <c r="P172" i="165"/>
  <c r="E171" i="165"/>
  <c r="H129" i="167"/>
  <c r="G129" i="167" s="1"/>
  <c r="P274" i="165"/>
  <c r="P243" i="165"/>
  <c r="P264" i="165"/>
  <c r="P240" i="165"/>
  <c r="I258" i="167"/>
  <c r="G258" i="167" s="1"/>
  <c r="H255" i="167"/>
  <c r="O237" i="165"/>
  <c r="P268" i="165"/>
  <c r="J317" i="165"/>
  <c r="O308" i="165"/>
  <c r="P358" i="165"/>
  <c r="J309" i="165"/>
  <c r="P239" i="165"/>
  <c r="P261" i="165"/>
  <c r="E279" i="165"/>
  <c r="J279" i="165"/>
  <c r="O247" i="165"/>
  <c r="I197" i="167"/>
  <c r="I192" i="167"/>
  <c r="G192" i="167" s="1"/>
  <c r="I177" i="167"/>
  <c r="G177" i="167" s="1"/>
  <c r="P165" i="165"/>
  <c r="P273" i="165"/>
  <c r="J355" i="165"/>
  <c r="J250" i="165"/>
  <c r="I195" i="167"/>
  <c r="G195" i="167" s="1"/>
  <c r="O120" i="165"/>
  <c r="O357" i="165"/>
  <c r="O350" i="165"/>
  <c r="E308" i="165"/>
  <c r="I194" i="167"/>
  <c r="G194" i="167" s="1"/>
  <c r="I181" i="167"/>
  <c r="G181" i="167" s="1"/>
  <c r="J169" i="165"/>
  <c r="G206" i="167"/>
  <c r="I178" i="167"/>
  <c r="G178" i="167" s="1"/>
  <c r="I202" i="167"/>
  <c r="G202" i="167" s="1"/>
  <c r="P248" i="165"/>
  <c r="E247" i="165"/>
  <c r="H260" i="167"/>
  <c r="I208" i="167"/>
  <c r="G208" i="167" s="1"/>
  <c r="P356" i="165"/>
  <c r="I186" i="167"/>
  <c r="G186" i="167" s="1"/>
  <c r="G262" i="167"/>
  <c r="P251" i="165"/>
  <c r="P318" i="165"/>
  <c r="P271" i="165"/>
  <c r="P310" i="165"/>
  <c r="I264" i="167"/>
  <c r="G264" i="167" s="1"/>
  <c r="J360" i="165"/>
  <c r="J324" i="165"/>
  <c r="J321" i="165" s="1"/>
  <c r="P325" i="165"/>
  <c r="I201" i="167"/>
  <c r="G201" i="167" s="1"/>
  <c r="J267" i="165"/>
  <c r="P361" i="165"/>
  <c r="P276" i="165"/>
  <c r="E357" i="165"/>
  <c r="P348" i="165"/>
  <c r="J347" i="165"/>
  <c r="P280" i="165"/>
  <c r="I204" i="167"/>
  <c r="G204" i="167" s="1"/>
  <c r="H171" i="167"/>
  <c r="H170" i="167" s="1"/>
  <c r="I193" i="167"/>
  <c r="G193" i="167" s="1"/>
  <c r="J260" i="165"/>
  <c r="P256" i="165"/>
  <c r="J255" i="165"/>
  <c r="G183" i="167"/>
  <c r="E237" i="165"/>
  <c r="J238" i="165"/>
  <c r="P234" i="165"/>
  <c r="H189" i="167"/>
  <c r="H188" i="167" s="1"/>
  <c r="J272" i="165" l="1"/>
  <c r="P275" i="165"/>
  <c r="E320" i="165"/>
  <c r="O320" i="165"/>
  <c r="P233" i="165"/>
  <c r="P272" i="165"/>
  <c r="G197" i="167"/>
  <c r="G189" i="167" s="1"/>
  <c r="L198" i="167"/>
  <c r="O244" i="165"/>
  <c r="J259" i="165"/>
  <c r="E244" i="165"/>
  <c r="G17" i="153"/>
  <c r="P351" i="165"/>
  <c r="E170" i="165"/>
  <c r="G239" i="167"/>
  <c r="P171" i="165"/>
  <c r="J247" i="165"/>
  <c r="E266" i="165"/>
  <c r="P260" i="165"/>
  <c r="H98" i="167"/>
  <c r="P270" i="165"/>
  <c r="J269" i="165"/>
  <c r="O266" i="165"/>
  <c r="P238" i="165"/>
  <c r="I255" i="167"/>
  <c r="O354" i="165"/>
  <c r="J350" i="165"/>
  <c r="P279" i="165"/>
  <c r="P360" i="165"/>
  <c r="J357" i="165"/>
  <c r="E350" i="165"/>
  <c r="P255" i="165"/>
  <c r="E354" i="165"/>
  <c r="J237" i="165"/>
  <c r="P324" i="165"/>
  <c r="P321" i="165" s="1"/>
  <c r="P355" i="165"/>
  <c r="P347" i="165"/>
  <c r="P309" i="165"/>
  <c r="P250" i="165"/>
  <c r="O346" i="165"/>
  <c r="J346" i="165" s="1"/>
  <c r="P267" i="165"/>
  <c r="P317" i="165"/>
  <c r="I260" i="167"/>
  <c r="G260" i="167"/>
  <c r="G255" i="167"/>
  <c r="I189" i="167"/>
  <c r="I188" i="167" s="1"/>
  <c r="G188" i="167" s="1"/>
  <c r="I171" i="167"/>
  <c r="I170" i="167" s="1"/>
  <c r="O301" i="165"/>
  <c r="E301" i="165"/>
  <c r="O300" i="165"/>
  <c r="E300" i="165"/>
  <c r="O299" i="165"/>
  <c r="E299" i="165"/>
  <c r="O298" i="165"/>
  <c r="E298" i="165"/>
  <c r="E297" i="165"/>
  <c r="O292" i="165"/>
  <c r="E292" i="165"/>
  <c r="O287" i="165"/>
  <c r="E287" i="165"/>
  <c r="N284" i="165"/>
  <c r="M284" i="165"/>
  <c r="I284" i="165"/>
  <c r="H284" i="165"/>
  <c r="G284" i="165"/>
  <c r="F284" i="165"/>
  <c r="E232" i="165" l="1"/>
  <c r="E231" i="165" s="1"/>
  <c r="K170" i="167" s="1"/>
  <c r="P259" i="165"/>
  <c r="J320" i="165"/>
  <c r="E169" i="165"/>
  <c r="H223" i="167"/>
  <c r="J292" i="165"/>
  <c r="J244" i="165"/>
  <c r="G171" i="167"/>
  <c r="G170" i="167" s="1"/>
  <c r="K235" i="167"/>
  <c r="J266" i="165"/>
  <c r="P170" i="165"/>
  <c r="E254" i="165"/>
  <c r="P237" i="165"/>
  <c r="O254" i="165"/>
  <c r="J254" i="165" s="1"/>
  <c r="J253" i="165" s="1"/>
  <c r="P269" i="165"/>
  <c r="O232" i="165"/>
  <c r="P247" i="165"/>
  <c r="E286" i="165"/>
  <c r="J299" i="165"/>
  <c r="J301" i="165"/>
  <c r="E346" i="165"/>
  <c r="P357" i="165"/>
  <c r="O286" i="165"/>
  <c r="E291" i="165"/>
  <c r="J298" i="165"/>
  <c r="J300" i="165"/>
  <c r="P350" i="165"/>
  <c r="O291" i="165"/>
  <c r="J287" i="165"/>
  <c r="E296" i="165"/>
  <c r="L284" i="165"/>
  <c r="O297" i="165"/>
  <c r="K284" i="165"/>
  <c r="E120" i="165" l="1"/>
  <c r="P169" i="165"/>
  <c r="P244" i="165"/>
  <c r="P320" i="165"/>
  <c r="P299" i="165"/>
  <c r="I223" i="167"/>
  <c r="G223" i="167" s="1"/>
  <c r="P300" i="165"/>
  <c r="O253" i="165"/>
  <c r="P254" i="165"/>
  <c r="Q254" i="165" s="1"/>
  <c r="L188" i="167"/>
  <c r="E253" i="165"/>
  <c r="K188" i="167"/>
  <c r="P298" i="165"/>
  <c r="O231" i="165"/>
  <c r="J232" i="165"/>
  <c r="P301" i="165"/>
  <c r="J286" i="165"/>
  <c r="O290" i="165"/>
  <c r="E290" i="165"/>
  <c r="J291" i="165"/>
  <c r="E294" i="165"/>
  <c r="P266" i="165"/>
  <c r="P292" i="165"/>
  <c r="P287" i="165"/>
  <c r="O296" i="165"/>
  <c r="J297" i="165"/>
  <c r="P253" i="165" l="1"/>
  <c r="E293" i="165"/>
  <c r="J231" i="165"/>
  <c r="L170" i="167" s="1"/>
  <c r="P232" i="165"/>
  <c r="Q232" i="165" s="1"/>
  <c r="P286" i="165"/>
  <c r="P291" i="165"/>
  <c r="J290" i="165"/>
  <c r="O294" i="165"/>
  <c r="P297" i="165"/>
  <c r="J296" i="165"/>
  <c r="E285" i="165" l="1"/>
  <c r="E284" i="165" s="1"/>
  <c r="O293" i="165"/>
  <c r="P231" i="165"/>
  <c r="P296" i="165"/>
  <c r="P290" i="165"/>
  <c r="J294" i="165"/>
  <c r="J293" i="165" l="1"/>
  <c r="P294" i="165"/>
  <c r="O285" i="165"/>
  <c r="J168" i="167"/>
  <c r="H168" i="167"/>
  <c r="P293" i="165" l="1"/>
  <c r="O284" i="165"/>
  <c r="J285" i="165"/>
  <c r="P285" i="165" l="1"/>
  <c r="Q285" i="165" s="1"/>
  <c r="J284" i="165"/>
  <c r="M249" i="167"/>
  <c r="G248" i="167"/>
  <c r="M247" i="167"/>
  <c r="G247" i="167"/>
  <c r="J229" i="167"/>
  <c r="M229" i="167" s="1"/>
  <c r="J165" i="167"/>
  <c r="J164" i="167"/>
  <c r="J163" i="167"/>
  <c r="J162" i="167"/>
  <c r="J161" i="167"/>
  <c r="J158" i="167"/>
  <c r="J157" i="167"/>
  <c r="J156" i="167"/>
  <c r="J153" i="167"/>
  <c r="G147" i="167"/>
  <c r="G146" i="167"/>
  <c r="J145" i="167"/>
  <c r="G144" i="167"/>
  <c r="J143" i="167"/>
  <c r="J140" i="167"/>
  <c r="G141" i="167"/>
  <c r="J135" i="167"/>
  <c r="G126" i="167"/>
  <c r="G125" i="167"/>
  <c r="G123" i="167"/>
  <c r="G118" i="167"/>
  <c r="J96" i="167"/>
  <c r="H96" i="167"/>
  <c r="G95" i="167"/>
  <c r="J89" i="167"/>
  <c r="J88" i="167"/>
  <c r="J87" i="167"/>
  <c r="J86" i="167"/>
  <c r="G85" i="167"/>
  <c r="J84" i="167"/>
  <c r="J81" i="167"/>
  <c r="J74" i="167"/>
  <c r="J44" i="167" s="1"/>
  <c r="G51" i="167"/>
  <c r="G48" i="167"/>
  <c r="G35" i="167"/>
  <c r="J33" i="167"/>
  <c r="M33" i="167" s="1"/>
  <c r="J32" i="167"/>
  <c r="M32" i="167" s="1"/>
  <c r="J27" i="167"/>
  <c r="M27" i="167" s="1"/>
  <c r="G22" i="167"/>
  <c r="O379" i="165"/>
  <c r="O373" i="165"/>
  <c r="O365" i="165"/>
  <c r="G362" i="165"/>
  <c r="E365" i="165"/>
  <c r="N362" i="165"/>
  <c r="M362" i="165"/>
  <c r="L362" i="165"/>
  <c r="K362" i="165"/>
  <c r="I362" i="165"/>
  <c r="H362" i="165"/>
  <c r="G353" i="165"/>
  <c r="N353" i="165"/>
  <c r="M353" i="165"/>
  <c r="L353" i="165"/>
  <c r="K353" i="165"/>
  <c r="I353" i="165"/>
  <c r="F353" i="165"/>
  <c r="N345" i="165"/>
  <c r="M345" i="165"/>
  <c r="I345" i="165"/>
  <c r="H345" i="165"/>
  <c r="G345" i="165"/>
  <c r="O341" i="165"/>
  <c r="O339" i="165"/>
  <c r="O338" i="165"/>
  <c r="E338" i="165"/>
  <c r="N332" i="165"/>
  <c r="M332" i="165"/>
  <c r="I332" i="165"/>
  <c r="H332" i="165"/>
  <c r="G332" i="165"/>
  <c r="L332" i="165"/>
  <c r="G315" i="165"/>
  <c r="N315" i="165"/>
  <c r="M315" i="165"/>
  <c r="I315" i="165"/>
  <c r="H315" i="165"/>
  <c r="N307" i="165"/>
  <c r="M307" i="165"/>
  <c r="L307" i="165"/>
  <c r="K307" i="165"/>
  <c r="I307" i="165"/>
  <c r="F307" i="165"/>
  <c r="O221" i="165"/>
  <c r="O218" i="165"/>
  <c r="E218" i="165"/>
  <c r="O217" i="165"/>
  <c r="E217" i="165"/>
  <c r="O216" i="165"/>
  <c r="O214" i="165"/>
  <c r="J213" i="165"/>
  <c r="E213" i="165"/>
  <c r="O211" i="165"/>
  <c r="E211" i="165"/>
  <c r="O209" i="165"/>
  <c r="O208" i="165"/>
  <c r="E208" i="165"/>
  <c r="E205" i="165"/>
  <c r="E204" i="165"/>
  <c r="O202" i="165"/>
  <c r="N198" i="165"/>
  <c r="M198" i="165"/>
  <c r="L198" i="165"/>
  <c r="I198" i="165"/>
  <c r="O189" i="165"/>
  <c r="E189" i="165"/>
  <c r="E188" i="165"/>
  <c r="E185" i="165"/>
  <c r="O184" i="165"/>
  <c r="E184" i="165"/>
  <c r="O183" i="165"/>
  <c r="E183" i="165"/>
  <c r="O182" i="165"/>
  <c r="H177" i="165"/>
  <c r="E180" i="165"/>
  <c r="N177" i="165"/>
  <c r="M177" i="165"/>
  <c r="L177" i="165"/>
  <c r="G177" i="165"/>
  <c r="M119" i="165"/>
  <c r="L119" i="165"/>
  <c r="I119" i="165"/>
  <c r="I96" i="167"/>
  <c r="E117" i="165"/>
  <c r="O107" i="165"/>
  <c r="O106" i="165"/>
  <c r="E106" i="165"/>
  <c r="O104" i="165"/>
  <c r="O102" i="165"/>
  <c r="E100" i="165"/>
  <c r="O99" i="165"/>
  <c r="E99" i="165"/>
  <c r="O98" i="165"/>
  <c r="J97" i="165"/>
  <c r="E97" i="165"/>
  <c r="E96" i="165"/>
  <c r="O94" i="165"/>
  <c r="N91" i="165"/>
  <c r="M91" i="165"/>
  <c r="L91" i="165"/>
  <c r="I91" i="165"/>
  <c r="O78" i="165"/>
  <c r="E78" i="165"/>
  <c r="O65" i="165"/>
  <c r="O63" i="165"/>
  <c r="E62" i="165"/>
  <c r="E59" i="165"/>
  <c r="E57" i="165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G15" i="165"/>
  <c r="H84" i="167" l="1"/>
  <c r="H145" i="167"/>
  <c r="H80" i="167"/>
  <c r="H143" i="167"/>
  <c r="O77" i="165"/>
  <c r="E77" i="165"/>
  <c r="O47" i="165"/>
  <c r="E47" i="165"/>
  <c r="O36" i="165"/>
  <c r="O39" i="165"/>
  <c r="O64" i="165"/>
  <c r="H83" i="167"/>
  <c r="O103" i="165"/>
  <c r="E116" i="165"/>
  <c r="H136" i="167"/>
  <c r="O201" i="165"/>
  <c r="O220" i="165"/>
  <c r="E364" i="165"/>
  <c r="O378" i="165"/>
  <c r="O26" i="165"/>
  <c r="H59" i="167"/>
  <c r="O340" i="165"/>
  <c r="P284" i="165"/>
  <c r="E28" i="165"/>
  <c r="P100" i="165"/>
  <c r="H139" i="167"/>
  <c r="H155" i="167"/>
  <c r="E210" i="165"/>
  <c r="O212" i="165"/>
  <c r="O364" i="165"/>
  <c r="H45" i="167"/>
  <c r="O93" i="165"/>
  <c r="O101" i="165"/>
  <c r="O187" i="165"/>
  <c r="O210" i="165"/>
  <c r="O372" i="165"/>
  <c r="H47" i="167"/>
  <c r="K47" i="167" s="1"/>
  <c r="H56" i="167"/>
  <c r="P29" i="165"/>
  <c r="O61" i="165"/>
  <c r="E187" i="165"/>
  <c r="H134" i="167"/>
  <c r="E179" i="165"/>
  <c r="O215" i="165"/>
  <c r="O207" i="165"/>
  <c r="H154" i="167"/>
  <c r="E203" i="165"/>
  <c r="O105" i="165"/>
  <c r="E58" i="165"/>
  <c r="H57" i="167"/>
  <c r="H50" i="167"/>
  <c r="K50" i="167" s="1"/>
  <c r="H27" i="167"/>
  <c r="K27" i="167" s="1"/>
  <c r="H26" i="167"/>
  <c r="K26" i="167" s="1"/>
  <c r="J133" i="167"/>
  <c r="N15" i="165"/>
  <c r="I15" i="165"/>
  <c r="I380" i="165"/>
  <c r="I392" i="165" s="1"/>
  <c r="M15" i="165"/>
  <c r="M380" i="165"/>
  <c r="K345" i="165"/>
  <c r="K315" i="165"/>
  <c r="F332" i="165"/>
  <c r="G249" i="167"/>
  <c r="G245" i="167" s="1"/>
  <c r="H244" i="167"/>
  <c r="J104" i="165"/>
  <c r="E107" i="165"/>
  <c r="I244" i="167"/>
  <c r="K177" i="165"/>
  <c r="E202" i="165"/>
  <c r="J202" i="165"/>
  <c r="J37" i="165"/>
  <c r="J62" i="165"/>
  <c r="J217" i="165"/>
  <c r="L43" i="165"/>
  <c r="E98" i="165"/>
  <c r="J373" i="165"/>
  <c r="J254" i="167"/>
  <c r="M254" i="167" s="1"/>
  <c r="J211" i="165"/>
  <c r="J339" i="165"/>
  <c r="O345" i="165"/>
  <c r="J185" i="165"/>
  <c r="J184" i="165"/>
  <c r="J204" i="165"/>
  <c r="H353" i="165"/>
  <c r="E21" i="165"/>
  <c r="E24" i="165"/>
  <c r="J27" i="165"/>
  <c r="J40" i="165"/>
  <c r="J49" i="165"/>
  <c r="J59" i="165"/>
  <c r="J63" i="165"/>
  <c r="G91" i="165"/>
  <c r="I81" i="167"/>
  <c r="E102" i="165"/>
  <c r="N119" i="165"/>
  <c r="J182" i="165"/>
  <c r="H140" i="167"/>
  <c r="J209" i="165"/>
  <c r="H163" i="167"/>
  <c r="J218" i="165"/>
  <c r="H221" i="167"/>
  <c r="H222" i="167"/>
  <c r="E307" i="165"/>
  <c r="H229" i="167"/>
  <c r="K229" i="167" s="1"/>
  <c r="E339" i="165"/>
  <c r="J341" i="165"/>
  <c r="J365" i="165"/>
  <c r="J379" i="165"/>
  <c r="E40" i="165"/>
  <c r="J183" i="165"/>
  <c r="J189" i="165"/>
  <c r="H218" i="167"/>
  <c r="J338" i="165"/>
  <c r="N43" i="165"/>
  <c r="J99" i="165"/>
  <c r="J102" i="165"/>
  <c r="H88" i="167"/>
  <c r="J107" i="165"/>
  <c r="J188" i="165"/>
  <c r="E216" i="165"/>
  <c r="E221" i="165"/>
  <c r="G307" i="165"/>
  <c r="L345" i="165"/>
  <c r="O18" i="165"/>
  <c r="E63" i="165"/>
  <c r="J78" i="165"/>
  <c r="J98" i="165"/>
  <c r="E182" i="165"/>
  <c r="E209" i="165"/>
  <c r="J214" i="165"/>
  <c r="H164" i="167"/>
  <c r="H225" i="167"/>
  <c r="J24" i="167"/>
  <c r="J16" i="167" s="1"/>
  <c r="M15" i="167" s="1"/>
  <c r="J65" i="165"/>
  <c r="F91" i="165"/>
  <c r="H91" i="165"/>
  <c r="J21" i="165"/>
  <c r="E65" i="165"/>
  <c r="H74" i="167"/>
  <c r="E94" i="165"/>
  <c r="J94" i="165"/>
  <c r="E104" i="165"/>
  <c r="J106" i="165"/>
  <c r="G119" i="165"/>
  <c r="G198" i="165"/>
  <c r="H198" i="165"/>
  <c r="J208" i="165"/>
  <c r="H158" i="167"/>
  <c r="I159" i="167"/>
  <c r="J216" i="165"/>
  <c r="J221" i="165"/>
  <c r="H220" i="167"/>
  <c r="H307" i="165"/>
  <c r="E353" i="165"/>
  <c r="G96" i="167"/>
  <c r="K247" i="167"/>
  <c r="G49" i="167"/>
  <c r="G137" i="167"/>
  <c r="G160" i="167"/>
  <c r="J259" i="167"/>
  <c r="M259" i="167" s="1"/>
  <c r="H81" i="167"/>
  <c r="P97" i="165"/>
  <c r="F315" i="165"/>
  <c r="J46" i="165"/>
  <c r="L315" i="165"/>
  <c r="L380" i="165"/>
  <c r="O96" i="165"/>
  <c r="H119" i="165"/>
  <c r="F119" i="165"/>
  <c r="H156" i="167"/>
  <c r="G17" i="167"/>
  <c r="H15" i="165"/>
  <c r="E214" i="165"/>
  <c r="F198" i="165"/>
  <c r="K332" i="165"/>
  <c r="E341" i="165"/>
  <c r="O205" i="165"/>
  <c r="H159" i="167"/>
  <c r="P213" i="165"/>
  <c r="J225" i="167"/>
  <c r="F345" i="165"/>
  <c r="J159" i="167"/>
  <c r="J152" i="167" s="1"/>
  <c r="J93" i="167"/>
  <c r="O24" i="165"/>
  <c r="O117" i="165"/>
  <c r="J218" i="167"/>
  <c r="O315" i="165"/>
  <c r="E373" i="165"/>
  <c r="G23" i="167"/>
  <c r="G99" i="167"/>
  <c r="J244" i="167"/>
  <c r="E181" i="165" l="1"/>
  <c r="E178" i="165" s="1"/>
  <c r="H215" i="167"/>
  <c r="O32" i="165"/>
  <c r="L250" i="167"/>
  <c r="K250" i="167"/>
  <c r="O370" i="165"/>
  <c r="E110" i="165"/>
  <c r="J77" i="165"/>
  <c r="K45" i="167"/>
  <c r="E23" i="165"/>
  <c r="O23" i="165"/>
  <c r="E26" i="165"/>
  <c r="O45" i="165"/>
  <c r="K215" i="167"/>
  <c r="O337" i="165"/>
  <c r="P28" i="165"/>
  <c r="J187" i="165"/>
  <c r="I83" i="167"/>
  <c r="G83" i="167" s="1"/>
  <c r="J364" i="165"/>
  <c r="J201" i="165"/>
  <c r="E105" i="165"/>
  <c r="E372" i="165"/>
  <c r="J212" i="165"/>
  <c r="I136" i="167"/>
  <c r="G136" i="167" s="1"/>
  <c r="J340" i="165"/>
  <c r="I60" i="167"/>
  <c r="L60" i="167" s="1"/>
  <c r="J26" i="165"/>
  <c r="J372" i="165"/>
  <c r="I59" i="167"/>
  <c r="G59" i="167" s="1"/>
  <c r="E201" i="165"/>
  <c r="J103" i="165"/>
  <c r="O181" i="165"/>
  <c r="E207" i="165"/>
  <c r="E220" i="165"/>
  <c r="J93" i="165"/>
  <c r="E101" i="165"/>
  <c r="I139" i="167"/>
  <c r="G139" i="167" s="1"/>
  <c r="J210" i="165"/>
  <c r="J36" i="165"/>
  <c r="O377" i="165"/>
  <c r="O219" i="165"/>
  <c r="O38" i="165"/>
  <c r="E212" i="165"/>
  <c r="J220" i="165"/>
  <c r="E93" i="165"/>
  <c r="O17" i="165"/>
  <c r="E215" i="165"/>
  <c r="J101" i="165"/>
  <c r="J378" i="165"/>
  <c r="I50" i="167"/>
  <c r="L50" i="167" s="1"/>
  <c r="K22" i="167"/>
  <c r="E103" i="165"/>
  <c r="I82" i="167"/>
  <c r="O116" i="165"/>
  <c r="E340" i="165"/>
  <c r="M24" i="167"/>
  <c r="E39" i="165"/>
  <c r="J39" i="165"/>
  <c r="E61" i="165"/>
  <c r="H60" i="167"/>
  <c r="J58" i="165"/>
  <c r="I57" i="167"/>
  <c r="G57" i="167" s="1"/>
  <c r="O95" i="165"/>
  <c r="E64" i="165"/>
  <c r="H62" i="167"/>
  <c r="J64" i="165"/>
  <c r="I62" i="167"/>
  <c r="J215" i="165"/>
  <c r="P338" i="165"/>
  <c r="O206" i="165"/>
  <c r="J207" i="165"/>
  <c r="I154" i="167"/>
  <c r="G154" i="167" s="1"/>
  <c r="O203" i="165"/>
  <c r="J105" i="165"/>
  <c r="H82" i="167"/>
  <c r="I45" i="167"/>
  <c r="I27" i="167"/>
  <c r="L27" i="167" s="1"/>
  <c r="I26" i="167"/>
  <c r="L26" i="167" s="1"/>
  <c r="E17" i="165"/>
  <c r="J61" i="165"/>
  <c r="E67" i="170"/>
  <c r="K15" i="165"/>
  <c r="K380" i="165"/>
  <c r="F43" i="165"/>
  <c r="H43" i="165"/>
  <c r="H380" i="165"/>
  <c r="G43" i="165"/>
  <c r="G380" i="165"/>
  <c r="N380" i="165"/>
  <c r="N392" i="165" s="1"/>
  <c r="M244" i="167"/>
  <c r="J234" i="167"/>
  <c r="M235" i="167"/>
  <c r="P37" i="165"/>
  <c r="I153" i="167"/>
  <c r="I140" i="167"/>
  <c r="G140" i="167" s="1"/>
  <c r="I87" i="167"/>
  <c r="P217" i="165"/>
  <c r="G108" i="167"/>
  <c r="P208" i="165"/>
  <c r="P99" i="165"/>
  <c r="P49" i="165"/>
  <c r="H89" i="167"/>
  <c r="I32" i="167"/>
  <c r="L32" i="167" s="1"/>
  <c r="F177" i="165"/>
  <c r="P189" i="165"/>
  <c r="I158" i="167"/>
  <c r="G158" i="167" s="1"/>
  <c r="P106" i="165"/>
  <c r="P185" i="165"/>
  <c r="P209" i="165"/>
  <c r="P218" i="165"/>
  <c r="P59" i="165"/>
  <c r="P184" i="165"/>
  <c r="J57" i="165"/>
  <c r="L249" i="167"/>
  <c r="G106" i="167"/>
  <c r="P365" i="165"/>
  <c r="H32" i="167"/>
  <c r="G244" i="167"/>
  <c r="P102" i="165"/>
  <c r="P211" i="165"/>
  <c r="I84" i="167"/>
  <c r="G84" i="167" s="1"/>
  <c r="P379" i="165"/>
  <c r="P204" i="165"/>
  <c r="P188" i="165"/>
  <c r="P21" i="165"/>
  <c r="J180" i="165"/>
  <c r="H153" i="167"/>
  <c r="G81" i="167"/>
  <c r="H259" i="167"/>
  <c r="K259" i="167" s="1"/>
  <c r="P202" i="165"/>
  <c r="P63" i="165"/>
  <c r="G159" i="167"/>
  <c r="P62" i="165"/>
  <c r="P104" i="165"/>
  <c r="H87" i="167"/>
  <c r="P40" i="165"/>
  <c r="K249" i="167"/>
  <c r="H33" i="167"/>
  <c r="K33" i="167" s="1"/>
  <c r="P27" i="165"/>
  <c r="P221" i="165"/>
  <c r="H162" i="167"/>
  <c r="P78" i="165"/>
  <c r="I163" i="167"/>
  <c r="G163" i="167" s="1"/>
  <c r="P182" i="165"/>
  <c r="H157" i="167"/>
  <c r="H135" i="167"/>
  <c r="H133" i="167" s="1"/>
  <c r="P339" i="165"/>
  <c r="I143" i="167"/>
  <c r="G143" i="167" s="1"/>
  <c r="P98" i="165"/>
  <c r="I74" i="167"/>
  <c r="G74" i="167" s="1"/>
  <c r="P65" i="165"/>
  <c r="J132" i="167"/>
  <c r="M132" i="167" s="1"/>
  <c r="I88" i="167"/>
  <c r="G88" i="167" s="1"/>
  <c r="P94" i="165"/>
  <c r="M392" i="165"/>
  <c r="G119" i="167"/>
  <c r="I161" i="167"/>
  <c r="J345" i="165"/>
  <c r="J48" i="165"/>
  <c r="G120" i="167"/>
  <c r="G112" i="167"/>
  <c r="H24" i="167"/>
  <c r="J24" i="165"/>
  <c r="G107" i="167"/>
  <c r="I162" i="167"/>
  <c r="I220" i="167"/>
  <c r="G220" i="167" s="1"/>
  <c r="G105" i="167"/>
  <c r="I89" i="167"/>
  <c r="I86" i="167"/>
  <c r="G110" i="167"/>
  <c r="H86" i="167"/>
  <c r="H165" i="167"/>
  <c r="J205" i="165"/>
  <c r="P107" i="165"/>
  <c r="P216" i="165"/>
  <c r="J43" i="167"/>
  <c r="P183" i="165"/>
  <c r="I156" i="167"/>
  <c r="G156" i="167" s="1"/>
  <c r="J18" i="165"/>
  <c r="L247" i="167"/>
  <c r="I145" i="167"/>
  <c r="G145" i="167" s="1"/>
  <c r="I157" i="167"/>
  <c r="I135" i="167"/>
  <c r="J117" i="165"/>
  <c r="I93" i="167" s="1"/>
  <c r="G93" i="167" s="1"/>
  <c r="I165" i="167"/>
  <c r="G124" i="167"/>
  <c r="I164" i="167"/>
  <c r="G164" i="167" s="1"/>
  <c r="G117" i="167"/>
  <c r="G111" i="167"/>
  <c r="I33" i="167"/>
  <c r="L33" i="167" s="1"/>
  <c r="G104" i="167"/>
  <c r="H254" i="167"/>
  <c r="K254" i="167" s="1"/>
  <c r="J98" i="167"/>
  <c r="J97" i="167" s="1"/>
  <c r="M97" i="167" s="1"/>
  <c r="K119" i="165"/>
  <c r="K198" i="165"/>
  <c r="P373" i="165"/>
  <c r="O307" i="165"/>
  <c r="J308" i="165"/>
  <c r="K43" i="165"/>
  <c r="J79" i="167"/>
  <c r="J151" i="167"/>
  <c r="P341" i="165"/>
  <c r="J96" i="165"/>
  <c r="L15" i="165"/>
  <c r="O353" i="165"/>
  <c r="J354" i="165"/>
  <c r="H161" i="167"/>
  <c r="P214" i="165"/>
  <c r="F15" i="165"/>
  <c r="K91" i="165"/>
  <c r="P46" i="165"/>
  <c r="O363" i="165" l="1"/>
  <c r="J315" i="165"/>
  <c r="L235" i="167"/>
  <c r="J32" i="165"/>
  <c r="I80" i="167"/>
  <c r="J337" i="165"/>
  <c r="L17" i="167"/>
  <c r="J370" i="165"/>
  <c r="E45" i="165"/>
  <c r="H152" i="167"/>
  <c r="H151" i="167" s="1"/>
  <c r="O110" i="165"/>
  <c r="O92" i="165" s="1"/>
  <c r="O44" i="165"/>
  <c r="J44" i="165" s="1"/>
  <c r="H392" i="165"/>
  <c r="O22" i="165"/>
  <c r="H44" i="167"/>
  <c r="P77" i="165"/>
  <c r="J23" i="165"/>
  <c r="J47" i="165"/>
  <c r="E200" i="165"/>
  <c r="O334" i="165"/>
  <c r="K395" i="165"/>
  <c r="P308" i="165"/>
  <c r="Q308" i="165" s="1"/>
  <c r="G50" i="167"/>
  <c r="K392" i="165"/>
  <c r="E22" i="165"/>
  <c r="J181" i="165"/>
  <c r="P58" i="165"/>
  <c r="E206" i="165"/>
  <c r="E95" i="165"/>
  <c r="E92" i="165" s="1"/>
  <c r="P212" i="165"/>
  <c r="I155" i="167"/>
  <c r="G155" i="167" s="1"/>
  <c r="P93" i="165"/>
  <c r="P220" i="165"/>
  <c r="P187" i="165"/>
  <c r="P210" i="165"/>
  <c r="P364" i="165"/>
  <c r="P36" i="165"/>
  <c r="E38" i="165"/>
  <c r="P26" i="165"/>
  <c r="P101" i="165"/>
  <c r="J219" i="165"/>
  <c r="O178" i="165"/>
  <c r="O177" i="165" s="1"/>
  <c r="J17" i="165"/>
  <c r="P103" i="165"/>
  <c r="P201" i="165"/>
  <c r="P378" i="165"/>
  <c r="E337" i="165"/>
  <c r="P372" i="165"/>
  <c r="I47" i="167"/>
  <c r="L47" i="167" s="1"/>
  <c r="J38" i="165"/>
  <c r="J377" i="165"/>
  <c r="E219" i="165"/>
  <c r="J116" i="165"/>
  <c r="H16" i="167"/>
  <c r="K15" i="167" s="1"/>
  <c r="P340" i="165"/>
  <c r="I56" i="167"/>
  <c r="G56" i="167" s="1"/>
  <c r="E177" i="165"/>
  <c r="K32" i="167"/>
  <c r="G32" i="167"/>
  <c r="P61" i="165"/>
  <c r="J206" i="165"/>
  <c r="P64" i="165"/>
  <c r="G62" i="167"/>
  <c r="K60" i="167"/>
  <c r="G60" i="167"/>
  <c r="K24" i="167"/>
  <c r="P215" i="165"/>
  <c r="P207" i="165"/>
  <c r="O200" i="165"/>
  <c r="J203" i="165"/>
  <c r="J95" i="165"/>
  <c r="I134" i="167"/>
  <c r="I133" i="167" s="1"/>
  <c r="J179" i="165"/>
  <c r="L45" i="167"/>
  <c r="P105" i="165"/>
  <c r="P39" i="165"/>
  <c r="G26" i="167"/>
  <c r="J78" i="167"/>
  <c r="M78" i="167" s="1"/>
  <c r="H214" i="167"/>
  <c r="H132" i="167"/>
  <c r="G153" i="167"/>
  <c r="J15" i="167"/>
  <c r="G87" i="167"/>
  <c r="I221" i="167"/>
  <c r="G221" i="167" s="1"/>
  <c r="P57" i="165"/>
  <c r="G89" i="167"/>
  <c r="I218" i="167"/>
  <c r="P48" i="165"/>
  <c r="G82" i="167"/>
  <c r="G234" i="167"/>
  <c r="G27" i="167"/>
  <c r="P180" i="165"/>
  <c r="H79" i="167"/>
  <c r="G115" i="167"/>
  <c r="G33" i="167"/>
  <c r="G86" i="167"/>
  <c r="G116" i="167"/>
  <c r="G135" i="167"/>
  <c r="G162" i="167"/>
  <c r="G157" i="167"/>
  <c r="M43" i="167"/>
  <c r="P18" i="165"/>
  <c r="G122" i="167"/>
  <c r="G161" i="167"/>
  <c r="G165" i="167"/>
  <c r="I259" i="167"/>
  <c r="L259" i="167" s="1"/>
  <c r="I229" i="167"/>
  <c r="L229" i="167" s="1"/>
  <c r="G231" i="167"/>
  <c r="G230" i="167" s="1"/>
  <c r="P24" i="165"/>
  <c r="L392" i="165"/>
  <c r="I254" i="167"/>
  <c r="L254" i="167" s="1"/>
  <c r="G259" i="167"/>
  <c r="P205" i="165"/>
  <c r="J220" i="167"/>
  <c r="I222" i="167"/>
  <c r="G222" i="167" s="1"/>
  <c r="G127" i="167"/>
  <c r="I24" i="167"/>
  <c r="I16" i="167" s="1"/>
  <c r="P117" i="165"/>
  <c r="I225" i="167"/>
  <c r="G225" i="167" s="1"/>
  <c r="G392" i="165"/>
  <c r="G254" i="167"/>
  <c r="P96" i="165"/>
  <c r="J307" i="165"/>
  <c r="E119" i="165"/>
  <c r="O119" i="165"/>
  <c r="J120" i="165"/>
  <c r="H234" i="167"/>
  <c r="E315" i="165"/>
  <c r="G45" i="167"/>
  <c r="E345" i="165"/>
  <c r="P346" i="165"/>
  <c r="Q346" i="165" s="1"/>
  <c r="J353" i="165"/>
  <c r="P354" i="165"/>
  <c r="Q354" i="165" s="1"/>
  <c r="H97" i="167"/>
  <c r="K97" i="167" s="1"/>
  <c r="J363" i="165" l="1"/>
  <c r="I215" i="167"/>
  <c r="L215" i="167" s="1"/>
  <c r="P32" i="165"/>
  <c r="J334" i="165"/>
  <c r="G80" i="167"/>
  <c r="G79" i="167" s="1"/>
  <c r="I79" i="167"/>
  <c r="O333" i="165"/>
  <c r="O332" i="165" s="1"/>
  <c r="O199" i="165"/>
  <c r="O198" i="165" s="1"/>
  <c r="D90" i="170"/>
  <c r="E90" i="170" s="1"/>
  <c r="E199" i="165"/>
  <c r="E198" i="165" s="1"/>
  <c r="D91" i="170"/>
  <c r="J110" i="165"/>
  <c r="J92" i="165" s="1"/>
  <c r="E44" i="165"/>
  <c r="P44" i="165" s="1"/>
  <c r="Q44" i="165" s="1"/>
  <c r="J119" i="165"/>
  <c r="P120" i="165"/>
  <c r="Q120" i="165" s="1"/>
  <c r="O16" i="165"/>
  <c r="J16" i="165" s="1"/>
  <c r="L15" i="167" s="1"/>
  <c r="I44" i="167"/>
  <c r="I43" i="167" s="1"/>
  <c r="L43" i="167" s="1"/>
  <c r="O43" i="165"/>
  <c r="J45" i="165"/>
  <c r="P47" i="165"/>
  <c r="P23" i="165"/>
  <c r="E334" i="165"/>
  <c r="P181" i="165"/>
  <c r="G33" i="108"/>
  <c r="G47" i="167"/>
  <c r="K132" i="167"/>
  <c r="E16" i="165"/>
  <c r="J178" i="165"/>
  <c r="P178" i="165" s="1"/>
  <c r="Q178" i="165" s="1"/>
  <c r="P337" i="165"/>
  <c r="E91" i="165"/>
  <c r="P17" i="165"/>
  <c r="J22" i="165"/>
  <c r="J200" i="165"/>
  <c r="P179" i="165"/>
  <c r="P377" i="165"/>
  <c r="P203" i="165"/>
  <c r="P38" i="165"/>
  <c r="O362" i="165"/>
  <c r="J362" i="165"/>
  <c r="P219" i="165"/>
  <c r="P116" i="165"/>
  <c r="H43" i="167"/>
  <c r="H269" i="167"/>
  <c r="P206" i="165"/>
  <c r="G134" i="167"/>
  <c r="P95" i="165"/>
  <c r="H78" i="167"/>
  <c r="G229" i="167"/>
  <c r="G218" i="167"/>
  <c r="G215" i="167" s="1"/>
  <c r="H15" i="167"/>
  <c r="I234" i="167"/>
  <c r="L24" i="167"/>
  <c r="J221" i="167"/>
  <c r="I132" i="167"/>
  <c r="G24" i="167"/>
  <c r="G16" i="167" s="1"/>
  <c r="I98" i="167"/>
  <c r="I97" i="167" s="1"/>
  <c r="L97" i="167" s="1"/>
  <c r="G103" i="167"/>
  <c r="J222" i="167"/>
  <c r="P345" i="165"/>
  <c r="P353" i="165"/>
  <c r="P307" i="165"/>
  <c r="P315" i="165"/>
  <c r="J43" i="165"/>
  <c r="J215" i="167" l="1"/>
  <c r="J269" i="167" s="1"/>
  <c r="J333" i="165"/>
  <c r="J332" i="165" s="1"/>
  <c r="L244" i="167" s="1"/>
  <c r="P110" i="165"/>
  <c r="P92" i="165" s="1"/>
  <c r="K78" i="167"/>
  <c r="J15" i="165"/>
  <c r="O15" i="165"/>
  <c r="P16" i="165"/>
  <c r="Q16" i="165" s="1"/>
  <c r="P45" i="165"/>
  <c r="G44" i="167"/>
  <c r="G43" i="167" s="1"/>
  <c r="E333" i="165"/>
  <c r="E332" i="165" s="1"/>
  <c r="K244" i="167" s="1"/>
  <c r="P334" i="165"/>
  <c r="K43" i="167"/>
  <c r="J177" i="165"/>
  <c r="L132" i="167"/>
  <c r="O380" i="165"/>
  <c r="E43" i="165"/>
  <c r="J199" i="165"/>
  <c r="P199" i="165" s="1"/>
  <c r="Q199" i="165" s="1"/>
  <c r="E15" i="165"/>
  <c r="P200" i="165"/>
  <c r="P22" i="165"/>
  <c r="O91" i="165"/>
  <c r="G133" i="167"/>
  <c r="G132" i="167" s="1"/>
  <c r="I78" i="167"/>
  <c r="G78" i="167"/>
  <c r="G15" i="167"/>
  <c r="I214" i="167"/>
  <c r="G98" i="167"/>
  <c r="G97" i="167" s="1"/>
  <c r="I15" i="167"/>
  <c r="P177" i="165"/>
  <c r="P43" i="165"/>
  <c r="P119" i="165"/>
  <c r="P15" i="165" l="1"/>
  <c r="P333" i="165"/>
  <c r="O392" i="165"/>
  <c r="O395" i="165"/>
  <c r="J198" i="165"/>
  <c r="P198" i="165"/>
  <c r="Q92" i="165"/>
  <c r="J91" i="165"/>
  <c r="L78" i="167" s="1"/>
  <c r="J380" i="165"/>
  <c r="G214" i="167"/>
  <c r="M215" i="167"/>
  <c r="J214" i="167"/>
  <c r="J392" i="165" l="1"/>
  <c r="J395" i="165"/>
  <c r="Q333" i="165"/>
  <c r="P332" i="165"/>
  <c r="P91" i="165"/>
  <c r="K164" i="153" l="1"/>
  <c r="I168" i="167" l="1"/>
  <c r="I152" i="167" s="1"/>
  <c r="G168" i="167" l="1"/>
  <c r="I269" i="167"/>
  <c r="G152" i="167" l="1"/>
  <c r="G269" i="167" s="1"/>
  <c r="I151" i="167"/>
  <c r="K269" i="167" l="1"/>
  <c r="G151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51" i="167"/>
  <c r="G20" i="107"/>
  <c r="M151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51" i="167" s="1"/>
  <c r="F20" i="107" l="1"/>
  <c r="D22" i="108"/>
  <c r="E33" i="108" s="1"/>
  <c r="E382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Q382" i="165" l="1"/>
  <c r="D83" i="170"/>
  <c r="E82" i="170"/>
  <c r="D89" i="170" l="1"/>
  <c r="F89" i="170" s="1"/>
  <c r="E91" i="170"/>
  <c r="E371" i="165"/>
  <c r="E370" i="165" l="1"/>
  <c r="P371" i="165"/>
  <c r="F362" i="165"/>
  <c r="E363" i="165" l="1"/>
  <c r="P370" i="165"/>
  <c r="P363" i="165" l="1"/>
  <c r="Q363" i="165" s="1"/>
  <c r="E362" i="165"/>
  <c r="E380" i="165"/>
  <c r="P380" i="165"/>
  <c r="P362" i="165"/>
  <c r="F392" i="165"/>
  <c r="D24" i="172" l="1"/>
  <c r="D20" i="172" s="1"/>
  <c r="F395" i="165"/>
  <c r="F393" i="165"/>
  <c r="Q380" i="165"/>
  <c r="E392" i="165"/>
  <c r="E393" i="165"/>
  <c r="P392" i="165"/>
  <c r="P393" i="165"/>
  <c r="E24" i="172" l="1"/>
  <c r="E20" i="172" s="1"/>
  <c r="E15" i="172" s="1"/>
  <c r="E29" i="172" s="1"/>
  <c r="D48" i="172"/>
  <c r="D44" i="172" s="1"/>
  <c r="D43" i="172" s="1"/>
  <c r="D49" i="172" s="1"/>
  <c r="D15" i="172"/>
  <c r="D29" i="172" s="1"/>
  <c r="C24" i="172"/>
  <c r="C20" i="172" s="1"/>
  <c r="C15" i="172" s="1"/>
  <c r="C29" i="172" s="1"/>
  <c r="D51" i="170"/>
  <c r="E51" i="170" s="1"/>
  <c r="F24" i="172" l="1"/>
  <c r="F20" i="172" s="1"/>
  <c r="F15" i="172" s="1"/>
  <c r="F29" i="172" s="1"/>
  <c r="E48" i="172"/>
  <c r="E44" i="172" s="1"/>
  <c r="E43" i="172" s="1"/>
  <c r="E49" i="172" s="1"/>
  <c r="D59" i="170"/>
  <c r="F48" i="172" l="1"/>
  <c r="F44" i="172" s="1"/>
  <c r="F43" i="172" s="1"/>
  <c r="F49" i="172" s="1"/>
  <c r="G20" i="172"/>
  <c r="G15" i="172"/>
  <c r="C48" i="172"/>
  <c r="C44" i="172" s="1"/>
  <c r="C43" i="172" s="1"/>
  <c r="C49" i="172" s="1"/>
  <c r="E59" i="170"/>
  <c r="D46" i="170"/>
  <c r="D27" i="170" s="1"/>
  <c r="E27" i="170" l="1"/>
  <c r="D58" i="170"/>
  <c r="D57" i="170" s="1"/>
  <c r="E57" i="170" s="1"/>
  <c r="E58" i="170" l="1"/>
  <c r="E89" i="170" l="1"/>
  <c r="E77" i="170"/>
</calcChain>
</file>

<file path=xl/sharedStrings.xml><?xml version="1.0" encoding="utf-8"?>
<sst xmlns="http://schemas.openxmlformats.org/spreadsheetml/2006/main" count="3600" uniqueCount="1403">
  <si>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</si>
  <si>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</si>
  <si>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</si>
  <si>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</si>
  <si>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</si>
  <si>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</si>
  <si>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</si>
  <si>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</si>
  <si>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</si>
  <si>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</si>
  <si>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</si>
  <si>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</si>
  <si>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</si>
  <si>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</si>
  <si>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</si>
  <si>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</si>
  <si>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</si>
  <si>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</si>
  <si>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</si>
  <si>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</si>
  <si>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</si>
  <si>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</si>
  <si>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</si>
  <si>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</si>
  <si>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</si>
  <si>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</si>
  <si>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</si>
  <si>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</si>
  <si>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</si>
  <si>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</si>
  <si>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</si>
  <si>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</si>
  <si>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</si>
  <si>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</si>
  <si>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</si>
  <si>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</si>
  <si>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</si>
  <si>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</si>
  <si>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</si>
  <si>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</si>
  <si>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</si>
  <si>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</si>
  <si>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</si>
  <si>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</si>
  <si>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</si>
  <si>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</si>
  <si>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</si>
  <si>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</si>
  <si>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</si>
  <si>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</si>
  <si>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</si>
  <si>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</si>
  <si>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</si>
  <si>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</si>
  <si>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</si>
  <si>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</si>
  <si>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</si>
  <si>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</si>
  <si>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</si>
  <si>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</si>
  <si>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</si>
  <si>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</si>
  <si>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</si>
  <si>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</si>
  <si>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</si>
  <si>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</si>
  <si>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</si>
  <si>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</si>
  <si>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</si>
  <si>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</si>
  <si>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</si>
  <si>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</si>
  <si>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</si>
  <si>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</si>
  <si>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</si>
  <si>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</si>
  <si>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</si>
  <si>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</si>
  <si>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</si>
  <si>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</si>
  <si>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</si>
  <si>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</si>
  <si>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</si>
  <si>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</si>
  <si>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</si>
  <si>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</si>
  <si>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</si>
  <si>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</si>
  <si>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</si>
  <si>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</si>
  <si>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</si>
  <si>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</si>
  <si>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</si>
  <si>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</si>
  <si>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</si>
  <si>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</si>
  <si>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</si>
  <si>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</si>
  <si>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</si>
  <si>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</si>
  <si>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</si>
  <si>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</si>
  <si>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</si>
  <si>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</si>
  <si>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</si>
  <si>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</si>
  <si>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</si>
  <si>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</si>
  <si>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</si>
  <si>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</si>
  <si>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</si>
  <si>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</si>
  <si>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</si>
  <si>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</si>
  <si>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</si>
  <si>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</si>
  <si>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</si>
  <si>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</si>
  <si>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</si>
  <si>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</si>
  <si>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</si>
  <si>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</si>
  <si>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</si>
  <si>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</si>
  <si>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</si>
  <si>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</si>
  <si>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</si>
  <si>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</si>
  <si>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</si>
  <si>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</si>
  <si>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</si>
  <si>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</si>
  <si>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</si>
  <si>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</si>
  <si>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</si>
  <si>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</si>
  <si>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</si>
  <si>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</si>
  <si>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</si>
  <si>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</si>
  <si>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</si>
  <si>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</si>
  <si>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</si>
  <si>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</si>
  <si>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</si>
  <si>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</si>
  <si>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</si>
  <si>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</si>
  <si>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</si>
  <si>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</si>
  <si>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</si>
  <si>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</si>
  <si>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</si>
  <si>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</si>
  <si>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</si>
  <si>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</si>
  <si>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</si>
  <si>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</si>
  <si>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</si>
  <si>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</si>
  <si>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</si>
  <si>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</si>
  <si>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</si>
  <si>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</si>
  <si>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</si>
  <si>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</si>
  <si>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</si>
  <si>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</si>
  <si>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</si>
  <si>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</si>
  <si>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</si>
  <si>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</si>
  <si>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</si>
  <si>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</si>
  <si>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</si>
  <si>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</si>
  <si>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</si>
  <si>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</si>
  <si>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</si>
  <si>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</si>
  <si>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</si>
  <si>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</si>
  <si>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</si>
  <si>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</si>
  <si>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</si>
  <si>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</si>
  <si>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</si>
  <si>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</si>
  <si>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</si>
  <si>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</si>
  <si>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</si>
  <si>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</si>
  <si>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</si>
  <si>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</si>
  <si>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</si>
  <si>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</si>
  <si>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</si>
  <si>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</si>
  <si>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</si>
  <si>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</si>
  <si>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</si>
  <si>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</si>
  <si>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</si>
  <si>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</si>
  <si>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</si>
  <si>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</si>
  <si>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</si>
  <si>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</si>
  <si>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</si>
  <si>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</si>
  <si>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</si>
  <si>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</si>
  <si>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</si>
  <si>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</si>
  <si>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</si>
  <si>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</si>
  <si>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</si>
  <si>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</si>
  <si>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</si>
  <si>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</si>
  <si>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</si>
  <si>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</si>
  <si>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</si>
  <si>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</si>
  <si>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</si>
  <si>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</si>
  <si>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</si>
  <si>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</si>
  <si>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</si>
  <si>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</si>
  <si>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</si>
  <si>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</si>
  <si>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</si>
  <si>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</si>
  <si>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</si>
  <si>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</si>
  <si>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</si>
  <si>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</si>
  <si>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</si>
  <si>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</si>
  <si>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</si>
  <si>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</si>
  <si>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</si>
  <si>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</si>
  <si>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</si>
  <si>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</si>
  <si>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</si>
  <si>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</si>
  <si>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</si>
  <si>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</si>
  <si>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</si>
  <si>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</si>
  <si>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</si>
  <si>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</si>
  <si>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</si>
  <si>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</si>
  <si>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</si>
  <si>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</si>
  <si>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</si>
  <si>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</si>
  <si>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</si>
  <si>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</si>
  <si>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</si>
  <si>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</si>
  <si>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</si>
  <si>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</si>
  <si>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</si>
  <si>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</si>
  <si>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</si>
  <si>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</si>
  <si>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</si>
  <si>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</si>
  <si>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</si>
  <si>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</si>
  <si>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</si>
  <si>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</si>
  <si>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</si>
  <si>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</si>
  <si>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</si>
  <si>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</si>
  <si>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</si>
  <si>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</si>
  <si>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</si>
  <si>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</si>
  <si>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</si>
  <si>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</si>
  <si>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</si>
  <si>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</si>
  <si>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</si>
  <si>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</si>
  <si>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</si>
  <si>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</si>
  <si>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</si>
  <si>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</si>
  <si>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</si>
  <si>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</si>
  <si>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</si>
  <si>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</si>
  <si>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</si>
  <si>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</si>
  <si>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</si>
  <si>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</si>
  <si>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</si>
  <si>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</si>
  <si>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</si>
  <si>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</si>
  <si>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</si>
  <si>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</si>
  <si>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</si>
  <si>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</si>
  <si>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</si>
  <si>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</si>
  <si>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</si>
  <si>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</si>
  <si>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</si>
  <si>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</si>
  <si>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</si>
  <si>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</si>
  <si>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</si>
  <si>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</si>
  <si>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</si>
  <si>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</si>
  <si>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</si>
  <si>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</si>
  <si>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</si>
  <si>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</si>
  <si>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</si>
  <si>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</si>
  <si>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</si>
  <si>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</si>
  <si>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</si>
  <si>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</si>
  <si>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</si>
  <si>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</si>
  <si>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</si>
  <si>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</si>
  <si>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</si>
  <si>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</si>
  <si>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</si>
  <si>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</si>
  <si>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</si>
  <si>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</si>
  <si>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</si>
  <si>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</si>
  <si>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</si>
  <si>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</si>
  <si>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</si>
  <si>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</si>
  <si>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</si>
  <si>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</si>
  <si>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</si>
  <si>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</si>
  <si>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</si>
  <si>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</si>
  <si>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</si>
  <si>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</si>
  <si>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</si>
  <si>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</si>
  <si>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</si>
  <si>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</si>
  <si>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</si>
  <si>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</si>
  <si>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</si>
  <si>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</si>
  <si>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</si>
  <si>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</si>
  <si>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</si>
  <si>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</si>
  <si>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</si>
  <si>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</si>
  <si>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</si>
  <si>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</si>
  <si>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</si>
  <si>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</si>
  <si>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</si>
  <si>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</si>
  <si>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</si>
  <si>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</si>
  <si>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</si>
  <si>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</si>
  <si>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</si>
  <si>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</si>
  <si>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</si>
  <si>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</si>
  <si>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</si>
  <si>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</si>
  <si>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</si>
  <si>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</si>
  <si>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</si>
  <si>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</si>
  <si>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</si>
  <si>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</si>
  <si>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</si>
  <si>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</si>
  <si>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</si>
  <si>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</si>
  <si>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</si>
  <si>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</si>
  <si>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</si>
  <si>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</si>
  <si>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</si>
  <si>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</si>
  <si>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</si>
  <si>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</si>
  <si>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</si>
  <si>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</si>
  <si>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</si>
  <si>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</si>
  <si>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</si>
  <si>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</si>
  <si>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</si>
  <si>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</si>
  <si>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</si>
  <si>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</si>
  <si>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</si>
  <si>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</si>
  <si>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</si>
  <si>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</si>
  <si>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</si>
  <si>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</si>
  <si>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</si>
  <si>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</si>
  <si>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</si>
  <si>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</si>
  <si>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</si>
  <si>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</si>
  <si>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</si>
  <si>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</si>
  <si>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</si>
  <si>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</si>
  <si>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</si>
  <si>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</si>
  <si>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</si>
  <si>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</si>
  <si>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</si>
  <si>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</si>
  <si>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</si>
  <si>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</si>
  <si>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</si>
  <si>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</si>
  <si>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</si>
  <si>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</si>
  <si>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</si>
  <si>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</si>
  <si>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</si>
  <si>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</si>
  <si>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</si>
  <si>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</si>
  <si>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</si>
  <si>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</si>
  <si>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</si>
  <si>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</si>
  <si>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</si>
  <si>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</si>
  <si>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</si>
  <si>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</si>
  <si>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</si>
  <si>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</si>
  <si>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</si>
  <si>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</si>
  <si>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</si>
  <si>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</si>
  <si>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</si>
  <si>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</si>
  <si>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</si>
  <si>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</si>
  <si>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</si>
  <si>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</si>
  <si>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</si>
  <si>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</si>
  <si>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</si>
  <si>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</si>
  <si>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</si>
  <si>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</si>
  <si>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</si>
  <si>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</si>
  <si>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</si>
  <si>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</si>
  <si>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</si>
  <si>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</si>
  <si>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</si>
  <si>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</si>
  <si>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</si>
  <si>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</si>
  <si>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</si>
  <si>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</si>
  <si>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</si>
  <si>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</si>
  <si>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</si>
  <si>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</si>
  <si>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</si>
  <si>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</si>
  <si>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</si>
  <si>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</si>
  <si>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</si>
  <si>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</si>
  <si>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</si>
  <si>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</si>
  <si>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</si>
  <si>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</si>
  <si>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</si>
  <si>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</si>
  <si>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</si>
  <si>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</si>
  <si>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</si>
  <si>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</si>
  <si>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</si>
  <si>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</si>
  <si>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</si>
  <si>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</si>
  <si>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</si>
  <si>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</si>
  <si>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</si>
  <si>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</si>
  <si>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</si>
  <si>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</si>
  <si>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</si>
  <si>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</si>
  <si>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</si>
  <si>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</si>
  <si>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</si>
  <si>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</si>
  <si>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</si>
  <si>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</si>
  <si>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</si>
  <si>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</si>
  <si>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</si>
  <si>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</si>
  <si>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</si>
  <si>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</si>
  <si>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</si>
  <si>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</si>
  <si>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</si>
  <si>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</si>
  <si>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</si>
  <si>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</si>
  <si>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</si>
  <si>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</si>
  <si>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</si>
  <si>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</si>
  <si>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</si>
  <si>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</si>
  <si>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</si>
  <si>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</si>
  <si>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</si>
  <si>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</si>
  <si>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</si>
  <si>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</si>
  <si>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</si>
  <si>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</si>
  <si>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</si>
  <si>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</si>
  <si>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</si>
  <si>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</si>
  <si>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</si>
  <si>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</si>
  <si>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</si>
  <si>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</si>
  <si>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</si>
  <si>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</si>
  <si>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</si>
  <si>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</si>
  <si>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</si>
  <si>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</si>
  <si>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</si>
  <si>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</si>
  <si>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</si>
  <si>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</si>
  <si>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</si>
  <si>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</si>
  <si>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</si>
  <si>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</si>
  <si>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</si>
  <si>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</si>
  <si>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</si>
  <si>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</si>
  <si>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</si>
  <si>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</si>
  <si>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</si>
  <si>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</si>
  <si>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</si>
  <si>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</si>
  <si>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</si>
  <si>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</si>
  <si>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</si>
  <si>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</si>
  <si>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</si>
  <si>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</si>
  <si>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</si>
  <si>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</si>
  <si>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</si>
  <si>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</si>
  <si>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</si>
  <si>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</si>
  <si>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</si>
  <si>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</si>
  <si>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</si>
  <si>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</si>
  <si>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</si>
  <si>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</si>
  <si>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</si>
  <si>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</si>
  <si>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</si>
  <si>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</si>
  <si>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</si>
  <si>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</si>
  <si>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</si>
  <si>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</si>
  <si>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</si>
  <si>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</si>
  <si>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</si>
  <si>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</si>
  <si>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</si>
  <si>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</si>
  <si>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</si>
  <si>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</si>
  <si>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</si>
  <si>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</si>
  <si>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</si>
  <si>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</si>
  <si>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</si>
  <si>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</si>
  <si>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</si>
  <si>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</si>
  <si>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</si>
  <si>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</si>
  <si>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</si>
  <si>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</si>
  <si>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</si>
  <si>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</si>
  <si>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</si>
  <si>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</si>
  <si>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</si>
  <si>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</si>
  <si>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</si>
  <si>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</si>
  <si>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</si>
  <si>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</si>
  <si>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</si>
  <si>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</si>
  <si>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</si>
  <si>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</si>
  <si>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</si>
  <si>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</si>
  <si>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</si>
  <si>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</si>
  <si>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</si>
  <si>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</si>
  <si>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</si>
  <si>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</si>
  <si>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</si>
  <si>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</si>
  <si>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</si>
  <si>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</si>
  <si>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</si>
  <si>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</si>
  <si>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</si>
  <si>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</si>
  <si>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</si>
  <si>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</si>
  <si>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</si>
  <si>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</si>
  <si>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</si>
  <si>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</si>
  <si>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</si>
  <si>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</si>
  <si>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</si>
  <si>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</si>
  <si>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</si>
  <si>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</si>
  <si>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</si>
  <si>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</si>
  <si>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</si>
  <si>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</si>
  <si>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</si>
  <si>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</si>
  <si>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</si>
  <si>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</si>
  <si>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</si>
  <si>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</si>
  <si>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</si>
  <si>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</si>
  <si>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</si>
  <si>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</si>
  <si>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</si>
  <si>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</si>
  <si>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</si>
  <si>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</si>
  <si>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</si>
  <si>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</si>
  <si>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</si>
  <si>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</si>
  <si>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</si>
  <si>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</si>
  <si>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</si>
  <si>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</si>
  <si>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</si>
  <si>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</si>
  <si>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</si>
  <si>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</si>
  <si>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</si>
  <si>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</si>
  <si>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</si>
  <si>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</si>
  <si>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</si>
  <si>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</si>
  <si>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</si>
  <si>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</si>
  <si>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</si>
  <si>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</si>
  <si>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</si>
  <si>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</si>
  <si>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</si>
  <si>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</si>
  <si>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</si>
  <si>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</si>
  <si>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</si>
  <si>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</si>
  <si>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</si>
  <si>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</si>
  <si>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</si>
  <si>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</si>
  <si>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</si>
  <si>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</si>
  <si>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</si>
  <si>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</si>
  <si>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</si>
  <si>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</si>
  <si>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</si>
  <si>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</si>
  <si>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</si>
  <si>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</si>
  <si>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</si>
  <si>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</si>
  <si>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</si>
  <si>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</si>
  <si>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</si>
  <si>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</si>
  <si>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</si>
  <si>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</si>
  <si>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</si>
  <si>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</si>
  <si>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</si>
  <si>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</si>
  <si>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</si>
  <si>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</si>
  <si>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</si>
  <si>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</si>
  <si>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</si>
  <si>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</si>
  <si>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</si>
  <si>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</si>
  <si>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</si>
  <si>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</si>
  <si>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</si>
  <si>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</si>
  <si>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</si>
  <si>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</si>
  <si>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</si>
  <si>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</si>
  <si>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</si>
  <si>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</si>
  <si>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</si>
  <si>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</si>
  <si>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</si>
  <si>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</si>
  <si>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</si>
  <si>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</si>
  <si>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</si>
  <si>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</si>
  <si>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</si>
  <si>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</si>
  <si>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</si>
  <si>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</si>
  <si>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</si>
  <si>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</si>
  <si>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</si>
  <si>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</si>
  <si>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</si>
  <si>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</si>
  <si>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</si>
  <si>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</si>
  <si>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</si>
  <si>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</si>
  <si>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</si>
  <si>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</si>
  <si>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</si>
  <si>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</si>
  <si>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</si>
  <si>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</si>
  <si>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</si>
  <si>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</si>
  <si>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</si>
  <si>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</si>
  <si>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</si>
  <si>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</si>
  <si>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</si>
  <si>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</si>
  <si>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</si>
  <si>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</si>
  <si>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</si>
  <si>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</si>
  <si>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</si>
  <si>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</si>
  <si>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</si>
  <si>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</si>
  <si>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</si>
  <si>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</si>
  <si>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</si>
  <si>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</si>
  <si>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</si>
  <si>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</si>
  <si>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</si>
  <si>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</si>
  <si>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</si>
  <si>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</si>
  <si>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</si>
  <si>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</si>
  <si>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</si>
  <si>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</si>
  <si>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</si>
  <si>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</si>
  <si>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</si>
  <si>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</si>
  <si>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</si>
  <si>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</si>
  <si>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</si>
  <si>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</si>
  <si>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</si>
  <si>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</si>
  <si>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</si>
  <si>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</si>
  <si>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</si>
  <si>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</si>
  <si>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</si>
  <si>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</si>
  <si>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</si>
  <si>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</si>
  <si>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</si>
  <si>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</si>
  <si>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</si>
  <si>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</si>
  <si>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</si>
  <si>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</si>
  <si>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</si>
  <si>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</si>
  <si>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</si>
  <si>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</si>
  <si>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</si>
  <si>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</si>
  <si>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</si>
  <si>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</si>
  <si>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</si>
  <si>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</si>
  <si>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</si>
  <si>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</si>
  <si>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</si>
  <si>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</si>
  <si>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</si>
  <si>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</si>
  <si>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</si>
  <si>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</si>
  <si>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</si>
  <si>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</si>
  <si>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</si>
  <si>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</si>
  <si>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</si>
  <si>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</si>
  <si>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</si>
  <si>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</si>
  <si>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</si>
  <si>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</si>
  <si>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</si>
  <si>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</si>
  <si>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</si>
  <si>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</si>
  <si>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</si>
  <si>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</si>
  <si>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</si>
  <si>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</si>
  <si>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</si>
  <si>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</si>
  <si>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</si>
  <si>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</si>
  <si>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</si>
  <si>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</si>
  <si>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</si>
  <si>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</si>
  <si>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</si>
  <si>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</si>
  <si>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</si>
  <si>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</si>
  <si>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</si>
  <si>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</si>
  <si>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</si>
  <si>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</si>
  <si>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</si>
  <si>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</si>
  <si>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</si>
  <si>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</si>
  <si>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</si>
  <si>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</si>
  <si>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</si>
  <si>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</si>
  <si>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</si>
  <si>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</si>
  <si>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</si>
  <si>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</si>
  <si>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</si>
  <si>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</si>
  <si>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</si>
  <si>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</si>
  <si>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</si>
  <si>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</si>
  <si>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</si>
  <si>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</si>
  <si>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</si>
  <si>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</si>
  <si>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</si>
  <si>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</si>
  <si>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</si>
  <si>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</si>
  <si>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</si>
  <si>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</si>
  <si>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</si>
  <si>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</si>
  <si>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</si>
  <si>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</si>
  <si>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</si>
  <si>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</si>
  <si>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</si>
  <si>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</si>
  <si>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</si>
  <si>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</si>
  <si>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</si>
  <si>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</si>
  <si>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</si>
  <si>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</si>
  <si>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</si>
  <si>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</si>
  <si>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</si>
  <si>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</si>
  <si>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</si>
  <si>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</si>
  <si>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</si>
  <si>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</si>
  <si>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</si>
  <si>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</si>
  <si>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</si>
  <si>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</si>
  <si>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</si>
  <si>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</si>
  <si>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</si>
  <si>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</si>
  <si>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</si>
  <si>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</si>
  <si>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</si>
  <si>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</si>
  <si>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</si>
  <si>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</si>
  <si>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</si>
  <si>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</si>
  <si>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</si>
  <si>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</si>
  <si>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</si>
  <si>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</si>
  <si>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</si>
  <si>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</si>
  <si>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</si>
  <si>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</si>
  <si>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</si>
  <si>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</si>
  <si>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</si>
  <si>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</si>
  <si>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</si>
  <si>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</si>
  <si>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</si>
  <si>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</si>
  <si>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</si>
  <si>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</si>
  <si>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</si>
  <si>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</si>
  <si>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</si>
  <si>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</si>
  <si>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</si>
  <si>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</si>
  <si>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</si>
  <si>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</si>
  <si>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</si>
  <si>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</si>
  <si>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</si>
  <si>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</si>
  <si>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</si>
  <si>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</si>
  <si>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</si>
  <si>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</si>
  <si>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</si>
  <si>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</si>
  <si>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</si>
  <si>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</si>
  <si>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</si>
  <si>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</si>
  <si>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</si>
  <si>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</si>
  <si>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</si>
  <si>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</si>
  <si>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</si>
  <si>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</si>
  <si>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</si>
  <si>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</si>
  <si>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</si>
  <si>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</si>
  <si>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</si>
  <si>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</si>
  <si>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</si>
  <si>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</si>
  <si>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</si>
  <si>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</si>
  <si>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</si>
  <si>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</si>
  <si>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</si>
  <si>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</si>
  <si>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</si>
  <si>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</si>
  <si>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</si>
  <si>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</si>
  <si>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</si>
  <si>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</si>
  <si>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</si>
  <si>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</si>
  <si>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</si>
  <si>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</si>
  <si>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</si>
  <si>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</si>
  <si>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</si>
  <si>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</si>
  <si>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</si>
  <si>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</si>
  <si>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</si>
  <si>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</si>
  <si>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</si>
  <si>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</si>
  <si>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</si>
  <si>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</si>
  <si>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</si>
  <si>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</si>
  <si>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</si>
  <si>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</si>
  <si>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</si>
  <si>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</si>
  <si>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</si>
  <si>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</si>
  <si>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</si>
  <si>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</si>
  <si>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</si>
  <si>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</si>
  <si>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</si>
  <si>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</si>
  <si>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</si>
  <si>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</si>
  <si>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</si>
  <si>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</si>
  <si>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</si>
  <si>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</si>
  <si>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</si>
  <si>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</si>
  <si>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</si>
  <si>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</si>
  <si>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</si>
  <si>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</si>
  <si>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</si>
  <si>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</si>
  <si>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</si>
  <si>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</si>
  <si>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</si>
  <si>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</si>
  <si>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</si>
  <si>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</si>
  <si>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</si>
  <si>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</si>
  <si>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</si>
  <si>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</si>
  <si>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</si>
  <si>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</si>
  <si>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</si>
  <si>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</si>
  <si>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</si>
  <si>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</si>
  <si>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</si>
  <si>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</si>
  <si>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</si>
  <si>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</si>
  <si>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</si>
  <si>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</si>
  <si>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</si>
  <si>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</si>
  <si>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</si>
  <si>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</si>
  <si>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</si>
  <si>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</si>
  <si>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</si>
  <si>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</si>
  <si>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</si>
  <si>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</si>
  <si>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</si>
  <si>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</si>
  <si>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</si>
  <si>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</si>
  <si>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</si>
  <si>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</si>
  <si>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</si>
  <si>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</si>
  <si>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</si>
  <si>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</si>
  <si>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</si>
  <si>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</si>
  <si>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</si>
  <si>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</si>
  <si>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</si>
  <si>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</si>
  <si>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</si>
  <si>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</si>
  <si>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</si>
  <si>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</si>
  <si>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</si>
  <si>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</si>
  <si>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</si>
  <si>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</si>
  <si>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</si>
  <si>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</si>
  <si>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</si>
  <si>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</si>
  <si>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</si>
  <si>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</si>
  <si>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</si>
  <si>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</si>
  <si>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</si>
  <si>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</si>
  <si>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</si>
  <si>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</si>
  <si>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</si>
  <si>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</si>
  <si>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</si>
  <si>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</si>
  <si>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</si>
  <si>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</si>
  <si>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</si>
  <si>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</si>
  <si>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</si>
  <si>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</si>
  <si>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</si>
  <si>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</si>
  <si>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</si>
  <si>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</si>
  <si>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</si>
  <si>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</si>
  <si>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</si>
  <si>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</si>
  <si>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</si>
  <si>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</si>
  <si>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</si>
  <si>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</si>
  <si>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</si>
  <si>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</si>
  <si>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</si>
  <si>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</si>
  <si>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</si>
  <si>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</si>
  <si>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</si>
  <si>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</si>
  <si>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</si>
  <si>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</si>
  <si>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</si>
  <si>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</si>
  <si>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</si>
  <si>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</si>
  <si>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</si>
  <si>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</si>
  <si>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</si>
  <si>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</si>
  <si>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</si>
  <si>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</si>
  <si>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</si>
  <si>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</si>
  <si>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</si>
  <si>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</si>
  <si>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</si>
  <si>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</si>
  <si>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</si>
  <si>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</si>
  <si>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</si>
  <si>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</si>
  <si>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</si>
  <si>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</si>
  <si>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</si>
  <si>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</si>
  <si>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</si>
  <si>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</si>
  <si>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</si>
  <si>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</si>
  <si>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</si>
  <si>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</si>
  <si>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</si>
  <si>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</si>
  <si>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</si>
  <si>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</si>
  <si>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</si>
  <si>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</si>
  <si>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</si>
  <si>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</si>
  <si>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</si>
  <si>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</si>
  <si>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</si>
  <si>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</si>
  <si>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</si>
  <si>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</si>
  <si>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</si>
  <si>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</si>
  <si>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</si>
  <si>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</si>
  <si>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</si>
  <si>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</si>
  <si>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</si>
  <si>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</si>
  <si>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</si>
  <si>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</si>
  <si>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</si>
  <si>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</si>
  <si>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</si>
  <si>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</si>
  <si>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</si>
  <si>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</si>
  <si>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</si>
  <si>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</si>
  <si>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</si>
  <si>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</si>
  <si>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</si>
  <si>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</si>
  <si>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</si>
  <si>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</si>
  <si>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</si>
  <si>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</si>
  <si>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</si>
  <si>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</si>
  <si>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</si>
  <si>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</si>
  <si>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</si>
  <si>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</si>
  <si>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</si>
  <si>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</si>
  <si>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</si>
  <si>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</si>
  <si>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</si>
  <si>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вулиці Мельникова (від вул. Зарічанської до вул. Трудової) в м. Хмельницькому (коригування)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</si>
  <si>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</si>
  <si>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</si>
  <si>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</si>
  <si>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</si>
  <si>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</si>
  <si>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</si>
  <si>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</si>
  <si>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</si>
  <si>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</si>
  <si>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</si>
  <si>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</si>
  <si>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</si>
  <si>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</si>
  <si>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</si>
  <si>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</si>
  <si>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</si>
  <si>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</si>
  <si>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</si>
  <si>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</si>
  <si>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</si>
  <si>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</si>
  <si>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</si>
  <si>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</si>
  <si>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</si>
  <si>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</si>
  <si>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</si>
  <si>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</si>
  <si>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</si>
  <si>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</si>
  <si>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</si>
  <si>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</si>
  <si>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</si>
  <si>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</si>
  <si>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</si>
  <si>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</si>
  <si>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</si>
  <si>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</si>
  <si>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</si>
  <si>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</si>
  <si>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</si>
  <si>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</si>
  <si>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</si>
  <si>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</si>
  <si>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</si>
  <si>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</si>
  <si>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</si>
  <si>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</si>
  <si>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</si>
  <si>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</si>
  <si>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</si>
  <si>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</si>
  <si>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</si>
  <si>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</si>
  <si>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</si>
  <si>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</si>
  <si>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</si>
  <si>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</si>
  <si>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</si>
  <si>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</si>
  <si>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</si>
  <si>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</si>
  <si>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</si>
  <si>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</si>
  <si>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</si>
  <si>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</si>
  <si>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</si>
  <si>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</si>
  <si>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</si>
  <si>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</si>
  <si>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</si>
  <si>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</si>
  <si>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</si>
  <si>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</si>
  <si>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</si>
  <si>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</si>
  <si>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Програма соціальної підтримки учасників АТО/ООС, учасників Революції Гідності та членів їх сімей на 2021 - 2025 роки (із змінами)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</si>
  <si>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</si>
  <si>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</si>
  <si>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</si>
  <si>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</si>
  <si>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</si>
  <si>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</si>
  <si>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</si>
  <si>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</si>
  <si>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</si>
  <si>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</si>
  <si>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</si>
  <si>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</si>
  <si>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</si>
  <si>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</si>
  <si>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</si>
  <si>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</si>
  <si>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міста Хмельницького», Положенням «Про почесну відзнаку міської громади «Мужність і відвага»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</si>
  <si>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</si>
  <si>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</si>
  <si>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</si>
  <si>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</si>
  <si>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</si>
  <si>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</si>
  <si>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</si>
  <si>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</si>
  <si>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</si>
  <si>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</si>
  <si>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</si>
  <si>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</si>
  <si>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</si>
  <si>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</si>
  <si>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</si>
  <si>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</si>
  <si>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</si>
  <si>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</si>
  <si>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</si>
  <si>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</si>
  <si>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</si>
  <si>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</si>
  <si>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</si>
  <si>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</si>
  <si>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</si>
  <si>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</si>
  <si>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</si>
  <si>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</si>
  <si>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</si>
  <si>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</si>
  <si>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</si>
  <si>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</si>
  <si>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</si>
  <si>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примислових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</si>
  <si>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</si>
  <si>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</si>
  <si>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</si>
  <si>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</si>
  <si>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</si>
  <si>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</si>
  <si>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</si>
  <si>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</si>
  <si>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Програма національно-патріотичного виховання мешканців Хмельницької міської територіальної громади на 2021-2022 роки (із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</si>
  <si>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</si>
  <si>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</si>
  <si>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</si>
  <si>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</si>
  <si>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</si>
  <si>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</si>
  <si>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</si>
  <si>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</si>
  <si>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Заступник начальника фінансового управління - начальник відділу доходів</t>
  </si>
  <si>
    <t>П. МОТ</t>
  </si>
  <si>
    <t xml:space="preserve">П. МОТ </t>
  </si>
  <si>
    <t>Заступник начальника фінансового</t>
  </si>
  <si>
    <t>управління - начальник відділу доходів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</si>
</sst>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19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2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90">
        <stop position="0">
          <color rgb="FFCCFF99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082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7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8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6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6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6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58" fillId="28" borderId="17" xfId="0" applyNumberFormat="1" applyFont="1" applyFill="1" applyBorder="1" applyAlignment="1">
      <alignment horizontal="center" vertical="center" wrapText="1"/>
    </xf>
    <xf numFmtId="4" fontId="158" fillId="28" borderId="24" xfId="0" applyNumberFormat="1" applyFont="1" applyFill="1" applyBorder="1" applyAlignment="1">
      <alignment horizontal="center" vertical="center" wrapText="1"/>
    </xf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2" fontId="40" fillId="33" borderId="17" xfId="0" applyNumberFormat="1" applyFont="1" applyFill="1" applyBorder="1" applyAlignment="1">
      <alignment horizontal="center" vertical="center"/>
    </xf>
    <xf numFmtId="4" fontId="42" fillId="33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6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6" fontId="41" fillId="0" borderId="17" xfId="30" applyNumberFormat="1" applyFont="1" applyFill="1" applyBorder="1" applyAlignment="1">
      <alignment horizontal="center" vertical="center" wrapText="1"/>
    </xf>
    <xf numFmtId="166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6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1" borderId="17" xfId="0" applyNumberFormat="1" applyFont="1" applyFill="1" applyBorder="1" applyAlignment="1">
      <alignment horizontal="center" vertical="center" wrapText="1"/>
    </xf>
    <xf numFmtId="0" fontId="47" fillId="31" borderId="17" xfId="38" applyFont="1" applyFill="1" applyBorder="1" applyAlignment="1" applyProtection="1">
      <alignment horizontal="center" vertical="center" wrapText="1"/>
      <protection locked="0"/>
    </xf>
    <xf numFmtId="49" fontId="35" fillId="32" borderId="17" xfId="0" applyNumberFormat="1" applyFont="1" applyFill="1" applyBorder="1" applyAlignment="1">
      <alignment horizontal="center" vertical="center" wrapText="1"/>
    </xf>
    <xf numFmtId="0" fontId="35" fillId="32" borderId="17" xfId="38" applyFont="1" applyFill="1" applyBorder="1" applyAlignment="1" applyProtection="1">
      <alignment horizontal="center" vertical="center" wrapText="1"/>
      <protection locked="0"/>
    </xf>
    <xf numFmtId="4" fontId="47" fillId="31" borderId="17" xfId="0" applyNumberFormat="1" applyFont="1" applyFill="1" applyBorder="1" applyAlignment="1">
      <alignment horizontal="center" vertical="center" wrapText="1"/>
    </xf>
    <xf numFmtId="4" fontId="35" fillId="32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6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2" fontId="16" fillId="33" borderId="17" xfId="0" applyNumberFormat="1" applyFont="1" applyFill="1" applyBorder="1" applyAlignment="1">
      <alignment horizontal="center" vertical="center"/>
    </xf>
    <xf numFmtId="4" fontId="16" fillId="33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1" borderId="17" xfId="0" applyNumberFormat="1" applyFont="1" applyFill="1" applyBorder="1" applyAlignment="1">
      <alignment horizontal="center" vertical="center" wrapText="1"/>
    </xf>
    <xf numFmtId="9" fontId="35" fillId="32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6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4" borderId="26" xfId="0" applyFont="1" applyFill="1" applyBorder="1" applyAlignment="1">
      <alignment horizontal="center" vertical="center" wrapText="1"/>
    </xf>
    <xf numFmtId="0" fontId="19" fillId="34" borderId="26" xfId="0" applyFont="1" applyFill="1" applyBorder="1" applyAlignment="1">
      <alignment horizontal="left" vertical="center" wrapText="1"/>
    </xf>
    <xf numFmtId="4" fontId="19" fillId="34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5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3" borderId="17" xfId="0" applyFont="1" applyFill="1" applyBorder="1" applyAlignment="1">
      <alignment horizontal="center" vertical="center"/>
    </xf>
    <xf numFmtId="0" fontId="40" fillId="33" borderId="17" xfId="0" applyFont="1" applyFill="1" applyBorder="1" applyAlignment="1">
      <alignment horizontal="left" vertical="center"/>
    </xf>
    <xf numFmtId="4" fontId="40" fillId="33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6" fontId="191" fillId="29" borderId="0" xfId="0" applyNumberFormat="1" applyFont="1" applyFill="1" applyAlignment="1">
      <alignment horizontal="right" vertical="center" wrapText="1"/>
    </xf>
    <xf numFmtId="166" fontId="192" fillId="29" borderId="0" xfId="0" applyNumberFormat="1" applyFont="1" applyFill="1" applyAlignment="1">
      <alignment horizontal="right" vertical="center" wrapText="1"/>
    </xf>
    <xf numFmtId="166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3" borderId="17" xfId="0" applyNumberFormat="1" applyFont="1" applyFill="1" applyBorder="1" applyAlignment="1">
      <alignment horizontal="center" vertical="center"/>
    </xf>
    <xf numFmtId="4" fontId="35" fillId="33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164" fontId="60" fillId="33" borderId="17" xfId="0" applyNumberFormat="1" applyFont="1" applyFill="1" applyBorder="1" applyAlignment="1">
      <alignment horizontal="center" vertical="center"/>
    </xf>
    <xf numFmtId="164" fontId="60" fillId="33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6" borderId="26" xfId="39" applyFont="1" applyFill="1" applyBorder="1" applyAlignment="1">
      <alignment horizontal="center" vertical="center" wrapText="1"/>
    </xf>
    <xf numFmtId="4" fontId="21" fillId="36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6" fontId="168" fillId="29" borderId="17" xfId="30" applyNumberFormat="1" applyFont="1" applyFill="1" applyBorder="1" applyAlignment="1">
      <alignment horizontal="center" vertical="center" wrapText="1"/>
    </xf>
    <xf numFmtId="166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96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7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110" fillId="37" borderId="17" xfId="0" applyNumberFormat="1" applyFont="1" applyFill="1" applyBorder="1" applyAlignment="1">
      <alignment horizontal="center" vertical="center" wrapText="1"/>
    </xf>
    <xf numFmtId="0" fontId="110" fillId="37" borderId="17" xfId="38" applyFont="1" applyFill="1" applyBorder="1" applyAlignment="1" applyProtection="1">
      <alignment horizontal="center" vertical="center" wrapText="1"/>
      <protection locked="0"/>
    </xf>
    <xf numFmtId="4" fontId="110" fillId="37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37" borderId="17" xfId="0" applyNumberFormat="1" applyFont="1" applyFill="1" applyBorder="1" applyAlignment="1">
      <alignment horizontal="center" vertical="center" wrapText="1"/>
    </xf>
    <xf numFmtId="49" fontId="40" fillId="38" borderId="17" xfId="0" applyNumberFormat="1" applyFont="1" applyFill="1" applyBorder="1" applyAlignment="1">
      <alignment horizontal="center" vertical="center" wrapText="1"/>
    </xf>
    <xf numFmtId="0" fontId="40" fillId="38" borderId="17" xfId="38" applyFont="1" applyFill="1" applyBorder="1" applyAlignment="1" applyProtection="1">
      <alignment horizontal="center" vertical="center" wrapText="1"/>
      <protection locked="0"/>
    </xf>
    <xf numFmtId="4" fontId="40" fillId="38" borderId="17" xfId="38" applyNumberFormat="1" applyFont="1" applyFill="1" applyBorder="1" applyAlignment="1" applyProtection="1">
      <alignment horizontal="center" vertical="center" wrapText="1"/>
      <protection locked="0"/>
    </xf>
    <xf numFmtId="0" fontId="19" fillId="39" borderId="26" xfId="39" applyFont="1" applyFill="1" applyBorder="1" applyAlignment="1">
      <alignment horizontal="center" vertical="center" wrapText="1"/>
    </xf>
    <xf numFmtId="0" fontId="19" fillId="39" borderId="26" xfId="37" applyFont="1" applyFill="1" applyBorder="1" applyAlignment="1">
      <alignment horizontal="center" vertical="center" wrapText="1"/>
    </xf>
    <xf numFmtId="4" fontId="21" fillId="39" borderId="26" xfId="39" applyNumberFormat="1" applyFont="1" applyFill="1" applyBorder="1" applyAlignment="1">
      <alignment horizontal="center" vertical="center" wrapText="1"/>
    </xf>
    <xf numFmtId="4" fontId="19" fillId="39" borderId="26" xfId="39" applyNumberFormat="1" applyFont="1" applyFill="1" applyBorder="1" applyAlignment="1">
      <alignment horizontal="center" vertical="center" wrapText="1"/>
    </xf>
    <xf numFmtId="49" fontId="47" fillId="40" borderId="17" xfId="0" applyNumberFormat="1" applyFont="1" applyFill="1" applyBorder="1" applyAlignment="1">
      <alignment horizontal="center" vertical="center" wrapText="1"/>
    </xf>
    <xf numFmtId="0" fontId="47" fillId="40" borderId="17" xfId="38" applyFont="1" applyFill="1" applyBorder="1" applyAlignment="1" applyProtection="1">
      <alignment horizontal="center" vertical="center" wrapText="1"/>
      <protection locked="0"/>
    </xf>
    <xf numFmtId="4" fontId="47" fillId="40" borderId="17" xfId="0" applyNumberFormat="1" applyFont="1" applyFill="1" applyBorder="1" applyAlignment="1">
      <alignment horizontal="center" vertical="center" wrapText="1"/>
    </xf>
    <xf numFmtId="4" fontId="47" fillId="40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38" borderId="17" xfId="0" applyNumberFormat="1" applyFont="1" applyFill="1" applyBorder="1" applyAlignment="1">
      <alignment horizontal="center" vertical="center" wrapText="1"/>
    </xf>
    <xf numFmtId="0" fontId="35" fillId="38" borderId="17" xfId="38" applyFont="1" applyFill="1" applyBorder="1" applyAlignment="1" applyProtection="1">
      <alignment horizontal="center" vertical="center" wrapText="1"/>
      <protection locked="0"/>
    </xf>
    <xf numFmtId="4" fontId="35" fillId="38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38" borderId="17" xfId="0" applyNumberFormat="1" applyFont="1" applyFill="1" applyBorder="1" applyAlignment="1">
      <alignment horizontal="center" vertical="center" wrapText="1"/>
    </xf>
    <xf numFmtId="49" fontId="41" fillId="38" borderId="21" xfId="0" applyNumberFormat="1" applyFont="1" applyFill="1" applyBorder="1" applyAlignment="1">
      <alignment horizontal="center" vertical="center" wrapText="1"/>
    </xf>
    <xf numFmtId="4" fontId="41" fillId="38" borderId="21" xfId="0" applyNumberFormat="1" applyFont="1" applyFill="1" applyBorder="1" applyAlignment="1">
      <alignment horizontal="center" vertical="center" wrapText="1"/>
    </xf>
    <xf numFmtId="49" fontId="41" fillId="38" borderId="21" xfId="0" applyNumberFormat="1" applyFont="1" applyFill="1" applyBorder="1" applyAlignment="1">
      <alignment horizontal="left" vertical="center" wrapText="1"/>
    </xf>
    <xf numFmtId="49" fontId="47" fillId="37" borderId="17" xfId="0" applyNumberFormat="1" applyFont="1" applyFill="1" applyBorder="1" applyAlignment="1">
      <alignment horizontal="center" vertical="center" wrapText="1"/>
    </xf>
    <xf numFmtId="0" fontId="47" fillId="37" borderId="17" xfId="38" applyFont="1" applyFill="1" applyBorder="1" applyAlignment="1" applyProtection="1">
      <alignment horizontal="center" vertical="center" wrapText="1"/>
      <protection locked="0"/>
    </xf>
    <xf numFmtId="4" fontId="47" fillId="37" borderId="17" xfId="0" applyNumberFormat="1" applyFont="1" applyFill="1" applyBorder="1" applyAlignment="1">
      <alignment horizontal="center" vertical="center" wrapText="1"/>
    </xf>
    <xf numFmtId="9" fontId="47" fillId="37" borderId="17" xfId="0" applyNumberFormat="1" applyFont="1" applyFill="1" applyBorder="1" applyAlignment="1">
      <alignment horizontal="center" vertical="center" wrapText="1"/>
    </xf>
    <xf numFmtId="9" fontId="35" fillId="38" borderId="17" xfId="0" applyNumberFormat="1" applyFont="1" applyFill="1" applyBorder="1" applyAlignment="1">
      <alignment horizontal="center" vertical="center" wrapText="1"/>
    </xf>
    <xf numFmtId="2" fontId="60" fillId="38" borderId="17" xfId="36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02" fillId="0" borderId="0" xfId="0" applyFont="1"/>
    <xf numFmtId="4" fontId="40" fillId="41" borderId="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38" borderId="26" xfId="0" applyFont="1" applyFill="1" applyBorder="1" applyAlignment="1">
      <alignment horizontal="left" vertical="center" wrapText="1"/>
    </xf>
    <xf numFmtId="0" fontId="0" fillId="38" borderId="26" xfId="0" applyFill="1" applyBorder="1" applyAlignment="1">
      <alignment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8" xfId="0" applyNumberFormat="1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139" fillId="29" borderId="18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0" fontId="111" fillId="0" borderId="17" xfId="35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top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49" fontId="40" fillId="38" borderId="21" xfId="0" applyNumberFormat="1" applyFont="1" applyFill="1" applyBorder="1" applyAlignment="1">
      <alignment horizontal="center" vertical="center" wrapText="1"/>
    </xf>
    <xf numFmtId="0" fontId="14" fillId="38" borderId="23" xfId="0" applyFont="1" applyFill="1" applyBorder="1" applyAlignment="1">
      <alignment horizontal="center" vertical="center" wrapText="1"/>
    </xf>
    <xf numFmtId="0" fontId="14" fillId="38" borderId="24" xfId="0" applyFont="1" applyFill="1" applyBorder="1" applyAlignment="1">
      <alignment horizontal="center" vertical="center" wrapText="1"/>
    </xf>
    <xf numFmtId="49" fontId="158" fillId="28" borderId="21" xfId="0" applyNumberFormat="1" applyFont="1" applyFill="1" applyBorder="1" applyAlignment="1">
      <alignment horizontal="left" vertical="center" wrapText="1"/>
    </xf>
    <xf numFmtId="0" fontId="159" fillId="28" borderId="24" xfId="0" applyFont="1" applyFill="1" applyBorder="1" applyAlignment="1">
      <alignment horizontal="left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41" fillId="38" borderId="21" xfId="0" applyNumberFormat="1" applyFont="1" applyFill="1" applyBorder="1" applyAlignment="1">
      <alignment horizontal="left" vertical="center" wrapText="1"/>
    </xf>
    <xf numFmtId="49" fontId="41" fillId="38" borderId="24" xfId="0" applyNumberFormat="1" applyFont="1" applyFill="1" applyBorder="1" applyAlignment="1">
      <alignment horizontal="left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58" fillId="28" borderId="24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2" fontId="62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2" fontId="60" fillId="38" borderId="17" xfId="36" applyNumberFormat="1" applyFont="1" applyFill="1" applyBorder="1" applyAlignment="1">
      <alignment horizontal="center" vertical="center"/>
    </xf>
    <xf numFmtId="0" fontId="0" fillId="38" borderId="17" xfId="0" applyFill="1" applyBorder="1" applyAlignment="1">
      <alignment horizontal="center"/>
    </xf>
    <xf numFmtId="164" fontId="60" fillId="33" borderId="17" xfId="36" applyNumberFormat="1" applyFont="1" applyFill="1" applyBorder="1" applyAlignment="1">
      <alignment horizontal="left" vertical="center" wrapText="1"/>
    </xf>
    <xf numFmtId="164" fontId="0" fillId="33" borderId="17" xfId="0" applyNumberForma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7" xfId="0" applyFill="1" applyBorder="1" applyAlignment="1">
      <alignment horizont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5" fillId="0" borderId="0" xfId="39" applyFont="1" applyAlignment="1">
      <alignment vertical="center" wrapText="1"/>
    </xf>
    <xf numFmtId="0" fontId="15" fillId="0" borderId="0" xfId="39" applyFont="1" applyAlignment="1">
      <alignment vertical="center" wrapText="1"/>
    </xf>
    <xf numFmtId="0" fontId="0" fillId="0" borderId="0" xfId="0" applyAlignment="1"/>
    <xf numFmtId="0" fontId="41" fillId="0" borderId="0" xfId="39" applyFont="1" applyFill="1" applyAlignment="1">
      <alignment wrapText="1"/>
    </xf>
    <xf numFmtId="0" fontId="0" fillId="0" borderId="0" xfId="0" applyAlignment="1">
      <alignment wrapText="1"/>
    </xf>
    <xf numFmtId="0" fontId="41" fillId="0" borderId="0" xfId="39" applyFont="1" applyFill="1" applyAlignment="1">
      <alignment vertical="top" wrapText="1"/>
    </xf>
    <xf numFmtId="0" fontId="0" fillId="0" borderId="0" xfId="0" applyAlignment="1">
      <alignment vertical="top" wrapText="1"/>
    </xf>
    <xf numFmtId="0" fontId="15" fillId="0" borderId="0" xfId="39" applyFont="1" applyAlignment="1">
      <alignment wrapText="1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CCFF99"/>
      <color rgb="FF99FFCC"/>
      <color rgb="FFFFFF99"/>
      <color rgb="FF66FFFF"/>
      <color rgb="FF66FFCC"/>
      <color rgb="FF00FFCC"/>
      <color rgb="FFCCCCFF"/>
      <color rgb="FF66FF99"/>
      <color rgb="FF00CCFF"/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showZeros="0" view="pageBreakPreview" topLeftCell="A118" zoomScaleSheetLayoutView="100" workbookViewId="0">
      <selection activeCell="B143" sqref="B143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881" t="s">
        <v>59</v>
      </c>
      <c r="E1" s="882"/>
      <c r="F1" s="882"/>
      <c r="G1" s="882"/>
    </row>
    <row r="2" spans="1:7" ht="15.75" x14ac:dyDescent="0.2">
      <c r="C2" s="11"/>
      <c r="D2" s="881" t="s">
        <v>1348</v>
      </c>
      <c r="E2" s="883"/>
      <c r="F2" s="883"/>
      <c r="G2" s="883"/>
    </row>
    <row r="3" spans="1:7" ht="6" customHeight="1" x14ac:dyDescent="0.2">
      <c r="A3" s="371"/>
      <c r="B3" s="371"/>
      <c r="C3" s="372"/>
      <c r="D3" s="884"/>
      <c r="E3" s="885"/>
      <c r="F3" s="885"/>
      <c r="G3" s="885"/>
    </row>
    <row r="4" spans="1:7" ht="12.75" customHeight="1" x14ac:dyDescent="0.2">
      <c r="A4" s="874"/>
      <c r="B4" s="874"/>
      <c r="C4" s="874"/>
      <c r="D4" s="874"/>
      <c r="E4" s="874"/>
      <c r="F4" s="371"/>
    </row>
    <row r="5" spans="1:7" ht="20.25" x14ac:dyDescent="0.2">
      <c r="A5" s="874" t="s">
        <v>1215</v>
      </c>
      <c r="B5" s="875"/>
      <c r="C5" s="875"/>
      <c r="D5" s="875"/>
      <c r="E5" s="875"/>
      <c r="F5" s="875"/>
    </row>
    <row r="6" spans="1:7" ht="20.25" x14ac:dyDescent="0.2">
      <c r="A6" s="874" t="s">
        <v>1217</v>
      </c>
      <c r="B6" s="875"/>
      <c r="C6" s="875"/>
      <c r="D6" s="875"/>
      <c r="E6" s="875"/>
      <c r="F6" s="875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876">
        <v>22564000000</v>
      </c>
      <c r="B8" s="877"/>
      <c r="C8" s="877"/>
      <c r="D8" s="877"/>
      <c r="E8" s="877"/>
      <c r="F8" s="877"/>
    </row>
    <row r="9" spans="1:7" ht="15.75" x14ac:dyDescent="0.2">
      <c r="A9" s="878" t="s">
        <v>508</v>
      </c>
      <c r="B9" s="879"/>
      <c r="C9" s="879"/>
      <c r="D9" s="879"/>
      <c r="E9" s="879"/>
      <c r="F9" s="879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880" t="s">
        <v>60</v>
      </c>
      <c r="B12" s="880" t="s">
        <v>1216</v>
      </c>
      <c r="C12" s="880" t="s">
        <v>398</v>
      </c>
      <c r="D12" s="880" t="s">
        <v>12</v>
      </c>
      <c r="E12" s="880" t="s">
        <v>54</v>
      </c>
      <c r="F12" s="880"/>
      <c r="G12" s="378"/>
    </row>
    <row r="13" spans="1:7" ht="39.75" thickTop="1" thickBot="1" x14ac:dyDescent="0.3">
      <c r="A13" s="880"/>
      <c r="B13" s="880"/>
      <c r="C13" s="880"/>
      <c r="D13" s="880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5">
        <v>10000000</v>
      </c>
      <c r="B15" s="705" t="s">
        <v>61</v>
      </c>
      <c r="C15" s="706">
        <f t="shared" ref="C15:C20" si="0">SUM(D15,E15)</f>
        <v>2654996000</v>
      </c>
      <c r="D15" s="706">
        <f>SUM(D16,D29,D37,D58,D24)</f>
        <v>2654296000</v>
      </c>
      <c r="E15" s="706">
        <f>SUM(E16,E29,E37,E58,E24)</f>
        <v>700000</v>
      </c>
      <c r="F15" s="706">
        <f>SUM(F16,F29,F37,F58,F24)</f>
        <v>0</v>
      </c>
      <c r="G15" s="698"/>
    </row>
    <row r="16" spans="1:7" ht="31.7" customHeight="1" thickTop="1" thickBot="1" x14ac:dyDescent="0.25">
      <c r="A16" s="212">
        <v>11000000</v>
      </c>
      <c r="B16" s="212" t="s">
        <v>62</v>
      </c>
      <c r="C16" s="669">
        <f>SUM(D16,E16)</f>
        <v>1864815000</v>
      </c>
      <c r="D16" s="669">
        <f>SUM(D17,D22)</f>
        <v>1864815000</v>
      </c>
      <c r="E16" s="669"/>
      <c r="F16" s="669"/>
      <c r="G16" s="699"/>
    </row>
    <row r="17" spans="1:7" ht="24.75" customHeight="1" thickTop="1" thickBot="1" x14ac:dyDescent="0.25">
      <c r="A17" s="671">
        <v>11010000</v>
      </c>
      <c r="B17" s="672" t="s">
        <v>63</v>
      </c>
      <c r="C17" s="673">
        <f t="shared" si="0"/>
        <v>1863715000</v>
      </c>
      <c r="D17" s="673">
        <f>SUM(D18:D21)</f>
        <v>1863715000</v>
      </c>
      <c r="E17" s="673"/>
      <c r="F17" s="673"/>
      <c r="G17" s="699"/>
    </row>
    <row r="18" spans="1:7" ht="39.75" thickTop="1" thickBot="1" x14ac:dyDescent="0.25">
      <c r="A18" s="667">
        <v>11010100</v>
      </c>
      <c r="B18" s="668" t="s">
        <v>64</v>
      </c>
      <c r="C18" s="669">
        <f t="shared" si="0"/>
        <v>1318895000</v>
      </c>
      <c r="D18" s="670">
        <f>(1534180000-10000000+15000000)-220285000</f>
        <v>1318895000</v>
      </c>
      <c r="E18" s="670"/>
      <c r="F18" s="670"/>
      <c r="G18" s="699"/>
    </row>
    <row r="19" spans="1:7" ht="65.25" thickTop="1" thickBot="1" x14ac:dyDescent="0.25">
      <c r="A19" s="667">
        <v>11010200</v>
      </c>
      <c r="B19" s="668" t="s">
        <v>65</v>
      </c>
      <c r="C19" s="669">
        <f t="shared" si="0"/>
        <v>480500000</v>
      </c>
      <c r="D19" s="670">
        <f>(185500000-5000000)+300000000</f>
        <v>480500000</v>
      </c>
      <c r="E19" s="670"/>
      <c r="F19" s="670"/>
      <c r="G19" s="699"/>
    </row>
    <row r="20" spans="1:7" ht="39.75" thickTop="1" thickBot="1" x14ac:dyDescent="0.25">
      <c r="A20" s="667">
        <v>11010400</v>
      </c>
      <c r="B20" s="668" t="s">
        <v>66</v>
      </c>
      <c r="C20" s="669">
        <f t="shared" si="0"/>
        <v>38200000</v>
      </c>
      <c r="D20" s="670">
        <v>38200000</v>
      </c>
      <c r="E20" s="670"/>
      <c r="F20" s="670"/>
      <c r="G20" s="699"/>
    </row>
    <row r="21" spans="1:7" ht="39.75" thickTop="1" thickBot="1" x14ac:dyDescent="0.3">
      <c r="A21" s="667">
        <v>11010500</v>
      </c>
      <c r="B21" s="668" t="s">
        <v>67</v>
      </c>
      <c r="C21" s="669">
        <f t="shared" ref="C21:C100" si="1">SUM(D21,E21)</f>
        <v>26120000</v>
      </c>
      <c r="D21" s="670">
        <v>26120000</v>
      </c>
      <c r="E21" s="670"/>
      <c r="F21" s="670"/>
      <c r="G21" s="379"/>
    </row>
    <row r="22" spans="1:7" ht="28.5" customHeight="1" thickTop="1" thickBot="1" x14ac:dyDescent="0.25">
      <c r="A22" s="671">
        <v>11020000</v>
      </c>
      <c r="B22" s="672" t="s">
        <v>68</v>
      </c>
      <c r="C22" s="673">
        <f>SUM(D22,E22)</f>
        <v>1100000</v>
      </c>
      <c r="D22" s="674">
        <f>D23</f>
        <v>1100000</v>
      </c>
      <c r="E22" s="674"/>
      <c r="F22" s="674"/>
      <c r="G22" s="698"/>
    </row>
    <row r="23" spans="1:7" ht="27" thickTop="1" thickBot="1" x14ac:dyDescent="0.3">
      <c r="A23" s="667">
        <v>11020200</v>
      </c>
      <c r="B23" s="675" t="s">
        <v>69</v>
      </c>
      <c r="C23" s="669">
        <f>SUM(D23,E23)</f>
        <v>1100000</v>
      </c>
      <c r="D23" s="670">
        <v>1100000</v>
      </c>
      <c r="E23" s="676"/>
      <c r="F23" s="670"/>
      <c r="G23" s="379"/>
    </row>
    <row r="24" spans="1:7" ht="27" thickTop="1" thickBot="1" x14ac:dyDescent="0.3">
      <c r="A24" s="212">
        <v>13000000</v>
      </c>
      <c r="B24" s="682" t="s">
        <v>550</v>
      </c>
      <c r="C24" s="669">
        <f>D24+E24</f>
        <v>1200000</v>
      </c>
      <c r="D24" s="669">
        <f>SUM(D25,D27)</f>
        <v>1200000</v>
      </c>
      <c r="E24" s="676"/>
      <c r="F24" s="670"/>
      <c r="G24" s="379"/>
    </row>
    <row r="25" spans="1:7" ht="28.5" thickTop="1" thickBot="1" x14ac:dyDescent="0.3">
      <c r="A25" s="671">
        <v>13010000</v>
      </c>
      <c r="B25" s="678" t="s">
        <v>551</v>
      </c>
      <c r="C25" s="673">
        <f>D25+E25</f>
        <v>1185000</v>
      </c>
      <c r="D25" s="673">
        <f>SUM(D26)</f>
        <v>1185000</v>
      </c>
      <c r="E25" s="674"/>
      <c r="F25" s="673"/>
      <c r="G25" s="379"/>
    </row>
    <row r="26" spans="1:7" ht="65.25" thickTop="1" thickBot="1" x14ac:dyDescent="0.3">
      <c r="A26" s="667">
        <v>13010200</v>
      </c>
      <c r="B26" s="677" t="s">
        <v>552</v>
      </c>
      <c r="C26" s="669">
        <f t="shared" ref="C26:C29" si="2">D26+E26</f>
        <v>1185000</v>
      </c>
      <c r="D26" s="670">
        <v>1185000</v>
      </c>
      <c r="E26" s="676"/>
      <c r="F26" s="670"/>
      <c r="G26" s="379"/>
    </row>
    <row r="27" spans="1:7" ht="16.5" thickTop="1" thickBot="1" x14ac:dyDescent="0.3">
      <c r="A27" s="671">
        <v>13030000</v>
      </c>
      <c r="B27" s="679" t="s">
        <v>553</v>
      </c>
      <c r="C27" s="673">
        <f>D27+E27</f>
        <v>15000</v>
      </c>
      <c r="D27" s="673">
        <f>SUM(D28)</f>
        <v>15000</v>
      </c>
      <c r="E27" s="674"/>
      <c r="F27" s="673"/>
      <c r="G27" s="379"/>
    </row>
    <row r="28" spans="1:7" ht="39.75" thickTop="1" thickBot="1" x14ac:dyDescent="0.3">
      <c r="A28" s="667">
        <v>13030100</v>
      </c>
      <c r="B28" s="677" t="s">
        <v>554</v>
      </c>
      <c r="C28" s="669">
        <f t="shared" si="2"/>
        <v>15000</v>
      </c>
      <c r="D28" s="670">
        <v>15000</v>
      </c>
      <c r="E28" s="676"/>
      <c r="F28" s="670"/>
      <c r="G28" s="379"/>
    </row>
    <row r="29" spans="1:7" ht="26.45" customHeight="1" thickTop="1" thickBot="1" x14ac:dyDescent="0.3">
      <c r="A29" s="212">
        <v>14000000</v>
      </c>
      <c r="B29" s="682" t="s">
        <v>555</v>
      </c>
      <c r="C29" s="669">
        <f t="shared" si="2"/>
        <v>92885000</v>
      </c>
      <c r="D29" s="669">
        <f>SUM(D30,D32,D34)</f>
        <v>92885000</v>
      </c>
      <c r="E29" s="680"/>
      <c r="F29" s="670"/>
      <c r="G29" s="379"/>
    </row>
    <row r="30" spans="1:7" ht="30" customHeight="1" thickTop="1" thickBot="1" x14ac:dyDescent="0.3">
      <c r="A30" s="671">
        <v>14020000</v>
      </c>
      <c r="B30" s="678" t="s">
        <v>659</v>
      </c>
      <c r="C30" s="673">
        <f>SUM(D30,E30)</f>
        <v>2915000</v>
      </c>
      <c r="D30" s="673">
        <f>SUM(D31,E31)</f>
        <v>2915000</v>
      </c>
      <c r="E30" s="674"/>
      <c r="F30" s="681"/>
      <c r="G30" s="379"/>
    </row>
    <row r="31" spans="1:7" ht="16.5" thickTop="1" thickBot="1" x14ac:dyDescent="0.3">
      <c r="A31" s="667">
        <v>14021900</v>
      </c>
      <c r="B31" s="675" t="s">
        <v>658</v>
      </c>
      <c r="C31" s="670">
        <f>SUM(D31,E31)</f>
        <v>2915000</v>
      </c>
      <c r="D31" s="670">
        <f>(19550000)-16635000</f>
        <v>2915000</v>
      </c>
      <c r="E31" s="680"/>
      <c r="F31" s="670"/>
      <c r="G31" s="379"/>
    </row>
    <row r="32" spans="1:7" ht="42" thickTop="1" thickBot="1" x14ac:dyDescent="0.3">
      <c r="A32" s="671">
        <v>14030000</v>
      </c>
      <c r="B32" s="678" t="s">
        <v>660</v>
      </c>
      <c r="C32" s="673">
        <f>SUM(D32,E32)</f>
        <v>9870000</v>
      </c>
      <c r="D32" s="673">
        <f>SUM(D33,E33)</f>
        <v>9870000</v>
      </c>
      <c r="E32" s="674"/>
      <c r="F32" s="681"/>
      <c r="G32" s="379"/>
    </row>
    <row r="33" spans="1:7" ht="16.5" thickTop="1" thickBot="1" x14ac:dyDescent="0.3">
      <c r="A33" s="667">
        <v>14031900</v>
      </c>
      <c r="B33" s="675" t="s">
        <v>658</v>
      </c>
      <c r="C33" s="670">
        <f>SUM(D33,E33)</f>
        <v>9870000</v>
      </c>
      <c r="D33" s="670">
        <f>(67950000+5000000)-63080000</f>
        <v>9870000</v>
      </c>
      <c r="E33" s="680"/>
      <c r="F33" s="670"/>
      <c r="G33" s="379"/>
    </row>
    <row r="34" spans="1:7" ht="42" thickTop="1" thickBot="1" x14ac:dyDescent="0.3">
      <c r="A34" s="671">
        <v>14040000</v>
      </c>
      <c r="B34" s="678" t="s">
        <v>1381</v>
      </c>
      <c r="C34" s="673">
        <f>SUM(C35:C36)</f>
        <v>80100000</v>
      </c>
      <c r="D34" s="673">
        <f>SUM(D35:D36)</f>
        <v>80100000</v>
      </c>
      <c r="E34" s="674"/>
      <c r="F34" s="681"/>
      <c r="G34" s="379"/>
    </row>
    <row r="35" spans="1:7" ht="103.5" thickTop="1" thickBot="1" x14ac:dyDescent="0.25">
      <c r="A35" s="667">
        <v>14040100</v>
      </c>
      <c r="B35" s="675" t="s">
        <v>1380</v>
      </c>
      <c r="C35" s="670">
        <f>SUM(D35,E35)</f>
        <v>30000000</v>
      </c>
      <c r="D35" s="670">
        <v>30000000</v>
      </c>
      <c r="E35" s="680"/>
      <c r="F35" s="670"/>
      <c r="G35" s="700"/>
    </row>
    <row r="36" spans="1:7" ht="65.25" thickTop="1" thickBot="1" x14ac:dyDescent="0.25">
      <c r="A36" s="667">
        <v>14040200</v>
      </c>
      <c r="B36" s="675" t="s">
        <v>1379</v>
      </c>
      <c r="C36" s="670">
        <f>SUM(D36,E36)</f>
        <v>50100000</v>
      </c>
      <c r="D36" s="670">
        <v>50100000</v>
      </c>
      <c r="E36" s="680"/>
      <c r="F36" s="670"/>
      <c r="G36" s="700"/>
    </row>
    <row r="37" spans="1:7" ht="29.25" customHeight="1" thickTop="1" thickBot="1" x14ac:dyDescent="0.3">
      <c r="A37" s="212">
        <v>18000000</v>
      </c>
      <c r="B37" s="212" t="s">
        <v>70</v>
      </c>
      <c r="C37" s="669">
        <f t="shared" si="1"/>
        <v>695396000</v>
      </c>
      <c r="D37" s="669">
        <f>SUM(D38,D51,D54,D49)</f>
        <v>695396000</v>
      </c>
      <c r="E37" s="669"/>
      <c r="F37" s="669"/>
      <c r="G37" s="379"/>
    </row>
    <row r="38" spans="1:7" ht="16.5" thickTop="1" thickBot="1" x14ac:dyDescent="0.3">
      <c r="A38" s="671">
        <v>18010000</v>
      </c>
      <c r="B38" s="684" t="s">
        <v>71</v>
      </c>
      <c r="C38" s="673">
        <f>SUM(D38,E38)</f>
        <v>248395000</v>
      </c>
      <c r="D38" s="673">
        <f>SUM(D39:D48)</f>
        <v>248395000</v>
      </c>
      <c r="E38" s="673"/>
      <c r="F38" s="673"/>
      <c r="G38" s="379"/>
    </row>
    <row r="39" spans="1:7" ht="52.5" thickTop="1" thickBot="1" x14ac:dyDescent="0.3">
      <c r="A39" s="667">
        <v>18010100</v>
      </c>
      <c r="B39" s="683" t="s">
        <v>72</v>
      </c>
      <c r="C39" s="669">
        <f t="shared" si="1"/>
        <v>304500</v>
      </c>
      <c r="D39" s="670">
        <v>304500</v>
      </c>
      <c r="E39" s="670"/>
      <c r="F39" s="670"/>
      <c r="G39" s="379"/>
    </row>
    <row r="40" spans="1:7" ht="52.5" thickTop="1" thickBot="1" x14ac:dyDescent="0.3">
      <c r="A40" s="667">
        <v>18010200</v>
      </c>
      <c r="B40" s="683" t="s">
        <v>73</v>
      </c>
      <c r="C40" s="669">
        <f t="shared" si="1"/>
        <v>16745000</v>
      </c>
      <c r="D40" s="670">
        <v>16745000</v>
      </c>
      <c r="E40" s="670"/>
      <c r="F40" s="670"/>
      <c r="G40" s="379"/>
    </row>
    <row r="41" spans="1:7" ht="52.5" thickTop="1" thickBot="1" x14ac:dyDescent="0.3">
      <c r="A41" s="667">
        <v>18010300</v>
      </c>
      <c r="B41" s="683" t="s">
        <v>74</v>
      </c>
      <c r="C41" s="669">
        <f t="shared" si="1"/>
        <v>9200350</v>
      </c>
      <c r="D41" s="670">
        <v>9200350</v>
      </c>
      <c r="E41" s="670"/>
      <c r="F41" s="670"/>
      <c r="G41" s="379"/>
    </row>
    <row r="42" spans="1:7" ht="52.5" thickTop="1" thickBot="1" x14ac:dyDescent="0.3">
      <c r="A42" s="667">
        <v>18010400</v>
      </c>
      <c r="B42" s="683" t="s">
        <v>75</v>
      </c>
      <c r="C42" s="669">
        <f t="shared" si="1"/>
        <v>27250150</v>
      </c>
      <c r="D42" s="670">
        <v>27250150</v>
      </c>
      <c r="E42" s="670"/>
      <c r="F42" s="670"/>
      <c r="G42" s="379"/>
    </row>
    <row r="43" spans="1:7" ht="16.5" thickTop="1" thickBot="1" x14ac:dyDescent="0.3">
      <c r="A43" s="667">
        <v>18010500</v>
      </c>
      <c r="B43" s="675" t="s">
        <v>76</v>
      </c>
      <c r="C43" s="669">
        <f t="shared" si="1"/>
        <v>42200000</v>
      </c>
      <c r="D43" s="670">
        <v>42200000</v>
      </c>
      <c r="E43" s="670"/>
      <c r="F43" s="670"/>
      <c r="G43" s="379"/>
    </row>
    <row r="44" spans="1:7" ht="16.5" thickTop="1" thickBot="1" x14ac:dyDescent="0.3">
      <c r="A44" s="667">
        <v>18010600</v>
      </c>
      <c r="B44" s="683" t="s">
        <v>77</v>
      </c>
      <c r="C44" s="669">
        <f t="shared" si="1"/>
        <v>116825000</v>
      </c>
      <c r="D44" s="670">
        <v>116825000</v>
      </c>
      <c r="E44" s="670"/>
      <c r="F44" s="670"/>
      <c r="G44" s="379"/>
    </row>
    <row r="45" spans="1:7" ht="16.5" thickTop="1" thickBot="1" x14ac:dyDescent="0.3">
      <c r="A45" s="667">
        <v>18010700</v>
      </c>
      <c r="B45" s="683" t="s">
        <v>78</v>
      </c>
      <c r="C45" s="669">
        <f t="shared" si="1"/>
        <v>2500000</v>
      </c>
      <c r="D45" s="670">
        <v>2500000</v>
      </c>
      <c r="E45" s="670"/>
      <c r="F45" s="670"/>
      <c r="G45" s="379"/>
    </row>
    <row r="46" spans="1:7" ht="16.5" thickTop="1" thickBot="1" x14ac:dyDescent="0.3">
      <c r="A46" s="667">
        <v>18010900</v>
      </c>
      <c r="B46" s="683" t="s">
        <v>79</v>
      </c>
      <c r="C46" s="669">
        <f t="shared" si="1"/>
        <v>32620000</v>
      </c>
      <c r="D46" s="670">
        <v>32620000</v>
      </c>
      <c r="E46" s="670"/>
      <c r="F46" s="670"/>
      <c r="G46" s="379"/>
    </row>
    <row r="47" spans="1:7" ht="15.75" thickTop="1" thickBot="1" x14ac:dyDescent="0.25">
      <c r="A47" s="667">
        <v>18011000</v>
      </c>
      <c r="B47" s="683" t="s">
        <v>80</v>
      </c>
      <c r="C47" s="669">
        <f t="shared" si="1"/>
        <v>300000</v>
      </c>
      <c r="D47" s="670">
        <v>300000</v>
      </c>
      <c r="E47" s="670"/>
      <c r="F47" s="670"/>
      <c r="G47" s="698"/>
    </row>
    <row r="48" spans="1:7" ht="16.5" thickTop="1" thickBot="1" x14ac:dyDescent="0.3">
      <c r="A48" s="667">
        <v>18011100</v>
      </c>
      <c r="B48" s="683" t="s">
        <v>81</v>
      </c>
      <c r="C48" s="669">
        <f t="shared" si="1"/>
        <v>450000</v>
      </c>
      <c r="D48" s="670">
        <v>450000</v>
      </c>
      <c r="E48" s="670"/>
      <c r="F48" s="670"/>
      <c r="G48" s="379"/>
    </row>
    <row r="49" spans="1:7" ht="28.5" thickTop="1" thickBot="1" x14ac:dyDescent="0.3">
      <c r="A49" s="671">
        <v>18020000</v>
      </c>
      <c r="B49" s="684" t="s">
        <v>1301</v>
      </c>
      <c r="C49" s="673">
        <f t="shared" si="1"/>
        <v>500000</v>
      </c>
      <c r="D49" s="673">
        <f>SUM(D50,E50)</f>
        <v>500000</v>
      </c>
      <c r="E49" s="673"/>
      <c r="F49" s="673"/>
      <c r="G49" s="379"/>
    </row>
    <row r="50" spans="1:7" ht="27" thickTop="1" thickBot="1" x14ac:dyDescent="0.3">
      <c r="A50" s="667">
        <v>180201000</v>
      </c>
      <c r="B50" s="683" t="s">
        <v>1302</v>
      </c>
      <c r="C50" s="669">
        <f t="shared" si="1"/>
        <v>500000</v>
      </c>
      <c r="D50" s="670">
        <v>500000</v>
      </c>
      <c r="E50" s="670"/>
      <c r="F50" s="670"/>
      <c r="G50" s="379"/>
    </row>
    <row r="51" spans="1:7" ht="16.5" thickTop="1" thickBot="1" x14ac:dyDescent="0.3">
      <c r="A51" s="671">
        <v>18030000</v>
      </c>
      <c r="B51" s="684" t="s">
        <v>82</v>
      </c>
      <c r="C51" s="673">
        <f>SUM(D51,E51)</f>
        <v>800000</v>
      </c>
      <c r="D51" s="673">
        <f>SUM(D52:D53)</f>
        <v>800000</v>
      </c>
      <c r="E51" s="673"/>
      <c r="F51" s="673"/>
      <c r="G51" s="379"/>
    </row>
    <row r="52" spans="1:7" ht="27" thickTop="1" thickBot="1" x14ac:dyDescent="0.3">
      <c r="A52" s="667">
        <v>18030100</v>
      </c>
      <c r="B52" s="683" t="s">
        <v>83</v>
      </c>
      <c r="C52" s="669">
        <f>SUM(D52,E52)</f>
        <v>550000</v>
      </c>
      <c r="D52" s="670">
        <v>550000</v>
      </c>
      <c r="E52" s="670"/>
      <c r="F52" s="670"/>
      <c r="G52" s="379"/>
    </row>
    <row r="53" spans="1:7" ht="27" thickTop="1" thickBot="1" x14ac:dyDescent="0.3">
      <c r="A53" s="667">
        <v>18030200</v>
      </c>
      <c r="B53" s="683" t="s">
        <v>84</v>
      </c>
      <c r="C53" s="669">
        <f>SUM(D53,E53)</f>
        <v>250000</v>
      </c>
      <c r="D53" s="670">
        <v>250000</v>
      </c>
      <c r="E53" s="670"/>
      <c r="F53" s="670"/>
      <c r="G53" s="379"/>
    </row>
    <row r="54" spans="1:7" ht="16.5" thickTop="1" thickBot="1" x14ac:dyDescent="0.3">
      <c r="A54" s="671">
        <v>18050000</v>
      </c>
      <c r="B54" s="684" t="s">
        <v>85</v>
      </c>
      <c r="C54" s="673">
        <f>SUM(D54,E54)</f>
        <v>445701000</v>
      </c>
      <c r="D54" s="673">
        <f>SUM(D55:D57)</f>
        <v>445701000</v>
      </c>
      <c r="E54" s="681"/>
      <c r="F54" s="681"/>
      <c r="G54" s="379"/>
    </row>
    <row r="55" spans="1:7" ht="16.5" thickTop="1" thickBot="1" x14ac:dyDescent="0.3">
      <c r="A55" s="667">
        <v>18050300</v>
      </c>
      <c r="B55" s="668" t="s">
        <v>1125</v>
      </c>
      <c r="C55" s="669">
        <f t="shared" si="1"/>
        <v>76500000</v>
      </c>
      <c r="D55" s="670">
        <v>76500000</v>
      </c>
      <c r="E55" s="670"/>
      <c r="F55" s="670"/>
      <c r="G55" s="379"/>
    </row>
    <row r="56" spans="1:7" ht="15.75" thickTop="1" thickBot="1" x14ac:dyDescent="0.25">
      <c r="A56" s="667">
        <v>18050400</v>
      </c>
      <c r="B56" s="683" t="s">
        <v>86</v>
      </c>
      <c r="C56" s="669">
        <f t="shared" si="1"/>
        <v>364351000</v>
      </c>
      <c r="D56" s="670">
        <v>364351000</v>
      </c>
      <c r="E56" s="670"/>
      <c r="F56" s="670"/>
      <c r="G56" s="698"/>
    </row>
    <row r="57" spans="1:7" ht="65.25" thickTop="1" thickBot="1" x14ac:dyDescent="0.25">
      <c r="A57" s="667">
        <v>18050500</v>
      </c>
      <c r="B57" s="683" t="s">
        <v>563</v>
      </c>
      <c r="C57" s="669">
        <f t="shared" si="1"/>
        <v>4850000</v>
      </c>
      <c r="D57" s="670">
        <v>4850000</v>
      </c>
      <c r="E57" s="670"/>
      <c r="F57" s="670"/>
      <c r="G57" s="698"/>
    </row>
    <row r="58" spans="1:7" ht="31.7" customHeight="1" thickTop="1" thickBot="1" x14ac:dyDescent="0.25">
      <c r="A58" s="212">
        <v>19000000</v>
      </c>
      <c r="B58" s="685" t="s">
        <v>556</v>
      </c>
      <c r="C58" s="669">
        <f t="shared" si="1"/>
        <v>700000</v>
      </c>
      <c r="D58" s="669"/>
      <c r="E58" s="669">
        <f>SUM(E60:E62)</f>
        <v>700000</v>
      </c>
      <c r="F58" s="670"/>
      <c r="G58" s="698"/>
    </row>
    <row r="59" spans="1:7" ht="16.5" thickTop="1" thickBot="1" x14ac:dyDescent="0.3">
      <c r="A59" s="671">
        <v>1901000</v>
      </c>
      <c r="B59" s="672" t="s">
        <v>87</v>
      </c>
      <c r="C59" s="673">
        <f t="shared" ref="C59:C63" si="3">SUM(D59,E59)</f>
        <v>700000</v>
      </c>
      <c r="D59" s="673">
        <f>SUM(D60:D62)</f>
        <v>0</v>
      </c>
      <c r="E59" s="673">
        <f>SUM(E60:E62)</f>
        <v>700000</v>
      </c>
      <c r="F59" s="673"/>
      <c r="G59" s="379"/>
    </row>
    <row r="60" spans="1:7" ht="52.5" thickTop="1" thickBot="1" x14ac:dyDescent="0.3">
      <c r="A60" s="667">
        <v>19010100</v>
      </c>
      <c r="B60" s="668" t="s">
        <v>557</v>
      </c>
      <c r="C60" s="669">
        <f t="shared" si="3"/>
        <v>270000</v>
      </c>
      <c r="D60" s="670"/>
      <c r="E60" s="670">
        <v>270000</v>
      </c>
      <c r="F60" s="670"/>
      <c r="G60" s="379"/>
    </row>
    <row r="61" spans="1:7" ht="27" thickTop="1" thickBot="1" x14ac:dyDescent="0.25">
      <c r="A61" s="667">
        <v>19010200</v>
      </c>
      <c r="B61" s="668" t="s">
        <v>88</v>
      </c>
      <c r="C61" s="669">
        <f t="shared" si="3"/>
        <v>115000</v>
      </c>
      <c r="D61" s="670"/>
      <c r="E61" s="670">
        <v>115000</v>
      </c>
      <c r="F61" s="670"/>
      <c r="G61" s="700"/>
    </row>
    <row r="62" spans="1:7" ht="52.5" thickTop="1" thickBot="1" x14ac:dyDescent="0.3">
      <c r="A62" s="667">
        <v>19010300</v>
      </c>
      <c r="B62" s="668" t="s">
        <v>89</v>
      </c>
      <c r="C62" s="669">
        <f t="shared" si="3"/>
        <v>315000</v>
      </c>
      <c r="D62" s="670"/>
      <c r="E62" s="670">
        <v>315000</v>
      </c>
      <c r="F62" s="670"/>
      <c r="G62" s="379"/>
    </row>
    <row r="63" spans="1:7" ht="30" customHeight="1" thickTop="1" thickBot="1" x14ac:dyDescent="0.3">
      <c r="A63" s="705">
        <v>20000000</v>
      </c>
      <c r="B63" s="705" t="s">
        <v>90</v>
      </c>
      <c r="C63" s="706">
        <f t="shared" si="3"/>
        <v>255014635</v>
      </c>
      <c r="D63" s="706">
        <f>SUM(D64,D72,D82,D87)</f>
        <v>66242500</v>
      </c>
      <c r="E63" s="706">
        <f>SUM(E64,E72,E82,E87)</f>
        <v>188772135</v>
      </c>
      <c r="F63" s="706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9">
        <f>SUM(D64,E64)</f>
        <v>17150000</v>
      </c>
      <c r="D64" s="669">
        <f>SUM(D65,D68,D67)</f>
        <v>17150000</v>
      </c>
      <c r="E64" s="669"/>
      <c r="F64" s="669"/>
      <c r="G64" s="379"/>
    </row>
    <row r="65" spans="1:7" ht="55.5" thickTop="1" thickBot="1" x14ac:dyDescent="0.3">
      <c r="A65" s="671">
        <v>21010000</v>
      </c>
      <c r="B65" s="678" t="s">
        <v>559</v>
      </c>
      <c r="C65" s="673">
        <f t="shared" si="1"/>
        <v>650000</v>
      </c>
      <c r="D65" s="673">
        <f>D66</f>
        <v>650000</v>
      </c>
      <c r="E65" s="673"/>
      <c r="F65" s="673"/>
      <c r="G65" s="379"/>
    </row>
    <row r="66" spans="1:7" ht="52.5" thickTop="1" thickBot="1" x14ac:dyDescent="0.3">
      <c r="A66" s="667">
        <v>21010300</v>
      </c>
      <c r="B66" s="675" t="s">
        <v>91</v>
      </c>
      <c r="C66" s="669">
        <f t="shared" si="1"/>
        <v>650000</v>
      </c>
      <c r="D66" s="670">
        <v>650000</v>
      </c>
      <c r="E66" s="670"/>
      <c r="F66" s="670"/>
      <c r="G66" s="379"/>
    </row>
    <row r="67" spans="1:7" ht="28.5" thickTop="1" thickBot="1" x14ac:dyDescent="0.3">
      <c r="A67" s="671">
        <v>21050000</v>
      </c>
      <c r="B67" s="678" t="s">
        <v>92</v>
      </c>
      <c r="C67" s="673">
        <f t="shared" si="1"/>
        <v>2500000</v>
      </c>
      <c r="D67" s="673">
        <v>2500000</v>
      </c>
      <c r="E67" s="673"/>
      <c r="F67" s="673"/>
      <c r="G67" s="379"/>
    </row>
    <row r="68" spans="1:7" ht="15" thickTop="1" thickBot="1" x14ac:dyDescent="0.25">
      <c r="A68" s="671">
        <v>21080000</v>
      </c>
      <c r="B68" s="678" t="s">
        <v>1126</v>
      </c>
      <c r="C68" s="673">
        <f t="shared" ref="C68:C73" si="4">SUM(D68,E68)</f>
        <v>14000000</v>
      </c>
      <c r="D68" s="674">
        <f>SUM(D69:D71)</f>
        <v>14000000</v>
      </c>
      <c r="E68" s="673"/>
      <c r="F68" s="673"/>
      <c r="G68" s="700"/>
    </row>
    <row r="69" spans="1:7" ht="16.5" thickTop="1" thickBot="1" x14ac:dyDescent="0.3">
      <c r="A69" s="667">
        <v>21081100</v>
      </c>
      <c r="B69" s="686" t="s">
        <v>93</v>
      </c>
      <c r="C69" s="669">
        <f t="shared" si="4"/>
        <v>2500000</v>
      </c>
      <c r="D69" s="676">
        <v>2500000</v>
      </c>
      <c r="E69" s="670"/>
      <c r="F69" s="670"/>
      <c r="G69" s="379"/>
    </row>
    <row r="70" spans="1:7" ht="52.5" thickTop="1" thickBot="1" x14ac:dyDescent="0.3">
      <c r="A70" s="667">
        <v>21081500</v>
      </c>
      <c r="B70" s="668" t="s">
        <v>94</v>
      </c>
      <c r="C70" s="669">
        <f t="shared" si="4"/>
        <v>1750000</v>
      </c>
      <c r="D70" s="670">
        <v>1750000</v>
      </c>
      <c r="E70" s="670"/>
      <c r="F70" s="670"/>
      <c r="G70" s="379"/>
    </row>
    <row r="71" spans="1:7" ht="16.5" thickTop="1" thickBot="1" x14ac:dyDescent="0.3">
      <c r="A71" s="667">
        <v>21081700</v>
      </c>
      <c r="B71" s="668" t="s">
        <v>389</v>
      </c>
      <c r="C71" s="669">
        <f t="shared" si="4"/>
        <v>9750000</v>
      </c>
      <c r="D71" s="676">
        <v>9750000</v>
      </c>
      <c r="E71" s="670"/>
      <c r="F71" s="670"/>
      <c r="G71" s="701"/>
    </row>
    <row r="72" spans="1:7" ht="27" thickTop="1" thickBot="1" x14ac:dyDescent="0.3">
      <c r="A72" s="212">
        <v>22000000</v>
      </c>
      <c r="B72" s="212" t="s">
        <v>95</v>
      </c>
      <c r="C72" s="669">
        <f t="shared" si="4"/>
        <v>35892500</v>
      </c>
      <c r="D72" s="669">
        <f>SUM(D73,D77,D79)</f>
        <v>35892500</v>
      </c>
      <c r="E72" s="670"/>
      <c r="F72" s="670"/>
      <c r="G72" s="379"/>
    </row>
    <row r="73" spans="1:7" ht="24.75" customHeight="1" thickTop="1" thickBot="1" x14ac:dyDescent="0.3">
      <c r="A73" s="671">
        <v>22010000</v>
      </c>
      <c r="B73" s="672" t="s">
        <v>560</v>
      </c>
      <c r="C73" s="673">
        <f t="shared" si="4"/>
        <v>22500000</v>
      </c>
      <c r="D73" s="673">
        <f>SUM(D74:D76)</f>
        <v>22500000</v>
      </c>
      <c r="E73" s="673"/>
      <c r="F73" s="673"/>
      <c r="G73" s="379"/>
    </row>
    <row r="74" spans="1:7" ht="39.75" thickTop="1" thickBot="1" x14ac:dyDescent="0.3">
      <c r="A74" s="667">
        <v>22010300</v>
      </c>
      <c r="B74" s="668" t="s">
        <v>155</v>
      </c>
      <c r="C74" s="669">
        <f t="shared" si="1"/>
        <v>1285100</v>
      </c>
      <c r="D74" s="670">
        <v>1285100</v>
      </c>
      <c r="E74" s="670"/>
      <c r="F74" s="670"/>
      <c r="G74" s="379"/>
    </row>
    <row r="75" spans="1:7" ht="16.5" thickTop="1" thickBot="1" x14ac:dyDescent="0.3">
      <c r="A75" s="667">
        <v>22012500</v>
      </c>
      <c r="B75" s="668" t="s">
        <v>97</v>
      </c>
      <c r="C75" s="669">
        <f t="shared" si="1"/>
        <v>19979500</v>
      </c>
      <c r="D75" s="670">
        <v>19979500</v>
      </c>
      <c r="E75" s="670"/>
      <c r="F75" s="670"/>
      <c r="G75" s="379"/>
    </row>
    <row r="76" spans="1:7" ht="27" thickTop="1" thickBot="1" x14ac:dyDescent="0.3">
      <c r="A76" s="667">
        <v>22012600</v>
      </c>
      <c r="B76" s="668" t="s">
        <v>96</v>
      </c>
      <c r="C76" s="669">
        <f>SUM(D76,E76)</f>
        <v>1235400</v>
      </c>
      <c r="D76" s="670">
        <v>1235400</v>
      </c>
      <c r="E76" s="670"/>
      <c r="F76" s="670"/>
      <c r="G76" s="379"/>
    </row>
    <row r="77" spans="1:7" ht="42" thickTop="1" thickBot="1" x14ac:dyDescent="0.3">
      <c r="A77" s="671">
        <v>2208000</v>
      </c>
      <c r="B77" s="672" t="s">
        <v>561</v>
      </c>
      <c r="C77" s="673">
        <f t="shared" si="1"/>
        <v>12780000</v>
      </c>
      <c r="D77" s="673">
        <f>D78</f>
        <v>12780000</v>
      </c>
      <c r="E77" s="673"/>
      <c r="F77" s="673"/>
      <c r="G77" s="379"/>
    </row>
    <row r="78" spans="1:7" ht="52.5" thickTop="1" thickBot="1" x14ac:dyDescent="0.3">
      <c r="A78" s="667">
        <v>22080400</v>
      </c>
      <c r="B78" s="686" t="s">
        <v>98</v>
      </c>
      <c r="C78" s="669">
        <f t="shared" si="1"/>
        <v>12780000</v>
      </c>
      <c r="D78" s="670">
        <v>12780000</v>
      </c>
      <c r="E78" s="670"/>
      <c r="F78" s="670"/>
      <c r="G78" s="379"/>
    </row>
    <row r="79" spans="1:7" ht="16.5" thickTop="1" thickBot="1" x14ac:dyDescent="0.3">
      <c r="A79" s="671">
        <v>22090000</v>
      </c>
      <c r="B79" s="692" t="s">
        <v>99</v>
      </c>
      <c r="C79" s="673">
        <f t="shared" si="1"/>
        <v>612500</v>
      </c>
      <c r="D79" s="673">
        <f>SUM(D80:D81)</f>
        <v>612500</v>
      </c>
      <c r="E79" s="673"/>
      <c r="F79" s="673"/>
      <c r="G79" s="379"/>
    </row>
    <row r="80" spans="1:7" ht="52.5" thickTop="1" thickBot="1" x14ac:dyDescent="0.3">
      <c r="A80" s="667">
        <v>22090100</v>
      </c>
      <c r="B80" s="683" t="s">
        <v>100</v>
      </c>
      <c r="C80" s="669">
        <f t="shared" si="1"/>
        <v>481950</v>
      </c>
      <c r="D80" s="670">
        <v>481950</v>
      </c>
      <c r="E80" s="670"/>
      <c r="F80" s="670"/>
      <c r="G80" s="379"/>
    </row>
    <row r="81" spans="1:7" ht="39.75" thickTop="1" thickBot="1" x14ac:dyDescent="0.25">
      <c r="A81" s="667">
        <v>22090400</v>
      </c>
      <c r="B81" s="683" t="s">
        <v>101</v>
      </c>
      <c r="C81" s="669">
        <f t="shared" si="1"/>
        <v>130550</v>
      </c>
      <c r="D81" s="670">
        <v>130550</v>
      </c>
      <c r="E81" s="670"/>
      <c r="F81" s="670"/>
      <c r="G81" s="699"/>
    </row>
    <row r="82" spans="1:7" ht="27" customHeight="1" thickTop="1" thickBot="1" x14ac:dyDescent="0.3">
      <c r="A82" s="212">
        <v>24000000</v>
      </c>
      <c r="B82" s="704" t="s">
        <v>102</v>
      </c>
      <c r="C82" s="669">
        <f t="shared" si="1"/>
        <v>20200012</v>
      </c>
      <c r="D82" s="680">
        <f>D83+D84+D86+D85</f>
        <v>13200000</v>
      </c>
      <c r="E82" s="680">
        <f>E83+E84+E86+E85</f>
        <v>7000012</v>
      </c>
      <c r="F82" s="680">
        <f>F83+F84+F86+F85</f>
        <v>7000012</v>
      </c>
      <c r="G82" s="379"/>
    </row>
    <row r="83" spans="1:7" ht="16.5" thickTop="1" thickBot="1" x14ac:dyDescent="0.3">
      <c r="A83" s="667">
        <v>24060300</v>
      </c>
      <c r="B83" s="668" t="s">
        <v>103</v>
      </c>
      <c r="C83" s="669">
        <f t="shared" si="1"/>
        <v>12200000</v>
      </c>
      <c r="D83" s="676">
        <v>12200000</v>
      </c>
      <c r="E83" s="676"/>
      <c r="F83" s="676"/>
      <c r="G83" s="379"/>
    </row>
    <row r="84" spans="1:7" ht="65.25" thickTop="1" thickBot="1" x14ac:dyDescent="0.3">
      <c r="A84" s="667">
        <v>24062200</v>
      </c>
      <c r="B84" s="668" t="s">
        <v>390</v>
      </c>
      <c r="C84" s="669">
        <f t="shared" si="1"/>
        <v>1000000</v>
      </c>
      <c r="D84" s="676">
        <v>1000000</v>
      </c>
      <c r="E84" s="676"/>
      <c r="F84" s="676"/>
      <c r="G84" s="379"/>
    </row>
    <row r="85" spans="1:7" ht="39.75" thickTop="1" thickBot="1" x14ac:dyDescent="0.3">
      <c r="A85" s="667">
        <v>24110700</v>
      </c>
      <c r="B85" s="693" t="s">
        <v>624</v>
      </c>
      <c r="C85" s="669">
        <f t="shared" si="1"/>
        <v>12</v>
      </c>
      <c r="D85" s="676"/>
      <c r="E85" s="676">
        <v>12</v>
      </c>
      <c r="F85" s="676">
        <v>12</v>
      </c>
      <c r="G85" s="379"/>
    </row>
    <row r="86" spans="1:7" ht="27" thickTop="1" thickBot="1" x14ac:dyDescent="0.25">
      <c r="A86" s="667">
        <v>24170000</v>
      </c>
      <c r="B86" s="675" t="s">
        <v>104</v>
      </c>
      <c r="C86" s="669">
        <f t="shared" ref="C86:C92" si="5">SUM(D86,E86)</f>
        <v>7000000</v>
      </c>
      <c r="D86" s="676"/>
      <c r="E86" s="676">
        <v>7000000</v>
      </c>
      <c r="F86" s="676">
        <v>7000000</v>
      </c>
      <c r="G86" s="698"/>
    </row>
    <row r="87" spans="1:7" ht="16.5" thickTop="1" thickBot="1" x14ac:dyDescent="0.3">
      <c r="A87" s="212">
        <v>25000000</v>
      </c>
      <c r="B87" s="694" t="s">
        <v>105</v>
      </c>
      <c r="C87" s="669">
        <f t="shared" si="5"/>
        <v>181772123</v>
      </c>
      <c r="D87" s="680">
        <f>SUM(D88:D92,)</f>
        <v>0</v>
      </c>
      <c r="E87" s="680">
        <f>SUM(E88)</f>
        <v>181772123</v>
      </c>
      <c r="F87" s="680"/>
      <c r="G87" s="379"/>
    </row>
    <row r="88" spans="1:7" ht="42" thickTop="1" thickBot="1" x14ac:dyDescent="0.3">
      <c r="A88" s="671">
        <v>25010000</v>
      </c>
      <c r="B88" s="678" t="s">
        <v>106</v>
      </c>
      <c r="C88" s="673">
        <f t="shared" si="5"/>
        <v>181772123</v>
      </c>
      <c r="D88" s="674">
        <v>0</v>
      </c>
      <c r="E88" s="674">
        <f>SUM(E89:E92)</f>
        <v>181772123</v>
      </c>
      <c r="F88" s="674"/>
      <c r="G88" s="379"/>
    </row>
    <row r="89" spans="1:7" ht="27" thickTop="1" thickBot="1" x14ac:dyDescent="0.3">
      <c r="A89" s="667">
        <v>25010100</v>
      </c>
      <c r="B89" s="675" t="s">
        <v>107</v>
      </c>
      <c r="C89" s="669">
        <f t="shared" si="5"/>
        <v>167553543</v>
      </c>
      <c r="D89" s="676"/>
      <c r="E89" s="676">
        <v>167553543</v>
      </c>
      <c r="F89" s="676"/>
      <c r="G89" s="379"/>
    </row>
    <row r="90" spans="1:7" ht="27" thickTop="1" thickBot="1" x14ac:dyDescent="0.3">
      <c r="A90" s="667">
        <v>25010200</v>
      </c>
      <c r="B90" s="675" t="s">
        <v>108</v>
      </c>
      <c r="C90" s="669">
        <f t="shared" si="5"/>
        <v>11647473</v>
      </c>
      <c r="D90" s="676"/>
      <c r="E90" s="676">
        <v>11647473</v>
      </c>
      <c r="F90" s="676"/>
      <c r="G90" s="379"/>
    </row>
    <row r="91" spans="1:7" ht="16.5" thickTop="1" thickBot="1" x14ac:dyDescent="0.3">
      <c r="A91" s="667">
        <v>25010300</v>
      </c>
      <c r="B91" s="675" t="s">
        <v>109</v>
      </c>
      <c r="C91" s="669">
        <f t="shared" si="5"/>
        <v>2527607</v>
      </c>
      <c r="D91" s="676"/>
      <c r="E91" s="676">
        <v>2527607</v>
      </c>
      <c r="F91" s="676"/>
      <c r="G91" s="379"/>
    </row>
    <row r="92" spans="1:7" ht="39.75" thickTop="1" thickBot="1" x14ac:dyDescent="0.3">
      <c r="A92" s="667">
        <v>25010400</v>
      </c>
      <c r="B92" s="675" t="s">
        <v>110</v>
      </c>
      <c r="C92" s="669">
        <f t="shared" si="5"/>
        <v>43500</v>
      </c>
      <c r="D92" s="676"/>
      <c r="E92" s="676">
        <v>43500</v>
      </c>
      <c r="F92" s="676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9">
        <f t="shared" si="1"/>
        <v>7820000</v>
      </c>
      <c r="D93" s="669">
        <f>SUM(D94)+D98</f>
        <v>20000</v>
      </c>
      <c r="E93" s="669">
        <f>SUM(E94)+E98</f>
        <v>7800000</v>
      </c>
      <c r="F93" s="669">
        <f>SUM(F97:F98)</f>
        <v>7800000</v>
      </c>
      <c r="G93" s="699"/>
    </row>
    <row r="94" spans="1:7" ht="27" customHeight="1" thickTop="1" thickBot="1" x14ac:dyDescent="0.3">
      <c r="A94" s="212">
        <v>31000000</v>
      </c>
      <c r="B94" s="212" t="s">
        <v>112</v>
      </c>
      <c r="C94" s="669">
        <f>SUM(D94,E94)</f>
        <v>2820000</v>
      </c>
      <c r="D94" s="669">
        <f>D95+D97</f>
        <v>20000</v>
      </c>
      <c r="E94" s="669">
        <f>E95+E97</f>
        <v>2800000</v>
      </c>
      <c r="F94" s="669">
        <f>F95+F97</f>
        <v>2800000</v>
      </c>
      <c r="G94" s="379"/>
    </row>
    <row r="95" spans="1:7" ht="82.5" thickTop="1" thickBot="1" x14ac:dyDescent="0.3">
      <c r="A95" s="671">
        <v>3101000</v>
      </c>
      <c r="B95" s="672" t="s">
        <v>562</v>
      </c>
      <c r="C95" s="673">
        <f>SUM(D95,E95)</f>
        <v>20000</v>
      </c>
      <c r="D95" s="674">
        <f>D96</f>
        <v>20000</v>
      </c>
      <c r="E95" s="673"/>
      <c r="F95" s="673"/>
      <c r="G95" s="379"/>
    </row>
    <row r="96" spans="1:7" ht="78" thickTop="1" thickBot="1" x14ac:dyDescent="0.3">
      <c r="A96" s="667">
        <v>31010200</v>
      </c>
      <c r="B96" s="675" t="s">
        <v>113</v>
      </c>
      <c r="C96" s="669">
        <f>SUM(D96,E96)</f>
        <v>20000</v>
      </c>
      <c r="D96" s="676">
        <v>20000</v>
      </c>
      <c r="E96" s="676"/>
      <c r="F96" s="676"/>
      <c r="G96" s="379"/>
    </row>
    <row r="97" spans="1:7" ht="55.5" thickTop="1" thickBot="1" x14ac:dyDescent="0.3">
      <c r="A97" s="671">
        <v>31030000</v>
      </c>
      <c r="B97" s="678" t="s">
        <v>114</v>
      </c>
      <c r="C97" s="674">
        <f t="shared" si="1"/>
        <v>2800000</v>
      </c>
      <c r="D97" s="674"/>
      <c r="E97" s="674">
        <v>2800000</v>
      </c>
      <c r="F97" s="674">
        <v>2800000</v>
      </c>
      <c r="G97" s="379"/>
    </row>
    <row r="98" spans="1:7" ht="27" thickTop="1" thickBot="1" x14ac:dyDescent="0.3">
      <c r="A98" s="705">
        <v>33000000</v>
      </c>
      <c r="B98" s="705" t="s">
        <v>115</v>
      </c>
      <c r="C98" s="706">
        <f t="shared" si="1"/>
        <v>5000000</v>
      </c>
      <c r="D98" s="706"/>
      <c r="E98" s="706">
        <f>SUM(E99)</f>
        <v>5000000</v>
      </c>
      <c r="F98" s="706">
        <f>SUM(F99)</f>
        <v>5000000</v>
      </c>
      <c r="G98" s="379"/>
    </row>
    <row r="99" spans="1:7" ht="16.5" thickTop="1" thickBot="1" x14ac:dyDescent="0.3">
      <c r="A99" s="671">
        <v>33010000</v>
      </c>
      <c r="B99" s="672" t="s">
        <v>116</v>
      </c>
      <c r="C99" s="673">
        <f>SUM(D99,E99)</f>
        <v>5000000</v>
      </c>
      <c r="D99" s="673"/>
      <c r="E99" s="673">
        <f>SUM(E100,E101)</f>
        <v>5000000</v>
      </c>
      <c r="F99" s="673">
        <f>SUM(F100,F101)</f>
        <v>5000000</v>
      </c>
      <c r="G99" s="379"/>
    </row>
    <row r="100" spans="1:7" ht="52.5" thickTop="1" thickBot="1" x14ac:dyDescent="0.3">
      <c r="A100" s="667">
        <v>33010100</v>
      </c>
      <c r="B100" s="675" t="s">
        <v>357</v>
      </c>
      <c r="C100" s="680">
        <f t="shared" si="1"/>
        <v>4000000</v>
      </c>
      <c r="D100" s="676"/>
      <c r="E100" s="676">
        <v>4000000</v>
      </c>
      <c r="F100" s="676">
        <v>4000000</v>
      </c>
      <c r="G100" s="379"/>
    </row>
    <row r="101" spans="1:7" ht="52.5" thickTop="1" thickBot="1" x14ac:dyDescent="0.3">
      <c r="A101" s="667">
        <v>33010200</v>
      </c>
      <c r="B101" s="675" t="s">
        <v>117</v>
      </c>
      <c r="C101" s="680">
        <f>SUM(D101,E101)</f>
        <v>1000000</v>
      </c>
      <c r="D101" s="676"/>
      <c r="E101" s="676">
        <v>1000000</v>
      </c>
      <c r="F101" s="676">
        <v>1000000</v>
      </c>
      <c r="G101" s="379"/>
    </row>
    <row r="102" spans="1:7" ht="27" customHeight="1" thickTop="1" thickBot="1" x14ac:dyDescent="0.3">
      <c r="A102" s="705">
        <v>50000000</v>
      </c>
      <c r="B102" s="705" t="s">
        <v>505</v>
      </c>
      <c r="C102" s="706">
        <f>SUM(D102,E102)</f>
        <v>6000000</v>
      </c>
      <c r="D102" s="706"/>
      <c r="E102" s="706">
        <f>SUM(E103)</f>
        <v>6000000</v>
      </c>
      <c r="F102" s="706"/>
      <c r="G102" s="379"/>
    </row>
    <row r="103" spans="1:7" ht="52.5" thickTop="1" thickBot="1" x14ac:dyDescent="0.3">
      <c r="A103" s="212">
        <v>50110000</v>
      </c>
      <c r="B103" s="695" t="s">
        <v>118</v>
      </c>
      <c r="C103" s="669">
        <f t="shared" ref="C103:C137" si="6">SUM(D103,E103)</f>
        <v>6000000</v>
      </c>
      <c r="D103" s="670"/>
      <c r="E103" s="669">
        <v>6000000</v>
      </c>
      <c r="F103" s="670"/>
      <c r="G103" s="379"/>
    </row>
    <row r="104" spans="1:7" ht="45.75" customHeight="1" thickTop="1" thickBot="1" x14ac:dyDescent="0.25">
      <c r="A104" s="834"/>
      <c r="B104" s="835" t="s">
        <v>506</v>
      </c>
      <c r="C104" s="836">
        <f t="shared" ref="C104:C110" si="7">SUM(D104,E104)</f>
        <v>2923830635</v>
      </c>
      <c r="D104" s="837">
        <f>D102+D93+D63+D15</f>
        <v>2720558500</v>
      </c>
      <c r="E104" s="837">
        <f>E102+E93+E63+E15</f>
        <v>203272135</v>
      </c>
      <c r="F104" s="837">
        <f>F102+F93+F63+F15</f>
        <v>14800012</v>
      </c>
      <c r="G104" s="698"/>
    </row>
    <row r="105" spans="1:7" ht="34.5" customHeight="1" thickTop="1" thickBot="1" x14ac:dyDescent="0.25">
      <c r="A105" s="705">
        <v>40000000</v>
      </c>
      <c r="B105" s="705" t="s">
        <v>443</v>
      </c>
      <c r="C105" s="706">
        <f t="shared" si="7"/>
        <v>669479490.75999999</v>
      </c>
      <c r="D105" s="706">
        <f>SUM(D109,D106)</f>
        <v>669479490.75999999</v>
      </c>
      <c r="E105" s="706">
        <f>SUM(E109,E106)</f>
        <v>0</v>
      </c>
      <c r="F105" s="706">
        <f>SUM(F109,F106)</f>
        <v>0</v>
      </c>
      <c r="G105" s="698"/>
    </row>
    <row r="106" spans="1:7" ht="27" thickTop="1" thickBot="1" x14ac:dyDescent="0.25">
      <c r="A106" s="212">
        <v>41040000</v>
      </c>
      <c r="B106" s="682" t="s">
        <v>358</v>
      </c>
      <c r="C106" s="669">
        <f t="shared" si="7"/>
        <v>8031675.7599999998</v>
      </c>
      <c r="D106" s="680">
        <f>SUM(D107:D108)</f>
        <v>8031675.7599999998</v>
      </c>
      <c r="E106" s="680"/>
      <c r="F106" s="680"/>
      <c r="G106" s="698"/>
    </row>
    <row r="107" spans="1:7" ht="65.25" thickTop="1" thickBot="1" x14ac:dyDescent="0.25">
      <c r="A107" s="667">
        <v>41040200</v>
      </c>
      <c r="B107" s="675" t="s">
        <v>1306</v>
      </c>
      <c r="C107" s="669">
        <f t="shared" si="7"/>
        <v>6628199</v>
      </c>
      <c r="D107" s="676">
        <v>6628199</v>
      </c>
      <c r="E107" s="680"/>
      <c r="F107" s="680"/>
      <c r="G107" s="698"/>
    </row>
    <row r="108" spans="1:7" ht="15.75" thickTop="1" thickBot="1" x14ac:dyDescent="0.25">
      <c r="A108" s="667">
        <v>41040400</v>
      </c>
      <c r="B108" s="675" t="s">
        <v>1391</v>
      </c>
      <c r="C108" s="669">
        <f t="shared" si="7"/>
        <v>1403476.76</v>
      </c>
      <c r="D108" s="676">
        <v>1403476.76</v>
      </c>
      <c r="E108" s="680"/>
      <c r="F108" s="680"/>
      <c r="G108" s="698"/>
    </row>
    <row r="109" spans="1:7" ht="23.25" customHeight="1" thickTop="1" thickBot="1" x14ac:dyDescent="0.25">
      <c r="A109" s="212">
        <v>41000000</v>
      </c>
      <c r="B109" s="212" t="s">
        <v>119</v>
      </c>
      <c r="C109" s="669">
        <f t="shared" si="7"/>
        <v>661447815</v>
      </c>
      <c r="D109" s="680">
        <f>SUM(D110,D118)</f>
        <v>661447815</v>
      </c>
      <c r="E109" s="680">
        <f>SUM(E110,E118)</f>
        <v>0</v>
      </c>
      <c r="F109" s="680">
        <f>SUM(F110,F118)</f>
        <v>0</v>
      </c>
      <c r="G109" s="698"/>
    </row>
    <row r="110" spans="1:7" ht="27" thickTop="1" thickBot="1" x14ac:dyDescent="0.3">
      <c r="A110" s="212">
        <v>41030000</v>
      </c>
      <c r="B110" s="694" t="s">
        <v>455</v>
      </c>
      <c r="C110" s="669">
        <f t="shared" si="7"/>
        <v>646350300</v>
      </c>
      <c r="D110" s="680">
        <f>SUM(D111:D117)</f>
        <v>646350300</v>
      </c>
      <c r="E110" s="680">
        <f>SUM(E111:E117)</f>
        <v>0</v>
      </c>
      <c r="F110" s="680">
        <f>SUM(F111:F117)</f>
        <v>0</v>
      </c>
      <c r="G110" s="379"/>
    </row>
    <row r="111" spans="1:7" ht="52.5" hidden="1" thickTop="1" thickBot="1" x14ac:dyDescent="0.3">
      <c r="A111" s="667">
        <v>41032300</v>
      </c>
      <c r="B111" s="668" t="s">
        <v>1057</v>
      </c>
      <c r="C111" s="669">
        <f t="shared" si="6"/>
        <v>0</v>
      </c>
      <c r="D111" s="676">
        <v>0</v>
      </c>
      <c r="E111" s="680"/>
      <c r="F111" s="676"/>
      <c r="G111" s="379"/>
    </row>
    <row r="112" spans="1:7" ht="52.5" hidden="1" thickTop="1" thickBot="1" x14ac:dyDescent="0.3">
      <c r="A112" s="667">
        <v>41033800</v>
      </c>
      <c r="B112" s="668" t="s">
        <v>1128</v>
      </c>
      <c r="C112" s="669">
        <f t="shared" si="6"/>
        <v>0</v>
      </c>
      <c r="D112" s="676">
        <v>0</v>
      </c>
      <c r="E112" s="680"/>
      <c r="F112" s="676"/>
      <c r="G112" s="379"/>
    </row>
    <row r="113" spans="1:7" ht="27" thickTop="1" thickBot="1" x14ac:dyDescent="0.3">
      <c r="A113" s="667">
        <v>41033900</v>
      </c>
      <c r="B113" s="668" t="s">
        <v>120</v>
      </c>
      <c r="C113" s="669">
        <f t="shared" si="6"/>
        <v>646350300</v>
      </c>
      <c r="D113" s="670">
        <f>(718166900)-71816600</f>
        <v>646350300</v>
      </c>
      <c r="E113" s="676"/>
      <c r="F113" s="676"/>
      <c r="G113" s="379"/>
    </row>
    <row r="114" spans="1:7" ht="39.75" hidden="1" thickTop="1" thickBot="1" x14ac:dyDescent="0.3">
      <c r="A114" s="667">
        <v>41034500</v>
      </c>
      <c r="B114" s="668" t="s">
        <v>1129</v>
      </c>
      <c r="C114" s="669">
        <f t="shared" si="6"/>
        <v>0</v>
      </c>
      <c r="D114" s="676">
        <v>0</v>
      </c>
      <c r="E114" s="676">
        <v>0</v>
      </c>
      <c r="F114" s="676">
        <v>0</v>
      </c>
      <c r="G114" s="379"/>
    </row>
    <row r="115" spans="1:7" ht="52.5" hidden="1" thickTop="1" thickBot="1" x14ac:dyDescent="0.3">
      <c r="A115" s="667">
        <v>41035500</v>
      </c>
      <c r="B115" s="668" t="s">
        <v>1059</v>
      </c>
      <c r="C115" s="669">
        <f t="shared" si="6"/>
        <v>0</v>
      </c>
      <c r="D115" s="670">
        <v>0</v>
      </c>
      <c r="E115" s="676"/>
      <c r="F115" s="676"/>
      <c r="G115" s="379"/>
    </row>
    <row r="116" spans="1:7" ht="65.25" hidden="1" thickTop="1" thickBot="1" x14ac:dyDescent="0.3">
      <c r="A116" s="667">
        <v>41035600</v>
      </c>
      <c r="B116" s="668" t="s">
        <v>1087</v>
      </c>
      <c r="C116" s="669">
        <f t="shared" si="6"/>
        <v>0</v>
      </c>
      <c r="D116" s="670">
        <v>0</v>
      </c>
      <c r="E116" s="676"/>
      <c r="F116" s="676"/>
      <c r="G116" s="379"/>
    </row>
    <row r="117" spans="1:7" ht="39.75" hidden="1" customHeight="1" thickTop="1" thickBot="1" x14ac:dyDescent="0.3">
      <c r="A117" s="667">
        <v>41035700</v>
      </c>
      <c r="B117" s="668" t="s">
        <v>1048</v>
      </c>
      <c r="C117" s="669">
        <f t="shared" si="6"/>
        <v>0</v>
      </c>
      <c r="D117" s="670">
        <v>0</v>
      </c>
      <c r="E117" s="676"/>
      <c r="F117" s="676"/>
      <c r="G117" s="379"/>
    </row>
    <row r="118" spans="1:7" ht="36.75" customHeight="1" thickTop="1" thickBot="1" x14ac:dyDescent="0.3">
      <c r="A118" s="212">
        <v>41050000</v>
      </c>
      <c r="B118" s="694" t="s">
        <v>491</v>
      </c>
      <c r="C118" s="669">
        <f t="shared" ref="C118:C125" si="8">SUM(D118,E118)</f>
        <v>15097515</v>
      </c>
      <c r="D118" s="669">
        <f>SUM(D119:D131)</f>
        <v>15097515</v>
      </c>
      <c r="E118" s="669">
        <f>SUM(E119:E131)</f>
        <v>0</v>
      </c>
      <c r="F118" s="669">
        <f>SUM(F119:F131)</f>
        <v>0</v>
      </c>
      <c r="G118" s="379"/>
    </row>
    <row r="119" spans="1:7" ht="256.5" hidden="1" thickTop="1" thickBot="1" x14ac:dyDescent="0.3">
      <c r="A119" s="227">
        <v>41050400</v>
      </c>
      <c r="B119" s="228" t="s">
        <v>1130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218.25" hidden="1" thickTop="1" thickBot="1" x14ac:dyDescent="0.3">
      <c r="A120" s="227">
        <v>41050500</v>
      </c>
      <c r="B120" s="228" t="s">
        <v>1131</v>
      </c>
      <c r="C120" s="225">
        <f t="shared" si="8"/>
        <v>0</v>
      </c>
      <c r="D120" s="229">
        <v>0</v>
      </c>
      <c r="E120" s="230"/>
      <c r="F120" s="230"/>
      <c r="G120" s="379"/>
    </row>
    <row r="121" spans="1:7" ht="320.25" hidden="1" thickTop="1" thickBot="1" x14ac:dyDescent="0.3">
      <c r="A121" s="227">
        <v>41050600</v>
      </c>
      <c r="B121" s="228" t="s">
        <v>1132</v>
      </c>
      <c r="C121" s="225">
        <f t="shared" si="8"/>
        <v>0</v>
      </c>
      <c r="D121" s="229">
        <v>0</v>
      </c>
      <c r="E121" s="230"/>
      <c r="F121" s="230"/>
      <c r="G121" s="379"/>
    </row>
    <row r="122" spans="1:7" ht="116.25" hidden="1" thickTop="1" thickBot="1" x14ac:dyDescent="0.3">
      <c r="A122" s="227">
        <v>41050900</v>
      </c>
      <c r="B122" s="228" t="s">
        <v>1133</v>
      </c>
      <c r="C122" s="225">
        <f t="shared" si="8"/>
        <v>0</v>
      </c>
      <c r="D122" s="229">
        <v>0</v>
      </c>
      <c r="E122" s="230"/>
      <c r="F122" s="230"/>
      <c r="G122" s="379"/>
    </row>
    <row r="123" spans="1:7" ht="39.75" thickTop="1" thickBot="1" x14ac:dyDescent="0.3">
      <c r="A123" s="667">
        <v>41051000</v>
      </c>
      <c r="B123" s="668" t="s">
        <v>492</v>
      </c>
      <c r="C123" s="669">
        <f t="shared" si="8"/>
        <v>8373319</v>
      </c>
      <c r="D123" s="670">
        <f>(4189832+5214100)-1030613</f>
        <v>8373319</v>
      </c>
      <c r="E123" s="676"/>
      <c r="F123" s="676"/>
      <c r="G123" s="379"/>
    </row>
    <row r="124" spans="1:7" ht="52.5" thickTop="1" thickBot="1" x14ac:dyDescent="0.3">
      <c r="A124" s="667">
        <v>41051200</v>
      </c>
      <c r="B124" s="668" t="s">
        <v>657</v>
      </c>
      <c r="C124" s="669">
        <f t="shared" si="8"/>
        <v>5840472</v>
      </c>
      <c r="D124" s="670">
        <f>(5189600+1300044)-649172</f>
        <v>5840472</v>
      </c>
      <c r="E124" s="676"/>
      <c r="F124" s="676"/>
      <c r="G124" s="379"/>
    </row>
    <row r="125" spans="1:7" ht="65.25" hidden="1" thickTop="1" thickBot="1" x14ac:dyDescent="0.3">
      <c r="A125" s="227">
        <v>41051400</v>
      </c>
      <c r="B125" s="228" t="s">
        <v>1062</v>
      </c>
      <c r="C125" s="225">
        <f t="shared" si="8"/>
        <v>0</v>
      </c>
      <c r="D125" s="229">
        <v>0</v>
      </c>
      <c r="E125" s="230"/>
      <c r="F125" s="230"/>
      <c r="G125" s="379"/>
    </row>
    <row r="126" spans="1:7" ht="65.25" hidden="1" thickTop="1" thickBot="1" x14ac:dyDescent="0.3">
      <c r="A126" s="227">
        <v>41051700</v>
      </c>
      <c r="B126" s="228" t="s">
        <v>1011</v>
      </c>
      <c r="C126" s="225">
        <f t="shared" si="6"/>
        <v>0</v>
      </c>
      <c r="D126" s="229">
        <v>0</v>
      </c>
      <c r="E126" s="230"/>
      <c r="F126" s="230"/>
      <c r="G126" s="379"/>
    </row>
    <row r="127" spans="1:7" ht="90.75" hidden="1" thickTop="1" thickBot="1" x14ac:dyDescent="0.3">
      <c r="A127" s="227">
        <v>41056600</v>
      </c>
      <c r="B127" s="228" t="s">
        <v>1106</v>
      </c>
      <c r="C127" s="225">
        <f t="shared" si="6"/>
        <v>0</v>
      </c>
      <c r="D127" s="229">
        <f>10623233.82-10623233.82</f>
        <v>0</v>
      </c>
      <c r="E127" s="230"/>
      <c r="F127" s="230"/>
      <c r="G127" s="379"/>
    </row>
    <row r="128" spans="1:7" ht="52.5" hidden="1" thickTop="1" thickBot="1" x14ac:dyDescent="0.25">
      <c r="A128" s="227">
        <v>41055000</v>
      </c>
      <c r="B128" s="228" t="s">
        <v>1134</v>
      </c>
      <c r="C128" s="225">
        <f t="shared" si="6"/>
        <v>0</v>
      </c>
      <c r="D128" s="229">
        <v>0</v>
      </c>
      <c r="E128" s="230"/>
      <c r="F128" s="230"/>
      <c r="G128" s="698"/>
    </row>
    <row r="129" spans="1:10" ht="27" hidden="1" thickTop="1" thickBot="1" x14ac:dyDescent="0.25">
      <c r="A129" s="227">
        <v>41053600</v>
      </c>
      <c r="B129" s="228" t="s">
        <v>1013</v>
      </c>
      <c r="C129" s="225">
        <f t="shared" si="6"/>
        <v>0</v>
      </c>
      <c r="D129" s="229"/>
      <c r="E129" s="230">
        <v>0</v>
      </c>
      <c r="F129" s="230"/>
      <c r="G129" s="698"/>
    </row>
    <row r="130" spans="1:10" ht="205.5" hidden="1" thickTop="1" thickBot="1" x14ac:dyDescent="0.25">
      <c r="A130" s="227">
        <v>41054200</v>
      </c>
      <c r="B130" s="228" t="s">
        <v>1135</v>
      </c>
      <c r="C130" s="225">
        <f t="shared" si="6"/>
        <v>0</v>
      </c>
      <c r="D130" s="229">
        <v>0</v>
      </c>
      <c r="E130" s="230"/>
      <c r="F130" s="230"/>
      <c r="G130" s="698"/>
    </row>
    <row r="131" spans="1:10" ht="27" thickTop="1" thickBot="1" x14ac:dyDescent="0.25">
      <c r="A131" s="667">
        <v>41053900</v>
      </c>
      <c r="B131" s="668" t="s">
        <v>956</v>
      </c>
      <c r="C131" s="669">
        <f t="shared" si="6"/>
        <v>883724</v>
      </c>
      <c r="D131" s="670">
        <f>SUM(D132:D137)</f>
        <v>883724</v>
      </c>
      <c r="E131" s="670">
        <f>SUM(E132:E137)</f>
        <v>0</v>
      </c>
      <c r="F131" s="670">
        <f>SUM(F132:F137)</f>
        <v>0</v>
      </c>
      <c r="G131" s="698"/>
    </row>
    <row r="132" spans="1:10" ht="15.75" hidden="1" thickTop="1" thickBot="1" x14ac:dyDescent="0.25">
      <c r="A132" s="667"/>
      <c r="B132" s="696" t="s">
        <v>1014</v>
      </c>
      <c r="C132" s="673">
        <f>SUM(D132,E132)</f>
        <v>0</v>
      </c>
      <c r="D132" s="681"/>
      <c r="E132" s="697">
        <v>0</v>
      </c>
      <c r="F132" s="697">
        <v>0</v>
      </c>
      <c r="G132" s="698"/>
    </row>
    <row r="133" spans="1:10" ht="39.75" thickTop="1" thickBot="1" x14ac:dyDescent="0.25">
      <c r="A133" s="667"/>
      <c r="B133" s="696" t="s">
        <v>957</v>
      </c>
      <c r="C133" s="673">
        <f t="shared" si="6"/>
        <v>226297</v>
      </c>
      <c r="D133" s="681">
        <v>226297</v>
      </c>
      <c r="E133" s="697"/>
      <c r="F133" s="697"/>
      <c r="G133" s="698"/>
    </row>
    <row r="134" spans="1:10" ht="52.5" thickTop="1" thickBot="1" x14ac:dyDescent="0.25">
      <c r="A134" s="667"/>
      <c r="B134" s="696" t="s">
        <v>958</v>
      </c>
      <c r="C134" s="673">
        <f t="shared" si="6"/>
        <v>159297</v>
      </c>
      <c r="D134" s="681">
        <v>159297</v>
      </c>
      <c r="E134" s="697"/>
      <c r="F134" s="697"/>
      <c r="G134" s="698"/>
    </row>
    <row r="135" spans="1:10" ht="27" thickTop="1" thickBot="1" x14ac:dyDescent="0.25">
      <c r="A135" s="667"/>
      <c r="B135" s="696" t="s">
        <v>959</v>
      </c>
      <c r="C135" s="673">
        <f t="shared" si="6"/>
        <v>498130</v>
      </c>
      <c r="D135" s="681">
        <v>498130</v>
      </c>
      <c r="E135" s="697"/>
      <c r="F135" s="697"/>
      <c r="G135" s="698"/>
    </row>
    <row r="136" spans="1:10" ht="39.75" hidden="1" thickTop="1" thickBot="1" x14ac:dyDescent="0.25">
      <c r="A136" s="227"/>
      <c r="B136" s="232" t="s">
        <v>1187</v>
      </c>
      <c r="C136" s="226">
        <f t="shared" si="6"/>
        <v>0</v>
      </c>
      <c r="D136" s="231">
        <v>0</v>
      </c>
      <c r="E136" s="233"/>
      <c r="F136" s="233"/>
      <c r="G136" s="698"/>
    </row>
    <row r="137" spans="1:10" ht="27" hidden="1" thickTop="1" thickBot="1" x14ac:dyDescent="0.25">
      <c r="A137" s="227"/>
      <c r="B137" s="232" t="s">
        <v>1188</v>
      </c>
      <c r="C137" s="226">
        <f t="shared" si="6"/>
        <v>0</v>
      </c>
      <c r="D137" s="231"/>
      <c r="E137" s="233">
        <v>0</v>
      </c>
      <c r="F137" s="233">
        <v>0</v>
      </c>
      <c r="G137" s="698"/>
    </row>
    <row r="138" spans="1:10" ht="41.25" customHeight="1" thickTop="1" thickBot="1" x14ac:dyDescent="0.3">
      <c r="A138" s="834"/>
      <c r="B138" s="835" t="s">
        <v>1124</v>
      </c>
      <c r="C138" s="836">
        <f>SUM(D138,E138)</f>
        <v>3593310125.7600002</v>
      </c>
      <c r="D138" s="837">
        <f>SUM(D104,D105)</f>
        <v>3390037990.7600002</v>
      </c>
      <c r="E138" s="837">
        <f>SUM(E104,E109)</f>
        <v>203272135</v>
      </c>
      <c r="F138" s="837">
        <f>SUM(F104,F109)</f>
        <v>14800012</v>
      </c>
      <c r="G138" s="703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3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3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3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3" t="b">
        <f>((13142343+3699650691+15000000)-73496385+1403476.76)-'d2'!C32=C138</f>
        <v>1</v>
      </c>
    </row>
    <row r="140" spans="1:10" ht="15.75" x14ac:dyDescent="0.25">
      <c r="B140" s="49"/>
      <c r="E140" s="49"/>
      <c r="G140" s="702"/>
    </row>
    <row r="141" spans="1:10" ht="15.75" x14ac:dyDescent="0.2">
      <c r="B141" s="782" t="s">
        <v>1362</v>
      </c>
      <c r="C141" s="781"/>
      <c r="D141" s="781"/>
      <c r="E141" s="183" t="s">
        <v>1363</v>
      </c>
      <c r="F141" s="204"/>
    </row>
    <row r="142" spans="1:10" ht="15.75" x14ac:dyDescent="0.25">
      <c r="B142" s="49"/>
      <c r="E142" s="49"/>
    </row>
    <row r="143" spans="1:10" ht="31.5" x14ac:dyDescent="0.25">
      <c r="A143" s="12"/>
      <c r="B143" s="1074" t="s">
        <v>1398</v>
      </c>
      <c r="C143" s="49"/>
      <c r="D143" s="49"/>
      <c r="E143" s="49" t="s">
        <v>1399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 xr:uid="{00000000-0004-0000-0000-000000000000}"/>
    <hyperlink ref="B93" location="_ftn1" display="_ftn1" xr:uid="{00000000-0004-0000-0000-000001000000}"/>
    <hyperlink ref="B81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61" location="_ftn1" display="_ftn1" xr:uid="{00000000-0004-0000-0000-000005000000}"/>
    <hyperlink ref="B98" location="_ftn1" display="_ftn1" xr:uid="{00000000-0004-0000-0000-000006000000}"/>
    <hyperlink ref="B99" location="_ftn1" display="_ftn1" xr:uid="{00000000-0004-0000-0000-000007000000}"/>
    <hyperlink ref="B69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topLeftCell="A38" zoomScale="115" zoomScaleSheetLayoutView="115" workbookViewId="0">
      <selection activeCell="C64" sqref="C64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1033</v>
      </c>
    </row>
    <row r="3" spans="1:17" x14ac:dyDescent="0.2">
      <c r="F3" s="13" t="s">
        <v>1347</v>
      </c>
    </row>
    <row r="5" spans="1:17" ht="18.75" x14ac:dyDescent="0.2">
      <c r="A5" s="889" t="s">
        <v>599</v>
      </c>
      <c r="B5" s="889"/>
      <c r="C5" s="889"/>
      <c r="D5" s="889"/>
      <c r="E5" s="889"/>
      <c r="F5" s="889"/>
    </row>
    <row r="6" spans="1:17" ht="18.75" x14ac:dyDescent="0.2">
      <c r="A6" s="889" t="s">
        <v>1218</v>
      </c>
      <c r="B6" s="889"/>
      <c r="C6" s="889"/>
      <c r="D6" s="889"/>
      <c r="E6" s="889"/>
      <c r="F6" s="889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890">
        <v>22564000000</v>
      </c>
      <c r="B8" s="891"/>
      <c r="C8" s="875"/>
      <c r="D8" s="875"/>
      <c r="E8" s="875"/>
      <c r="F8" s="875"/>
      <c r="G8" s="234"/>
    </row>
    <row r="9" spans="1:17" ht="15" customHeight="1" x14ac:dyDescent="0.2">
      <c r="A9" s="892" t="s">
        <v>508</v>
      </c>
      <c r="B9" s="893"/>
      <c r="C9" s="875"/>
      <c r="D9" s="875"/>
      <c r="E9" s="875"/>
      <c r="F9" s="875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419</v>
      </c>
      <c r="G10" s="234"/>
    </row>
    <row r="11" spans="1:17" ht="14.25" thickTop="1" thickBot="1" x14ac:dyDescent="0.25">
      <c r="A11" s="894" t="s">
        <v>60</v>
      </c>
      <c r="B11" s="894" t="s">
        <v>393</v>
      </c>
      <c r="C11" s="894" t="s">
        <v>398</v>
      </c>
      <c r="D11" s="894" t="s">
        <v>12</v>
      </c>
      <c r="E11" s="894" t="s">
        <v>54</v>
      </c>
      <c r="F11" s="894"/>
      <c r="G11" s="234"/>
    </row>
    <row r="12" spans="1:17" ht="35.450000000000003" customHeight="1" thickTop="1" thickBot="1" x14ac:dyDescent="0.25">
      <c r="A12" s="894"/>
      <c r="B12" s="894"/>
      <c r="C12" s="894"/>
      <c r="D12" s="895"/>
      <c r="E12" s="384" t="s">
        <v>399</v>
      </c>
      <c r="F12" s="384" t="s">
        <v>400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896" t="s">
        <v>394</v>
      </c>
      <c r="B14" s="896"/>
      <c r="C14" s="897"/>
      <c r="D14" s="897"/>
      <c r="E14" s="897"/>
      <c r="F14" s="897"/>
      <c r="G14" s="234"/>
    </row>
    <row r="15" spans="1:17" ht="14.25" thickTop="1" thickBot="1" x14ac:dyDescent="0.25">
      <c r="A15" s="594" t="s">
        <v>122</v>
      </c>
      <c r="B15" s="604" t="s">
        <v>123</v>
      </c>
      <c r="C15" s="594">
        <f>C16+C20</f>
        <v>63279474.629999995</v>
      </c>
      <c r="D15" s="594">
        <f>D16+D20</f>
        <v>-99861985.330000401</v>
      </c>
      <c r="E15" s="594">
        <f>E16+E20</f>
        <v>163141459.9600004</v>
      </c>
      <c r="F15" s="594">
        <f>F16+F20</f>
        <v>160478117.59000039</v>
      </c>
      <c r="G15" s="236">
        <f>E15-F15</f>
        <v>2663342.3700000048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601">
        <v>202000</v>
      </c>
      <c r="B16" s="602" t="s">
        <v>1039</v>
      </c>
      <c r="C16" s="603">
        <f t="shared" ref="C16:C17" si="0">SUM(D16,E16)</f>
        <v>-36107010</v>
      </c>
      <c r="D16" s="603">
        <f t="shared" ref="D16" si="1">D17</f>
        <v>0</v>
      </c>
      <c r="E16" s="603">
        <f>E17</f>
        <v>-36107010</v>
      </c>
      <c r="F16" s="603">
        <f t="shared" ref="F16" si="2">F17</f>
        <v>-36107010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3">
        <v>202200</v>
      </c>
      <c r="B17" s="526" t="s">
        <v>1041</v>
      </c>
      <c r="C17" s="594">
        <f t="shared" si="0"/>
        <v>-36107010</v>
      </c>
      <c r="D17" s="594">
        <f>SUM(D18:D19)</f>
        <v>0</v>
      </c>
      <c r="E17" s="594">
        <f>SUM(E18:E19)</f>
        <v>-36107010</v>
      </c>
      <c r="F17" s="594">
        <f>SUM(F18:F19)</f>
        <v>-36107010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5">
        <v>202210</v>
      </c>
      <c r="B18" s="596" t="s">
        <v>1040</v>
      </c>
      <c r="C18" s="597">
        <f>SUM(D18,E18)</f>
        <v>0</v>
      </c>
      <c r="D18" s="594"/>
      <c r="E18" s="597">
        <v>0</v>
      </c>
      <c r="F18" s="597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5">
        <v>202220</v>
      </c>
      <c r="B19" s="596" t="s">
        <v>373</v>
      </c>
      <c r="C19" s="597">
        <f>SUM(D19,E19)</f>
        <v>-36107010</v>
      </c>
      <c r="D19" s="594"/>
      <c r="E19" s="597">
        <f>(-13333400)-22773610</f>
        <v>-36107010</v>
      </c>
      <c r="F19" s="597">
        <f>(-13333400)-22773610</f>
        <v>-36107010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601">
        <v>208000</v>
      </c>
      <c r="B20" s="605" t="s">
        <v>1043</v>
      </c>
      <c r="C20" s="603">
        <f>C21+C24+C22</f>
        <v>99386484.629999995</v>
      </c>
      <c r="D20" s="603">
        <f>D21+D24+D22</f>
        <v>-99861985.330000401</v>
      </c>
      <c r="E20" s="603">
        <f>E21+E24+E22</f>
        <v>199248469.9600004</v>
      </c>
      <c r="F20" s="603">
        <f>F21+F24+F22</f>
        <v>196585127.59000039</v>
      </c>
      <c r="G20" s="243">
        <f>E20-F20</f>
        <v>2663342.3700000048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601" t="s">
        <v>124</v>
      </c>
      <c r="B21" s="602" t="s">
        <v>125</v>
      </c>
      <c r="C21" s="603">
        <f>SUM(D21,E21)</f>
        <v>99386484.629999995</v>
      </c>
      <c r="D21" s="603">
        <f>(((87999302.72)+4887848.69)+1586315)+258125</f>
        <v>94731591.409999996</v>
      </c>
      <c r="E21" s="603">
        <f>(1254557.26+2663342.37)+736993.59</f>
        <v>4654893.22</v>
      </c>
      <c r="F21" s="603">
        <f>(1254557.26)+736993.59</f>
        <v>1991550.85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1046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1047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601">
        <v>208400</v>
      </c>
      <c r="B24" s="602" t="s">
        <v>126</v>
      </c>
      <c r="C24" s="603">
        <f>SUM(D24,E24)</f>
        <v>0</v>
      </c>
      <c r="D24" s="603">
        <f>'d3'!E380-'d1'!D138+'d4'!N17-D21</f>
        <v>-194593576.7400004</v>
      </c>
      <c r="E24" s="603">
        <f>-D24</f>
        <v>194593576.7400004</v>
      </c>
      <c r="F24" s="603">
        <f>E24</f>
        <v>194593576.7400004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3">
        <v>300000</v>
      </c>
      <c r="B25" s="526" t="s">
        <v>370</v>
      </c>
      <c r="C25" s="594">
        <f>C26</f>
        <v>58670000</v>
      </c>
      <c r="D25" s="594">
        <f>D26</f>
        <v>0</v>
      </c>
      <c r="E25" s="594">
        <f>E26</f>
        <v>58670000</v>
      </c>
      <c r="F25" s="594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601">
        <v>301000</v>
      </c>
      <c r="B26" s="602" t="s">
        <v>371</v>
      </c>
      <c r="C26" s="603">
        <f>C27+C28</f>
        <v>58670000</v>
      </c>
      <c r="D26" s="603">
        <f>D27+D28</f>
        <v>0</v>
      </c>
      <c r="E26" s="603">
        <f>E27+E28</f>
        <v>58670000</v>
      </c>
      <c r="F26" s="603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5">
        <v>301100</v>
      </c>
      <c r="B27" s="596" t="s">
        <v>372</v>
      </c>
      <c r="C27" s="597">
        <f>SUM(D27,E27)</f>
        <v>62390000</v>
      </c>
      <c r="D27" s="597"/>
      <c r="E27" s="597">
        <f>50830000+11560000</f>
        <v>62390000</v>
      </c>
      <c r="F27" s="597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5">
        <v>301200</v>
      </c>
      <c r="B28" s="596" t="s">
        <v>373</v>
      </c>
      <c r="C28" s="597">
        <f>SUM(D28,E28)</f>
        <v>-3720000</v>
      </c>
      <c r="D28" s="597"/>
      <c r="E28" s="597">
        <v>-3720000</v>
      </c>
      <c r="F28" s="597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6" t="s">
        <v>396</v>
      </c>
      <c r="B29" s="607" t="s">
        <v>395</v>
      </c>
      <c r="C29" s="608">
        <f>C15+C25</f>
        <v>121949474.63</v>
      </c>
      <c r="D29" s="608">
        <f>D15+D25</f>
        <v>-99861985.330000401</v>
      </c>
      <c r="E29" s="608">
        <f>E15+E25</f>
        <v>221811459.9600004</v>
      </c>
      <c r="F29" s="608">
        <f>F15+F25</f>
        <v>219148117.59000039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896" t="s">
        <v>397</v>
      </c>
      <c r="B30" s="896"/>
      <c r="C30" s="897"/>
      <c r="D30" s="897"/>
      <c r="E30" s="897"/>
      <c r="F30" s="897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3">
        <v>400000</v>
      </c>
      <c r="B31" s="526" t="s">
        <v>127</v>
      </c>
      <c r="C31" s="594">
        <f>C32+C37</f>
        <v>22562990</v>
      </c>
      <c r="D31" s="594">
        <f>D32+D37</f>
        <v>0</v>
      </c>
      <c r="E31" s="594">
        <f>E32+E37</f>
        <v>22562990</v>
      </c>
      <c r="F31" s="594">
        <f>F32+F37</f>
        <v>22562990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601">
        <v>401000</v>
      </c>
      <c r="B32" s="602" t="s">
        <v>128</v>
      </c>
      <c r="C32" s="603">
        <f>C33+C35</f>
        <v>62390000</v>
      </c>
      <c r="D32" s="603">
        <f>D33+D35</f>
        <v>0</v>
      </c>
      <c r="E32" s="603">
        <f>E33+E35</f>
        <v>62390000</v>
      </c>
      <c r="F32" s="603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8">
        <v>401100</v>
      </c>
      <c r="B33" s="599" t="s">
        <v>1042</v>
      </c>
      <c r="C33" s="600">
        <f>C34</f>
        <v>0</v>
      </c>
      <c r="D33" s="600">
        <f>D34</f>
        <v>0</v>
      </c>
      <c r="E33" s="600">
        <f>E34</f>
        <v>0</v>
      </c>
      <c r="F33" s="600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5">
        <v>401101</v>
      </c>
      <c r="B34" s="596" t="s">
        <v>1037</v>
      </c>
      <c r="C34" s="597">
        <f>SUM(D34,E34)</f>
        <v>0</v>
      </c>
      <c r="D34" s="594"/>
      <c r="E34" s="597">
        <v>0</v>
      </c>
      <c r="F34" s="597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8">
        <v>401200</v>
      </c>
      <c r="B35" s="599" t="s">
        <v>374</v>
      </c>
      <c r="C35" s="600">
        <f>SUM(D35,E35)</f>
        <v>62390000</v>
      </c>
      <c r="D35" s="600"/>
      <c r="E35" s="600">
        <f>E36</f>
        <v>62390000</v>
      </c>
      <c r="F35" s="600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5">
        <v>401201</v>
      </c>
      <c r="B36" s="596" t="s">
        <v>1037</v>
      </c>
      <c r="C36" s="597">
        <f>SUM(D36,E36)</f>
        <v>62390000</v>
      </c>
      <c r="D36" s="594"/>
      <c r="E36" s="597">
        <f>50830000+11560000</f>
        <v>62390000</v>
      </c>
      <c r="F36" s="597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601">
        <v>402000</v>
      </c>
      <c r="B37" s="602" t="s">
        <v>375</v>
      </c>
      <c r="C37" s="603">
        <f>C40+C38</f>
        <v>-39827010</v>
      </c>
      <c r="D37" s="603">
        <f>D40+D38</f>
        <v>0</v>
      </c>
      <c r="E37" s="603">
        <f>E40+E38</f>
        <v>-39827010</v>
      </c>
      <c r="F37" s="603">
        <f>F40+F38</f>
        <v>-39827010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8">
        <v>402100</v>
      </c>
      <c r="B38" s="599" t="s">
        <v>1103</v>
      </c>
      <c r="C38" s="600">
        <f>C39</f>
        <v>-36107010</v>
      </c>
      <c r="D38" s="600">
        <f>D39</f>
        <v>0</v>
      </c>
      <c r="E38" s="600">
        <f>E39</f>
        <v>-36107010</v>
      </c>
      <c r="F38" s="600">
        <f>F39</f>
        <v>-36107010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5">
        <v>402101</v>
      </c>
      <c r="B39" s="596" t="s">
        <v>1037</v>
      </c>
      <c r="C39" s="597">
        <f>SUM(D39,E39)</f>
        <v>-36107010</v>
      </c>
      <c r="D39" s="594"/>
      <c r="E39" s="597">
        <f>(-13333400)-22773610</f>
        <v>-36107010</v>
      </c>
      <c r="F39" s="597">
        <f>(-13333400)-22773610</f>
        <v>-36107010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8">
        <v>402200</v>
      </c>
      <c r="B40" s="599" t="s">
        <v>1036</v>
      </c>
      <c r="C40" s="600">
        <f>SUM(C41,C42)</f>
        <v>-3720000</v>
      </c>
      <c r="D40" s="600"/>
      <c r="E40" s="600">
        <f>SUM(E41,E42)</f>
        <v>-3720000</v>
      </c>
      <c r="F40" s="600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5">
        <v>402201</v>
      </c>
      <c r="B41" s="596" t="s">
        <v>1037</v>
      </c>
      <c r="C41" s="597">
        <f>SUM(D41,E41)</f>
        <v>-3720000</v>
      </c>
      <c r="D41" s="594"/>
      <c r="E41" s="597">
        <v>-3720000</v>
      </c>
      <c r="F41" s="597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1038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3" t="s">
        <v>129</v>
      </c>
      <c r="B43" s="526" t="s">
        <v>130</v>
      </c>
      <c r="C43" s="594">
        <f>C44</f>
        <v>99386484.629999995</v>
      </c>
      <c r="D43" s="594">
        <f>D44</f>
        <v>-99861985.330000401</v>
      </c>
      <c r="E43" s="594">
        <f t="shared" ref="E43:F43" si="3">E44</f>
        <v>199248469.9600004</v>
      </c>
      <c r="F43" s="594">
        <f t="shared" si="3"/>
        <v>196585127.59000039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601">
        <v>602000</v>
      </c>
      <c r="B44" s="602" t="s">
        <v>1044</v>
      </c>
      <c r="C44" s="603">
        <f>C45+C48+C46</f>
        <v>99386484.629999995</v>
      </c>
      <c r="D44" s="603">
        <f>D45+D48+D46</f>
        <v>-99861985.330000401</v>
      </c>
      <c r="E44" s="603">
        <f>E45+E48+E46</f>
        <v>199248469.9600004</v>
      </c>
      <c r="F44" s="603">
        <f>F45+F48+F46</f>
        <v>196585127.59000039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8">
        <v>602100</v>
      </c>
      <c r="B45" s="599" t="s">
        <v>1045</v>
      </c>
      <c r="C45" s="600">
        <f>SUM(D45,E45)</f>
        <v>99386484.629999995</v>
      </c>
      <c r="D45" s="600">
        <f>D21</f>
        <v>94731591.409999996</v>
      </c>
      <c r="E45" s="600">
        <f>E21</f>
        <v>4654893.22</v>
      </c>
      <c r="F45" s="600">
        <f>F21</f>
        <v>1991550.85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8">
        <v>602300</v>
      </c>
      <c r="B46" s="599" t="s">
        <v>1046</v>
      </c>
      <c r="C46" s="600">
        <f>SUM(D46,E46)</f>
        <v>0</v>
      </c>
      <c r="D46" s="600">
        <f>D47</f>
        <v>0</v>
      </c>
      <c r="E46" s="600">
        <f>E47</f>
        <v>0</v>
      </c>
      <c r="F46" s="600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5">
        <v>602303</v>
      </c>
      <c r="B47" s="596" t="s">
        <v>1047</v>
      </c>
      <c r="C47" s="597">
        <f>SUM(D47,E47)</f>
        <v>0</v>
      </c>
      <c r="D47" s="597"/>
      <c r="E47" s="597">
        <f>-D47</f>
        <v>0</v>
      </c>
      <c r="F47" s="597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8">
        <v>602400</v>
      </c>
      <c r="B48" s="599" t="s">
        <v>126</v>
      </c>
      <c r="C48" s="600">
        <f>SUM(D48,E48)</f>
        <v>0</v>
      </c>
      <c r="D48" s="600">
        <f>D24</f>
        <v>-194593576.7400004</v>
      </c>
      <c r="E48" s="600">
        <f>E24</f>
        <v>194593576.7400004</v>
      </c>
      <c r="F48" s="600">
        <f>F24</f>
        <v>194593576.7400004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6" t="s">
        <v>396</v>
      </c>
      <c r="B49" s="607" t="s">
        <v>395</v>
      </c>
      <c r="C49" s="608">
        <f>C31+C43</f>
        <v>121949474.63</v>
      </c>
      <c r="D49" s="608">
        <f>D31+D43</f>
        <v>-99861985.330000401</v>
      </c>
      <c r="E49" s="608">
        <f>E31+E43</f>
        <v>221811459.9600004</v>
      </c>
      <c r="F49" s="608">
        <f>F31+F43</f>
        <v>219148117.59000039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886"/>
      <c r="C51" s="886"/>
      <c r="D51" s="886"/>
      <c r="E51" s="886"/>
      <c r="F51" s="886"/>
      <c r="G51" s="886"/>
      <c r="H51" s="886"/>
      <c r="I51" s="886"/>
      <c r="J51" s="886"/>
      <c r="K51" s="886"/>
      <c r="L51" s="886"/>
      <c r="M51" s="886"/>
      <c r="N51" s="886"/>
      <c r="O51" s="886"/>
    </row>
    <row r="52" spans="1:17" ht="16.5" customHeight="1" x14ac:dyDescent="0.65">
      <c r="A52" s="25"/>
      <c r="B52" s="782" t="s">
        <v>1362</v>
      </c>
      <c r="C52" s="781"/>
      <c r="D52" s="781"/>
      <c r="E52" s="183"/>
      <c r="F52" s="183" t="s">
        <v>1363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887" t="s">
        <v>544</v>
      </c>
      <c r="C53" s="887"/>
      <c r="D53" s="888"/>
      <c r="E53" s="25"/>
      <c r="F53" s="26" t="s">
        <v>545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31.5" customHeight="1" x14ac:dyDescent="0.25">
      <c r="B55" s="1075" t="s">
        <v>1398</v>
      </c>
      <c r="C55" s="1076"/>
      <c r="F55" s="49" t="s">
        <v>1400</v>
      </c>
    </row>
  </sheetData>
  <mergeCells count="14">
    <mergeCell ref="B55:C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9"/>
  <sheetViews>
    <sheetView view="pageBreakPreview" zoomScale="27" zoomScaleNormal="25" zoomScaleSheetLayoutView="27" zoomScalePageLayoutView="10" workbookViewId="0">
      <pane ySplit="14" topLeftCell="A380" activePane="bottomLeft" state="frozen"/>
      <selection activeCell="F35" sqref="F35"/>
      <selection pane="bottomLeft" activeCell="D395" sqref="D395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3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934" t="s">
        <v>511</v>
      </c>
      <c r="O1" s="885"/>
      <c r="P1" s="885"/>
      <c r="Q1" s="885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934" t="s">
        <v>1349</v>
      </c>
      <c r="O2" s="935"/>
      <c r="P2" s="935"/>
      <c r="Q2" s="935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934"/>
      <c r="P3" s="936"/>
      <c r="Q3" s="612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12"/>
    </row>
    <row r="5" spans="1:18" ht="45" x14ac:dyDescent="0.2">
      <c r="A5" s="937" t="s">
        <v>592</v>
      </c>
      <c r="B5" s="937"/>
      <c r="C5" s="937"/>
      <c r="D5" s="937"/>
      <c r="E5" s="937"/>
      <c r="F5" s="937"/>
      <c r="G5" s="937"/>
      <c r="H5" s="937"/>
      <c r="I5" s="937"/>
      <c r="J5" s="937"/>
      <c r="K5" s="937"/>
      <c r="L5" s="937"/>
      <c r="M5" s="937"/>
      <c r="N5" s="937"/>
      <c r="O5" s="937"/>
      <c r="P5" s="937"/>
      <c r="Q5" s="612"/>
    </row>
    <row r="6" spans="1:18" ht="45" x14ac:dyDescent="0.2">
      <c r="A6" s="937" t="s">
        <v>1219</v>
      </c>
      <c r="B6" s="937"/>
      <c r="C6" s="937"/>
      <c r="D6" s="937"/>
      <c r="E6" s="937"/>
      <c r="F6" s="937"/>
      <c r="G6" s="937"/>
      <c r="H6" s="937"/>
      <c r="I6" s="937"/>
      <c r="J6" s="937"/>
      <c r="K6" s="937"/>
      <c r="L6" s="937"/>
      <c r="M6" s="937"/>
      <c r="N6" s="937"/>
      <c r="O6" s="937"/>
      <c r="P6" s="937"/>
      <c r="Q6" s="612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12"/>
    </row>
    <row r="8" spans="1:18" ht="45.75" x14ac:dyDescent="0.65">
      <c r="A8" s="938">
        <v>22564000000</v>
      </c>
      <c r="B8" s="939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12"/>
    </row>
    <row r="9" spans="1:18" ht="45.75" x14ac:dyDescent="0.2">
      <c r="A9" s="943" t="s">
        <v>508</v>
      </c>
      <c r="B9" s="944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12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419</v>
      </c>
      <c r="Q10" s="612"/>
    </row>
    <row r="11" spans="1:18" ht="62.45" customHeight="1" thickTop="1" thickBot="1" x14ac:dyDescent="0.25">
      <c r="A11" s="942" t="s">
        <v>509</v>
      </c>
      <c r="B11" s="942" t="s">
        <v>510</v>
      </c>
      <c r="C11" s="942" t="s">
        <v>405</v>
      </c>
      <c r="D11" s="942" t="s">
        <v>600</v>
      </c>
      <c r="E11" s="940" t="s">
        <v>12</v>
      </c>
      <c r="F11" s="940"/>
      <c r="G11" s="940"/>
      <c r="H11" s="940"/>
      <c r="I11" s="940"/>
      <c r="J11" s="940" t="s">
        <v>54</v>
      </c>
      <c r="K11" s="940"/>
      <c r="L11" s="940"/>
      <c r="M11" s="940"/>
      <c r="N11" s="940"/>
      <c r="O11" s="941"/>
      <c r="P11" s="940" t="s">
        <v>11</v>
      </c>
    </row>
    <row r="12" spans="1:18" ht="96" customHeight="1" thickTop="1" thickBot="1" x14ac:dyDescent="0.25">
      <c r="A12" s="940"/>
      <c r="B12" s="945"/>
      <c r="C12" s="945"/>
      <c r="D12" s="940"/>
      <c r="E12" s="942" t="s">
        <v>399</v>
      </c>
      <c r="F12" s="942" t="s">
        <v>55</v>
      </c>
      <c r="G12" s="942" t="s">
        <v>13</v>
      </c>
      <c r="H12" s="942"/>
      <c r="I12" s="942" t="s">
        <v>57</v>
      </c>
      <c r="J12" s="942" t="s">
        <v>399</v>
      </c>
      <c r="K12" s="942" t="s">
        <v>400</v>
      </c>
      <c r="L12" s="942" t="s">
        <v>55</v>
      </c>
      <c r="M12" s="942" t="s">
        <v>13</v>
      </c>
      <c r="N12" s="942"/>
      <c r="O12" s="942" t="s">
        <v>57</v>
      </c>
      <c r="P12" s="940"/>
    </row>
    <row r="13" spans="1:18" ht="328.7" customHeight="1" thickTop="1" thickBot="1" x14ac:dyDescent="0.25">
      <c r="A13" s="945"/>
      <c r="B13" s="945"/>
      <c r="C13" s="945"/>
      <c r="D13" s="945"/>
      <c r="E13" s="942"/>
      <c r="F13" s="942"/>
      <c r="G13" s="391" t="s">
        <v>56</v>
      </c>
      <c r="H13" s="391" t="s">
        <v>15</v>
      </c>
      <c r="I13" s="942"/>
      <c r="J13" s="942"/>
      <c r="K13" s="942"/>
      <c r="L13" s="942"/>
      <c r="M13" s="391" t="s">
        <v>56</v>
      </c>
      <c r="N13" s="391" t="s">
        <v>15</v>
      </c>
      <c r="O13" s="942"/>
      <c r="P13" s="940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4"/>
      <c r="R14" s="251"/>
    </row>
    <row r="15" spans="1:18" s="252" customFormat="1" ht="136.5" thickTop="1" thickBot="1" x14ac:dyDescent="0.25">
      <c r="A15" s="827" t="s">
        <v>156</v>
      </c>
      <c r="B15" s="827"/>
      <c r="C15" s="827"/>
      <c r="D15" s="828" t="s">
        <v>158</v>
      </c>
      <c r="E15" s="829">
        <f>E16</f>
        <v>175830415</v>
      </c>
      <c r="F15" s="830">
        <f t="shared" ref="F15:N15" si="0">F16</f>
        <v>175830415</v>
      </c>
      <c r="G15" s="830">
        <f t="shared" si="0"/>
        <v>97388110</v>
      </c>
      <c r="H15" s="830">
        <f t="shared" si="0"/>
        <v>5754505</v>
      </c>
      <c r="I15" s="830">
        <f t="shared" si="0"/>
        <v>0</v>
      </c>
      <c r="J15" s="829">
        <f t="shared" si="0"/>
        <v>11651653.369999997</v>
      </c>
      <c r="K15" s="830">
        <f t="shared" si="0"/>
        <v>5637311</v>
      </c>
      <c r="L15" s="830">
        <f t="shared" si="0"/>
        <v>5814342.3699999982</v>
      </c>
      <c r="M15" s="830">
        <f t="shared" si="0"/>
        <v>0</v>
      </c>
      <c r="N15" s="830">
        <f t="shared" si="0"/>
        <v>0</v>
      </c>
      <c r="O15" s="829">
        <f>O16</f>
        <v>5837311</v>
      </c>
      <c r="P15" s="830">
        <f t="shared" ref="P15" si="1">P16</f>
        <v>187482068.37</v>
      </c>
      <c r="Q15" s="615"/>
      <c r="R15" s="254"/>
    </row>
    <row r="16" spans="1:18" s="252" customFormat="1" ht="136.5" thickTop="1" thickBot="1" x14ac:dyDescent="0.25">
      <c r="A16" s="831" t="s">
        <v>157</v>
      </c>
      <c r="B16" s="831"/>
      <c r="C16" s="831"/>
      <c r="D16" s="832" t="s">
        <v>159</v>
      </c>
      <c r="E16" s="833">
        <f>E17+E22+E32+E38</f>
        <v>175830415</v>
      </c>
      <c r="F16" s="833">
        <f>F17+F22+F32+F38</f>
        <v>175830415</v>
      </c>
      <c r="G16" s="833">
        <f>G17+G22+G32+G38</f>
        <v>97388110</v>
      </c>
      <c r="H16" s="833">
        <f>H17+H22+H32+H38</f>
        <v>5754505</v>
      </c>
      <c r="I16" s="833">
        <f>I17+I22+I32+I38</f>
        <v>0</v>
      </c>
      <c r="J16" s="833">
        <f>L16+O16</f>
        <v>11651653.369999997</v>
      </c>
      <c r="K16" s="833">
        <f>K17+K22+K32+K38</f>
        <v>5637311</v>
      </c>
      <c r="L16" s="833">
        <f>L17+L22+L32+L38</f>
        <v>5814342.3699999982</v>
      </c>
      <c r="M16" s="833">
        <f>M17+M22+M32+M38</f>
        <v>0</v>
      </c>
      <c r="N16" s="833">
        <f>N17+N22+N32+N38</f>
        <v>0</v>
      </c>
      <c r="O16" s="833">
        <f>O17+O22+O32+O38</f>
        <v>5837311</v>
      </c>
      <c r="P16" s="833">
        <f>E16+J16</f>
        <v>187482068.37</v>
      </c>
      <c r="Q16" s="616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442">
        <f>SUM(E18:E21)</f>
        <v>134439015</v>
      </c>
      <c r="F17" s="442">
        <f>SUM(F18:F21)</f>
        <v>134439015</v>
      </c>
      <c r="G17" s="442">
        <f t="shared" ref="G17:P17" si="2">SUM(G18:G21)</f>
        <v>97388110</v>
      </c>
      <c r="H17" s="442">
        <f t="shared" si="2"/>
        <v>5754505</v>
      </c>
      <c r="I17" s="442">
        <f t="shared" si="2"/>
        <v>0</v>
      </c>
      <c r="J17" s="442">
        <f t="shared" si="2"/>
        <v>500000</v>
      </c>
      <c r="K17" s="442">
        <f t="shared" si="2"/>
        <v>500000</v>
      </c>
      <c r="L17" s="442">
        <f t="shared" si="2"/>
        <v>0</v>
      </c>
      <c r="M17" s="442">
        <f t="shared" si="2"/>
        <v>0</v>
      </c>
      <c r="N17" s="442">
        <f t="shared" si="2"/>
        <v>0</v>
      </c>
      <c r="O17" s="442">
        <f t="shared" si="2"/>
        <v>500000</v>
      </c>
      <c r="P17" s="442">
        <f t="shared" si="2"/>
        <v>134939015</v>
      </c>
      <c r="Q17" s="617"/>
      <c r="R17" s="257"/>
    </row>
    <row r="18" spans="1:18" ht="321.75" thickTop="1" thickBot="1" x14ac:dyDescent="0.25">
      <c r="A18" s="224" t="s">
        <v>244</v>
      </c>
      <c r="B18" s="224" t="s">
        <v>245</v>
      </c>
      <c r="C18" s="224" t="s">
        <v>246</v>
      </c>
      <c r="D18" s="224" t="s">
        <v>243</v>
      </c>
      <c r="E18" s="442">
        <f t="shared" ref="E18:E40" si="3">F18</f>
        <v>131090735</v>
      </c>
      <c r="F18" s="446">
        <v>131090735</v>
      </c>
      <c r="G18" s="446">
        <v>97388110</v>
      </c>
      <c r="H18" s="446">
        <f>3475400+120000+1745920+348985+64200</f>
        <v>5754505</v>
      </c>
      <c r="I18" s="446"/>
      <c r="J18" s="442">
        <f t="shared" ref="J18:J27" si="4">L18+O18</f>
        <v>500000</v>
      </c>
      <c r="K18" s="446">
        <v>500000</v>
      </c>
      <c r="L18" s="458"/>
      <c r="M18" s="480"/>
      <c r="N18" s="480"/>
      <c r="O18" s="444">
        <f t="shared" ref="O18:O27" si="5">K18</f>
        <v>500000</v>
      </c>
      <c r="P18" s="442">
        <f>+J18+E18</f>
        <v>131590735</v>
      </c>
      <c r="Q18" s="618"/>
      <c r="R18" s="263"/>
    </row>
    <row r="19" spans="1:18" ht="230.25" hidden="1" thickTop="1" thickBot="1" x14ac:dyDescent="0.25">
      <c r="A19" s="224" t="s">
        <v>613</v>
      </c>
      <c r="B19" s="224" t="s">
        <v>248</v>
      </c>
      <c r="C19" s="224" t="s">
        <v>246</v>
      </c>
      <c r="D19" s="224" t="s">
        <v>247</v>
      </c>
      <c r="E19" s="442">
        <f t="shared" ref="E19" si="6">F19</f>
        <v>0</v>
      </c>
      <c r="F19" s="446"/>
      <c r="G19" s="446"/>
      <c r="H19" s="446"/>
      <c r="I19" s="446"/>
      <c r="J19" s="442">
        <f t="shared" ref="J19" si="7">L19+O19</f>
        <v>0</v>
      </c>
      <c r="K19" s="446"/>
      <c r="L19" s="458"/>
      <c r="M19" s="480"/>
      <c r="N19" s="480"/>
      <c r="O19" s="444">
        <f t="shared" si="5"/>
        <v>0</v>
      </c>
      <c r="P19" s="442">
        <f>+J19+E19</f>
        <v>0</v>
      </c>
      <c r="Q19" s="618"/>
      <c r="R19" s="263"/>
    </row>
    <row r="20" spans="1:18" ht="184.5" thickTop="1" thickBot="1" x14ac:dyDescent="0.25">
      <c r="A20" s="447" t="s">
        <v>661</v>
      </c>
      <c r="B20" s="447" t="s">
        <v>376</v>
      </c>
      <c r="C20" s="447" t="s">
        <v>662</v>
      </c>
      <c r="D20" s="447" t="s">
        <v>663</v>
      </c>
      <c r="E20" s="448">
        <f t="shared" ref="E20" si="8">F20</f>
        <v>49000</v>
      </c>
      <c r="F20" s="449">
        <v>49000</v>
      </c>
      <c r="G20" s="449"/>
      <c r="H20" s="449"/>
      <c r="I20" s="449"/>
      <c r="J20" s="448">
        <f t="shared" ref="J20" si="9">L20+O20</f>
        <v>0</v>
      </c>
      <c r="K20" s="449"/>
      <c r="L20" s="459"/>
      <c r="M20" s="460"/>
      <c r="N20" s="460"/>
      <c r="O20" s="461">
        <f t="shared" si="5"/>
        <v>0</v>
      </c>
      <c r="P20" s="448">
        <f>+J20+E20</f>
        <v>49000</v>
      </c>
      <c r="Q20" s="618"/>
      <c r="R20" s="267"/>
    </row>
    <row r="21" spans="1:18" ht="93" thickTop="1" thickBot="1" x14ac:dyDescent="0.25">
      <c r="A21" s="447" t="s">
        <v>259</v>
      </c>
      <c r="B21" s="447" t="s">
        <v>45</v>
      </c>
      <c r="C21" s="447" t="s">
        <v>44</v>
      </c>
      <c r="D21" s="447" t="s">
        <v>260</v>
      </c>
      <c r="E21" s="448">
        <f t="shared" si="3"/>
        <v>3299280</v>
      </c>
      <c r="F21" s="464">
        <v>3299280</v>
      </c>
      <c r="G21" s="464"/>
      <c r="H21" s="464"/>
      <c r="I21" s="464"/>
      <c r="J21" s="448">
        <f t="shared" si="4"/>
        <v>0</v>
      </c>
      <c r="K21" s="464"/>
      <c r="L21" s="464"/>
      <c r="M21" s="464"/>
      <c r="N21" s="464"/>
      <c r="O21" s="461">
        <f t="shared" si="5"/>
        <v>0</v>
      </c>
      <c r="P21" s="448">
        <f>E21+J21</f>
        <v>3299280</v>
      </c>
      <c r="Q21" s="618"/>
      <c r="R21" s="267"/>
    </row>
    <row r="22" spans="1:18" s="258" customFormat="1" ht="47.25" thickTop="1" thickBot="1" x14ac:dyDescent="0.3">
      <c r="A22" s="151" t="s">
        <v>791</v>
      </c>
      <c r="B22" s="465" t="s">
        <v>792</v>
      </c>
      <c r="C22" s="465"/>
      <c r="D22" s="465" t="s">
        <v>793</v>
      </c>
      <c r="E22" s="448">
        <f t="shared" ref="E22:P22" si="10">SUM(E23:E31)-E23-E26-E28</f>
        <v>7171190</v>
      </c>
      <c r="F22" s="448">
        <f t="shared" si="10"/>
        <v>7171190</v>
      </c>
      <c r="G22" s="448">
        <f t="shared" si="10"/>
        <v>0</v>
      </c>
      <c r="H22" s="448">
        <f t="shared" si="10"/>
        <v>0</v>
      </c>
      <c r="I22" s="448">
        <f t="shared" si="10"/>
        <v>0</v>
      </c>
      <c r="J22" s="448">
        <f t="shared" si="10"/>
        <v>7014342.3699999982</v>
      </c>
      <c r="K22" s="448">
        <f t="shared" si="10"/>
        <v>1000000</v>
      </c>
      <c r="L22" s="448">
        <f t="shared" si="10"/>
        <v>5814342.3699999982</v>
      </c>
      <c r="M22" s="448">
        <f t="shared" si="10"/>
        <v>0</v>
      </c>
      <c r="N22" s="448">
        <f t="shared" si="10"/>
        <v>0</v>
      </c>
      <c r="O22" s="448">
        <f t="shared" si="10"/>
        <v>1200000</v>
      </c>
      <c r="P22" s="448">
        <f t="shared" si="10"/>
        <v>14185532.369999997</v>
      </c>
      <c r="Q22" s="619"/>
      <c r="R22" s="269"/>
    </row>
    <row r="23" spans="1:18" s="272" customFormat="1" ht="91.5" thickTop="1" thickBot="1" x14ac:dyDescent="0.25">
      <c r="A23" s="466" t="s">
        <v>729</v>
      </c>
      <c r="B23" s="466" t="s">
        <v>730</v>
      </c>
      <c r="C23" s="466"/>
      <c r="D23" s="466" t="s">
        <v>731</v>
      </c>
      <c r="E23" s="467">
        <f t="shared" ref="E23:P23" si="11">SUM(E24:E25)</f>
        <v>4612300</v>
      </c>
      <c r="F23" s="467">
        <f t="shared" si="11"/>
        <v>4612300</v>
      </c>
      <c r="G23" s="467">
        <f t="shared" si="11"/>
        <v>0</v>
      </c>
      <c r="H23" s="467">
        <f t="shared" si="11"/>
        <v>0</v>
      </c>
      <c r="I23" s="467">
        <f t="shared" si="11"/>
        <v>0</v>
      </c>
      <c r="J23" s="467">
        <f t="shared" si="11"/>
        <v>1000000</v>
      </c>
      <c r="K23" s="467">
        <f t="shared" si="11"/>
        <v>1000000</v>
      </c>
      <c r="L23" s="467">
        <f t="shared" si="11"/>
        <v>0</v>
      </c>
      <c r="M23" s="467">
        <f t="shared" si="11"/>
        <v>0</v>
      </c>
      <c r="N23" s="467">
        <f t="shared" si="11"/>
        <v>0</v>
      </c>
      <c r="O23" s="467">
        <f t="shared" si="11"/>
        <v>1000000</v>
      </c>
      <c r="P23" s="467">
        <f t="shared" si="11"/>
        <v>5612300</v>
      </c>
      <c r="Q23" s="620"/>
      <c r="R23" s="271"/>
    </row>
    <row r="24" spans="1:18" ht="93" thickTop="1" thickBot="1" x14ac:dyDescent="0.25">
      <c r="A24" s="447" t="s">
        <v>250</v>
      </c>
      <c r="B24" s="447" t="s">
        <v>251</v>
      </c>
      <c r="C24" s="447" t="s">
        <v>252</v>
      </c>
      <c r="D24" s="447" t="s">
        <v>249</v>
      </c>
      <c r="E24" s="448">
        <f t="shared" si="3"/>
        <v>4612300</v>
      </c>
      <c r="F24" s="464">
        <v>4612300</v>
      </c>
      <c r="G24" s="464"/>
      <c r="H24" s="464"/>
      <c r="I24" s="464"/>
      <c r="J24" s="448">
        <f t="shared" si="4"/>
        <v>1000000</v>
      </c>
      <c r="K24" s="464">
        <v>1000000</v>
      </c>
      <c r="L24" s="464"/>
      <c r="M24" s="464"/>
      <c r="N24" s="464"/>
      <c r="O24" s="461">
        <f t="shared" si="5"/>
        <v>1000000</v>
      </c>
      <c r="P24" s="448">
        <f>+J24+E24</f>
        <v>5612300</v>
      </c>
      <c r="Q24" s="618"/>
      <c r="R24" s="263"/>
    </row>
    <row r="25" spans="1:18" ht="230.25" hidden="1" thickTop="1" thickBot="1" x14ac:dyDescent="0.25">
      <c r="A25" s="264" t="s">
        <v>1051</v>
      </c>
      <c r="B25" s="264" t="s">
        <v>1052</v>
      </c>
      <c r="C25" s="264" t="s">
        <v>252</v>
      </c>
      <c r="D25" s="264" t="s">
        <v>1053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8"/>
      <c r="R25" s="263"/>
    </row>
    <row r="26" spans="1:18" s="274" customFormat="1" ht="136.5" thickTop="1" thickBot="1" x14ac:dyDescent="0.25">
      <c r="A26" s="468" t="s">
        <v>733</v>
      </c>
      <c r="B26" s="468" t="s">
        <v>734</v>
      </c>
      <c r="C26" s="468"/>
      <c r="D26" s="468" t="s">
        <v>732</v>
      </c>
      <c r="E26" s="467">
        <f>SUM(E27)+E28</f>
        <v>2558890</v>
      </c>
      <c r="F26" s="467">
        <f t="shared" ref="F26:P26" si="12">SUM(F27)+F28</f>
        <v>2558890</v>
      </c>
      <c r="G26" s="467">
        <f t="shared" si="12"/>
        <v>0</v>
      </c>
      <c r="H26" s="467">
        <f t="shared" si="12"/>
        <v>0</v>
      </c>
      <c r="I26" s="467">
        <f t="shared" si="12"/>
        <v>0</v>
      </c>
      <c r="J26" s="467">
        <f t="shared" si="12"/>
        <v>6014342.3700000001</v>
      </c>
      <c r="K26" s="467">
        <f t="shared" si="12"/>
        <v>0</v>
      </c>
      <c r="L26" s="467">
        <f t="shared" si="12"/>
        <v>5814342.3700000001</v>
      </c>
      <c r="M26" s="467">
        <f t="shared" si="12"/>
        <v>0</v>
      </c>
      <c r="N26" s="467">
        <f t="shared" si="12"/>
        <v>0</v>
      </c>
      <c r="O26" s="467">
        <f t="shared" si="12"/>
        <v>200000</v>
      </c>
      <c r="P26" s="467">
        <f t="shared" si="12"/>
        <v>8573232.370000001</v>
      </c>
      <c r="Q26" s="621"/>
      <c r="R26" s="273"/>
    </row>
    <row r="27" spans="1:18" ht="138.75" thickTop="1" thickBot="1" x14ac:dyDescent="0.25">
      <c r="A27" s="447" t="s">
        <v>312</v>
      </c>
      <c r="B27" s="447" t="s">
        <v>313</v>
      </c>
      <c r="C27" s="447" t="s">
        <v>178</v>
      </c>
      <c r="D27" s="447" t="s">
        <v>459</v>
      </c>
      <c r="E27" s="448">
        <f t="shared" si="3"/>
        <v>380000</v>
      </c>
      <c r="F27" s="464">
        <v>380000</v>
      </c>
      <c r="G27" s="464"/>
      <c r="H27" s="464"/>
      <c r="I27" s="464"/>
      <c r="J27" s="448">
        <f t="shared" si="4"/>
        <v>0</v>
      </c>
      <c r="K27" s="464"/>
      <c r="L27" s="464"/>
      <c r="M27" s="464"/>
      <c r="N27" s="464"/>
      <c r="O27" s="461">
        <f t="shared" si="5"/>
        <v>0</v>
      </c>
      <c r="P27" s="448">
        <f>+J27+E27</f>
        <v>380000</v>
      </c>
      <c r="Q27" s="618"/>
      <c r="R27" s="267"/>
    </row>
    <row r="28" spans="1:18" s="274" customFormat="1" ht="48" thickTop="1" thickBot="1" x14ac:dyDescent="0.25">
      <c r="A28" s="469" t="s">
        <v>736</v>
      </c>
      <c r="B28" s="469" t="s">
        <v>737</v>
      </c>
      <c r="C28" s="469"/>
      <c r="D28" s="470" t="s">
        <v>735</v>
      </c>
      <c r="E28" s="471">
        <f>SUM(E29:E31)</f>
        <v>2178890</v>
      </c>
      <c r="F28" s="471">
        <f t="shared" ref="F28:O28" si="13">SUM(F29:F31)</f>
        <v>2178890</v>
      </c>
      <c r="G28" s="471">
        <f t="shared" si="13"/>
        <v>0</v>
      </c>
      <c r="H28" s="471">
        <f t="shared" si="13"/>
        <v>0</v>
      </c>
      <c r="I28" s="471">
        <f t="shared" si="13"/>
        <v>0</v>
      </c>
      <c r="J28" s="471">
        <f t="shared" si="13"/>
        <v>6014342.3700000001</v>
      </c>
      <c r="K28" s="471">
        <f t="shared" si="13"/>
        <v>0</v>
      </c>
      <c r="L28" s="471">
        <f t="shared" si="13"/>
        <v>5814342.3700000001</v>
      </c>
      <c r="M28" s="471">
        <f t="shared" si="13"/>
        <v>0</v>
      </c>
      <c r="N28" s="471">
        <f t="shared" si="13"/>
        <v>0</v>
      </c>
      <c r="O28" s="471">
        <f t="shared" si="13"/>
        <v>200000</v>
      </c>
      <c r="P28" s="471">
        <f>E28+J28</f>
        <v>8193232.3700000001</v>
      </c>
      <c r="Q28" s="621"/>
      <c r="R28" s="276"/>
    </row>
    <row r="29" spans="1:18" s="272" customFormat="1" ht="361.5" customHeight="1" thickTop="1" thickBot="1" x14ac:dyDescent="0.7">
      <c r="A29" s="925" t="s">
        <v>353</v>
      </c>
      <c r="B29" s="925" t="s">
        <v>352</v>
      </c>
      <c r="C29" s="925" t="s">
        <v>178</v>
      </c>
      <c r="D29" s="473" t="s">
        <v>457</v>
      </c>
      <c r="E29" s="953">
        <f t="shared" si="3"/>
        <v>0</v>
      </c>
      <c r="F29" s="923"/>
      <c r="G29" s="923"/>
      <c r="H29" s="923"/>
      <c r="I29" s="923"/>
      <c r="J29" s="954">
        <f>L29+O29</f>
        <v>6014342.3700000001</v>
      </c>
      <c r="K29" s="923"/>
      <c r="L29" s="923">
        <f>(3151000)+2663342.37</f>
        <v>5814342.3700000001</v>
      </c>
      <c r="M29" s="923"/>
      <c r="N29" s="923"/>
      <c r="O29" s="949">
        <v>200000</v>
      </c>
      <c r="P29" s="951">
        <f>E29+J29</f>
        <v>6014342.3700000001</v>
      </c>
      <c r="Q29" s="622"/>
      <c r="R29" s="277"/>
    </row>
    <row r="30" spans="1:18" s="272" customFormat="1" ht="184.5" thickTop="1" thickBot="1" x14ac:dyDescent="0.25">
      <c r="A30" s="927"/>
      <c r="B30" s="926"/>
      <c r="C30" s="927"/>
      <c r="D30" s="475" t="s">
        <v>458</v>
      </c>
      <c r="E30" s="927"/>
      <c r="F30" s="924"/>
      <c r="G30" s="924"/>
      <c r="H30" s="924"/>
      <c r="I30" s="924"/>
      <c r="J30" s="955"/>
      <c r="K30" s="924"/>
      <c r="L30" s="924"/>
      <c r="M30" s="924"/>
      <c r="N30" s="924"/>
      <c r="O30" s="950"/>
      <c r="P30" s="952"/>
      <c r="Q30" s="623"/>
      <c r="R30" s="277"/>
    </row>
    <row r="31" spans="1:18" s="272" customFormat="1" ht="93" thickTop="1" thickBot="1" x14ac:dyDescent="0.25">
      <c r="A31" s="224" t="s">
        <v>972</v>
      </c>
      <c r="B31" s="224" t="s">
        <v>269</v>
      </c>
      <c r="C31" s="224" t="s">
        <v>178</v>
      </c>
      <c r="D31" s="224" t="s">
        <v>267</v>
      </c>
      <c r="E31" s="448">
        <f>F31</f>
        <v>2178890</v>
      </c>
      <c r="F31" s="464">
        <v>2178890</v>
      </c>
      <c r="G31" s="464"/>
      <c r="H31" s="464"/>
      <c r="I31" s="464"/>
      <c r="J31" s="448">
        <f>L31+O31</f>
        <v>0</v>
      </c>
      <c r="K31" s="464"/>
      <c r="L31" s="464"/>
      <c r="M31" s="464"/>
      <c r="N31" s="464"/>
      <c r="O31" s="461"/>
      <c r="P31" s="448">
        <f>E31+J31</f>
        <v>2178890</v>
      </c>
      <c r="Q31" s="623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442">
        <f t="shared" ref="E32:P32" si="14">E36+E33</f>
        <v>19786510</v>
      </c>
      <c r="F32" s="757">
        <f t="shared" si="14"/>
        <v>19786510</v>
      </c>
      <c r="G32" s="757">
        <f t="shared" si="14"/>
        <v>0</v>
      </c>
      <c r="H32" s="757">
        <f t="shared" si="14"/>
        <v>0</v>
      </c>
      <c r="I32" s="757">
        <f t="shared" si="14"/>
        <v>0</v>
      </c>
      <c r="J32" s="757">
        <f t="shared" si="14"/>
        <v>695600</v>
      </c>
      <c r="K32" s="757">
        <f t="shared" si="14"/>
        <v>695600</v>
      </c>
      <c r="L32" s="757">
        <f t="shared" si="14"/>
        <v>0</v>
      </c>
      <c r="M32" s="757">
        <f t="shared" si="14"/>
        <v>0</v>
      </c>
      <c r="N32" s="757">
        <f t="shared" si="14"/>
        <v>0</v>
      </c>
      <c r="O32" s="757">
        <f t="shared" si="14"/>
        <v>695600</v>
      </c>
      <c r="P32" s="757">
        <f t="shared" si="14"/>
        <v>20482110</v>
      </c>
      <c r="Q32" s="623"/>
      <c r="R32" s="277"/>
    </row>
    <row r="33" spans="1:20" s="272" customFormat="1" ht="103.5" customHeight="1" thickTop="1" thickBot="1" x14ac:dyDescent="0.25">
      <c r="A33" s="466" t="s">
        <v>1339</v>
      </c>
      <c r="B33" s="466" t="s">
        <v>1340</v>
      </c>
      <c r="C33" s="466"/>
      <c r="D33" s="466" t="s">
        <v>1338</v>
      </c>
      <c r="E33" s="467">
        <f t="shared" ref="E33:P33" si="15">SUM(E34:E35)</f>
        <v>12473315</v>
      </c>
      <c r="F33" s="467">
        <f t="shared" si="15"/>
        <v>12473315</v>
      </c>
      <c r="G33" s="467">
        <f t="shared" si="15"/>
        <v>0</v>
      </c>
      <c r="H33" s="467">
        <f t="shared" si="15"/>
        <v>0</v>
      </c>
      <c r="I33" s="467">
        <f t="shared" si="15"/>
        <v>0</v>
      </c>
      <c r="J33" s="467">
        <f t="shared" si="15"/>
        <v>695600</v>
      </c>
      <c r="K33" s="467">
        <f t="shared" si="15"/>
        <v>695600</v>
      </c>
      <c r="L33" s="467">
        <f t="shared" si="15"/>
        <v>0</v>
      </c>
      <c r="M33" s="467">
        <f t="shared" si="15"/>
        <v>0</v>
      </c>
      <c r="N33" s="467">
        <f t="shared" si="15"/>
        <v>0</v>
      </c>
      <c r="O33" s="467">
        <f t="shared" si="15"/>
        <v>695600</v>
      </c>
      <c r="P33" s="467">
        <f t="shared" si="15"/>
        <v>13168915</v>
      </c>
      <c r="Q33" s="623"/>
      <c r="R33" s="277"/>
    </row>
    <row r="34" spans="1:20" s="272" customFormat="1" ht="103.5" customHeight="1" thickTop="1" thickBot="1" x14ac:dyDescent="0.25">
      <c r="A34" s="859" t="s">
        <v>1385</v>
      </c>
      <c r="B34" s="859" t="s">
        <v>1386</v>
      </c>
      <c r="C34" s="859" t="s">
        <v>1342</v>
      </c>
      <c r="D34" s="859" t="s">
        <v>1387</v>
      </c>
      <c r="E34" s="860">
        <f>F34</f>
        <v>600000</v>
      </c>
      <c r="F34" s="464">
        <v>600000</v>
      </c>
      <c r="G34" s="464"/>
      <c r="H34" s="464"/>
      <c r="I34" s="464"/>
      <c r="J34" s="860">
        <f>L34+O34</f>
        <v>0</v>
      </c>
      <c r="K34" s="464"/>
      <c r="L34" s="464"/>
      <c r="M34" s="464"/>
      <c r="N34" s="464"/>
      <c r="O34" s="461">
        <f>K34</f>
        <v>0</v>
      </c>
      <c r="P34" s="860">
        <f>E34+J34</f>
        <v>600000</v>
      </c>
      <c r="Q34" s="623"/>
      <c r="R34" s="277"/>
    </row>
    <row r="35" spans="1:20" s="272" customFormat="1" ht="93" thickTop="1" thickBot="1" x14ac:dyDescent="0.25">
      <c r="A35" s="758" t="s">
        <v>1343</v>
      </c>
      <c r="B35" s="758" t="s">
        <v>1344</v>
      </c>
      <c r="C35" s="758" t="s">
        <v>1342</v>
      </c>
      <c r="D35" s="758" t="s">
        <v>1341</v>
      </c>
      <c r="E35" s="759">
        <f>F35</f>
        <v>11873315</v>
      </c>
      <c r="F35" s="464">
        <f>((((((14000000+3750000)+432000)-8450000-450000)+608000)+688315)+290000)+1005000</f>
        <v>11873315</v>
      </c>
      <c r="G35" s="464"/>
      <c r="H35" s="464"/>
      <c r="I35" s="464"/>
      <c r="J35" s="759">
        <f>L35+O35</f>
        <v>695600</v>
      </c>
      <c r="K35" s="464">
        <v>695600</v>
      </c>
      <c r="L35" s="464"/>
      <c r="M35" s="464"/>
      <c r="N35" s="464"/>
      <c r="O35" s="461">
        <f>K35</f>
        <v>695600</v>
      </c>
      <c r="P35" s="759">
        <f>E35+J35</f>
        <v>12568915</v>
      </c>
      <c r="Q35" s="623"/>
      <c r="R35" s="277"/>
    </row>
    <row r="36" spans="1:20" s="272" customFormat="1" ht="47.25" thickTop="1" thickBot="1" x14ac:dyDescent="0.25">
      <c r="A36" s="466" t="s">
        <v>741</v>
      </c>
      <c r="B36" s="466" t="s">
        <v>742</v>
      </c>
      <c r="C36" s="466"/>
      <c r="D36" s="466" t="s">
        <v>743</v>
      </c>
      <c r="E36" s="467">
        <f>SUM(E37)</f>
        <v>7313195</v>
      </c>
      <c r="F36" s="467">
        <f t="shared" ref="F36:P36" si="16">SUM(F37)</f>
        <v>7313195</v>
      </c>
      <c r="G36" s="467">
        <f t="shared" si="16"/>
        <v>0</v>
      </c>
      <c r="H36" s="467">
        <f t="shared" si="16"/>
        <v>0</v>
      </c>
      <c r="I36" s="467">
        <f t="shared" si="16"/>
        <v>0</v>
      </c>
      <c r="J36" s="467">
        <f t="shared" si="16"/>
        <v>0</v>
      </c>
      <c r="K36" s="467">
        <f t="shared" si="16"/>
        <v>0</v>
      </c>
      <c r="L36" s="467">
        <f t="shared" si="16"/>
        <v>0</v>
      </c>
      <c r="M36" s="467">
        <f t="shared" si="16"/>
        <v>0</v>
      </c>
      <c r="N36" s="467">
        <f t="shared" si="16"/>
        <v>0</v>
      </c>
      <c r="O36" s="467">
        <f t="shared" si="16"/>
        <v>0</v>
      </c>
      <c r="P36" s="467">
        <f t="shared" si="16"/>
        <v>7313195</v>
      </c>
      <c r="Q36" s="623"/>
    </row>
    <row r="37" spans="1:20" ht="93" thickTop="1" thickBot="1" x14ac:dyDescent="0.25">
      <c r="A37" s="447" t="s">
        <v>253</v>
      </c>
      <c r="B37" s="447" t="s">
        <v>254</v>
      </c>
      <c r="C37" s="447" t="s">
        <v>255</v>
      </c>
      <c r="D37" s="447" t="s">
        <v>256</v>
      </c>
      <c r="E37" s="448">
        <f>F37</f>
        <v>7313195</v>
      </c>
      <c r="F37" s="464">
        <v>7313195</v>
      </c>
      <c r="G37" s="464"/>
      <c r="H37" s="464"/>
      <c r="I37" s="464"/>
      <c r="J37" s="448">
        <f>L37+O37</f>
        <v>0</v>
      </c>
      <c r="K37" s="464"/>
      <c r="L37" s="464"/>
      <c r="M37" s="464"/>
      <c r="N37" s="464"/>
      <c r="O37" s="461">
        <f>K37</f>
        <v>0</v>
      </c>
      <c r="P37" s="448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442">
        <f t="shared" ref="E38:P38" si="17">E39+E42</f>
        <v>14433700</v>
      </c>
      <c r="F38" s="442">
        <f t="shared" si="17"/>
        <v>14433700</v>
      </c>
      <c r="G38" s="442">
        <f t="shared" si="17"/>
        <v>0</v>
      </c>
      <c r="H38" s="442">
        <f t="shared" si="17"/>
        <v>0</v>
      </c>
      <c r="I38" s="442">
        <f t="shared" si="17"/>
        <v>0</v>
      </c>
      <c r="J38" s="442">
        <f t="shared" si="17"/>
        <v>3441711</v>
      </c>
      <c r="K38" s="442">
        <f t="shared" si="17"/>
        <v>3441711</v>
      </c>
      <c r="L38" s="442">
        <f t="shared" si="17"/>
        <v>0</v>
      </c>
      <c r="M38" s="442">
        <f t="shared" si="17"/>
        <v>0</v>
      </c>
      <c r="N38" s="442">
        <f t="shared" si="17"/>
        <v>0</v>
      </c>
      <c r="O38" s="442">
        <f t="shared" si="17"/>
        <v>3441711</v>
      </c>
      <c r="P38" s="442">
        <f t="shared" si="17"/>
        <v>17875411</v>
      </c>
    </row>
    <row r="39" spans="1:20" s="272" customFormat="1" ht="271.5" thickTop="1" thickBot="1" x14ac:dyDescent="0.25">
      <c r="A39" s="466" t="s">
        <v>747</v>
      </c>
      <c r="B39" s="466" t="s">
        <v>748</v>
      </c>
      <c r="C39" s="466"/>
      <c r="D39" s="466" t="s">
        <v>749</v>
      </c>
      <c r="E39" s="467">
        <f>SUM(E40:E41)</f>
        <v>732700</v>
      </c>
      <c r="F39" s="467">
        <f t="shared" ref="F39:P39" si="18">SUM(F40:F41)</f>
        <v>732700</v>
      </c>
      <c r="G39" s="467">
        <f t="shared" si="18"/>
        <v>0</v>
      </c>
      <c r="H39" s="467">
        <f t="shared" si="18"/>
        <v>0</v>
      </c>
      <c r="I39" s="467">
        <f t="shared" si="18"/>
        <v>0</v>
      </c>
      <c r="J39" s="467">
        <f t="shared" si="18"/>
        <v>0</v>
      </c>
      <c r="K39" s="467">
        <f t="shared" si="18"/>
        <v>0</v>
      </c>
      <c r="L39" s="467">
        <f t="shared" si="18"/>
        <v>0</v>
      </c>
      <c r="M39" s="467">
        <f t="shared" si="18"/>
        <v>0</v>
      </c>
      <c r="N39" s="467">
        <f t="shared" si="18"/>
        <v>0</v>
      </c>
      <c r="O39" s="467">
        <f t="shared" si="18"/>
        <v>0</v>
      </c>
      <c r="P39" s="467">
        <f t="shared" si="18"/>
        <v>732700</v>
      </c>
      <c r="Q39" s="623"/>
      <c r="R39" s="277"/>
    </row>
    <row r="40" spans="1:20" ht="276" thickTop="1" thickBot="1" x14ac:dyDescent="0.25">
      <c r="A40" s="224" t="s">
        <v>257</v>
      </c>
      <c r="B40" s="224" t="s">
        <v>258</v>
      </c>
      <c r="C40" s="224" t="s">
        <v>45</v>
      </c>
      <c r="D40" s="224" t="s">
        <v>460</v>
      </c>
      <c r="E40" s="442">
        <f t="shared" si="3"/>
        <v>600600</v>
      </c>
      <c r="F40" s="443">
        <v>600600</v>
      </c>
      <c r="G40" s="443"/>
      <c r="H40" s="443"/>
      <c r="I40" s="443"/>
      <c r="J40" s="442">
        <f>L40+O40</f>
        <v>0</v>
      </c>
      <c r="K40" s="443"/>
      <c r="L40" s="443"/>
      <c r="M40" s="443"/>
      <c r="N40" s="443"/>
      <c r="O40" s="444">
        <f>K40</f>
        <v>0</v>
      </c>
      <c r="P40" s="442">
        <f>E40+J40</f>
        <v>600600</v>
      </c>
    </row>
    <row r="41" spans="1:20" ht="93" thickTop="1" thickBot="1" x14ac:dyDescent="0.25">
      <c r="A41" s="224" t="s">
        <v>603</v>
      </c>
      <c r="B41" s="224" t="s">
        <v>377</v>
      </c>
      <c r="C41" s="224" t="s">
        <v>45</v>
      </c>
      <c r="D41" s="224" t="s">
        <v>378</v>
      </c>
      <c r="E41" s="442">
        <f t="shared" ref="E41:E42" si="19">F41</f>
        <v>132100</v>
      </c>
      <c r="F41" s="443">
        <v>132100</v>
      </c>
      <c r="G41" s="443"/>
      <c r="H41" s="443"/>
      <c r="I41" s="443"/>
      <c r="J41" s="442">
        <f>L41+O41</f>
        <v>0</v>
      </c>
      <c r="K41" s="443">
        <f>(1000000)-1000000</f>
        <v>0</v>
      </c>
      <c r="L41" s="443"/>
      <c r="M41" s="443"/>
      <c r="N41" s="443"/>
      <c r="O41" s="444">
        <f>K41</f>
        <v>0</v>
      </c>
      <c r="P41" s="442">
        <f>E41+J41</f>
        <v>132100</v>
      </c>
    </row>
    <row r="42" spans="1:20" ht="271.5" thickTop="1" thickBot="1" x14ac:dyDescent="0.25">
      <c r="A42" s="466" t="s">
        <v>531</v>
      </c>
      <c r="B42" s="466" t="s">
        <v>532</v>
      </c>
      <c r="C42" s="466" t="s">
        <v>45</v>
      </c>
      <c r="D42" s="466" t="s">
        <v>533</v>
      </c>
      <c r="E42" s="467">
        <f t="shared" si="19"/>
        <v>13701000</v>
      </c>
      <c r="F42" s="467">
        <f>(((((((0)+1906000)+1800000)+6065000+450000)+870000)+970000)+500000+160000)+980000</f>
        <v>13701000</v>
      </c>
      <c r="G42" s="467"/>
      <c r="H42" s="467"/>
      <c r="I42" s="467"/>
      <c r="J42" s="467">
        <f>L42+O42</f>
        <v>3441711</v>
      </c>
      <c r="K42" s="464">
        <f>((((1000000)+74000)+80000)+700000+947711)+640000</f>
        <v>3441711</v>
      </c>
      <c r="L42" s="467"/>
      <c r="M42" s="467"/>
      <c r="N42" s="467"/>
      <c r="O42" s="467">
        <f>K42</f>
        <v>3441711</v>
      </c>
      <c r="P42" s="467">
        <f>E42+J42</f>
        <v>17142711</v>
      </c>
      <c r="R42" s="255"/>
    </row>
    <row r="43" spans="1:20" ht="177.75" customHeight="1" thickTop="1" thickBot="1" x14ac:dyDescent="0.25">
      <c r="A43" s="827" t="s">
        <v>160</v>
      </c>
      <c r="B43" s="827"/>
      <c r="C43" s="827"/>
      <c r="D43" s="828" t="s">
        <v>0</v>
      </c>
      <c r="E43" s="829">
        <f>E44</f>
        <v>1803163704.02</v>
      </c>
      <c r="F43" s="830">
        <f t="shared" ref="F43" si="20">F44</f>
        <v>1803163704.02</v>
      </c>
      <c r="G43" s="830">
        <f>G44</f>
        <v>1185247474</v>
      </c>
      <c r="H43" s="830">
        <f>H44</f>
        <v>188249693</v>
      </c>
      <c r="I43" s="830">
        <f t="shared" ref="I43" si="21">I44</f>
        <v>0</v>
      </c>
      <c r="J43" s="829">
        <f>J44</f>
        <v>235623870</v>
      </c>
      <c r="K43" s="830">
        <f>K44</f>
        <v>72278320</v>
      </c>
      <c r="L43" s="830">
        <f>L44</f>
        <v>160069640</v>
      </c>
      <c r="M43" s="830">
        <f t="shared" ref="M43" si="22">M44</f>
        <v>45127299</v>
      </c>
      <c r="N43" s="830">
        <f>N44</f>
        <v>14348777</v>
      </c>
      <c r="O43" s="829">
        <f>O44</f>
        <v>75554230</v>
      </c>
      <c r="P43" s="830">
        <f t="shared" ref="P43" si="23">P44</f>
        <v>2038787574.02</v>
      </c>
    </row>
    <row r="44" spans="1:20" ht="159" customHeight="1" thickTop="1" thickBot="1" x14ac:dyDescent="0.25">
      <c r="A44" s="831" t="s">
        <v>161</v>
      </c>
      <c r="B44" s="831"/>
      <c r="C44" s="831"/>
      <c r="D44" s="832" t="s">
        <v>1</v>
      </c>
      <c r="E44" s="833">
        <f>E45+E77+E88+E82</f>
        <v>1803163704.02</v>
      </c>
      <c r="F44" s="833">
        <f>F45+F77+F88+F82</f>
        <v>1803163704.02</v>
      </c>
      <c r="G44" s="833">
        <f>G45+G77+G88+G82</f>
        <v>1185247474</v>
      </c>
      <c r="H44" s="833">
        <f>H45+H77+H88+H82</f>
        <v>188249693</v>
      </c>
      <c r="I44" s="833">
        <f>I45+I77+I88+I82</f>
        <v>0</v>
      </c>
      <c r="J44" s="833">
        <f>L44+O44</f>
        <v>235623870</v>
      </c>
      <c r="K44" s="833">
        <f>K45+K77+K88+K82</f>
        <v>72278320</v>
      </c>
      <c r="L44" s="833">
        <f>L45+L77+L88+L82</f>
        <v>160069640</v>
      </c>
      <c r="M44" s="833">
        <f>M45+M77+M88+M82</f>
        <v>45127299</v>
      </c>
      <c r="N44" s="833">
        <f>N45+N77+N88+N82</f>
        <v>14348777</v>
      </c>
      <c r="O44" s="833">
        <f>O45+O77+O88+O82</f>
        <v>75554230</v>
      </c>
      <c r="P44" s="833">
        <f>E44+J44</f>
        <v>2038787574.02</v>
      </c>
      <c r="Q44" s="616" t="b">
        <f>P44=P46+P48+P49+P52+P57+P59+P60+P62+P63+P65+P66+P67+P69+P75+P78+P56+P76+P50+P70+P72+P80+P73+P90+P81+P85+P87+P53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442">
        <f>E46+E47+E51+E57+E58+E61+E64+E67+E68+E75+E54+E76+E71+E79</f>
        <v>1803163704.02</v>
      </c>
      <c r="F45" s="442">
        <f t="shared" ref="F45:P45" si="24">F46+F47+F51+F57+F58+F61+F64+F67+F68+F75+F54+F76+F71+F79</f>
        <v>1803163704.02</v>
      </c>
      <c r="G45" s="442">
        <f>G46+G47+G51+G57+G58+G61+G64+G67+G68+G75+G54+G76+G71+G79</f>
        <v>1185247474</v>
      </c>
      <c r="H45" s="484">
        <f t="shared" si="24"/>
        <v>188249693</v>
      </c>
      <c r="I45" s="484">
        <f t="shared" si="24"/>
        <v>0</v>
      </c>
      <c r="J45" s="484">
        <f t="shared" si="24"/>
        <v>181725870</v>
      </c>
      <c r="K45" s="484">
        <f t="shared" si="24"/>
        <v>18380320</v>
      </c>
      <c r="L45" s="484">
        <f t="shared" si="24"/>
        <v>160069640</v>
      </c>
      <c r="M45" s="484">
        <f t="shared" si="24"/>
        <v>45127299</v>
      </c>
      <c r="N45" s="484">
        <f t="shared" si="24"/>
        <v>14348777</v>
      </c>
      <c r="O45" s="484">
        <f t="shared" si="24"/>
        <v>21656230</v>
      </c>
      <c r="P45" s="484">
        <f t="shared" si="24"/>
        <v>1984889574.02</v>
      </c>
      <c r="Q45" s="616"/>
      <c r="R45" s="255"/>
    </row>
    <row r="46" spans="1:20" ht="99" customHeight="1" thickTop="1" thickBot="1" x14ac:dyDescent="0.6">
      <c r="A46" s="224" t="s">
        <v>210</v>
      </c>
      <c r="B46" s="224" t="s">
        <v>211</v>
      </c>
      <c r="C46" s="224" t="s">
        <v>213</v>
      </c>
      <c r="D46" s="224" t="s">
        <v>214</v>
      </c>
      <c r="E46" s="442">
        <f>F46</f>
        <v>541035595.66999996</v>
      </c>
      <c r="F46" s="443">
        <f>(-11500+422682850+7381300+130780+36208005+3386900+43721850+1999020+17450750+1519605+996875+44000+69100+59660+177600-23840)+873944.82+4368695.85</f>
        <v>541035595.66999996</v>
      </c>
      <c r="G46" s="443">
        <f>(346461350)</f>
        <v>346461350</v>
      </c>
      <c r="H46" s="443">
        <f>(43721850+1999020+17450750+1519605+996875+44000)+873944.82-873944.82</f>
        <v>65732100</v>
      </c>
      <c r="I46" s="443"/>
      <c r="J46" s="484">
        <f t="shared" ref="J46:J70" si="25">L46+O46</f>
        <v>72355014</v>
      </c>
      <c r="K46" s="443">
        <f>(288164+1000000+150000+49000+30000)</f>
        <v>1517164</v>
      </c>
      <c r="L46" s="443">
        <v>68943250</v>
      </c>
      <c r="M46" s="443">
        <v>14090070</v>
      </c>
      <c r="N46" s="443">
        <f>(569230+232500+725400+16500+9790+2000000)</f>
        <v>3553420</v>
      </c>
      <c r="O46" s="486">
        <f>(K46+1725960+168640)</f>
        <v>3411764</v>
      </c>
      <c r="P46" s="484">
        <f t="shared" ref="P46:P59" si="26">E46+J46</f>
        <v>613390609.66999996</v>
      </c>
      <c r="Q46" s="624"/>
      <c r="R46" s="255"/>
    </row>
    <row r="47" spans="1:20" s="274" customFormat="1" ht="138.75" thickTop="1" thickBot="1" x14ac:dyDescent="0.6">
      <c r="A47" s="488" t="s">
        <v>215</v>
      </c>
      <c r="B47" s="488" t="s">
        <v>212</v>
      </c>
      <c r="C47" s="488"/>
      <c r="D47" s="488" t="s">
        <v>686</v>
      </c>
      <c r="E47" s="471">
        <f>E48+E49+E50</f>
        <v>397297903.35000002</v>
      </c>
      <c r="F47" s="471">
        <f t="shared" ref="F47:I47" si="27">F48+F49+F50</f>
        <v>397297903.35000002</v>
      </c>
      <c r="G47" s="471">
        <f t="shared" si="27"/>
        <v>183343785</v>
      </c>
      <c r="H47" s="471">
        <f t="shared" si="27"/>
        <v>93684993</v>
      </c>
      <c r="I47" s="471">
        <f t="shared" si="27"/>
        <v>0</v>
      </c>
      <c r="J47" s="471">
        <f t="shared" ref="J47" si="28">J48+J49+J50</f>
        <v>74942115</v>
      </c>
      <c r="K47" s="471">
        <f t="shared" ref="K47" si="29">K48+K49+K50</f>
        <v>11189615</v>
      </c>
      <c r="L47" s="471">
        <f t="shared" ref="L47" si="30">L48+L49+L50</f>
        <v>62632190</v>
      </c>
      <c r="M47" s="471">
        <f t="shared" ref="M47" si="31">M48+M49+M50</f>
        <v>22917540</v>
      </c>
      <c r="N47" s="471">
        <f t="shared" ref="N47" si="32">N48+N49+N50</f>
        <v>1547450</v>
      </c>
      <c r="O47" s="471">
        <f t="shared" ref="O47" si="33">O48+O49+O50</f>
        <v>12309925</v>
      </c>
      <c r="P47" s="471">
        <f>E47+J47</f>
        <v>472240018.35000002</v>
      </c>
      <c r="Q47" s="624"/>
      <c r="R47" s="280"/>
    </row>
    <row r="48" spans="1:20" ht="138.75" thickTop="1" thickBot="1" x14ac:dyDescent="0.6">
      <c r="A48" s="224" t="s">
        <v>683</v>
      </c>
      <c r="B48" s="224" t="s">
        <v>684</v>
      </c>
      <c r="C48" s="224" t="s">
        <v>216</v>
      </c>
      <c r="D48" s="224" t="s">
        <v>685</v>
      </c>
      <c r="E48" s="442">
        <f t="shared" ref="E48:E59" si="34">F48</f>
        <v>353865597.95000005</v>
      </c>
      <c r="F48" s="443">
        <f>(((191140505+15177100+231270+46955765+4320380+74473080+1267990+18069250+3616430+838950+452340+167550+8440+489345+150000+173840-5980497)+6628199)-36490.7)+413527.73-4691376.08</f>
        <v>353865597.95000005</v>
      </c>
      <c r="G48" s="443">
        <v>156967625</v>
      </c>
      <c r="H48" s="443">
        <f>(((74473080+1267990+18069250+3616430+838950+452340-5980497)+6628199)-300000)+413527.73-10741726.73</f>
        <v>88737543</v>
      </c>
      <c r="I48" s="443"/>
      <c r="J48" s="484">
        <f t="shared" si="25"/>
        <v>74851615</v>
      </c>
      <c r="K48" s="443">
        <f>(269475+2000000+2283979+1000000+250161+500000+49000+49000+49000+500000+510000+250000+300000+300000+49000+1000000+1000000+230000+600000)</f>
        <v>11189615</v>
      </c>
      <c r="L48" s="443">
        <v>62541690</v>
      </c>
      <c r="M48" s="443">
        <v>22917540</v>
      </c>
      <c r="N48" s="443">
        <f>(708460+204510+508570+24930+58380)</f>
        <v>1504850</v>
      </c>
      <c r="O48" s="486">
        <f>(K48+1120310)</f>
        <v>12309925</v>
      </c>
      <c r="P48" s="484">
        <f t="shared" si="26"/>
        <v>428717212.95000005</v>
      </c>
      <c r="Q48" s="624"/>
      <c r="R48" s="255"/>
      <c r="T48" s="281"/>
    </row>
    <row r="49" spans="1:18" ht="276" thickTop="1" thickBot="1" x14ac:dyDescent="0.25">
      <c r="A49" s="224" t="s">
        <v>693</v>
      </c>
      <c r="B49" s="224" t="s">
        <v>694</v>
      </c>
      <c r="C49" s="224" t="s">
        <v>219</v>
      </c>
      <c r="D49" s="224" t="s">
        <v>515</v>
      </c>
      <c r="E49" s="442">
        <f t="shared" si="34"/>
        <v>24885295.399999999</v>
      </c>
      <c r="F49" s="443">
        <f>(22151850+194260+5650+772470+139445+1279695+25490+179490+10555+8300+5400)+112690.4</f>
        <v>24885295.399999999</v>
      </c>
      <c r="G49" s="443">
        <v>18307315</v>
      </c>
      <c r="H49" s="443">
        <f>1495230</f>
        <v>1495230</v>
      </c>
      <c r="I49" s="443"/>
      <c r="J49" s="484">
        <f t="shared" si="25"/>
        <v>90500</v>
      </c>
      <c r="K49" s="443"/>
      <c r="L49" s="443">
        <v>90500</v>
      </c>
      <c r="M49" s="443"/>
      <c r="N49" s="443">
        <f>(25800+1000+15800)</f>
        <v>42600</v>
      </c>
      <c r="O49" s="486">
        <f>K49</f>
        <v>0</v>
      </c>
      <c r="P49" s="484">
        <f t="shared" si="26"/>
        <v>24975795.399999999</v>
      </c>
      <c r="R49" s="257"/>
    </row>
    <row r="50" spans="1:18" ht="184.5" thickTop="1" thickBot="1" x14ac:dyDescent="0.25">
      <c r="A50" s="224" t="s">
        <v>1072</v>
      </c>
      <c r="B50" s="224" t="s">
        <v>1073</v>
      </c>
      <c r="C50" s="224" t="s">
        <v>219</v>
      </c>
      <c r="D50" s="224" t="s">
        <v>1074</v>
      </c>
      <c r="E50" s="442">
        <f t="shared" ref="E50" si="35">F50</f>
        <v>18547010</v>
      </c>
      <c r="F50" s="443">
        <f>(9843990+289835+15600+4104440+530965+300000+2737110+106620+592800+15690+3700+2700)+3560</f>
        <v>18547010</v>
      </c>
      <c r="G50" s="443">
        <v>8068845</v>
      </c>
      <c r="H50" s="443">
        <v>3452220</v>
      </c>
      <c r="I50" s="443"/>
      <c r="J50" s="484">
        <f t="shared" ref="J50" si="36">L50+O50</f>
        <v>0</v>
      </c>
      <c r="K50" s="443"/>
      <c r="L50" s="443"/>
      <c r="M50" s="443"/>
      <c r="N50" s="443"/>
      <c r="O50" s="486">
        <f>K50</f>
        <v>0</v>
      </c>
      <c r="P50" s="484">
        <f t="shared" ref="P50" si="37">E50+J50</f>
        <v>18547010</v>
      </c>
      <c r="R50" s="257"/>
    </row>
    <row r="51" spans="1:18" s="274" customFormat="1" ht="138.75" thickTop="1" thickBot="1" x14ac:dyDescent="0.25">
      <c r="A51" s="488" t="s">
        <v>516</v>
      </c>
      <c r="B51" s="488" t="s">
        <v>217</v>
      </c>
      <c r="C51" s="488"/>
      <c r="D51" s="488" t="s">
        <v>701</v>
      </c>
      <c r="E51" s="471">
        <f>SUM(E52:E53)</f>
        <v>632703833</v>
      </c>
      <c r="F51" s="471">
        <f>SUM(F52:F53)</f>
        <v>632703833</v>
      </c>
      <c r="G51" s="471">
        <f>SUM(G52:G53)</f>
        <v>515521239</v>
      </c>
      <c r="H51" s="471">
        <f>SUM(H52:H53)</f>
        <v>0</v>
      </c>
      <c r="I51" s="471">
        <f>SUM(I52:I53)</f>
        <v>0</v>
      </c>
      <c r="J51" s="471">
        <f t="shared" ref="J51:P51" si="38">SUM(J52:J53)</f>
        <v>0</v>
      </c>
      <c r="K51" s="471">
        <f t="shared" si="38"/>
        <v>0</v>
      </c>
      <c r="L51" s="471">
        <f t="shared" si="38"/>
        <v>0</v>
      </c>
      <c r="M51" s="471">
        <f t="shared" si="38"/>
        <v>0</v>
      </c>
      <c r="N51" s="471">
        <f t="shared" si="38"/>
        <v>0</v>
      </c>
      <c r="O51" s="471">
        <f t="shared" si="38"/>
        <v>0</v>
      </c>
      <c r="P51" s="471">
        <f t="shared" si="38"/>
        <v>632703833</v>
      </c>
      <c r="Q51" s="613"/>
      <c r="R51" s="276"/>
    </row>
    <row r="52" spans="1:18" ht="138.75" thickTop="1" thickBot="1" x14ac:dyDescent="0.25">
      <c r="A52" s="224" t="s">
        <v>702</v>
      </c>
      <c r="B52" s="224" t="s">
        <v>703</v>
      </c>
      <c r="C52" s="224" t="s">
        <v>216</v>
      </c>
      <c r="D52" s="224" t="s">
        <v>685</v>
      </c>
      <c r="E52" s="442">
        <f t="shared" ref="E52:E53" si="39">F52</f>
        <v>628868833</v>
      </c>
      <c r="F52" s="443">
        <f>(679974570+4189832+15013800)-70309369</f>
        <v>628868833</v>
      </c>
      <c r="G52" s="443">
        <f>(557358050+12306400)-57287211</f>
        <v>512377239</v>
      </c>
      <c r="H52" s="443"/>
      <c r="I52" s="443"/>
      <c r="J52" s="484">
        <f t="shared" ref="J52:J53" si="40">L52+O52</f>
        <v>0</v>
      </c>
      <c r="K52" s="443"/>
      <c r="L52" s="443"/>
      <c r="M52" s="443"/>
      <c r="N52" s="443"/>
      <c r="O52" s="486">
        <f>K52</f>
        <v>0</v>
      </c>
      <c r="P52" s="484">
        <f t="shared" ref="P52:P56" si="41">E52+J52</f>
        <v>628868833</v>
      </c>
      <c r="R52" s="267"/>
    </row>
    <row r="53" spans="1:18" ht="184.5" thickTop="1" thickBot="1" x14ac:dyDescent="0.25">
      <c r="A53" s="224" t="s">
        <v>1262</v>
      </c>
      <c r="B53" s="524" t="s">
        <v>1263</v>
      </c>
      <c r="C53" s="224" t="s">
        <v>219</v>
      </c>
      <c r="D53" s="224" t="s">
        <v>1264</v>
      </c>
      <c r="E53" s="442">
        <f t="shared" si="39"/>
        <v>3835000</v>
      </c>
      <c r="F53" s="525">
        <v>3835000</v>
      </c>
      <c r="G53" s="525">
        <v>3144000</v>
      </c>
      <c r="H53" s="525"/>
      <c r="I53" s="525"/>
      <c r="J53" s="484">
        <f t="shared" si="40"/>
        <v>0</v>
      </c>
      <c r="K53" s="525"/>
      <c r="L53" s="525"/>
      <c r="M53" s="525"/>
      <c r="N53" s="525"/>
      <c r="O53" s="544"/>
      <c r="P53" s="484">
        <f t="shared" si="41"/>
        <v>3835000</v>
      </c>
      <c r="R53" s="267"/>
    </row>
    <row r="54" spans="1:18" ht="409.6" hidden="1" thickTop="1" x14ac:dyDescent="0.65">
      <c r="A54" s="933" t="s">
        <v>990</v>
      </c>
      <c r="B54" s="933" t="s">
        <v>52</v>
      </c>
      <c r="C54" s="933"/>
      <c r="D54" s="282" t="s">
        <v>993</v>
      </c>
      <c r="E54" s="917">
        <f t="shared" ref="E54:O54" si="42">E56</f>
        <v>0</v>
      </c>
      <c r="F54" s="917">
        <f t="shared" si="42"/>
        <v>0</v>
      </c>
      <c r="G54" s="917">
        <f t="shared" si="42"/>
        <v>0</v>
      </c>
      <c r="H54" s="917">
        <f t="shared" si="42"/>
        <v>0</v>
      </c>
      <c r="I54" s="917">
        <f t="shared" si="42"/>
        <v>0</v>
      </c>
      <c r="J54" s="917">
        <f t="shared" si="42"/>
        <v>0</v>
      </c>
      <c r="K54" s="917">
        <f t="shared" si="42"/>
        <v>0</v>
      </c>
      <c r="L54" s="917">
        <f t="shared" si="42"/>
        <v>0</v>
      </c>
      <c r="M54" s="917">
        <f t="shared" si="42"/>
        <v>0</v>
      </c>
      <c r="N54" s="917">
        <f t="shared" si="42"/>
        <v>0</v>
      </c>
      <c r="O54" s="917">
        <f t="shared" si="42"/>
        <v>0</v>
      </c>
      <c r="P54" s="917">
        <f>E54+J54</f>
        <v>0</v>
      </c>
      <c r="R54" s="267"/>
    </row>
    <row r="55" spans="1:18" ht="183.75" hidden="1" thickBot="1" x14ac:dyDescent="0.25">
      <c r="A55" s="900"/>
      <c r="B55" s="900"/>
      <c r="C55" s="900"/>
      <c r="D55" s="283" t="s">
        <v>994</v>
      </c>
      <c r="E55" s="900"/>
      <c r="F55" s="900"/>
      <c r="G55" s="900"/>
      <c r="H55" s="900"/>
      <c r="I55" s="900"/>
      <c r="J55" s="900"/>
      <c r="K55" s="900"/>
      <c r="L55" s="900"/>
      <c r="M55" s="900"/>
      <c r="N55" s="900"/>
      <c r="O55" s="900"/>
      <c r="P55" s="900"/>
      <c r="R55" s="267"/>
    </row>
    <row r="56" spans="1:18" ht="138.75" hidden="1" thickTop="1" thickBot="1" x14ac:dyDescent="0.25">
      <c r="A56" s="259" t="s">
        <v>991</v>
      </c>
      <c r="B56" s="259" t="s">
        <v>992</v>
      </c>
      <c r="C56" s="259" t="s">
        <v>216</v>
      </c>
      <c r="D56" s="259" t="s">
        <v>995</v>
      </c>
      <c r="E56" s="256">
        <f t="shared" ref="E56" si="43">F56</f>
        <v>0</v>
      </c>
      <c r="F56" s="278"/>
      <c r="G56" s="278"/>
      <c r="H56" s="278"/>
      <c r="I56" s="278"/>
      <c r="J56" s="256">
        <f t="shared" ref="J56" si="44">L56+O56</f>
        <v>0</v>
      </c>
      <c r="K56" s="278"/>
      <c r="L56" s="278"/>
      <c r="M56" s="278"/>
      <c r="N56" s="278"/>
      <c r="O56" s="262">
        <f>K56</f>
        <v>0</v>
      </c>
      <c r="P56" s="256">
        <f t="shared" si="41"/>
        <v>0</v>
      </c>
      <c r="R56" s="255"/>
    </row>
    <row r="57" spans="1:18" ht="184.5" thickTop="1" thickBot="1" x14ac:dyDescent="0.25">
      <c r="A57" s="224" t="s">
        <v>704</v>
      </c>
      <c r="B57" s="224" t="s">
        <v>218</v>
      </c>
      <c r="C57" s="224" t="s">
        <v>193</v>
      </c>
      <c r="D57" s="224" t="s">
        <v>517</v>
      </c>
      <c r="E57" s="442">
        <f t="shared" si="34"/>
        <v>33649580</v>
      </c>
      <c r="F57" s="443">
        <f>(28529700+335975+12000+258940+128820+3176810+64080+596770+79855+30105+1700+184825)+250000</f>
        <v>33649580</v>
      </c>
      <c r="G57" s="443">
        <v>23385000</v>
      </c>
      <c r="H57" s="443">
        <v>3947620</v>
      </c>
      <c r="I57" s="443"/>
      <c r="J57" s="484">
        <f t="shared" si="25"/>
        <v>1858370</v>
      </c>
      <c r="K57" s="443">
        <v>1000000</v>
      </c>
      <c r="L57" s="443">
        <v>757370</v>
      </c>
      <c r="M57" s="443">
        <v>34330</v>
      </c>
      <c r="N57" s="443">
        <f>(50190+3780+46410+1820)</f>
        <v>102200</v>
      </c>
      <c r="O57" s="486">
        <f>(K57+101000)</f>
        <v>1101000</v>
      </c>
      <c r="P57" s="484">
        <f t="shared" si="26"/>
        <v>35507950</v>
      </c>
      <c r="R57" s="255"/>
    </row>
    <row r="58" spans="1:18" s="274" customFormat="1" ht="184.5" thickTop="1" thickBot="1" x14ac:dyDescent="0.25">
      <c r="A58" s="488" t="s">
        <v>220</v>
      </c>
      <c r="B58" s="488" t="s">
        <v>203</v>
      </c>
      <c r="C58" s="488"/>
      <c r="D58" s="488" t="s">
        <v>518</v>
      </c>
      <c r="E58" s="471">
        <f>E59+E60</f>
        <v>154885211</v>
      </c>
      <c r="F58" s="471">
        <f t="shared" ref="F58:O58" si="45">F59+F60</f>
        <v>154885211</v>
      </c>
      <c r="G58" s="471">
        <f t="shared" si="45"/>
        <v>84181704</v>
      </c>
      <c r="H58" s="471">
        <f t="shared" si="45"/>
        <v>22763530</v>
      </c>
      <c r="I58" s="471">
        <f t="shared" si="45"/>
        <v>0</v>
      </c>
      <c r="J58" s="471">
        <f t="shared" si="45"/>
        <v>29703565</v>
      </c>
      <c r="K58" s="471">
        <f t="shared" si="45"/>
        <v>2182625</v>
      </c>
      <c r="L58" s="471">
        <f t="shared" si="45"/>
        <v>27360940</v>
      </c>
      <c r="M58" s="471">
        <f t="shared" si="45"/>
        <v>7971559</v>
      </c>
      <c r="N58" s="471">
        <f t="shared" si="45"/>
        <v>9028197</v>
      </c>
      <c r="O58" s="471">
        <f t="shared" si="45"/>
        <v>2342625</v>
      </c>
      <c r="P58" s="471">
        <f t="shared" si="26"/>
        <v>184588776</v>
      </c>
      <c r="Q58" s="613"/>
      <c r="R58" s="276"/>
    </row>
    <row r="59" spans="1:18" ht="230.25" thickTop="1" thickBot="1" x14ac:dyDescent="0.25">
      <c r="A59" s="224" t="s">
        <v>705</v>
      </c>
      <c r="B59" s="224" t="s">
        <v>706</v>
      </c>
      <c r="C59" s="224" t="s">
        <v>221</v>
      </c>
      <c r="D59" s="224" t="s">
        <v>707</v>
      </c>
      <c r="E59" s="442">
        <f t="shared" si="34"/>
        <v>137467895</v>
      </c>
      <c r="F59" s="443">
        <f>(85213670+68800+17400+2950600+222250+14115125+811860+7670580+20050+145915+13200+25000000+1218445)+43570.17-43570.17</f>
        <v>137467895</v>
      </c>
      <c r="G59" s="443">
        <v>69847270</v>
      </c>
      <c r="H59" s="443">
        <f>(22763530)+43570.17-43570.17</f>
        <v>22763530</v>
      </c>
      <c r="I59" s="443"/>
      <c r="J59" s="484">
        <f>L59+O59</f>
        <v>29703565</v>
      </c>
      <c r="K59" s="443">
        <f>(1281537+82825+818263)</f>
        <v>2182625</v>
      </c>
      <c r="L59" s="443">
        <v>27360940</v>
      </c>
      <c r="M59" s="443">
        <v>7971559</v>
      </c>
      <c r="N59" s="443">
        <f>(5079580+1005981+2722350+64500+177065)-21279</f>
        <v>9028197</v>
      </c>
      <c r="O59" s="486">
        <f>(K59+160000)</f>
        <v>2342625</v>
      </c>
      <c r="P59" s="484">
        <f t="shared" si="26"/>
        <v>167171460</v>
      </c>
      <c r="R59" s="255"/>
    </row>
    <row r="60" spans="1:18" ht="230.25" thickTop="1" thickBot="1" x14ac:dyDescent="0.25">
      <c r="A60" s="224" t="s">
        <v>709</v>
      </c>
      <c r="B60" s="224" t="s">
        <v>708</v>
      </c>
      <c r="C60" s="224" t="s">
        <v>221</v>
      </c>
      <c r="D60" s="224" t="s">
        <v>710</v>
      </c>
      <c r="E60" s="442">
        <f t="shared" ref="E60" si="46">F60</f>
        <v>17417316</v>
      </c>
      <c r="F60" s="443">
        <f>(19343530)-1926214</f>
        <v>17417316</v>
      </c>
      <c r="G60" s="443">
        <f>(15920600)-1586166</f>
        <v>14334434</v>
      </c>
      <c r="H60" s="443"/>
      <c r="I60" s="443"/>
      <c r="J60" s="484">
        <f>L60+O60</f>
        <v>0</v>
      </c>
      <c r="K60" s="443"/>
      <c r="L60" s="443"/>
      <c r="M60" s="443"/>
      <c r="N60" s="443"/>
      <c r="O60" s="486"/>
      <c r="P60" s="484">
        <f t="shared" ref="P60" si="47">E60+J60</f>
        <v>17417316</v>
      </c>
      <c r="R60" s="267"/>
    </row>
    <row r="61" spans="1:18" s="274" customFormat="1" ht="93" thickTop="1" thickBot="1" x14ac:dyDescent="0.25">
      <c r="A61" s="488" t="s">
        <v>712</v>
      </c>
      <c r="B61" s="488" t="s">
        <v>711</v>
      </c>
      <c r="C61" s="488"/>
      <c r="D61" s="488" t="s">
        <v>713</v>
      </c>
      <c r="E61" s="471">
        <f>E62+E63</f>
        <v>30502885</v>
      </c>
      <c r="F61" s="471">
        <f t="shared" ref="F61:O61" si="48">F62+F63</f>
        <v>30502885</v>
      </c>
      <c r="G61" s="471">
        <f t="shared" si="48"/>
        <v>22155905</v>
      </c>
      <c r="H61" s="471">
        <f t="shared" si="48"/>
        <v>1871875</v>
      </c>
      <c r="I61" s="471">
        <f t="shared" si="48"/>
        <v>0</v>
      </c>
      <c r="J61" s="471">
        <f t="shared" si="48"/>
        <v>1335890</v>
      </c>
      <c r="K61" s="471">
        <f t="shared" si="48"/>
        <v>960000</v>
      </c>
      <c r="L61" s="471">
        <f t="shared" si="48"/>
        <v>375890</v>
      </c>
      <c r="M61" s="471">
        <f t="shared" si="48"/>
        <v>113800</v>
      </c>
      <c r="N61" s="471">
        <f t="shared" si="48"/>
        <v>117510</v>
      </c>
      <c r="O61" s="471">
        <f t="shared" si="48"/>
        <v>960000</v>
      </c>
      <c r="P61" s="471">
        <f>E61+J61</f>
        <v>31838775</v>
      </c>
      <c r="Q61" s="613"/>
      <c r="R61" s="276"/>
    </row>
    <row r="62" spans="1:18" ht="93" thickTop="1" thickBot="1" x14ac:dyDescent="0.25">
      <c r="A62" s="224" t="s">
        <v>714</v>
      </c>
      <c r="B62" s="224" t="s">
        <v>715</v>
      </c>
      <c r="C62" s="224" t="s">
        <v>222</v>
      </c>
      <c r="D62" s="224" t="s">
        <v>519</v>
      </c>
      <c r="E62" s="442">
        <f>F62</f>
        <v>30284875</v>
      </c>
      <c r="F62" s="443">
        <f>(27030205+635950+1450+735695+3300+1239640+16940+591895+8520+14880+3700+2700)</f>
        <v>30284875</v>
      </c>
      <c r="G62" s="443">
        <v>22155905</v>
      </c>
      <c r="H62" s="443">
        <v>1871875</v>
      </c>
      <c r="I62" s="443"/>
      <c r="J62" s="484">
        <f>L62+O62</f>
        <v>1335890</v>
      </c>
      <c r="K62" s="443">
        <f>(460000+500000)</f>
        <v>960000</v>
      </c>
      <c r="L62" s="443">
        <v>375890</v>
      </c>
      <c r="M62" s="443">
        <v>113800</v>
      </c>
      <c r="N62" s="443">
        <f>(104000+830+11730+950)</f>
        <v>117510</v>
      </c>
      <c r="O62" s="486">
        <f>K62</f>
        <v>960000</v>
      </c>
      <c r="P62" s="484">
        <f>E62+J62</f>
        <v>31620765</v>
      </c>
      <c r="R62" s="267"/>
    </row>
    <row r="63" spans="1:18" ht="93" thickTop="1" thickBot="1" x14ac:dyDescent="0.25">
      <c r="A63" s="224" t="s">
        <v>716</v>
      </c>
      <c r="B63" s="224" t="s">
        <v>717</v>
      </c>
      <c r="C63" s="224" t="s">
        <v>222</v>
      </c>
      <c r="D63" s="224" t="s">
        <v>351</v>
      </c>
      <c r="E63" s="442">
        <f>F63</f>
        <v>218010</v>
      </c>
      <c r="F63" s="443">
        <v>218010</v>
      </c>
      <c r="G63" s="443"/>
      <c r="H63" s="443"/>
      <c r="I63" s="443"/>
      <c r="J63" s="484">
        <f>L63+O63</f>
        <v>0</v>
      </c>
      <c r="K63" s="443"/>
      <c r="L63" s="443"/>
      <c r="M63" s="443"/>
      <c r="N63" s="443"/>
      <c r="O63" s="486">
        <f>K63</f>
        <v>0</v>
      </c>
      <c r="P63" s="484">
        <f>E63+J63</f>
        <v>218010</v>
      </c>
      <c r="R63" s="267"/>
    </row>
    <row r="64" spans="1:18" s="274" customFormat="1" ht="93" thickTop="1" thickBot="1" x14ac:dyDescent="0.25">
      <c r="A64" s="488" t="s">
        <v>718</v>
      </c>
      <c r="B64" s="488" t="s">
        <v>719</v>
      </c>
      <c r="C64" s="488"/>
      <c r="D64" s="488" t="s">
        <v>445</v>
      </c>
      <c r="E64" s="471">
        <f>E65+E66</f>
        <v>5722975</v>
      </c>
      <c r="F64" s="471">
        <f>F65+F66</f>
        <v>5722975</v>
      </c>
      <c r="G64" s="471">
        <f t="shared" ref="G64:O64" si="49">G65+G66</f>
        <v>4406061</v>
      </c>
      <c r="H64" s="471">
        <f t="shared" si="49"/>
        <v>161440</v>
      </c>
      <c r="I64" s="471">
        <f t="shared" si="49"/>
        <v>0</v>
      </c>
      <c r="J64" s="471">
        <f t="shared" si="49"/>
        <v>0</v>
      </c>
      <c r="K64" s="471">
        <f t="shared" si="49"/>
        <v>0</v>
      </c>
      <c r="L64" s="471">
        <f t="shared" si="49"/>
        <v>0</v>
      </c>
      <c r="M64" s="471">
        <f t="shared" si="49"/>
        <v>0</v>
      </c>
      <c r="N64" s="471">
        <f t="shared" si="49"/>
        <v>0</v>
      </c>
      <c r="O64" s="471">
        <f t="shared" si="49"/>
        <v>0</v>
      </c>
      <c r="P64" s="471">
        <f>E64+J64</f>
        <v>5722975</v>
      </c>
      <c r="Q64" s="613"/>
      <c r="R64" s="276"/>
    </row>
    <row r="65" spans="1:18" ht="184.5" thickTop="1" thickBot="1" x14ac:dyDescent="0.25">
      <c r="A65" s="224" t="s">
        <v>720</v>
      </c>
      <c r="B65" s="224" t="s">
        <v>721</v>
      </c>
      <c r="C65" s="224" t="s">
        <v>222</v>
      </c>
      <c r="D65" s="224" t="s">
        <v>722</v>
      </c>
      <c r="E65" s="442">
        <f>F65</f>
        <v>1120505</v>
      </c>
      <c r="F65" s="443">
        <f>(767530+131100+42455+13580+131295+7180+20985+1980+4400)</f>
        <v>1120505</v>
      </c>
      <c r="G65" s="443">
        <v>629125</v>
      </c>
      <c r="H65" s="443">
        <v>161440</v>
      </c>
      <c r="I65" s="443"/>
      <c r="J65" s="484">
        <f>L65+O65</f>
        <v>0</v>
      </c>
      <c r="K65" s="443"/>
      <c r="L65" s="443"/>
      <c r="M65" s="443"/>
      <c r="N65" s="443"/>
      <c r="O65" s="486">
        <f>K65</f>
        <v>0</v>
      </c>
      <c r="P65" s="484">
        <f>E65+J65</f>
        <v>1120505</v>
      </c>
      <c r="R65" s="255"/>
    </row>
    <row r="66" spans="1:18" ht="138.75" thickTop="1" thickBot="1" x14ac:dyDescent="0.25">
      <c r="A66" s="687" t="s">
        <v>723</v>
      </c>
      <c r="B66" s="687" t="s">
        <v>724</v>
      </c>
      <c r="C66" s="687" t="s">
        <v>222</v>
      </c>
      <c r="D66" s="687" t="s">
        <v>725</v>
      </c>
      <c r="E66" s="690">
        <f>F66</f>
        <v>4602470</v>
      </c>
      <c r="F66" s="443">
        <f>(5189600+24500)-611630</f>
        <v>4602470</v>
      </c>
      <c r="G66" s="443">
        <f>(4253770+24500)-501334</f>
        <v>3776936</v>
      </c>
      <c r="H66" s="443"/>
      <c r="I66" s="443"/>
      <c r="J66" s="690">
        <f t="shared" ref="J66" si="50">L66+O66</f>
        <v>0</v>
      </c>
      <c r="K66" s="443"/>
      <c r="L66" s="443"/>
      <c r="M66" s="443"/>
      <c r="N66" s="443"/>
      <c r="O66" s="688">
        <f t="shared" ref="O66" si="51">K66</f>
        <v>0</v>
      </c>
      <c r="P66" s="690">
        <f t="shared" ref="P66" si="52">E66+J66</f>
        <v>4602470</v>
      </c>
      <c r="R66" s="267"/>
    </row>
    <row r="67" spans="1:18" ht="138.75" thickTop="1" thickBot="1" x14ac:dyDescent="0.25">
      <c r="A67" s="224" t="s">
        <v>690</v>
      </c>
      <c r="B67" s="224" t="s">
        <v>691</v>
      </c>
      <c r="C67" s="224" t="s">
        <v>222</v>
      </c>
      <c r="D67" s="224" t="s">
        <v>692</v>
      </c>
      <c r="E67" s="442">
        <f t="shared" ref="E67" si="53">F67</f>
        <v>3056165</v>
      </c>
      <c r="F67" s="443">
        <f>(2757200+90130+98500+20000+60965+4155+18515+4500+2200)</f>
        <v>3056165</v>
      </c>
      <c r="G67" s="443">
        <v>2260000</v>
      </c>
      <c r="H67" s="443">
        <v>88135</v>
      </c>
      <c r="I67" s="443"/>
      <c r="J67" s="484">
        <f t="shared" ref="J67" si="54">L67+O67</f>
        <v>0</v>
      </c>
      <c r="K67" s="443"/>
      <c r="L67" s="443"/>
      <c r="M67" s="443"/>
      <c r="N67" s="443"/>
      <c r="O67" s="486">
        <f t="shared" ref="O67" si="55">K67</f>
        <v>0</v>
      </c>
      <c r="P67" s="484">
        <f t="shared" ref="P67" si="56">E67+J67</f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ref="E68:E81" si="57">F68</f>
        <v>0</v>
      </c>
      <c r="F68" s="275">
        <f>SUM(F69:F70)</f>
        <v>0</v>
      </c>
      <c r="G68" s="275">
        <f t="shared" ref="G68:I68" si="58">SUM(G69:G70)</f>
        <v>0</v>
      </c>
      <c r="H68" s="275">
        <f t="shared" si="58"/>
        <v>0</v>
      </c>
      <c r="I68" s="275">
        <f t="shared" si="58"/>
        <v>0</v>
      </c>
      <c r="J68" s="275">
        <f t="shared" si="25"/>
        <v>0</v>
      </c>
      <c r="K68" s="471">
        <f>SUM(K69:K70)</f>
        <v>0</v>
      </c>
      <c r="L68" s="275">
        <f t="shared" ref="L68:N68" si="59">SUM(L69:L70)</f>
        <v>0</v>
      </c>
      <c r="M68" s="275">
        <f t="shared" si="59"/>
        <v>0</v>
      </c>
      <c r="N68" s="275">
        <f t="shared" si="59"/>
        <v>0</v>
      </c>
      <c r="O68" s="275">
        <f>SUM(O69:O70)</f>
        <v>0</v>
      </c>
      <c r="P68" s="275">
        <f t="shared" ref="P68:P73" si="60">E68+J68</f>
        <v>0</v>
      </c>
      <c r="Q68" s="623"/>
      <c r="R68" s="280"/>
    </row>
    <row r="69" spans="1:18" s="272" customFormat="1" ht="367.5" hidden="1" thickTop="1" thickBot="1" x14ac:dyDescent="0.25">
      <c r="A69" s="259" t="s">
        <v>698</v>
      </c>
      <c r="B69" s="259" t="s">
        <v>699</v>
      </c>
      <c r="C69" s="259" t="s">
        <v>222</v>
      </c>
      <c r="D69" s="259" t="s">
        <v>700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43"/>
      <c r="L69" s="278"/>
      <c r="M69" s="278"/>
      <c r="N69" s="278"/>
      <c r="O69" s="262">
        <f t="shared" ref="O69:O70" si="61">K69</f>
        <v>0</v>
      </c>
      <c r="P69" s="256">
        <f t="shared" si="60"/>
        <v>0</v>
      </c>
      <c r="Q69" s="623"/>
      <c r="R69" s="255"/>
    </row>
    <row r="70" spans="1:18" s="272" customFormat="1" ht="321.75" hidden="1" thickTop="1" thickBot="1" x14ac:dyDescent="0.25">
      <c r="A70" s="259" t="s">
        <v>1054</v>
      </c>
      <c r="B70" s="259" t="s">
        <v>1055</v>
      </c>
      <c r="C70" s="259" t="s">
        <v>222</v>
      </c>
      <c r="D70" s="259" t="s">
        <v>1056</v>
      </c>
      <c r="E70" s="256">
        <f t="shared" si="57"/>
        <v>0</v>
      </c>
      <c r="F70" s="278"/>
      <c r="G70" s="278"/>
      <c r="H70" s="278"/>
      <c r="I70" s="278"/>
      <c r="J70" s="256">
        <f t="shared" si="25"/>
        <v>0</v>
      </c>
      <c r="K70" s="443"/>
      <c r="L70" s="278"/>
      <c r="M70" s="278"/>
      <c r="N70" s="278"/>
      <c r="O70" s="262">
        <f t="shared" si="61"/>
        <v>0</v>
      </c>
      <c r="P70" s="256">
        <f t="shared" si="60"/>
        <v>0</v>
      </c>
      <c r="Q70" s="623"/>
      <c r="R70" s="255"/>
    </row>
    <row r="71" spans="1:18" s="272" customFormat="1" ht="409.6" hidden="1" thickTop="1" thickBot="1" x14ac:dyDescent="0.25">
      <c r="A71" s="279" t="s">
        <v>1075</v>
      </c>
      <c r="B71" s="279" t="s">
        <v>1077</v>
      </c>
      <c r="C71" s="279"/>
      <c r="D71" s="279" t="s">
        <v>1079</v>
      </c>
      <c r="E71" s="275">
        <f>E72+E73</f>
        <v>0</v>
      </c>
      <c r="F71" s="275">
        <f>F72+F73</f>
        <v>0</v>
      </c>
      <c r="G71" s="275">
        <f t="shared" ref="G71:I71" si="62">G72+G73</f>
        <v>0</v>
      </c>
      <c r="H71" s="275">
        <f t="shared" si="62"/>
        <v>0</v>
      </c>
      <c r="I71" s="275">
        <f t="shared" si="62"/>
        <v>0</v>
      </c>
      <c r="J71" s="275">
        <f>L71+O71</f>
        <v>0</v>
      </c>
      <c r="K71" s="471">
        <f t="shared" ref="K71:O71" si="63">K72+K73</f>
        <v>0</v>
      </c>
      <c r="L71" s="275">
        <f t="shared" si="63"/>
        <v>0</v>
      </c>
      <c r="M71" s="275">
        <f t="shared" si="63"/>
        <v>0</v>
      </c>
      <c r="N71" s="275">
        <f t="shared" si="63"/>
        <v>0</v>
      </c>
      <c r="O71" s="275">
        <f t="shared" si="63"/>
        <v>0</v>
      </c>
      <c r="P71" s="275">
        <f t="shared" si="60"/>
        <v>0</v>
      </c>
      <c r="Q71" s="623"/>
      <c r="R71" s="255"/>
    </row>
    <row r="72" spans="1:18" s="272" customFormat="1" ht="409.6" hidden="1" thickTop="1" thickBot="1" x14ac:dyDescent="0.25">
      <c r="A72" s="259" t="s">
        <v>1076</v>
      </c>
      <c r="B72" s="259" t="s">
        <v>1078</v>
      </c>
      <c r="C72" s="259" t="s">
        <v>222</v>
      </c>
      <c r="D72" s="259" t="s">
        <v>1080</v>
      </c>
      <c r="E72" s="256">
        <f t="shared" ref="E72" si="64">F72</f>
        <v>0</v>
      </c>
      <c r="F72" s="278"/>
      <c r="G72" s="278"/>
      <c r="H72" s="278"/>
      <c r="I72" s="278"/>
      <c r="J72" s="256">
        <f t="shared" ref="J72" si="65">L72+O72</f>
        <v>0</v>
      </c>
      <c r="K72" s="443">
        <f>4547046.18-4547046.18</f>
        <v>0</v>
      </c>
      <c r="L72" s="278"/>
      <c r="M72" s="278"/>
      <c r="N72" s="278"/>
      <c r="O72" s="262">
        <f t="shared" ref="O72" si="66">K72</f>
        <v>0</v>
      </c>
      <c r="P72" s="256">
        <f t="shared" si="60"/>
        <v>0</v>
      </c>
      <c r="Q72" s="623"/>
      <c r="R72" s="255"/>
    </row>
    <row r="73" spans="1:18" s="272" customFormat="1" ht="45.75" hidden="1" thickTop="1" x14ac:dyDescent="0.2">
      <c r="A73" s="906" t="s">
        <v>1096</v>
      </c>
      <c r="B73" s="906" t="s">
        <v>1097</v>
      </c>
      <c r="C73" s="906" t="s">
        <v>222</v>
      </c>
      <c r="D73" s="906" t="s">
        <v>1098</v>
      </c>
      <c r="E73" s="898">
        <f t="shared" ref="E73" si="67">F73</f>
        <v>0</v>
      </c>
      <c r="F73" s="898"/>
      <c r="G73" s="898"/>
      <c r="H73" s="898"/>
      <c r="I73" s="898"/>
      <c r="J73" s="898">
        <f t="shared" ref="J73" si="68">L73+O73</f>
        <v>0</v>
      </c>
      <c r="K73" s="910">
        <f>10623233.82-10623233.82</f>
        <v>0</v>
      </c>
      <c r="L73" s="898"/>
      <c r="M73" s="898"/>
      <c r="N73" s="898"/>
      <c r="O73" s="901">
        <f t="shared" ref="O73" si="69">K73</f>
        <v>0</v>
      </c>
      <c r="P73" s="898">
        <f t="shared" si="60"/>
        <v>0</v>
      </c>
      <c r="Q73" s="623"/>
      <c r="R73" s="255"/>
    </row>
    <row r="74" spans="1:18" s="272" customFormat="1" ht="45.75" hidden="1" thickBot="1" x14ac:dyDescent="0.25">
      <c r="A74" s="900"/>
      <c r="B74" s="900"/>
      <c r="C74" s="900"/>
      <c r="D74" s="900"/>
      <c r="E74" s="900"/>
      <c r="F74" s="900"/>
      <c r="G74" s="900"/>
      <c r="H74" s="900"/>
      <c r="I74" s="900"/>
      <c r="J74" s="900"/>
      <c r="K74" s="911"/>
      <c r="L74" s="900"/>
      <c r="M74" s="900"/>
      <c r="N74" s="900"/>
      <c r="O74" s="903"/>
      <c r="P74" s="900"/>
      <c r="Q74" s="623"/>
      <c r="R74" s="255"/>
    </row>
    <row r="75" spans="1:18" s="272" customFormat="1" ht="321.75" thickTop="1" thickBot="1" x14ac:dyDescent="0.25">
      <c r="A75" s="732" t="s">
        <v>687</v>
      </c>
      <c r="B75" s="732" t="s">
        <v>688</v>
      </c>
      <c r="C75" s="732" t="s">
        <v>222</v>
      </c>
      <c r="D75" s="732" t="s">
        <v>689</v>
      </c>
      <c r="E75" s="729">
        <f t="shared" si="57"/>
        <v>4309556</v>
      </c>
      <c r="F75" s="443">
        <f>(4788308)-478752</f>
        <v>4309556</v>
      </c>
      <c r="G75" s="443">
        <f>(3924850)-392420</f>
        <v>3532430</v>
      </c>
      <c r="H75" s="443"/>
      <c r="I75" s="443"/>
      <c r="J75" s="729">
        <f t="shared" ref="J75" si="70">L75+O75</f>
        <v>1530916</v>
      </c>
      <c r="K75" s="443">
        <f>(1701336)-170420</f>
        <v>1530916</v>
      </c>
      <c r="L75" s="443"/>
      <c r="M75" s="443"/>
      <c r="N75" s="443"/>
      <c r="O75" s="733">
        <f t="shared" ref="O75" si="71">K75</f>
        <v>1530916</v>
      </c>
      <c r="P75" s="729">
        <f t="shared" ref="P75" si="72">E75+J75</f>
        <v>5840472</v>
      </c>
      <c r="Q75" s="623"/>
      <c r="R75" s="255"/>
    </row>
    <row r="76" spans="1:18" s="272" customFormat="1" ht="321.75" hidden="1" thickTop="1" thickBot="1" x14ac:dyDescent="0.25">
      <c r="A76" s="259" t="s">
        <v>1006</v>
      </c>
      <c r="B76" s="259" t="s">
        <v>1007</v>
      </c>
      <c r="C76" s="259" t="s">
        <v>222</v>
      </c>
      <c r="D76" s="259" t="s">
        <v>1008</v>
      </c>
      <c r="E76" s="256">
        <f t="shared" ref="E76" si="73">F76</f>
        <v>0</v>
      </c>
      <c r="F76" s="278"/>
      <c r="G76" s="278"/>
      <c r="H76" s="278"/>
      <c r="I76" s="278"/>
      <c r="J76" s="256">
        <f t="shared" ref="J76" si="74">L76+O76</f>
        <v>0</v>
      </c>
      <c r="K76" s="443"/>
      <c r="L76" s="278"/>
      <c r="M76" s="278"/>
      <c r="N76" s="278"/>
      <c r="O76" s="262">
        <f t="shared" ref="O76" si="75">K76</f>
        <v>0</v>
      </c>
      <c r="P76" s="256">
        <f t="shared" ref="P76" si="76">E76+J76</f>
        <v>0</v>
      </c>
      <c r="Q76" s="623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256">
        <f>SUM(E78)</f>
        <v>0</v>
      </c>
      <c r="F77" s="256">
        <f t="shared" ref="F77:O77" si="77">SUM(F78)</f>
        <v>0</v>
      </c>
      <c r="G77" s="256">
        <f t="shared" si="77"/>
        <v>0</v>
      </c>
      <c r="H77" s="256">
        <f t="shared" si="77"/>
        <v>0</v>
      </c>
      <c r="I77" s="256">
        <f t="shared" si="77"/>
        <v>0</v>
      </c>
      <c r="J77" s="256">
        <f t="shared" si="77"/>
        <v>0</v>
      </c>
      <c r="K77" s="484">
        <f t="shared" si="77"/>
        <v>0</v>
      </c>
      <c r="L77" s="256">
        <f t="shared" si="77"/>
        <v>0</v>
      </c>
      <c r="M77" s="256">
        <f t="shared" si="77"/>
        <v>0</v>
      </c>
      <c r="N77" s="256">
        <f t="shared" si="77"/>
        <v>0</v>
      </c>
      <c r="O77" s="256">
        <f t="shared" si="77"/>
        <v>0</v>
      </c>
      <c r="P77" s="256">
        <f>SUM(P78)</f>
        <v>0</v>
      </c>
      <c r="Q77" s="623"/>
      <c r="R77" s="255"/>
    </row>
    <row r="78" spans="1:18" s="272" customFormat="1" ht="367.5" hidden="1" thickTop="1" thickBot="1" x14ac:dyDescent="0.25">
      <c r="A78" s="259" t="s">
        <v>447</v>
      </c>
      <c r="B78" s="259" t="s">
        <v>448</v>
      </c>
      <c r="C78" s="259" t="s">
        <v>197</v>
      </c>
      <c r="D78" s="259" t="s">
        <v>446</v>
      </c>
      <c r="E78" s="256">
        <f t="shared" si="57"/>
        <v>0</v>
      </c>
      <c r="F78" s="278">
        <f>(2688000)-2688000</f>
        <v>0</v>
      </c>
      <c r="G78" s="278"/>
      <c r="H78" s="278"/>
      <c r="I78" s="278"/>
      <c r="J78" s="256">
        <f>L78+O78</f>
        <v>0</v>
      </c>
      <c r="K78" s="443"/>
      <c r="L78" s="278"/>
      <c r="M78" s="278"/>
      <c r="N78" s="278"/>
      <c r="O78" s="262">
        <f>K78</f>
        <v>0</v>
      </c>
      <c r="P78" s="256">
        <f>E78+J78</f>
        <v>0</v>
      </c>
      <c r="Q78" s="623"/>
      <c r="R78" s="284"/>
    </row>
    <row r="79" spans="1:18" s="272" customFormat="1" ht="230.25" hidden="1" thickTop="1" thickBot="1" x14ac:dyDescent="0.25">
      <c r="A79" s="279" t="s">
        <v>1081</v>
      </c>
      <c r="B79" s="279" t="s">
        <v>1083</v>
      </c>
      <c r="C79" s="279"/>
      <c r="D79" s="279" t="s">
        <v>1085</v>
      </c>
      <c r="E79" s="275">
        <f t="shared" si="57"/>
        <v>0</v>
      </c>
      <c r="F79" s="275">
        <f>SUM(F80:F81)</f>
        <v>0</v>
      </c>
      <c r="G79" s="275">
        <f>SUM(G80:G81)</f>
        <v>0</v>
      </c>
      <c r="H79" s="275">
        <f>SUM(H80:H81)</f>
        <v>0</v>
      </c>
      <c r="I79" s="275">
        <f>SUM(I80:I81)</f>
        <v>0</v>
      </c>
      <c r="J79" s="275">
        <f>L79+O79</f>
        <v>0</v>
      </c>
      <c r="K79" s="471">
        <f>SUM(K80:K81)</f>
        <v>0</v>
      </c>
      <c r="L79" s="275">
        <f>SUM(L80:L81)</f>
        <v>0</v>
      </c>
      <c r="M79" s="275">
        <f>SUM(M80:M81)</f>
        <v>0</v>
      </c>
      <c r="N79" s="275">
        <f>SUM(N80:N81)</f>
        <v>0</v>
      </c>
      <c r="O79" s="275">
        <f>SUM(O80:O81)</f>
        <v>0</v>
      </c>
      <c r="P79" s="275">
        <f>E79+J79</f>
        <v>0</v>
      </c>
      <c r="Q79" s="623"/>
      <c r="R79" s="284"/>
    </row>
    <row r="80" spans="1:18" s="272" customFormat="1" ht="367.5" hidden="1" thickTop="1" thickBot="1" x14ac:dyDescent="0.25">
      <c r="A80" s="259" t="s">
        <v>1082</v>
      </c>
      <c r="B80" s="259" t="s">
        <v>1084</v>
      </c>
      <c r="C80" s="259" t="s">
        <v>222</v>
      </c>
      <c r="D80" s="259" t="s">
        <v>1086</v>
      </c>
      <c r="E80" s="256">
        <f t="shared" si="57"/>
        <v>0</v>
      </c>
      <c r="F80" s="278"/>
      <c r="G80" s="278"/>
      <c r="H80" s="278"/>
      <c r="I80" s="278"/>
      <c r="J80" s="256">
        <f t="shared" ref="J80:J81" si="78">L80+O80</f>
        <v>0</v>
      </c>
      <c r="K80" s="443"/>
      <c r="L80" s="278"/>
      <c r="M80" s="278"/>
      <c r="N80" s="278"/>
      <c r="O80" s="262">
        <f t="shared" ref="O80:O81" si="79">K80</f>
        <v>0</v>
      </c>
      <c r="P80" s="256">
        <f>E80+J80</f>
        <v>0</v>
      </c>
      <c r="Q80" s="623"/>
      <c r="R80" s="255"/>
    </row>
    <row r="81" spans="1:18" s="272" customFormat="1" ht="321.75" hidden="1" thickTop="1" thickBot="1" x14ac:dyDescent="0.25">
      <c r="A81" s="259" t="s">
        <v>1137</v>
      </c>
      <c r="B81" s="259" t="s">
        <v>1138</v>
      </c>
      <c r="C81" s="259" t="s">
        <v>222</v>
      </c>
      <c r="D81" s="259" t="s">
        <v>1136</v>
      </c>
      <c r="E81" s="256">
        <f t="shared" si="57"/>
        <v>0</v>
      </c>
      <c r="F81" s="278">
        <f>(553900)-553900</f>
        <v>0</v>
      </c>
      <c r="G81" s="278"/>
      <c r="H81" s="278"/>
      <c r="I81" s="278"/>
      <c r="J81" s="256">
        <f t="shared" si="78"/>
        <v>0</v>
      </c>
      <c r="K81" s="443"/>
      <c r="L81" s="278"/>
      <c r="M81" s="278"/>
      <c r="N81" s="278"/>
      <c r="O81" s="262">
        <f t="shared" si="79"/>
        <v>0</v>
      </c>
      <c r="P81" s="256">
        <f>E81+J81</f>
        <v>0</v>
      </c>
      <c r="Q81" s="623"/>
      <c r="R81" s="255"/>
    </row>
    <row r="82" spans="1:18" s="272" customFormat="1" ht="47.25" thickTop="1" thickBot="1" x14ac:dyDescent="0.25">
      <c r="A82" s="151" t="s">
        <v>1191</v>
      </c>
      <c r="B82" s="151" t="s">
        <v>792</v>
      </c>
      <c r="C82" s="151"/>
      <c r="D82" s="151" t="s">
        <v>1190</v>
      </c>
      <c r="E82" s="484">
        <f>E83+E86</f>
        <v>0</v>
      </c>
      <c r="F82" s="484">
        <f t="shared" ref="F82:P82" si="80">F83+F86</f>
        <v>0</v>
      </c>
      <c r="G82" s="484">
        <f t="shared" si="80"/>
        <v>0</v>
      </c>
      <c r="H82" s="484">
        <f t="shared" si="80"/>
        <v>0</v>
      </c>
      <c r="I82" s="484">
        <f t="shared" si="80"/>
        <v>0</v>
      </c>
      <c r="J82" s="484">
        <f t="shared" si="80"/>
        <v>53898000</v>
      </c>
      <c r="K82" s="484">
        <f t="shared" si="80"/>
        <v>53898000</v>
      </c>
      <c r="L82" s="484">
        <f t="shared" si="80"/>
        <v>0</v>
      </c>
      <c r="M82" s="484">
        <f t="shared" si="80"/>
        <v>0</v>
      </c>
      <c r="N82" s="484">
        <f t="shared" si="80"/>
        <v>0</v>
      </c>
      <c r="O82" s="484">
        <f t="shared" si="80"/>
        <v>53898000</v>
      </c>
      <c r="P82" s="484">
        <f t="shared" si="80"/>
        <v>53898000</v>
      </c>
      <c r="Q82" s="623"/>
      <c r="R82" s="255"/>
    </row>
    <row r="83" spans="1:18" s="272" customFormat="1" ht="91.5" thickTop="1" thickBot="1" x14ac:dyDescent="0.25">
      <c r="A83" s="466" t="s">
        <v>1189</v>
      </c>
      <c r="B83" s="466" t="s">
        <v>848</v>
      </c>
      <c r="C83" s="466"/>
      <c r="D83" s="466" t="s">
        <v>849</v>
      </c>
      <c r="E83" s="467">
        <f>E84</f>
        <v>0</v>
      </c>
      <c r="F83" s="467">
        <f t="shared" ref="F83:P84" si="81">F84</f>
        <v>0</v>
      </c>
      <c r="G83" s="467">
        <f t="shared" si="81"/>
        <v>0</v>
      </c>
      <c r="H83" s="467">
        <f t="shared" si="81"/>
        <v>0</v>
      </c>
      <c r="I83" s="467">
        <f t="shared" si="81"/>
        <v>0</v>
      </c>
      <c r="J83" s="467">
        <f t="shared" si="81"/>
        <v>3068000</v>
      </c>
      <c r="K83" s="467">
        <f t="shared" si="81"/>
        <v>3068000</v>
      </c>
      <c r="L83" s="467">
        <f t="shared" si="81"/>
        <v>0</v>
      </c>
      <c r="M83" s="467">
        <f t="shared" si="81"/>
        <v>0</v>
      </c>
      <c r="N83" s="467">
        <f t="shared" si="81"/>
        <v>0</v>
      </c>
      <c r="O83" s="467">
        <f t="shared" si="81"/>
        <v>3068000</v>
      </c>
      <c r="P83" s="467">
        <f t="shared" si="81"/>
        <v>3068000</v>
      </c>
      <c r="Q83" s="623"/>
      <c r="R83" s="255"/>
    </row>
    <row r="84" spans="1:18" s="272" customFormat="1" ht="145.5" thickTop="1" thickBot="1" x14ac:dyDescent="0.25">
      <c r="A84" s="488" t="s">
        <v>1192</v>
      </c>
      <c r="B84" s="488" t="s">
        <v>867</v>
      </c>
      <c r="C84" s="488"/>
      <c r="D84" s="488" t="s">
        <v>1193</v>
      </c>
      <c r="E84" s="471">
        <f>E85</f>
        <v>0</v>
      </c>
      <c r="F84" s="471">
        <f t="shared" si="81"/>
        <v>0</v>
      </c>
      <c r="G84" s="471">
        <f t="shared" si="81"/>
        <v>0</v>
      </c>
      <c r="H84" s="471">
        <f t="shared" si="81"/>
        <v>0</v>
      </c>
      <c r="I84" s="471">
        <f t="shared" si="81"/>
        <v>0</v>
      </c>
      <c r="J84" s="471">
        <f t="shared" si="81"/>
        <v>3068000</v>
      </c>
      <c r="K84" s="471">
        <f t="shared" si="81"/>
        <v>3068000</v>
      </c>
      <c r="L84" s="471">
        <f t="shared" si="81"/>
        <v>0</v>
      </c>
      <c r="M84" s="471">
        <f t="shared" si="81"/>
        <v>0</v>
      </c>
      <c r="N84" s="471">
        <f t="shared" si="81"/>
        <v>0</v>
      </c>
      <c r="O84" s="471">
        <f t="shared" si="81"/>
        <v>3068000</v>
      </c>
      <c r="P84" s="471">
        <f t="shared" si="81"/>
        <v>3068000</v>
      </c>
      <c r="Q84" s="623"/>
      <c r="R84" s="255"/>
    </row>
    <row r="85" spans="1:18" s="272" customFormat="1" ht="99.75" thickTop="1" thickBot="1" x14ac:dyDescent="0.25">
      <c r="A85" s="482" t="s">
        <v>1205</v>
      </c>
      <c r="B85" s="488" t="s">
        <v>324</v>
      </c>
      <c r="C85" s="482" t="s">
        <v>317</v>
      </c>
      <c r="D85" s="482" t="s">
        <v>665</v>
      </c>
      <c r="E85" s="484">
        <f t="shared" ref="E85" si="82">F85</f>
        <v>0</v>
      </c>
      <c r="F85" s="443"/>
      <c r="G85" s="443"/>
      <c r="H85" s="443"/>
      <c r="I85" s="443"/>
      <c r="J85" s="484">
        <f t="shared" ref="J85" si="83">L85+O85</f>
        <v>3068000</v>
      </c>
      <c r="K85" s="443">
        <f>(700000+200000+1168000+300000+700000)</f>
        <v>3068000</v>
      </c>
      <c r="L85" s="443"/>
      <c r="M85" s="443"/>
      <c r="N85" s="443"/>
      <c r="O85" s="486">
        <f t="shared" ref="O85" si="84">K85</f>
        <v>3068000</v>
      </c>
      <c r="P85" s="484">
        <f>E85+J85</f>
        <v>3068000</v>
      </c>
      <c r="Q85" s="616"/>
      <c r="R85" s="255"/>
    </row>
    <row r="86" spans="1:18" s="272" customFormat="1" ht="136.5" thickTop="1" thickBot="1" x14ac:dyDescent="0.25">
      <c r="A86" s="466" t="s">
        <v>1194</v>
      </c>
      <c r="B86" s="466" t="s">
        <v>734</v>
      </c>
      <c r="C86" s="466"/>
      <c r="D86" s="466" t="s">
        <v>732</v>
      </c>
      <c r="E86" s="467">
        <f>E87</f>
        <v>0</v>
      </c>
      <c r="F86" s="467">
        <f t="shared" ref="F86:P86" si="85">F87</f>
        <v>0</v>
      </c>
      <c r="G86" s="467">
        <f t="shared" si="85"/>
        <v>0</v>
      </c>
      <c r="H86" s="467">
        <f t="shared" si="85"/>
        <v>0</v>
      </c>
      <c r="I86" s="467">
        <f t="shared" si="85"/>
        <v>0</v>
      </c>
      <c r="J86" s="467">
        <f t="shared" si="85"/>
        <v>50830000</v>
      </c>
      <c r="K86" s="467">
        <f t="shared" si="85"/>
        <v>50830000</v>
      </c>
      <c r="L86" s="467">
        <f t="shared" si="85"/>
        <v>0</v>
      </c>
      <c r="M86" s="467">
        <f t="shared" si="85"/>
        <v>0</v>
      </c>
      <c r="N86" s="467">
        <f t="shared" si="85"/>
        <v>0</v>
      </c>
      <c r="O86" s="467">
        <f t="shared" si="85"/>
        <v>50830000</v>
      </c>
      <c r="P86" s="467">
        <f t="shared" si="85"/>
        <v>50830000</v>
      </c>
      <c r="Q86" s="616"/>
      <c r="R86" s="255"/>
    </row>
    <row r="87" spans="1:18" s="272" customFormat="1" ht="48" thickTop="1" thickBot="1" x14ac:dyDescent="0.25">
      <c r="A87" s="482" t="s">
        <v>1195</v>
      </c>
      <c r="B87" s="488" t="s">
        <v>224</v>
      </c>
      <c r="C87" s="482" t="s">
        <v>225</v>
      </c>
      <c r="D87" s="482" t="s">
        <v>43</v>
      </c>
      <c r="E87" s="484">
        <f t="shared" ref="E87" si="86">F87</f>
        <v>0</v>
      </c>
      <c r="F87" s="443"/>
      <c r="G87" s="443"/>
      <c r="H87" s="443"/>
      <c r="I87" s="443"/>
      <c r="J87" s="484">
        <f t="shared" ref="J87" si="87">L87+O87</f>
        <v>50830000</v>
      </c>
      <c r="K87" s="443">
        <v>50830000</v>
      </c>
      <c r="L87" s="443"/>
      <c r="M87" s="443"/>
      <c r="N87" s="443"/>
      <c r="O87" s="486">
        <f t="shared" ref="O87" si="88">K87</f>
        <v>50830000</v>
      </c>
      <c r="P87" s="484">
        <f>E87+J87</f>
        <v>50830000</v>
      </c>
      <c r="Q87" s="616"/>
      <c r="R87" s="255"/>
    </row>
    <row r="88" spans="1:18" s="272" customFormat="1" ht="47.25" hidden="1" thickTop="1" thickBot="1" x14ac:dyDescent="0.25">
      <c r="A88" s="250" t="s">
        <v>1110</v>
      </c>
      <c r="B88" s="250" t="s">
        <v>745</v>
      </c>
      <c r="C88" s="250"/>
      <c r="D88" s="250" t="s">
        <v>746</v>
      </c>
      <c r="E88" s="256">
        <f>E89</f>
        <v>0</v>
      </c>
      <c r="F88" s="256">
        <f t="shared" ref="F88:P89" si="89">F89</f>
        <v>0</v>
      </c>
      <c r="G88" s="256">
        <f t="shared" si="89"/>
        <v>0</v>
      </c>
      <c r="H88" s="256">
        <f t="shared" si="89"/>
        <v>0</v>
      </c>
      <c r="I88" s="256">
        <f t="shared" si="89"/>
        <v>0</v>
      </c>
      <c r="J88" s="256">
        <f t="shared" si="89"/>
        <v>0</v>
      </c>
      <c r="K88" s="256">
        <f t="shared" si="89"/>
        <v>0</v>
      </c>
      <c r="L88" s="256">
        <f t="shared" si="89"/>
        <v>0</v>
      </c>
      <c r="M88" s="256">
        <f t="shared" si="89"/>
        <v>0</v>
      </c>
      <c r="N88" s="256">
        <f t="shared" si="89"/>
        <v>0</v>
      </c>
      <c r="O88" s="256">
        <f t="shared" si="89"/>
        <v>0</v>
      </c>
      <c r="P88" s="256">
        <f t="shared" si="89"/>
        <v>0</v>
      </c>
      <c r="Q88" s="623"/>
      <c r="R88" s="255"/>
    </row>
    <row r="89" spans="1:18" s="272" customFormat="1" ht="271.5" hidden="1" thickTop="1" thickBot="1" x14ac:dyDescent="0.25">
      <c r="A89" s="253" t="s">
        <v>1111</v>
      </c>
      <c r="B89" s="253" t="s">
        <v>748</v>
      </c>
      <c r="C89" s="253"/>
      <c r="D89" s="253" t="s">
        <v>749</v>
      </c>
      <c r="E89" s="270">
        <f>E90</f>
        <v>0</v>
      </c>
      <c r="F89" s="270">
        <f t="shared" si="89"/>
        <v>0</v>
      </c>
      <c r="G89" s="270">
        <f t="shared" si="89"/>
        <v>0</v>
      </c>
      <c r="H89" s="270">
        <f t="shared" si="89"/>
        <v>0</v>
      </c>
      <c r="I89" s="270">
        <f t="shared" si="89"/>
        <v>0</v>
      </c>
      <c r="J89" s="270">
        <f t="shared" si="89"/>
        <v>0</v>
      </c>
      <c r="K89" s="270">
        <f t="shared" si="89"/>
        <v>0</v>
      </c>
      <c r="L89" s="270">
        <f t="shared" si="89"/>
        <v>0</v>
      </c>
      <c r="M89" s="270">
        <f t="shared" si="89"/>
        <v>0</v>
      </c>
      <c r="N89" s="270">
        <f t="shared" si="89"/>
        <v>0</v>
      </c>
      <c r="O89" s="270">
        <f t="shared" si="89"/>
        <v>0</v>
      </c>
      <c r="P89" s="270">
        <f t="shared" si="89"/>
        <v>0</v>
      </c>
      <c r="Q89" s="623"/>
      <c r="R89" s="255"/>
    </row>
    <row r="90" spans="1:18" s="272" customFormat="1" ht="93" hidden="1" thickTop="1" thickBot="1" x14ac:dyDescent="0.25">
      <c r="A90" s="259" t="s">
        <v>1112</v>
      </c>
      <c r="B90" s="259" t="s">
        <v>377</v>
      </c>
      <c r="C90" s="259" t="s">
        <v>45</v>
      </c>
      <c r="D90" s="259" t="s">
        <v>378</v>
      </c>
      <c r="E90" s="256">
        <f t="shared" ref="E90" si="90">F90</f>
        <v>0</v>
      </c>
      <c r="F90" s="278"/>
      <c r="G90" s="278"/>
      <c r="H90" s="278"/>
      <c r="I90" s="278"/>
      <c r="J90" s="256">
        <f>L90+O90</f>
        <v>0</v>
      </c>
      <c r="K90" s="278"/>
      <c r="L90" s="278"/>
      <c r="M90" s="278"/>
      <c r="N90" s="278"/>
      <c r="O90" s="262">
        <f>K90</f>
        <v>0</v>
      </c>
      <c r="P90" s="256">
        <f>E90+J90</f>
        <v>0</v>
      </c>
      <c r="Q90" s="623"/>
      <c r="R90" s="255"/>
    </row>
    <row r="91" spans="1:18" ht="136.5" thickTop="1" thickBot="1" x14ac:dyDescent="0.25">
      <c r="A91" s="827" t="s">
        <v>162</v>
      </c>
      <c r="B91" s="827"/>
      <c r="C91" s="827"/>
      <c r="D91" s="828" t="s">
        <v>18</v>
      </c>
      <c r="E91" s="829">
        <f>E92</f>
        <v>103687691</v>
      </c>
      <c r="F91" s="830">
        <f t="shared" ref="F91:G91" si="91">F92</f>
        <v>103687691</v>
      </c>
      <c r="G91" s="830">
        <f t="shared" si="91"/>
        <v>4688000</v>
      </c>
      <c r="H91" s="830">
        <f>H92</f>
        <v>299231</v>
      </c>
      <c r="I91" s="830">
        <f t="shared" ref="I91" si="92">I92</f>
        <v>0</v>
      </c>
      <c r="J91" s="829">
        <f>J92</f>
        <v>10720856</v>
      </c>
      <c r="K91" s="830">
        <f>K92</f>
        <v>10720856</v>
      </c>
      <c r="L91" s="830">
        <f>L92</f>
        <v>0</v>
      </c>
      <c r="M91" s="830">
        <f t="shared" ref="M91" si="93">M92</f>
        <v>0</v>
      </c>
      <c r="N91" s="830">
        <f>N92</f>
        <v>0</v>
      </c>
      <c r="O91" s="829">
        <f>O92</f>
        <v>10720856</v>
      </c>
      <c r="P91" s="830">
        <f>P92</f>
        <v>114408547</v>
      </c>
    </row>
    <row r="92" spans="1:18" ht="136.5" thickTop="1" thickBot="1" x14ac:dyDescent="0.25">
      <c r="A92" s="831" t="s">
        <v>163</v>
      </c>
      <c r="B92" s="831"/>
      <c r="C92" s="831"/>
      <c r="D92" s="832" t="s">
        <v>38</v>
      </c>
      <c r="E92" s="833">
        <f>E93+E95+E110+E108</f>
        <v>103687691</v>
      </c>
      <c r="F92" s="833">
        <f t="shared" ref="F92:P92" si="94">F93+F95+F110+F108</f>
        <v>103687691</v>
      </c>
      <c r="G92" s="833">
        <f t="shared" si="94"/>
        <v>4688000</v>
      </c>
      <c r="H92" s="833">
        <f t="shared" si="94"/>
        <v>299231</v>
      </c>
      <c r="I92" s="833">
        <f t="shared" si="94"/>
        <v>0</v>
      </c>
      <c r="J92" s="833">
        <f t="shared" si="94"/>
        <v>10720856</v>
      </c>
      <c r="K92" s="833">
        <f t="shared" si="94"/>
        <v>10720856</v>
      </c>
      <c r="L92" s="833">
        <f t="shared" si="94"/>
        <v>0</v>
      </c>
      <c r="M92" s="833">
        <f t="shared" si="94"/>
        <v>0</v>
      </c>
      <c r="N92" s="833">
        <f t="shared" si="94"/>
        <v>0</v>
      </c>
      <c r="O92" s="833">
        <f t="shared" si="94"/>
        <v>10720856</v>
      </c>
      <c r="P92" s="833">
        <f t="shared" si="94"/>
        <v>114408547</v>
      </c>
      <c r="Q92" s="616" t="b">
        <f>P92=P94+P96+P97+P98+P99+P100+P102+P104+P106+P107+P117+P115+P113+P109</f>
        <v>1</v>
      </c>
      <c r="R92" s="255"/>
    </row>
    <row r="93" spans="1:18" ht="47.25" thickTop="1" thickBot="1" x14ac:dyDescent="0.25">
      <c r="A93" s="151" t="s">
        <v>756</v>
      </c>
      <c r="B93" s="151" t="s">
        <v>727</v>
      </c>
      <c r="C93" s="151"/>
      <c r="D93" s="151" t="s">
        <v>728</v>
      </c>
      <c r="E93" s="442">
        <f>SUM(E94)</f>
        <v>2867421</v>
      </c>
      <c r="F93" s="442">
        <f t="shared" ref="F93:O93" si="95">SUM(F94)</f>
        <v>2867421</v>
      </c>
      <c r="G93" s="442">
        <f t="shared" si="95"/>
        <v>2136700</v>
      </c>
      <c r="H93" s="442">
        <f t="shared" si="95"/>
        <v>147221</v>
      </c>
      <c r="I93" s="442">
        <f t="shared" si="95"/>
        <v>0</v>
      </c>
      <c r="J93" s="442">
        <f t="shared" si="95"/>
        <v>0</v>
      </c>
      <c r="K93" s="442">
        <f t="shared" si="95"/>
        <v>0</v>
      </c>
      <c r="L93" s="442">
        <f t="shared" si="95"/>
        <v>0</v>
      </c>
      <c r="M93" s="442">
        <f t="shared" si="95"/>
        <v>0</v>
      </c>
      <c r="N93" s="442">
        <f t="shared" si="95"/>
        <v>0</v>
      </c>
      <c r="O93" s="442">
        <f t="shared" si="95"/>
        <v>0</v>
      </c>
      <c r="P93" s="442">
        <f>SUM(P94)</f>
        <v>2867421</v>
      </c>
      <c r="Q93" s="616"/>
      <c r="R93" s="255"/>
    </row>
    <row r="94" spans="1:18" ht="230.25" thickTop="1" thickBot="1" x14ac:dyDescent="0.25">
      <c r="A94" s="224" t="s">
        <v>432</v>
      </c>
      <c r="B94" s="224" t="s">
        <v>248</v>
      </c>
      <c r="C94" s="224" t="s">
        <v>246</v>
      </c>
      <c r="D94" s="224" t="s">
        <v>247</v>
      </c>
      <c r="E94" s="442">
        <f>F94</f>
        <v>2867421</v>
      </c>
      <c r="F94" s="443">
        <v>2867421</v>
      </c>
      <c r="G94" s="443">
        <v>2136700</v>
      </c>
      <c r="H94" s="443">
        <f>2100+55721+89400</f>
        <v>147221</v>
      </c>
      <c r="I94" s="443"/>
      <c r="J94" s="442">
        <f t="shared" ref="J94:J118" si="96">L94+O94</f>
        <v>0</v>
      </c>
      <c r="K94" s="443">
        <f>100000-100000</f>
        <v>0</v>
      </c>
      <c r="L94" s="443"/>
      <c r="M94" s="443"/>
      <c r="N94" s="443"/>
      <c r="O94" s="444">
        <f>K94</f>
        <v>0</v>
      </c>
      <c r="P94" s="442">
        <f t="shared" ref="P94:P118" si="97">E94+J94</f>
        <v>2867421</v>
      </c>
      <c r="Q94" s="625"/>
      <c r="R94" s="255"/>
    </row>
    <row r="95" spans="1:18" ht="47.25" thickTop="1" thickBot="1" x14ac:dyDescent="0.25">
      <c r="A95" s="151" t="s">
        <v>757</v>
      </c>
      <c r="B95" s="151" t="s">
        <v>758</v>
      </c>
      <c r="C95" s="151"/>
      <c r="D95" s="151" t="s">
        <v>759</v>
      </c>
      <c r="E95" s="442">
        <f>SUM(E96:E107)-E101-E103-E105</f>
        <v>100720270</v>
      </c>
      <c r="F95" s="442">
        <f t="shared" ref="F95:P95" si="98">SUM(F96:F107)-F101-F103-F105</f>
        <v>100720270</v>
      </c>
      <c r="G95" s="442">
        <f t="shared" si="98"/>
        <v>2551300</v>
      </c>
      <c r="H95" s="442">
        <f t="shared" si="98"/>
        <v>152010</v>
      </c>
      <c r="I95" s="442">
        <f t="shared" si="98"/>
        <v>0</v>
      </c>
      <c r="J95" s="442">
        <f t="shared" si="98"/>
        <v>10420856</v>
      </c>
      <c r="K95" s="442">
        <f t="shared" si="98"/>
        <v>10420856</v>
      </c>
      <c r="L95" s="442">
        <f t="shared" si="98"/>
        <v>0</v>
      </c>
      <c r="M95" s="442">
        <f t="shared" si="98"/>
        <v>0</v>
      </c>
      <c r="N95" s="442">
        <f t="shared" si="98"/>
        <v>0</v>
      </c>
      <c r="O95" s="442">
        <f t="shared" si="98"/>
        <v>10420856</v>
      </c>
      <c r="P95" s="442">
        <f t="shared" si="98"/>
        <v>111141126</v>
      </c>
      <c r="Q95" s="625"/>
      <c r="R95" s="284"/>
    </row>
    <row r="96" spans="1:18" ht="93" thickTop="1" thickBot="1" x14ac:dyDescent="0.25">
      <c r="A96" s="224" t="s">
        <v>226</v>
      </c>
      <c r="B96" s="224" t="s">
        <v>223</v>
      </c>
      <c r="C96" s="224" t="s">
        <v>227</v>
      </c>
      <c r="D96" s="224" t="s">
        <v>19</v>
      </c>
      <c r="E96" s="442">
        <f>F96</f>
        <v>35402605</v>
      </c>
      <c r="F96" s="443">
        <f>(25352605)+9100000+250000+700000</f>
        <v>35402605</v>
      </c>
      <c r="G96" s="443"/>
      <c r="H96" s="443"/>
      <c r="I96" s="443"/>
      <c r="J96" s="442">
        <f t="shared" si="96"/>
        <v>7064956</v>
      </c>
      <c r="K96" s="443">
        <f>(360000+178700+400000+5000000+500000)+626256</f>
        <v>7064956</v>
      </c>
      <c r="L96" s="443"/>
      <c r="M96" s="443"/>
      <c r="N96" s="443"/>
      <c r="O96" s="444">
        <f>K96</f>
        <v>7064956</v>
      </c>
      <c r="P96" s="442">
        <f t="shared" si="97"/>
        <v>42467561</v>
      </c>
      <c r="R96" s="267"/>
    </row>
    <row r="97" spans="1:18" ht="93" thickTop="1" thickBot="1" x14ac:dyDescent="0.25">
      <c r="A97" s="224" t="s">
        <v>523</v>
      </c>
      <c r="B97" s="224" t="s">
        <v>526</v>
      </c>
      <c r="C97" s="224" t="s">
        <v>525</v>
      </c>
      <c r="D97" s="224" t="s">
        <v>524</v>
      </c>
      <c r="E97" s="442">
        <f>F97</f>
        <v>13091450</v>
      </c>
      <c r="F97" s="443">
        <f>(8991450)+1800000+200000+2000000+100000</f>
        <v>13091450</v>
      </c>
      <c r="G97" s="443"/>
      <c r="H97" s="443"/>
      <c r="I97" s="443"/>
      <c r="J97" s="442">
        <f t="shared" si="96"/>
        <v>2655900</v>
      </c>
      <c r="K97" s="443">
        <f>(500000+200000)+1955900</f>
        <v>2655900</v>
      </c>
      <c r="L97" s="443"/>
      <c r="M97" s="443"/>
      <c r="N97" s="443"/>
      <c r="O97" s="486">
        <f>K97</f>
        <v>2655900</v>
      </c>
      <c r="P97" s="442">
        <f t="shared" si="97"/>
        <v>15747350</v>
      </c>
      <c r="R97" s="284"/>
    </row>
    <row r="98" spans="1:18" ht="138.75" thickTop="1" thickBot="1" x14ac:dyDescent="0.25">
      <c r="A98" s="224" t="s">
        <v>228</v>
      </c>
      <c r="B98" s="224" t="s">
        <v>229</v>
      </c>
      <c r="C98" s="224" t="s">
        <v>230</v>
      </c>
      <c r="D98" s="224" t="s">
        <v>231</v>
      </c>
      <c r="E98" s="442">
        <f t="shared" ref="E98:E118" si="99">F98</f>
        <v>9129950</v>
      </c>
      <c r="F98" s="443">
        <f>(8354950)+775000</f>
        <v>9129950</v>
      </c>
      <c r="G98" s="443"/>
      <c r="H98" s="443"/>
      <c r="I98" s="443"/>
      <c r="J98" s="442">
        <f t="shared" si="96"/>
        <v>500000</v>
      </c>
      <c r="K98" s="443">
        <v>500000</v>
      </c>
      <c r="L98" s="443"/>
      <c r="M98" s="443"/>
      <c r="N98" s="443"/>
      <c r="O98" s="444">
        <f>K98</f>
        <v>500000</v>
      </c>
      <c r="P98" s="442">
        <f t="shared" si="97"/>
        <v>9629950</v>
      </c>
      <c r="R98" s="284"/>
    </row>
    <row r="99" spans="1:18" ht="138.75" thickTop="1" thickBot="1" x14ac:dyDescent="0.25">
      <c r="A99" s="224" t="s">
        <v>232</v>
      </c>
      <c r="B99" s="224" t="s">
        <v>233</v>
      </c>
      <c r="C99" s="224" t="s">
        <v>234</v>
      </c>
      <c r="D99" s="224" t="s">
        <v>359</v>
      </c>
      <c r="E99" s="442">
        <f t="shared" si="99"/>
        <v>13726470</v>
      </c>
      <c r="F99" s="443">
        <f>(11569670)+2156800</f>
        <v>13726470</v>
      </c>
      <c r="G99" s="443"/>
      <c r="H99" s="443"/>
      <c r="I99" s="443"/>
      <c r="J99" s="442">
        <f t="shared" si="96"/>
        <v>0</v>
      </c>
      <c r="K99" s="443"/>
      <c r="L99" s="443"/>
      <c r="M99" s="443"/>
      <c r="N99" s="443"/>
      <c r="O99" s="444">
        <f>K99</f>
        <v>0</v>
      </c>
      <c r="P99" s="442">
        <f t="shared" si="97"/>
        <v>13726470</v>
      </c>
      <c r="R99" s="284"/>
    </row>
    <row r="100" spans="1:18" ht="93" thickTop="1" thickBot="1" x14ac:dyDescent="0.25">
      <c r="A100" s="224" t="s">
        <v>235</v>
      </c>
      <c r="B100" s="224" t="s">
        <v>236</v>
      </c>
      <c r="C100" s="224" t="s">
        <v>237</v>
      </c>
      <c r="D100" s="224" t="s">
        <v>238</v>
      </c>
      <c r="E100" s="442">
        <f t="shared" si="99"/>
        <v>7556300</v>
      </c>
      <c r="F100" s="443">
        <v>7556300</v>
      </c>
      <c r="G100" s="443"/>
      <c r="H100" s="443"/>
      <c r="I100" s="443"/>
      <c r="J100" s="442">
        <f t="shared" si="96"/>
        <v>200000</v>
      </c>
      <c r="K100" s="443">
        <v>200000</v>
      </c>
      <c r="L100" s="443"/>
      <c r="M100" s="443"/>
      <c r="N100" s="443"/>
      <c r="O100" s="444">
        <f>K100</f>
        <v>200000</v>
      </c>
      <c r="P100" s="442">
        <f t="shared" si="97"/>
        <v>7756300</v>
      </c>
      <c r="R100" s="284"/>
    </row>
    <row r="101" spans="1:18" ht="93" thickTop="1" thickBot="1" x14ac:dyDescent="0.25">
      <c r="A101" s="488" t="s">
        <v>760</v>
      </c>
      <c r="B101" s="488" t="s">
        <v>761</v>
      </c>
      <c r="C101" s="488"/>
      <c r="D101" s="488" t="s">
        <v>762</v>
      </c>
      <c r="E101" s="471">
        <f>E102</f>
        <v>14204885</v>
      </c>
      <c r="F101" s="471">
        <f t="shared" ref="F101:P101" si="100">F102</f>
        <v>14204885</v>
      </c>
      <c r="G101" s="471">
        <f t="shared" si="100"/>
        <v>0</v>
      </c>
      <c r="H101" s="471">
        <f t="shared" si="100"/>
        <v>0</v>
      </c>
      <c r="I101" s="471">
        <f t="shared" si="100"/>
        <v>0</v>
      </c>
      <c r="J101" s="471">
        <f t="shared" si="100"/>
        <v>0</v>
      </c>
      <c r="K101" s="471">
        <f t="shared" si="100"/>
        <v>0</v>
      </c>
      <c r="L101" s="471">
        <f t="shared" si="100"/>
        <v>0</v>
      </c>
      <c r="M101" s="471">
        <f t="shared" si="100"/>
        <v>0</v>
      </c>
      <c r="N101" s="471">
        <f t="shared" si="100"/>
        <v>0</v>
      </c>
      <c r="O101" s="471">
        <f t="shared" si="100"/>
        <v>0</v>
      </c>
      <c r="P101" s="471">
        <f t="shared" si="100"/>
        <v>14204885</v>
      </c>
      <c r="R101" s="284"/>
    </row>
    <row r="102" spans="1:18" ht="184.5" thickTop="1" thickBot="1" x14ac:dyDescent="0.25">
      <c r="A102" s="224" t="s">
        <v>239</v>
      </c>
      <c r="B102" s="224" t="s">
        <v>240</v>
      </c>
      <c r="C102" s="224" t="s">
        <v>360</v>
      </c>
      <c r="D102" s="224" t="s">
        <v>241</v>
      </c>
      <c r="E102" s="442">
        <f t="shared" si="99"/>
        <v>14204885</v>
      </c>
      <c r="F102" s="443">
        <v>14204885</v>
      </c>
      <c r="G102" s="443"/>
      <c r="H102" s="443"/>
      <c r="I102" s="443"/>
      <c r="J102" s="442">
        <f t="shared" si="96"/>
        <v>0</v>
      </c>
      <c r="K102" s="443"/>
      <c r="L102" s="443"/>
      <c r="M102" s="443"/>
      <c r="N102" s="443"/>
      <c r="O102" s="444">
        <f t="shared" ref="O102:O118" si="101">K102</f>
        <v>0</v>
      </c>
      <c r="P102" s="442">
        <f t="shared" si="97"/>
        <v>14204885</v>
      </c>
      <c r="R102" s="284"/>
    </row>
    <row r="103" spans="1:18" ht="138.75" hidden="1" thickTop="1" thickBot="1" x14ac:dyDescent="0.25">
      <c r="A103" s="488" t="s">
        <v>763</v>
      </c>
      <c r="B103" s="488" t="s">
        <v>764</v>
      </c>
      <c r="C103" s="488"/>
      <c r="D103" s="488" t="s">
        <v>765</v>
      </c>
      <c r="E103" s="471">
        <f>E104</f>
        <v>0</v>
      </c>
      <c r="F103" s="471">
        <f t="shared" ref="F103:P103" si="102">F104</f>
        <v>0</v>
      </c>
      <c r="G103" s="471">
        <f t="shared" si="102"/>
        <v>0</v>
      </c>
      <c r="H103" s="471">
        <f t="shared" si="102"/>
        <v>0</v>
      </c>
      <c r="I103" s="471">
        <f t="shared" si="102"/>
        <v>0</v>
      </c>
      <c r="J103" s="275">
        <f t="shared" si="102"/>
        <v>0</v>
      </c>
      <c r="K103" s="275">
        <f t="shared" si="102"/>
        <v>0</v>
      </c>
      <c r="L103" s="275">
        <f t="shared" si="102"/>
        <v>0</v>
      </c>
      <c r="M103" s="275">
        <f t="shared" si="102"/>
        <v>0</v>
      </c>
      <c r="N103" s="275">
        <f t="shared" si="102"/>
        <v>0</v>
      </c>
      <c r="O103" s="275">
        <f t="shared" si="102"/>
        <v>0</v>
      </c>
      <c r="P103" s="275">
        <f t="shared" si="102"/>
        <v>0</v>
      </c>
      <c r="R103" s="284"/>
    </row>
    <row r="104" spans="1:18" ht="138.75" hidden="1" thickTop="1" thickBot="1" x14ac:dyDescent="0.25">
      <c r="A104" s="224" t="s">
        <v>493</v>
      </c>
      <c r="B104" s="224" t="s">
        <v>494</v>
      </c>
      <c r="C104" s="224" t="s">
        <v>242</v>
      </c>
      <c r="D104" s="224" t="s">
        <v>495</v>
      </c>
      <c r="E104" s="442">
        <f t="shared" si="99"/>
        <v>0</v>
      </c>
      <c r="F104" s="443">
        <v>0</v>
      </c>
      <c r="G104" s="443"/>
      <c r="H104" s="443"/>
      <c r="I104" s="443"/>
      <c r="J104" s="256">
        <f t="shared" si="96"/>
        <v>0</v>
      </c>
      <c r="K104" s="278"/>
      <c r="L104" s="278"/>
      <c r="M104" s="278"/>
      <c r="N104" s="278"/>
      <c r="O104" s="262">
        <f t="shared" si="101"/>
        <v>0</v>
      </c>
      <c r="P104" s="256">
        <f t="shared" si="97"/>
        <v>0</v>
      </c>
      <c r="R104" s="284"/>
    </row>
    <row r="105" spans="1:18" ht="138.75" thickTop="1" thickBot="1" x14ac:dyDescent="0.25">
      <c r="A105" s="488" t="s">
        <v>766</v>
      </c>
      <c r="B105" s="488" t="s">
        <v>767</v>
      </c>
      <c r="C105" s="488"/>
      <c r="D105" s="488" t="s">
        <v>768</v>
      </c>
      <c r="E105" s="471">
        <f>SUM(E106:E107)</f>
        <v>7608610</v>
      </c>
      <c r="F105" s="471">
        <f t="shared" ref="F105:P105" si="103">SUM(F106:F107)</f>
        <v>7608610</v>
      </c>
      <c r="G105" s="471">
        <f t="shared" si="103"/>
        <v>2551300</v>
      </c>
      <c r="H105" s="471">
        <f t="shared" si="103"/>
        <v>152010</v>
      </c>
      <c r="I105" s="471">
        <f t="shared" si="103"/>
        <v>0</v>
      </c>
      <c r="J105" s="471">
        <f t="shared" si="103"/>
        <v>0</v>
      </c>
      <c r="K105" s="471">
        <f t="shared" si="103"/>
        <v>0</v>
      </c>
      <c r="L105" s="471">
        <f t="shared" si="103"/>
        <v>0</v>
      </c>
      <c r="M105" s="471">
        <f t="shared" si="103"/>
        <v>0</v>
      </c>
      <c r="N105" s="471">
        <f t="shared" si="103"/>
        <v>0</v>
      </c>
      <c r="O105" s="471">
        <f t="shared" si="103"/>
        <v>0</v>
      </c>
      <c r="P105" s="471">
        <f t="shared" si="103"/>
        <v>7608610</v>
      </c>
      <c r="R105" s="284"/>
    </row>
    <row r="106" spans="1:18" s="272" customFormat="1" ht="138.75" thickTop="1" thickBot="1" x14ac:dyDescent="0.25">
      <c r="A106" s="224" t="s">
        <v>335</v>
      </c>
      <c r="B106" s="224" t="s">
        <v>337</v>
      </c>
      <c r="C106" s="224" t="s">
        <v>242</v>
      </c>
      <c r="D106" s="498" t="s">
        <v>333</v>
      </c>
      <c r="E106" s="442">
        <f t="shared" si="99"/>
        <v>3474610</v>
      </c>
      <c r="F106" s="443">
        <v>3474610</v>
      </c>
      <c r="G106" s="443">
        <v>2551300</v>
      </c>
      <c r="H106" s="443">
        <f>2100+47625+91190+11095</f>
        <v>152010</v>
      </c>
      <c r="I106" s="443"/>
      <c r="J106" s="484">
        <f t="shared" si="96"/>
        <v>0</v>
      </c>
      <c r="K106" s="443"/>
      <c r="L106" s="443"/>
      <c r="M106" s="443"/>
      <c r="N106" s="443"/>
      <c r="O106" s="486">
        <f t="shared" si="101"/>
        <v>0</v>
      </c>
      <c r="P106" s="484">
        <f t="shared" si="97"/>
        <v>3474610</v>
      </c>
      <c r="Q106" s="623"/>
      <c r="R106" s="255"/>
    </row>
    <row r="107" spans="1:18" s="272" customFormat="1" ht="93" thickTop="1" thickBot="1" x14ac:dyDescent="0.25">
      <c r="A107" s="224" t="s">
        <v>336</v>
      </c>
      <c r="B107" s="224" t="s">
        <v>338</v>
      </c>
      <c r="C107" s="224" t="s">
        <v>242</v>
      </c>
      <c r="D107" s="498" t="s">
        <v>334</v>
      </c>
      <c r="E107" s="442">
        <f t="shared" si="99"/>
        <v>4134000</v>
      </c>
      <c r="F107" s="443">
        <f>(3634000)+500000</f>
        <v>4134000</v>
      </c>
      <c r="G107" s="443"/>
      <c r="H107" s="443"/>
      <c r="I107" s="443"/>
      <c r="J107" s="442">
        <f t="shared" si="96"/>
        <v>0</v>
      </c>
      <c r="K107" s="443"/>
      <c r="L107" s="443"/>
      <c r="M107" s="443"/>
      <c r="N107" s="443"/>
      <c r="O107" s="444">
        <f t="shared" si="101"/>
        <v>0</v>
      </c>
      <c r="P107" s="442">
        <f t="shared" si="97"/>
        <v>4134000</v>
      </c>
      <c r="Q107" s="623"/>
      <c r="R107" s="284"/>
    </row>
    <row r="108" spans="1:18" s="272" customFormat="1" ht="91.5" thickTop="1" thickBot="1" x14ac:dyDescent="0.25">
      <c r="A108" s="151" t="s">
        <v>1368</v>
      </c>
      <c r="B108" s="151" t="s">
        <v>754</v>
      </c>
      <c r="C108" s="151"/>
      <c r="D108" s="151" t="s">
        <v>755</v>
      </c>
      <c r="E108" s="808">
        <f>E109</f>
        <v>100000</v>
      </c>
      <c r="F108" s="808">
        <f t="shared" ref="F108:P108" si="104">F109</f>
        <v>100000</v>
      </c>
      <c r="G108" s="808">
        <f t="shared" si="104"/>
        <v>0</v>
      </c>
      <c r="H108" s="808">
        <f t="shared" si="104"/>
        <v>0</v>
      </c>
      <c r="I108" s="808">
        <f t="shared" si="104"/>
        <v>0</v>
      </c>
      <c r="J108" s="808">
        <f t="shared" si="104"/>
        <v>0</v>
      </c>
      <c r="K108" s="808">
        <f t="shared" si="104"/>
        <v>0</v>
      </c>
      <c r="L108" s="808">
        <f t="shared" si="104"/>
        <v>0</v>
      </c>
      <c r="M108" s="808">
        <f t="shared" si="104"/>
        <v>0</v>
      </c>
      <c r="N108" s="808">
        <f t="shared" si="104"/>
        <v>0</v>
      </c>
      <c r="O108" s="808">
        <f t="shared" si="104"/>
        <v>0</v>
      </c>
      <c r="P108" s="808">
        <f t="shared" si="104"/>
        <v>100000</v>
      </c>
      <c r="Q108" s="623"/>
      <c r="R108" s="284"/>
    </row>
    <row r="109" spans="1:18" s="272" customFormat="1" ht="230.25" thickTop="1" thickBot="1" x14ac:dyDescent="0.25">
      <c r="A109" s="805" t="s">
        <v>1369</v>
      </c>
      <c r="B109" s="805" t="s">
        <v>1370</v>
      </c>
      <c r="C109" s="805" t="s">
        <v>218</v>
      </c>
      <c r="D109" s="498" t="s">
        <v>1371</v>
      </c>
      <c r="E109" s="808">
        <f t="shared" ref="E109" si="105">F109</f>
        <v>100000</v>
      </c>
      <c r="F109" s="443">
        <v>100000</v>
      </c>
      <c r="G109" s="443"/>
      <c r="H109" s="443"/>
      <c r="I109" s="443"/>
      <c r="J109" s="808">
        <f t="shared" ref="J109" si="106">L109+O109</f>
        <v>0</v>
      </c>
      <c r="K109" s="443"/>
      <c r="L109" s="443"/>
      <c r="M109" s="443"/>
      <c r="N109" s="443"/>
      <c r="O109" s="806">
        <f t="shared" ref="O109" si="107">K109</f>
        <v>0</v>
      </c>
      <c r="P109" s="808">
        <f t="shared" ref="P109" si="108">E109+J109</f>
        <v>100000</v>
      </c>
      <c r="Q109" s="623"/>
      <c r="R109" s="284"/>
    </row>
    <row r="110" spans="1:18" s="272" customFormat="1" ht="47.25" thickTop="1" thickBot="1" x14ac:dyDescent="0.25">
      <c r="A110" s="151" t="s">
        <v>794</v>
      </c>
      <c r="B110" s="465" t="s">
        <v>792</v>
      </c>
      <c r="C110" s="465"/>
      <c r="D110" s="465" t="s">
        <v>793</v>
      </c>
      <c r="E110" s="757">
        <f>SUM(E116)+E111</f>
        <v>0</v>
      </c>
      <c r="F110" s="757">
        <f t="shared" ref="F110:P110" si="109">SUM(F116)+F111</f>
        <v>0</v>
      </c>
      <c r="G110" s="757">
        <f t="shared" si="109"/>
        <v>0</v>
      </c>
      <c r="H110" s="757">
        <f t="shared" si="109"/>
        <v>0</v>
      </c>
      <c r="I110" s="757">
        <f t="shared" si="109"/>
        <v>0</v>
      </c>
      <c r="J110" s="757">
        <f t="shared" si="109"/>
        <v>300000</v>
      </c>
      <c r="K110" s="757">
        <f t="shared" si="109"/>
        <v>300000</v>
      </c>
      <c r="L110" s="757">
        <f t="shared" si="109"/>
        <v>0</v>
      </c>
      <c r="M110" s="757">
        <f t="shared" si="109"/>
        <v>0</v>
      </c>
      <c r="N110" s="757">
        <f t="shared" si="109"/>
        <v>0</v>
      </c>
      <c r="O110" s="757">
        <f t="shared" si="109"/>
        <v>300000</v>
      </c>
      <c r="P110" s="757">
        <f t="shared" si="109"/>
        <v>300000</v>
      </c>
      <c r="Q110" s="623"/>
      <c r="R110" s="284"/>
    </row>
    <row r="111" spans="1:18" s="272" customFormat="1" ht="91.5" thickTop="1" thickBot="1" x14ac:dyDescent="0.25">
      <c r="A111" s="466" t="s">
        <v>1141</v>
      </c>
      <c r="B111" s="466" t="s">
        <v>848</v>
      </c>
      <c r="C111" s="466"/>
      <c r="D111" s="466" t="s">
        <v>849</v>
      </c>
      <c r="E111" s="467">
        <f>E114+E112</f>
        <v>0</v>
      </c>
      <c r="F111" s="467">
        <f t="shared" ref="F111:P111" si="110">F114+F112</f>
        <v>0</v>
      </c>
      <c r="G111" s="467">
        <f t="shared" si="110"/>
        <v>0</v>
      </c>
      <c r="H111" s="467">
        <f t="shared" si="110"/>
        <v>0</v>
      </c>
      <c r="I111" s="467">
        <f t="shared" si="110"/>
        <v>0</v>
      </c>
      <c r="J111" s="467">
        <f t="shared" si="110"/>
        <v>300000</v>
      </c>
      <c r="K111" s="467">
        <f t="shared" si="110"/>
        <v>300000</v>
      </c>
      <c r="L111" s="467">
        <f t="shared" si="110"/>
        <v>0</v>
      </c>
      <c r="M111" s="467">
        <f t="shared" si="110"/>
        <v>0</v>
      </c>
      <c r="N111" s="467">
        <f t="shared" si="110"/>
        <v>0</v>
      </c>
      <c r="O111" s="467">
        <f t="shared" si="110"/>
        <v>300000</v>
      </c>
      <c r="P111" s="467">
        <f t="shared" si="110"/>
        <v>300000</v>
      </c>
      <c r="Q111" s="623"/>
      <c r="R111" s="284"/>
    </row>
    <row r="112" spans="1:18" s="272" customFormat="1" ht="146.25" thickTop="1" thickBot="1" x14ac:dyDescent="0.25">
      <c r="A112" s="488" t="s">
        <v>1333</v>
      </c>
      <c r="B112" s="488" t="s">
        <v>867</v>
      </c>
      <c r="C112" s="488"/>
      <c r="D112" s="488" t="s">
        <v>868</v>
      </c>
      <c r="E112" s="471">
        <f>E113</f>
        <v>0</v>
      </c>
      <c r="F112" s="471">
        <f t="shared" ref="F112:P112" si="111">F113</f>
        <v>0</v>
      </c>
      <c r="G112" s="471">
        <f t="shared" si="111"/>
        <v>0</v>
      </c>
      <c r="H112" s="471">
        <f t="shared" si="111"/>
        <v>0</v>
      </c>
      <c r="I112" s="471">
        <f t="shared" si="111"/>
        <v>0</v>
      </c>
      <c r="J112" s="471">
        <f t="shared" si="111"/>
        <v>300000</v>
      </c>
      <c r="K112" s="471">
        <f t="shared" si="111"/>
        <v>300000</v>
      </c>
      <c r="L112" s="471">
        <f t="shared" si="111"/>
        <v>0</v>
      </c>
      <c r="M112" s="471">
        <f t="shared" si="111"/>
        <v>0</v>
      </c>
      <c r="N112" s="471">
        <f t="shared" si="111"/>
        <v>0</v>
      </c>
      <c r="O112" s="471">
        <f t="shared" si="111"/>
        <v>300000</v>
      </c>
      <c r="P112" s="471">
        <f t="shared" si="111"/>
        <v>300000</v>
      </c>
      <c r="Q112" s="623"/>
      <c r="R112" s="284"/>
    </row>
    <row r="113" spans="1:20" s="272" customFormat="1" ht="99.75" thickTop="1" thickBot="1" x14ac:dyDescent="0.25">
      <c r="A113" s="754" t="s">
        <v>1332</v>
      </c>
      <c r="B113" s="754" t="s">
        <v>1334</v>
      </c>
      <c r="C113" s="754" t="s">
        <v>317</v>
      </c>
      <c r="D113" s="754" t="s">
        <v>1331</v>
      </c>
      <c r="E113" s="757">
        <f t="shared" ref="E113" si="112">F113</f>
        <v>0</v>
      </c>
      <c r="F113" s="443"/>
      <c r="G113" s="443"/>
      <c r="H113" s="443"/>
      <c r="I113" s="443"/>
      <c r="J113" s="757">
        <f t="shared" ref="J113" si="113">L113+O113</f>
        <v>300000</v>
      </c>
      <c r="K113" s="443">
        <v>300000</v>
      </c>
      <c r="L113" s="443"/>
      <c r="M113" s="443"/>
      <c r="N113" s="443"/>
      <c r="O113" s="755">
        <f>K113</f>
        <v>300000</v>
      </c>
      <c r="P113" s="757">
        <f t="shared" ref="P113" si="114">E113+J113</f>
        <v>300000</v>
      </c>
      <c r="Q113" s="623"/>
      <c r="R113" s="284"/>
    </row>
    <row r="114" spans="1:20" s="272" customFormat="1" ht="93" hidden="1" thickTop="1" thickBot="1" x14ac:dyDescent="0.25">
      <c r="A114" s="279" t="s">
        <v>1142</v>
      </c>
      <c r="B114" s="279" t="s">
        <v>1140</v>
      </c>
      <c r="C114" s="279"/>
      <c r="D114" s="279" t="s">
        <v>1139</v>
      </c>
      <c r="E114" s="275">
        <f>E115</f>
        <v>0</v>
      </c>
      <c r="F114" s="275">
        <f t="shared" ref="F114:P114" si="115">F115</f>
        <v>0</v>
      </c>
      <c r="G114" s="275">
        <f t="shared" si="115"/>
        <v>0</v>
      </c>
      <c r="H114" s="275">
        <f t="shared" si="115"/>
        <v>0</v>
      </c>
      <c r="I114" s="275">
        <f t="shared" si="115"/>
        <v>0</v>
      </c>
      <c r="J114" s="275">
        <f t="shared" si="115"/>
        <v>0</v>
      </c>
      <c r="K114" s="275">
        <f t="shared" si="115"/>
        <v>0</v>
      </c>
      <c r="L114" s="275">
        <f t="shared" si="115"/>
        <v>0</v>
      </c>
      <c r="M114" s="275">
        <f t="shared" si="115"/>
        <v>0</v>
      </c>
      <c r="N114" s="275">
        <f t="shared" si="115"/>
        <v>0</v>
      </c>
      <c r="O114" s="275">
        <f t="shared" si="115"/>
        <v>0</v>
      </c>
      <c r="P114" s="275">
        <f t="shared" si="115"/>
        <v>0</v>
      </c>
      <c r="Q114" s="623"/>
      <c r="R114" s="284"/>
    </row>
    <row r="115" spans="1:20" s="272" customFormat="1" ht="230.25" hidden="1" thickTop="1" thickBot="1" x14ac:dyDescent="0.25">
      <c r="A115" s="259" t="s">
        <v>1143</v>
      </c>
      <c r="B115" s="259" t="s">
        <v>1144</v>
      </c>
      <c r="C115" s="259" t="s">
        <v>178</v>
      </c>
      <c r="D115" s="259" t="s">
        <v>1145</v>
      </c>
      <c r="E115" s="256">
        <f t="shared" si="99"/>
        <v>0</v>
      </c>
      <c r="F115" s="278"/>
      <c r="G115" s="278"/>
      <c r="H115" s="278"/>
      <c r="I115" s="278"/>
      <c r="J115" s="256">
        <f t="shared" si="96"/>
        <v>0</v>
      </c>
      <c r="K115" s="278"/>
      <c r="L115" s="278"/>
      <c r="M115" s="278"/>
      <c r="N115" s="278"/>
      <c r="O115" s="262">
        <f>K115</f>
        <v>0</v>
      </c>
      <c r="P115" s="256">
        <f t="shared" si="97"/>
        <v>0</v>
      </c>
      <c r="Q115" s="623"/>
      <c r="R115" s="255"/>
    </row>
    <row r="116" spans="1:20" s="258" customFormat="1" ht="136.5" hidden="1" thickTop="1" thickBot="1" x14ac:dyDescent="0.25">
      <c r="A116" s="253" t="s">
        <v>769</v>
      </c>
      <c r="B116" s="253" t="s">
        <v>734</v>
      </c>
      <c r="C116" s="253"/>
      <c r="D116" s="253" t="s">
        <v>732</v>
      </c>
      <c r="E116" s="270">
        <f>SUM(E117)</f>
        <v>0</v>
      </c>
      <c r="F116" s="270">
        <f t="shared" ref="F116:P116" si="116">SUM(F117)</f>
        <v>0</v>
      </c>
      <c r="G116" s="270">
        <f t="shared" si="116"/>
        <v>0</v>
      </c>
      <c r="H116" s="270">
        <f t="shared" si="116"/>
        <v>0</v>
      </c>
      <c r="I116" s="270">
        <f t="shared" si="116"/>
        <v>0</v>
      </c>
      <c r="J116" s="270">
        <f t="shared" si="116"/>
        <v>0</v>
      </c>
      <c r="K116" s="270">
        <f t="shared" si="116"/>
        <v>0</v>
      </c>
      <c r="L116" s="270">
        <f t="shared" si="116"/>
        <v>0</v>
      </c>
      <c r="M116" s="270">
        <f t="shared" si="116"/>
        <v>0</v>
      </c>
      <c r="N116" s="270">
        <f t="shared" si="116"/>
        <v>0</v>
      </c>
      <c r="O116" s="270">
        <f t="shared" si="116"/>
        <v>0</v>
      </c>
      <c r="P116" s="270">
        <f t="shared" si="116"/>
        <v>0</v>
      </c>
      <c r="Q116" s="626"/>
      <c r="R116" s="286"/>
    </row>
    <row r="117" spans="1:20" s="272" customFormat="1" ht="93" hidden="1" thickTop="1" thickBot="1" x14ac:dyDescent="0.25">
      <c r="A117" s="259" t="s">
        <v>451</v>
      </c>
      <c r="B117" s="259" t="s">
        <v>209</v>
      </c>
      <c r="C117" s="259" t="s">
        <v>178</v>
      </c>
      <c r="D117" s="259" t="s">
        <v>36</v>
      </c>
      <c r="E117" s="256">
        <f t="shared" si="99"/>
        <v>0</v>
      </c>
      <c r="F117" s="278"/>
      <c r="G117" s="278"/>
      <c r="H117" s="278"/>
      <c r="I117" s="278"/>
      <c r="J117" s="256">
        <f t="shared" si="96"/>
        <v>0</v>
      </c>
      <c r="K117" s="278"/>
      <c r="L117" s="278"/>
      <c r="M117" s="278"/>
      <c r="N117" s="278"/>
      <c r="O117" s="262">
        <f t="shared" si="101"/>
        <v>0</v>
      </c>
      <c r="P117" s="256">
        <f t="shared" si="97"/>
        <v>0</v>
      </c>
      <c r="Q117" s="623"/>
      <c r="R117" s="255"/>
    </row>
    <row r="118" spans="1:20" s="272" customFormat="1" ht="93" hidden="1" thickTop="1" thickBot="1" x14ac:dyDescent="0.25">
      <c r="A118" s="287" t="s">
        <v>527</v>
      </c>
      <c r="B118" s="287" t="s">
        <v>377</v>
      </c>
      <c r="C118" s="287" t="s">
        <v>45</v>
      </c>
      <c r="D118" s="287" t="s">
        <v>378</v>
      </c>
      <c r="E118" s="288">
        <f t="shared" si="99"/>
        <v>0</v>
      </c>
      <c r="F118" s="289"/>
      <c r="G118" s="289"/>
      <c r="H118" s="289"/>
      <c r="I118" s="289"/>
      <c r="J118" s="288">
        <f t="shared" si="96"/>
        <v>0</v>
      </c>
      <c r="K118" s="289"/>
      <c r="L118" s="289"/>
      <c r="M118" s="289"/>
      <c r="N118" s="289"/>
      <c r="O118" s="290">
        <f t="shared" si="101"/>
        <v>0</v>
      </c>
      <c r="P118" s="288">
        <f t="shared" si="97"/>
        <v>0</v>
      </c>
      <c r="Q118" s="623"/>
      <c r="R118" s="267"/>
    </row>
    <row r="119" spans="1:20" ht="226.5" thickTop="1" thickBot="1" x14ac:dyDescent="0.25">
      <c r="A119" s="827" t="s">
        <v>164</v>
      </c>
      <c r="B119" s="827"/>
      <c r="C119" s="827"/>
      <c r="D119" s="828" t="s">
        <v>39</v>
      </c>
      <c r="E119" s="829">
        <f>E120</f>
        <v>220035216.04000005</v>
      </c>
      <c r="F119" s="830">
        <f t="shared" ref="F119:G119" si="117">F120</f>
        <v>220035216.04000005</v>
      </c>
      <c r="G119" s="830">
        <f t="shared" si="117"/>
        <v>82115565</v>
      </c>
      <c r="H119" s="830">
        <f>H120</f>
        <v>4324243.0399999991</v>
      </c>
      <c r="I119" s="830">
        <f t="shared" ref="I119" si="118">I120</f>
        <v>0</v>
      </c>
      <c r="J119" s="829">
        <f>J120</f>
        <v>18976232</v>
      </c>
      <c r="K119" s="830">
        <f>K120</f>
        <v>11930528</v>
      </c>
      <c r="L119" s="830">
        <f>L120</f>
        <v>6985336</v>
      </c>
      <c r="M119" s="830">
        <f t="shared" ref="M119" si="119">M120</f>
        <v>1953040</v>
      </c>
      <c r="N119" s="830">
        <f>N120</f>
        <v>465600</v>
      </c>
      <c r="O119" s="829">
        <f>O120</f>
        <v>11990896</v>
      </c>
      <c r="P119" s="830">
        <f>P120</f>
        <v>239011448.04000005</v>
      </c>
    </row>
    <row r="120" spans="1:20" ht="226.5" thickTop="1" thickBot="1" x14ac:dyDescent="0.25">
      <c r="A120" s="831" t="s">
        <v>165</v>
      </c>
      <c r="B120" s="831"/>
      <c r="C120" s="831"/>
      <c r="D120" s="832" t="s">
        <v>40</v>
      </c>
      <c r="E120" s="833">
        <f>E121+E125+E165+E169</f>
        <v>220035216.04000005</v>
      </c>
      <c r="F120" s="833">
        <f>F121+F125+F165+F169</f>
        <v>220035216.04000005</v>
      </c>
      <c r="G120" s="833">
        <f>G121+G125+G165+G169</f>
        <v>82115565</v>
      </c>
      <c r="H120" s="833">
        <f>H121+H125+H165+H169</f>
        <v>4324243.0399999991</v>
      </c>
      <c r="I120" s="833">
        <f>I121+I125+I165+I169</f>
        <v>0</v>
      </c>
      <c r="J120" s="833">
        <f t="shared" ref="J120:J146" si="120">L120+O120</f>
        <v>18976232</v>
      </c>
      <c r="K120" s="833">
        <f>K121+K125+K165+K169</f>
        <v>11930528</v>
      </c>
      <c r="L120" s="833">
        <f>L121+L125+L165+L169</f>
        <v>6985336</v>
      </c>
      <c r="M120" s="833">
        <f>M121+M125+M165+M169</f>
        <v>1953040</v>
      </c>
      <c r="N120" s="833">
        <f>N121+N125+N165+N169</f>
        <v>465600</v>
      </c>
      <c r="O120" s="833">
        <f>O121+O125+O165+O169</f>
        <v>11990896</v>
      </c>
      <c r="P120" s="833">
        <f>E120+J120</f>
        <v>239011448.04000005</v>
      </c>
      <c r="Q120" s="627" t="b">
        <f>P120=P122+P123+P127+P128+P129+P130+P131+P136+P137+P140+P143+P145+P146+P163+P164+P167+P175+P132+P134+P142+P124+P133+P172+P139+P148+P151+P155+P158+P168+P161</f>
        <v>1</v>
      </c>
      <c r="R120" s="292"/>
      <c r="S120" s="292"/>
      <c r="T120" s="291"/>
    </row>
    <row r="121" spans="1:20" ht="47.25" thickTop="1" thickBot="1" x14ac:dyDescent="0.25">
      <c r="A121" s="151" t="s">
        <v>771</v>
      </c>
      <c r="B121" s="151" t="s">
        <v>727</v>
      </c>
      <c r="C121" s="151"/>
      <c r="D121" s="151" t="s">
        <v>728</v>
      </c>
      <c r="E121" s="442">
        <f t="shared" ref="E121:P121" si="121">SUM(E122:E124)</f>
        <v>58880960</v>
      </c>
      <c r="F121" s="442">
        <f t="shared" si="121"/>
        <v>58880960</v>
      </c>
      <c r="G121" s="442">
        <f t="shared" si="121"/>
        <v>43500000</v>
      </c>
      <c r="H121" s="442">
        <f t="shared" si="121"/>
        <v>1630750</v>
      </c>
      <c r="I121" s="442">
        <f t="shared" si="121"/>
        <v>0</v>
      </c>
      <c r="J121" s="442">
        <f t="shared" si="121"/>
        <v>299300</v>
      </c>
      <c r="K121" s="442">
        <f t="shared" si="121"/>
        <v>299300</v>
      </c>
      <c r="L121" s="442">
        <f t="shared" si="121"/>
        <v>0</v>
      </c>
      <c r="M121" s="442">
        <f t="shared" si="121"/>
        <v>0</v>
      </c>
      <c r="N121" s="442">
        <f t="shared" si="121"/>
        <v>0</v>
      </c>
      <c r="O121" s="442">
        <f t="shared" si="121"/>
        <v>299300</v>
      </c>
      <c r="P121" s="442">
        <f t="shared" si="121"/>
        <v>59180260</v>
      </c>
      <c r="Q121" s="627"/>
      <c r="R121" s="292"/>
      <c r="T121" s="291"/>
    </row>
    <row r="122" spans="1:20" ht="230.25" thickTop="1" thickBot="1" x14ac:dyDescent="0.25">
      <c r="A122" s="224" t="s">
        <v>431</v>
      </c>
      <c r="B122" s="224" t="s">
        <v>248</v>
      </c>
      <c r="C122" s="224" t="s">
        <v>246</v>
      </c>
      <c r="D122" s="224" t="s">
        <v>247</v>
      </c>
      <c r="E122" s="442">
        <f t="shared" ref="E122" si="122">F122</f>
        <v>58800960</v>
      </c>
      <c r="F122" s="443">
        <v>58800960</v>
      </c>
      <c r="G122" s="443">
        <v>43500000</v>
      </c>
      <c r="H122" s="443">
        <f>1062000+31750+503000+34000</f>
        <v>1630750</v>
      </c>
      <c r="I122" s="443"/>
      <c r="J122" s="442">
        <f t="shared" si="120"/>
        <v>299300</v>
      </c>
      <c r="K122" s="443">
        <v>299300</v>
      </c>
      <c r="L122" s="443"/>
      <c r="M122" s="443"/>
      <c r="N122" s="443"/>
      <c r="O122" s="444">
        <f>K122</f>
        <v>299300</v>
      </c>
      <c r="P122" s="442">
        <f t="shared" ref="P122:P137" si="123">E122+J122</f>
        <v>59100260</v>
      </c>
      <c r="Q122" s="627"/>
      <c r="R122" s="292"/>
      <c r="T122" s="291"/>
    </row>
    <row r="123" spans="1:20" ht="184.5" thickTop="1" thickBot="1" x14ac:dyDescent="0.25">
      <c r="A123" s="224" t="s">
        <v>670</v>
      </c>
      <c r="B123" s="224" t="s">
        <v>376</v>
      </c>
      <c r="C123" s="224" t="s">
        <v>662</v>
      </c>
      <c r="D123" s="224" t="s">
        <v>663</v>
      </c>
      <c r="E123" s="442">
        <f t="shared" ref="E123:E124" si="124">F123</f>
        <v>50000</v>
      </c>
      <c r="F123" s="443">
        <v>50000</v>
      </c>
      <c r="G123" s="443"/>
      <c r="H123" s="443"/>
      <c r="I123" s="443"/>
      <c r="J123" s="442">
        <f t="shared" ref="J123:J124" si="125">L123+O123</f>
        <v>0</v>
      </c>
      <c r="K123" s="443"/>
      <c r="L123" s="443"/>
      <c r="M123" s="443"/>
      <c r="N123" s="443"/>
      <c r="O123" s="444">
        <f>K123</f>
        <v>0</v>
      </c>
      <c r="P123" s="442">
        <f t="shared" ref="P123:P124" si="126">E123+J123</f>
        <v>50000</v>
      </c>
      <c r="Q123" s="627"/>
      <c r="R123" s="292"/>
      <c r="T123" s="291"/>
    </row>
    <row r="124" spans="1:20" ht="93" thickTop="1" thickBot="1" x14ac:dyDescent="0.25">
      <c r="A124" s="531" t="s">
        <v>977</v>
      </c>
      <c r="B124" s="531" t="s">
        <v>45</v>
      </c>
      <c r="C124" s="531" t="s">
        <v>44</v>
      </c>
      <c r="D124" s="531" t="s">
        <v>260</v>
      </c>
      <c r="E124" s="529">
        <f t="shared" si="124"/>
        <v>30000</v>
      </c>
      <c r="F124" s="443">
        <v>30000</v>
      </c>
      <c r="G124" s="443"/>
      <c r="H124" s="443"/>
      <c r="I124" s="443"/>
      <c r="J124" s="529">
        <f t="shared" si="125"/>
        <v>0</v>
      </c>
      <c r="K124" s="443"/>
      <c r="L124" s="443"/>
      <c r="M124" s="443"/>
      <c r="N124" s="443"/>
      <c r="O124" s="534"/>
      <c r="P124" s="529">
        <f t="shared" si="126"/>
        <v>30000</v>
      </c>
      <c r="Q124" s="627"/>
      <c r="R124" s="292"/>
      <c r="T124" s="291"/>
    </row>
    <row r="125" spans="1:20" ht="91.5" thickTop="1" thickBot="1" x14ac:dyDescent="0.25">
      <c r="A125" s="151" t="s">
        <v>772</v>
      </c>
      <c r="B125" s="151" t="s">
        <v>754</v>
      </c>
      <c r="C125" s="151"/>
      <c r="D125" s="151" t="s">
        <v>755</v>
      </c>
      <c r="E125" s="529">
        <f t="shared" ref="E125:P125" si="127">SUM(E126:E164)-E126-E135-E144-E147-E162-E141-E138</f>
        <v>161154256.04000005</v>
      </c>
      <c r="F125" s="529">
        <f t="shared" si="127"/>
        <v>161154256.04000005</v>
      </c>
      <c r="G125" s="529">
        <f t="shared" si="127"/>
        <v>38615565</v>
      </c>
      <c r="H125" s="529">
        <f t="shared" si="127"/>
        <v>2693493.0399999991</v>
      </c>
      <c r="I125" s="529">
        <f t="shared" si="127"/>
        <v>0</v>
      </c>
      <c r="J125" s="529">
        <f t="shared" si="127"/>
        <v>9915532</v>
      </c>
      <c r="K125" s="529">
        <f t="shared" si="127"/>
        <v>3334828</v>
      </c>
      <c r="L125" s="529">
        <f t="shared" si="127"/>
        <v>6520336</v>
      </c>
      <c r="M125" s="529">
        <f t="shared" si="127"/>
        <v>1953040</v>
      </c>
      <c r="N125" s="529">
        <f t="shared" si="127"/>
        <v>465600</v>
      </c>
      <c r="O125" s="529">
        <f t="shared" si="127"/>
        <v>3395196</v>
      </c>
      <c r="P125" s="529">
        <f t="shared" si="127"/>
        <v>171069788.04000005</v>
      </c>
      <c r="Q125" s="627"/>
      <c r="R125" s="292"/>
      <c r="T125" s="291"/>
    </row>
    <row r="126" spans="1:20" s="274" customFormat="1" ht="276" thickTop="1" thickBot="1" x14ac:dyDescent="0.25">
      <c r="A126" s="488" t="s">
        <v>773</v>
      </c>
      <c r="B126" s="488" t="s">
        <v>774</v>
      </c>
      <c r="C126" s="488"/>
      <c r="D126" s="488" t="s">
        <v>775</v>
      </c>
      <c r="E126" s="471">
        <f>SUM(E127:E131)</f>
        <v>64538000</v>
      </c>
      <c r="F126" s="471">
        <f t="shared" ref="F126:P126" si="128">SUM(F127:F131)</f>
        <v>64538000</v>
      </c>
      <c r="G126" s="471">
        <f t="shared" si="128"/>
        <v>0</v>
      </c>
      <c r="H126" s="471">
        <f t="shared" si="128"/>
        <v>0</v>
      </c>
      <c r="I126" s="471">
        <f t="shared" si="128"/>
        <v>0</v>
      </c>
      <c r="J126" s="471">
        <f t="shared" si="128"/>
        <v>150000</v>
      </c>
      <c r="K126" s="471">
        <f t="shared" si="128"/>
        <v>150000</v>
      </c>
      <c r="L126" s="471">
        <f t="shared" si="128"/>
        <v>0</v>
      </c>
      <c r="M126" s="471">
        <f t="shared" si="128"/>
        <v>0</v>
      </c>
      <c r="N126" s="471">
        <f t="shared" si="128"/>
        <v>0</v>
      </c>
      <c r="O126" s="471">
        <f t="shared" si="128"/>
        <v>150000</v>
      </c>
      <c r="P126" s="471">
        <f t="shared" si="128"/>
        <v>64688000</v>
      </c>
      <c r="Q126" s="628"/>
      <c r="R126" s="294"/>
      <c r="T126" s="295"/>
    </row>
    <row r="127" spans="1:20" s="272" customFormat="1" ht="138.75" thickTop="1" thickBot="1" x14ac:dyDescent="0.25">
      <c r="A127" s="532" t="s">
        <v>281</v>
      </c>
      <c r="B127" s="532" t="s">
        <v>282</v>
      </c>
      <c r="C127" s="532" t="s">
        <v>217</v>
      </c>
      <c r="D127" s="561" t="s">
        <v>283</v>
      </c>
      <c r="E127" s="529">
        <f>F127</f>
        <v>270000</v>
      </c>
      <c r="F127" s="443">
        <v>270000</v>
      </c>
      <c r="G127" s="443"/>
      <c r="H127" s="443"/>
      <c r="I127" s="443"/>
      <c r="J127" s="529">
        <f t="shared" si="120"/>
        <v>150000</v>
      </c>
      <c r="K127" s="443">
        <v>150000</v>
      </c>
      <c r="L127" s="443"/>
      <c r="M127" s="443"/>
      <c r="N127" s="443"/>
      <c r="O127" s="534">
        <f t="shared" ref="O127:O146" si="129">K127</f>
        <v>150000</v>
      </c>
      <c r="P127" s="529">
        <f t="shared" si="123"/>
        <v>420000</v>
      </c>
      <c r="Q127" s="623"/>
      <c r="R127" s="292"/>
    </row>
    <row r="128" spans="1:20" s="272" customFormat="1" ht="138.75" thickTop="1" thickBot="1" x14ac:dyDescent="0.25">
      <c r="A128" s="532" t="s">
        <v>284</v>
      </c>
      <c r="B128" s="532" t="s">
        <v>285</v>
      </c>
      <c r="C128" s="532" t="s">
        <v>218</v>
      </c>
      <c r="D128" s="532" t="s">
        <v>6</v>
      </c>
      <c r="E128" s="529">
        <f t="shared" ref="E128:E175" si="130">F128</f>
        <v>900000</v>
      </c>
      <c r="F128" s="443">
        <f>-50000+((1350000)-400000)</f>
        <v>900000</v>
      </c>
      <c r="G128" s="443"/>
      <c r="H128" s="443"/>
      <c r="I128" s="443"/>
      <c r="J128" s="529">
        <f t="shared" si="120"/>
        <v>0</v>
      </c>
      <c r="K128" s="443"/>
      <c r="L128" s="443"/>
      <c r="M128" s="443"/>
      <c r="N128" s="443"/>
      <c r="O128" s="534">
        <f t="shared" si="129"/>
        <v>0</v>
      </c>
      <c r="P128" s="529">
        <f t="shared" si="123"/>
        <v>900000</v>
      </c>
      <c r="Q128" s="623"/>
      <c r="R128" s="297"/>
    </row>
    <row r="129" spans="1:18" s="272" customFormat="1" ht="184.5" thickTop="1" thickBot="1" x14ac:dyDescent="0.25">
      <c r="A129" s="532" t="s">
        <v>287</v>
      </c>
      <c r="B129" s="532" t="s">
        <v>288</v>
      </c>
      <c r="C129" s="532" t="s">
        <v>218</v>
      </c>
      <c r="D129" s="532" t="s">
        <v>7</v>
      </c>
      <c r="E129" s="529">
        <f t="shared" si="130"/>
        <v>15600000</v>
      </c>
      <c r="F129" s="443">
        <v>15600000</v>
      </c>
      <c r="G129" s="443"/>
      <c r="H129" s="443"/>
      <c r="I129" s="443"/>
      <c r="J129" s="529">
        <f t="shared" si="120"/>
        <v>0</v>
      </c>
      <c r="K129" s="443"/>
      <c r="L129" s="443"/>
      <c r="M129" s="443"/>
      <c r="N129" s="443"/>
      <c r="O129" s="534">
        <f t="shared" si="129"/>
        <v>0</v>
      </c>
      <c r="P129" s="529">
        <f t="shared" si="123"/>
        <v>15600000</v>
      </c>
      <c r="Q129" s="623"/>
      <c r="R129" s="297"/>
    </row>
    <row r="130" spans="1:18" s="272" customFormat="1" ht="184.5" thickTop="1" thickBot="1" x14ac:dyDescent="0.25">
      <c r="A130" s="532" t="s">
        <v>289</v>
      </c>
      <c r="B130" s="532" t="s">
        <v>286</v>
      </c>
      <c r="C130" s="532" t="s">
        <v>218</v>
      </c>
      <c r="D130" s="532" t="s">
        <v>8</v>
      </c>
      <c r="E130" s="529">
        <f t="shared" si="130"/>
        <v>900000</v>
      </c>
      <c r="F130" s="443">
        <v>900000</v>
      </c>
      <c r="G130" s="443"/>
      <c r="H130" s="443"/>
      <c r="I130" s="443"/>
      <c r="J130" s="529">
        <f t="shared" si="120"/>
        <v>0</v>
      </c>
      <c r="K130" s="443"/>
      <c r="L130" s="443"/>
      <c r="M130" s="443"/>
      <c r="N130" s="443"/>
      <c r="O130" s="534">
        <f t="shared" si="129"/>
        <v>0</v>
      </c>
      <c r="P130" s="529">
        <f t="shared" si="123"/>
        <v>900000</v>
      </c>
      <c r="Q130" s="623"/>
      <c r="R130" s="297"/>
    </row>
    <row r="131" spans="1:18" s="272" customFormat="1" ht="184.5" thickTop="1" thickBot="1" x14ac:dyDescent="0.25">
      <c r="A131" s="532" t="s">
        <v>290</v>
      </c>
      <c r="B131" s="532" t="s">
        <v>291</v>
      </c>
      <c r="C131" s="532" t="s">
        <v>218</v>
      </c>
      <c r="D131" s="532" t="s">
        <v>9</v>
      </c>
      <c r="E131" s="529">
        <f t="shared" si="130"/>
        <v>46868000</v>
      </c>
      <c r="F131" s="443">
        <v>46868000</v>
      </c>
      <c r="G131" s="443"/>
      <c r="H131" s="443"/>
      <c r="I131" s="443"/>
      <c r="J131" s="529">
        <f t="shared" si="120"/>
        <v>0</v>
      </c>
      <c r="K131" s="443"/>
      <c r="L131" s="443"/>
      <c r="M131" s="443"/>
      <c r="N131" s="443"/>
      <c r="O131" s="534">
        <f t="shared" si="129"/>
        <v>0</v>
      </c>
      <c r="P131" s="529">
        <f t="shared" si="123"/>
        <v>46868000</v>
      </c>
      <c r="Q131" s="623"/>
      <c r="R131" s="297"/>
    </row>
    <row r="132" spans="1:18" s="272" customFormat="1" ht="184.5" thickTop="1" thickBot="1" x14ac:dyDescent="0.25">
      <c r="A132" s="665" t="s">
        <v>496</v>
      </c>
      <c r="B132" s="665" t="s">
        <v>497</v>
      </c>
      <c r="C132" s="665" t="s">
        <v>218</v>
      </c>
      <c r="D132" s="665" t="s">
        <v>498</v>
      </c>
      <c r="E132" s="663">
        <f t="shared" si="130"/>
        <v>226297</v>
      </c>
      <c r="F132" s="443">
        <v>226297</v>
      </c>
      <c r="G132" s="443"/>
      <c r="H132" s="443"/>
      <c r="I132" s="443"/>
      <c r="J132" s="663">
        <f t="shared" si="120"/>
        <v>0</v>
      </c>
      <c r="K132" s="443"/>
      <c r="L132" s="443"/>
      <c r="M132" s="443"/>
      <c r="N132" s="443"/>
      <c r="O132" s="534">
        <f t="shared" si="129"/>
        <v>0</v>
      </c>
      <c r="P132" s="529">
        <f t="shared" si="123"/>
        <v>226297</v>
      </c>
      <c r="Q132" s="623"/>
      <c r="R132" s="297"/>
    </row>
    <row r="133" spans="1:18" s="272" customFormat="1" ht="138.75" thickTop="1" thickBot="1" x14ac:dyDescent="0.25">
      <c r="A133" s="532" t="s">
        <v>978</v>
      </c>
      <c r="B133" s="532" t="s">
        <v>979</v>
      </c>
      <c r="C133" s="532" t="s">
        <v>218</v>
      </c>
      <c r="D133" s="532" t="s">
        <v>980</v>
      </c>
      <c r="E133" s="529">
        <f t="shared" ref="E133" si="131">F133</f>
        <v>179985</v>
      </c>
      <c r="F133" s="443">
        <v>179985</v>
      </c>
      <c r="G133" s="443"/>
      <c r="H133" s="443"/>
      <c r="I133" s="443"/>
      <c r="J133" s="529">
        <f t="shared" ref="J133" si="132">L133+O133</f>
        <v>0</v>
      </c>
      <c r="K133" s="443"/>
      <c r="L133" s="443"/>
      <c r="M133" s="443"/>
      <c r="N133" s="443"/>
      <c r="O133" s="534">
        <f t="shared" ref="O133" si="133">K133</f>
        <v>0</v>
      </c>
      <c r="P133" s="529">
        <f t="shared" ref="P133" si="134">E133+J133</f>
        <v>179985</v>
      </c>
      <c r="Q133" s="623"/>
      <c r="R133" s="297"/>
    </row>
    <row r="134" spans="1:18" ht="138.75" thickTop="1" thickBot="1" x14ac:dyDescent="0.25">
      <c r="A134" s="665" t="s">
        <v>499</v>
      </c>
      <c r="B134" s="665" t="s">
        <v>500</v>
      </c>
      <c r="C134" s="665" t="s">
        <v>217</v>
      </c>
      <c r="D134" s="665" t="s">
        <v>501</v>
      </c>
      <c r="E134" s="663">
        <f t="shared" si="130"/>
        <v>498130</v>
      </c>
      <c r="F134" s="443">
        <v>498130</v>
      </c>
      <c r="G134" s="443"/>
      <c r="H134" s="443"/>
      <c r="I134" s="443"/>
      <c r="J134" s="663">
        <f t="shared" si="120"/>
        <v>0</v>
      </c>
      <c r="K134" s="443"/>
      <c r="L134" s="443"/>
      <c r="M134" s="443"/>
      <c r="N134" s="443"/>
      <c r="O134" s="666">
        <f>K134</f>
        <v>0</v>
      </c>
      <c r="P134" s="663">
        <f t="shared" si="123"/>
        <v>498130</v>
      </c>
      <c r="R134" s="297"/>
    </row>
    <row r="135" spans="1:18" s="272" customFormat="1" ht="276" thickTop="1" thickBot="1" x14ac:dyDescent="0.25">
      <c r="A135" s="488" t="s">
        <v>776</v>
      </c>
      <c r="B135" s="488" t="s">
        <v>777</v>
      </c>
      <c r="C135" s="488"/>
      <c r="D135" s="488" t="s">
        <v>778</v>
      </c>
      <c r="E135" s="471">
        <f>SUM(E136:E137)</f>
        <v>44269304.439999998</v>
      </c>
      <c r="F135" s="471">
        <f t="shared" ref="F135:P135" si="135">SUM(F136:F137)</f>
        <v>44269304.439999998</v>
      </c>
      <c r="G135" s="471">
        <f t="shared" si="135"/>
        <v>27355405</v>
      </c>
      <c r="H135" s="471">
        <f t="shared" si="135"/>
        <v>1509009.44</v>
      </c>
      <c r="I135" s="471">
        <f t="shared" si="135"/>
        <v>0</v>
      </c>
      <c r="J135" s="471">
        <f t="shared" si="135"/>
        <v>580500</v>
      </c>
      <c r="K135" s="471">
        <f t="shared" si="135"/>
        <v>30500</v>
      </c>
      <c r="L135" s="471">
        <f t="shared" si="135"/>
        <v>550000</v>
      </c>
      <c r="M135" s="471">
        <f t="shared" si="135"/>
        <v>300000</v>
      </c>
      <c r="N135" s="471">
        <f t="shared" si="135"/>
        <v>51000</v>
      </c>
      <c r="O135" s="471">
        <f t="shared" si="135"/>
        <v>30500</v>
      </c>
      <c r="P135" s="471">
        <f t="shared" si="135"/>
        <v>44849804.439999998</v>
      </c>
      <c r="Q135" s="623"/>
      <c r="R135" s="298"/>
    </row>
    <row r="136" spans="1:18" ht="276" thickTop="1" thickBot="1" x14ac:dyDescent="0.25">
      <c r="A136" s="532" t="s">
        <v>279</v>
      </c>
      <c r="B136" s="532" t="s">
        <v>277</v>
      </c>
      <c r="C136" s="532" t="s">
        <v>212</v>
      </c>
      <c r="D136" s="532" t="s">
        <v>17</v>
      </c>
      <c r="E136" s="529">
        <f t="shared" si="130"/>
        <v>35716924.149999999</v>
      </c>
      <c r="F136" s="443">
        <f>((((((31422670)+1099005)+965175)+1300000)+707850)+200000)+22224.15</f>
        <v>35716924.149999999</v>
      </c>
      <c r="G136" s="443">
        <v>21405255</v>
      </c>
      <c r="H136" s="443">
        <f>((460665+13000+138220+9000)+28100+60800+30000)+22224.15</f>
        <v>762009.15</v>
      </c>
      <c r="I136" s="443"/>
      <c r="J136" s="529">
        <f t="shared" si="120"/>
        <v>550000</v>
      </c>
      <c r="K136" s="443">
        <v>0</v>
      </c>
      <c r="L136" s="443">
        <v>550000</v>
      </c>
      <c r="M136" s="443">
        <v>300000</v>
      </c>
      <c r="N136" s="443">
        <f>(40000+4000+7000)</f>
        <v>51000</v>
      </c>
      <c r="O136" s="534">
        <f t="shared" si="129"/>
        <v>0</v>
      </c>
      <c r="P136" s="529">
        <f t="shared" si="123"/>
        <v>36266924.149999999</v>
      </c>
      <c r="R136" s="292"/>
    </row>
    <row r="137" spans="1:18" ht="138.75" thickTop="1" thickBot="1" x14ac:dyDescent="0.25">
      <c r="A137" s="532" t="s">
        <v>280</v>
      </c>
      <c r="B137" s="532" t="s">
        <v>278</v>
      </c>
      <c r="C137" s="532" t="s">
        <v>211</v>
      </c>
      <c r="D137" s="532" t="s">
        <v>473</v>
      </c>
      <c r="E137" s="529">
        <f t="shared" si="130"/>
        <v>8552380.2899999991</v>
      </c>
      <c r="F137" s="443">
        <f>(8525925)+26455.29</f>
        <v>8552380.2899999991</v>
      </c>
      <c r="G137" s="443">
        <f>(3360745+2589405)</f>
        <v>5950150</v>
      </c>
      <c r="H137" s="443">
        <f>(329310+5880+88535+720+254560+6555+34710+275)+26455.29</f>
        <v>747000.29</v>
      </c>
      <c r="I137" s="443"/>
      <c r="J137" s="529">
        <f t="shared" si="120"/>
        <v>30500</v>
      </c>
      <c r="K137" s="443">
        <v>30500</v>
      </c>
      <c r="L137" s="443"/>
      <c r="M137" s="443"/>
      <c r="N137" s="443"/>
      <c r="O137" s="534">
        <f t="shared" si="129"/>
        <v>30500</v>
      </c>
      <c r="P137" s="529">
        <f t="shared" si="123"/>
        <v>8582880.2899999991</v>
      </c>
      <c r="R137" s="292"/>
    </row>
    <row r="138" spans="1:18" ht="138.75" thickTop="1" thickBot="1" x14ac:dyDescent="0.25">
      <c r="A138" s="488" t="s">
        <v>1099</v>
      </c>
      <c r="B138" s="488" t="s">
        <v>809</v>
      </c>
      <c r="C138" s="488"/>
      <c r="D138" s="488" t="s">
        <v>810</v>
      </c>
      <c r="E138" s="471">
        <f>E139</f>
        <v>6040461</v>
      </c>
      <c r="F138" s="471">
        <f t="shared" ref="F138:P138" si="136">F139</f>
        <v>6040461</v>
      </c>
      <c r="G138" s="471">
        <f t="shared" si="136"/>
        <v>4559615</v>
      </c>
      <c r="H138" s="471">
        <f t="shared" si="136"/>
        <v>137400</v>
      </c>
      <c r="I138" s="471">
        <f t="shared" si="136"/>
        <v>0</v>
      </c>
      <c r="J138" s="471">
        <f t="shared" si="136"/>
        <v>0</v>
      </c>
      <c r="K138" s="471">
        <f t="shared" si="136"/>
        <v>0</v>
      </c>
      <c r="L138" s="471">
        <f t="shared" si="136"/>
        <v>0</v>
      </c>
      <c r="M138" s="471">
        <f t="shared" si="136"/>
        <v>0</v>
      </c>
      <c r="N138" s="471">
        <f t="shared" si="136"/>
        <v>0</v>
      </c>
      <c r="O138" s="471">
        <f t="shared" si="136"/>
        <v>0</v>
      </c>
      <c r="P138" s="471">
        <f t="shared" si="136"/>
        <v>6040461</v>
      </c>
      <c r="R138" s="292"/>
    </row>
    <row r="139" spans="1:18" ht="138.75" thickTop="1" thickBot="1" x14ac:dyDescent="0.25">
      <c r="A139" s="861" t="s">
        <v>1388</v>
      </c>
      <c r="B139" s="861" t="s">
        <v>196</v>
      </c>
      <c r="C139" s="861" t="s">
        <v>197</v>
      </c>
      <c r="D139" s="861" t="s">
        <v>680</v>
      </c>
      <c r="E139" s="445">
        <f t="shared" ref="E139" si="137">F139</f>
        <v>6040461</v>
      </c>
      <c r="F139" s="446">
        <f>(0)+6040461</f>
        <v>6040461</v>
      </c>
      <c r="G139" s="446">
        <f>(0)+4559615</f>
        <v>4559615</v>
      </c>
      <c r="H139" s="446">
        <f>(0)+(96665+5295+31600+3840)</f>
        <v>137400</v>
      </c>
      <c r="I139" s="446"/>
      <c r="J139" s="857">
        <f t="shared" ref="J139" si="138">L139+O139</f>
        <v>0</v>
      </c>
      <c r="K139" s="446"/>
      <c r="L139" s="458"/>
      <c r="M139" s="458"/>
      <c r="N139" s="458"/>
      <c r="O139" s="862">
        <f t="shared" ref="O139" si="139">K139</f>
        <v>0</v>
      </c>
      <c r="P139" s="857">
        <f>+J139+E139</f>
        <v>6040461</v>
      </c>
      <c r="R139" s="292"/>
    </row>
    <row r="140" spans="1:18" ht="409.6" thickTop="1" thickBot="1" x14ac:dyDescent="0.25">
      <c r="A140" s="532" t="s">
        <v>275</v>
      </c>
      <c r="B140" s="532" t="s">
        <v>276</v>
      </c>
      <c r="C140" s="532" t="s">
        <v>211</v>
      </c>
      <c r="D140" s="532" t="s">
        <v>471</v>
      </c>
      <c r="E140" s="529">
        <f t="shared" si="130"/>
        <v>3283295</v>
      </c>
      <c r="F140" s="443">
        <v>3283295</v>
      </c>
      <c r="G140" s="443"/>
      <c r="H140" s="443"/>
      <c r="I140" s="443"/>
      <c r="J140" s="529">
        <f t="shared" si="120"/>
        <v>0</v>
      </c>
      <c r="K140" s="529"/>
      <c r="L140" s="443"/>
      <c r="M140" s="443"/>
      <c r="N140" s="443"/>
      <c r="O140" s="534">
        <f t="shared" si="129"/>
        <v>0</v>
      </c>
      <c r="P140" s="529">
        <f>+J140+E140</f>
        <v>3283295</v>
      </c>
      <c r="R140" s="297"/>
    </row>
    <row r="141" spans="1:18" ht="138.75" thickTop="1" thickBot="1" x14ac:dyDescent="0.25">
      <c r="A141" s="488" t="s">
        <v>932</v>
      </c>
      <c r="B141" s="488" t="s">
        <v>933</v>
      </c>
      <c r="C141" s="488"/>
      <c r="D141" s="488" t="s">
        <v>934</v>
      </c>
      <c r="E141" s="471">
        <f t="shared" si="130"/>
        <v>159297</v>
      </c>
      <c r="F141" s="471">
        <f>F142</f>
        <v>159297</v>
      </c>
      <c r="G141" s="471">
        <f t="shared" ref="G141:I141" si="140">G142</f>
        <v>0</v>
      </c>
      <c r="H141" s="471">
        <f t="shared" si="140"/>
        <v>0</v>
      </c>
      <c r="I141" s="471">
        <f t="shared" si="140"/>
        <v>0</v>
      </c>
      <c r="J141" s="471">
        <f t="shared" si="120"/>
        <v>0</v>
      </c>
      <c r="K141" s="471">
        <f t="shared" ref="K141:N141" si="141">K142</f>
        <v>0</v>
      </c>
      <c r="L141" s="471">
        <f t="shared" si="141"/>
        <v>0</v>
      </c>
      <c r="M141" s="471">
        <f t="shared" si="141"/>
        <v>0</v>
      </c>
      <c r="N141" s="471">
        <f t="shared" si="141"/>
        <v>0</v>
      </c>
      <c r="O141" s="471">
        <f t="shared" si="129"/>
        <v>0</v>
      </c>
      <c r="P141" s="471">
        <f>+J141+E141</f>
        <v>159297</v>
      </c>
      <c r="R141" s="297"/>
    </row>
    <row r="142" spans="1:18" ht="276" thickTop="1" thickBot="1" x14ac:dyDescent="0.25">
      <c r="A142" s="665" t="s">
        <v>502</v>
      </c>
      <c r="B142" s="665" t="s">
        <v>503</v>
      </c>
      <c r="C142" s="665" t="s">
        <v>211</v>
      </c>
      <c r="D142" s="665" t="s">
        <v>504</v>
      </c>
      <c r="E142" s="663">
        <f t="shared" si="130"/>
        <v>159297</v>
      </c>
      <c r="F142" s="443">
        <v>159297</v>
      </c>
      <c r="G142" s="443"/>
      <c r="H142" s="443"/>
      <c r="I142" s="443"/>
      <c r="J142" s="663">
        <f t="shared" si="120"/>
        <v>0</v>
      </c>
      <c r="K142" s="663"/>
      <c r="L142" s="443"/>
      <c r="M142" s="443"/>
      <c r="N142" s="443"/>
      <c r="O142" s="666">
        <f t="shared" si="129"/>
        <v>0</v>
      </c>
      <c r="P142" s="663">
        <f>+J142+E142</f>
        <v>159297</v>
      </c>
      <c r="R142" s="297"/>
    </row>
    <row r="143" spans="1:18" ht="367.5" thickTop="1" thickBot="1" x14ac:dyDescent="0.25">
      <c r="A143" s="532" t="s">
        <v>362</v>
      </c>
      <c r="B143" s="532" t="s">
        <v>361</v>
      </c>
      <c r="C143" s="532" t="s">
        <v>52</v>
      </c>
      <c r="D143" s="532" t="s">
        <v>472</v>
      </c>
      <c r="E143" s="529">
        <f t="shared" si="130"/>
        <v>2842500</v>
      </c>
      <c r="F143" s="443">
        <v>2842500</v>
      </c>
      <c r="G143" s="443"/>
      <c r="H143" s="443"/>
      <c r="I143" s="443"/>
      <c r="J143" s="529">
        <f t="shared" si="120"/>
        <v>0</v>
      </c>
      <c r="K143" s="529"/>
      <c r="L143" s="443"/>
      <c r="M143" s="443"/>
      <c r="N143" s="443"/>
      <c r="O143" s="534">
        <f t="shared" si="129"/>
        <v>0</v>
      </c>
      <c r="P143" s="529">
        <f>E143+J143</f>
        <v>2842500</v>
      </c>
      <c r="R143" s="297"/>
    </row>
    <row r="144" spans="1:18" s="272" customFormat="1" ht="93" thickTop="1" thickBot="1" x14ac:dyDescent="0.25">
      <c r="A144" s="488" t="s">
        <v>779</v>
      </c>
      <c r="B144" s="488" t="s">
        <v>780</v>
      </c>
      <c r="C144" s="488"/>
      <c r="D144" s="488" t="s">
        <v>781</v>
      </c>
      <c r="E144" s="471">
        <f>E145</f>
        <v>758000</v>
      </c>
      <c r="F144" s="471">
        <f t="shared" ref="F144:P144" si="142">F145</f>
        <v>758000</v>
      </c>
      <c r="G144" s="471">
        <f t="shared" si="142"/>
        <v>0</v>
      </c>
      <c r="H144" s="471">
        <f t="shared" si="142"/>
        <v>0</v>
      </c>
      <c r="I144" s="471">
        <f t="shared" si="142"/>
        <v>0</v>
      </c>
      <c r="J144" s="471">
        <f t="shared" si="142"/>
        <v>0</v>
      </c>
      <c r="K144" s="471">
        <f t="shared" si="142"/>
        <v>0</v>
      </c>
      <c r="L144" s="471">
        <f t="shared" si="142"/>
        <v>0</v>
      </c>
      <c r="M144" s="471">
        <f t="shared" si="142"/>
        <v>0</v>
      </c>
      <c r="N144" s="471">
        <f t="shared" si="142"/>
        <v>0</v>
      </c>
      <c r="O144" s="471">
        <f t="shared" si="142"/>
        <v>0</v>
      </c>
      <c r="P144" s="471">
        <f t="shared" si="142"/>
        <v>758000</v>
      </c>
      <c r="Q144" s="623"/>
      <c r="R144" s="298"/>
    </row>
    <row r="145" spans="1:18" ht="230.25" thickTop="1" thickBot="1" x14ac:dyDescent="0.25">
      <c r="A145" s="532" t="s">
        <v>339</v>
      </c>
      <c r="B145" s="532" t="s">
        <v>340</v>
      </c>
      <c r="C145" s="532" t="s">
        <v>217</v>
      </c>
      <c r="D145" s="532" t="s">
        <v>677</v>
      </c>
      <c r="E145" s="529">
        <f t="shared" si="130"/>
        <v>758000</v>
      </c>
      <c r="F145" s="443">
        <v>758000</v>
      </c>
      <c r="G145" s="443"/>
      <c r="H145" s="443"/>
      <c r="I145" s="443"/>
      <c r="J145" s="529">
        <f t="shared" si="120"/>
        <v>0</v>
      </c>
      <c r="K145" s="443"/>
      <c r="L145" s="443"/>
      <c r="M145" s="443"/>
      <c r="N145" s="443"/>
      <c r="O145" s="534">
        <f t="shared" si="129"/>
        <v>0</v>
      </c>
      <c r="P145" s="529">
        <f>E145+J145</f>
        <v>758000</v>
      </c>
      <c r="R145" s="297"/>
    </row>
    <row r="146" spans="1:18" ht="93" thickTop="1" thickBot="1" x14ac:dyDescent="0.25">
      <c r="A146" s="532" t="s">
        <v>444</v>
      </c>
      <c r="B146" s="532" t="s">
        <v>386</v>
      </c>
      <c r="C146" s="532" t="s">
        <v>387</v>
      </c>
      <c r="D146" s="532" t="s">
        <v>385</v>
      </c>
      <c r="E146" s="574">
        <f t="shared" si="130"/>
        <v>107000</v>
      </c>
      <c r="F146" s="443">
        <v>107000</v>
      </c>
      <c r="G146" s="443">
        <v>88000</v>
      </c>
      <c r="H146" s="443"/>
      <c r="I146" s="443"/>
      <c r="J146" s="529">
        <f t="shared" si="120"/>
        <v>0</v>
      </c>
      <c r="K146" s="443"/>
      <c r="L146" s="443"/>
      <c r="M146" s="443"/>
      <c r="N146" s="443"/>
      <c r="O146" s="534">
        <f t="shared" si="129"/>
        <v>0</v>
      </c>
      <c r="P146" s="529">
        <f>E146+J146</f>
        <v>107000</v>
      </c>
      <c r="R146" s="297"/>
    </row>
    <row r="147" spans="1:18" ht="230.25" hidden="1" thickTop="1" thickBot="1" x14ac:dyDescent="0.25">
      <c r="A147" s="279" t="s">
        <v>1147</v>
      </c>
      <c r="B147" s="279" t="s">
        <v>1148</v>
      </c>
      <c r="C147" s="279"/>
      <c r="D147" s="279" t="s">
        <v>1146</v>
      </c>
      <c r="E147" s="275">
        <f>E148+E151+E155+E158</f>
        <v>0</v>
      </c>
      <c r="F147" s="275">
        <f t="shared" ref="F147:P147" si="143">F148+F151+F155+F158</f>
        <v>0</v>
      </c>
      <c r="G147" s="275">
        <f t="shared" si="143"/>
        <v>0</v>
      </c>
      <c r="H147" s="275">
        <f t="shared" si="143"/>
        <v>0</v>
      </c>
      <c r="I147" s="275">
        <f t="shared" si="143"/>
        <v>0</v>
      </c>
      <c r="J147" s="275">
        <f t="shared" si="143"/>
        <v>0</v>
      </c>
      <c r="K147" s="275">
        <f t="shared" si="143"/>
        <v>0</v>
      </c>
      <c r="L147" s="275">
        <f t="shared" si="143"/>
        <v>0</v>
      </c>
      <c r="M147" s="275">
        <f t="shared" si="143"/>
        <v>0</v>
      </c>
      <c r="N147" s="275">
        <f t="shared" si="143"/>
        <v>0</v>
      </c>
      <c r="O147" s="275">
        <f t="shared" si="143"/>
        <v>0</v>
      </c>
      <c r="P147" s="275">
        <f t="shared" si="143"/>
        <v>0</v>
      </c>
      <c r="R147" s="297"/>
    </row>
    <row r="148" spans="1:18" ht="409.6" hidden="1" thickTop="1" x14ac:dyDescent="0.65">
      <c r="A148" s="906" t="s">
        <v>1152</v>
      </c>
      <c r="B148" s="906" t="s">
        <v>1153</v>
      </c>
      <c r="C148" s="906" t="s">
        <v>52</v>
      </c>
      <c r="D148" s="299" t="s">
        <v>1149</v>
      </c>
      <c r="E148" s="898">
        <f t="shared" ref="E148:E151" si="144">F148</f>
        <v>0</v>
      </c>
      <c r="F148" s="898"/>
      <c r="G148" s="898"/>
      <c r="H148" s="898"/>
      <c r="I148" s="898"/>
      <c r="J148" s="898">
        <f t="shared" ref="J148:J151" si="145">L148+O148</f>
        <v>0</v>
      </c>
      <c r="K148" s="901">
        <v>0</v>
      </c>
      <c r="L148" s="898"/>
      <c r="M148" s="898"/>
      <c r="N148" s="898"/>
      <c r="O148" s="901">
        <f t="shared" ref="O148:O151" si="146">K148</f>
        <v>0</v>
      </c>
      <c r="P148" s="898">
        <f t="shared" ref="P148:P151" si="147">E148+J148</f>
        <v>0</v>
      </c>
      <c r="Q148" s="908"/>
      <c r="R148" s="904"/>
    </row>
    <row r="149" spans="1:18" ht="409.5" hidden="1" x14ac:dyDescent="0.2">
      <c r="A149" s="899"/>
      <c r="B149" s="899"/>
      <c r="C149" s="899"/>
      <c r="D149" s="300" t="s">
        <v>1150</v>
      </c>
      <c r="E149" s="899"/>
      <c r="F149" s="899"/>
      <c r="G149" s="899"/>
      <c r="H149" s="899"/>
      <c r="I149" s="899"/>
      <c r="J149" s="899"/>
      <c r="K149" s="902"/>
      <c r="L149" s="899"/>
      <c r="M149" s="899"/>
      <c r="N149" s="899"/>
      <c r="O149" s="902"/>
      <c r="P149" s="899"/>
      <c r="Q149" s="908"/>
      <c r="R149" s="905"/>
    </row>
    <row r="150" spans="1:18" ht="409.6" hidden="1" thickBot="1" x14ac:dyDescent="0.25">
      <c r="A150" s="900"/>
      <c r="B150" s="900"/>
      <c r="C150" s="900"/>
      <c r="D150" s="301" t="s">
        <v>1151</v>
      </c>
      <c r="E150" s="900"/>
      <c r="F150" s="900"/>
      <c r="G150" s="900"/>
      <c r="H150" s="900"/>
      <c r="I150" s="900"/>
      <c r="J150" s="900"/>
      <c r="K150" s="903"/>
      <c r="L150" s="900"/>
      <c r="M150" s="900"/>
      <c r="N150" s="900"/>
      <c r="O150" s="903"/>
      <c r="P150" s="900"/>
      <c r="Q150" s="908"/>
      <c r="R150" s="905"/>
    </row>
    <row r="151" spans="1:18" ht="409.6" hidden="1" thickTop="1" x14ac:dyDescent="0.65">
      <c r="A151" s="906" t="s">
        <v>1158</v>
      </c>
      <c r="B151" s="906" t="s">
        <v>1159</v>
      </c>
      <c r="C151" s="906" t="s">
        <v>52</v>
      </c>
      <c r="D151" s="299" t="s">
        <v>1154</v>
      </c>
      <c r="E151" s="898">
        <f t="shared" si="144"/>
        <v>0</v>
      </c>
      <c r="F151" s="898"/>
      <c r="G151" s="898"/>
      <c r="H151" s="898"/>
      <c r="I151" s="898"/>
      <c r="J151" s="898">
        <f t="shared" si="145"/>
        <v>0</v>
      </c>
      <c r="K151" s="901">
        <v>0</v>
      </c>
      <c r="L151" s="898"/>
      <c r="M151" s="898"/>
      <c r="N151" s="898"/>
      <c r="O151" s="898">
        <f t="shared" si="146"/>
        <v>0</v>
      </c>
      <c r="P151" s="898">
        <f t="shared" si="147"/>
        <v>0</v>
      </c>
      <c r="R151" s="904"/>
    </row>
    <row r="152" spans="1:18" ht="409.5" hidden="1" x14ac:dyDescent="0.2">
      <c r="A152" s="899"/>
      <c r="B152" s="899"/>
      <c r="C152" s="899"/>
      <c r="D152" s="300" t="s">
        <v>1155</v>
      </c>
      <c r="E152" s="899"/>
      <c r="F152" s="899"/>
      <c r="G152" s="899"/>
      <c r="H152" s="899"/>
      <c r="I152" s="899"/>
      <c r="J152" s="899"/>
      <c r="K152" s="902"/>
      <c r="L152" s="899"/>
      <c r="M152" s="899"/>
      <c r="N152" s="899"/>
      <c r="O152" s="899"/>
      <c r="P152" s="899"/>
      <c r="R152" s="907"/>
    </row>
    <row r="153" spans="1:18" ht="409.5" hidden="1" x14ac:dyDescent="0.2">
      <c r="A153" s="899"/>
      <c r="B153" s="899"/>
      <c r="C153" s="899"/>
      <c r="D153" s="300" t="s">
        <v>1156</v>
      </c>
      <c r="E153" s="899"/>
      <c r="F153" s="899"/>
      <c r="G153" s="899"/>
      <c r="H153" s="899"/>
      <c r="I153" s="899"/>
      <c r="J153" s="899"/>
      <c r="K153" s="902"/>
      <c r="L153" s="899"/>
      <c r="M153" s="899"/>
      <c r="N153" s="899"/>
      <c r="O153" s="899"/>
      <c r="P153" s="899"/>
      <c r="R153" s="907"/>
    </row>
    <row r="154" spans="1:18" ht="183.75" hidden="1" thickBot="1" x14ac:dyDescent="0.25">
      <c r="A154" s="900"/>
      <c r="B154" s="900"/>
      <c r="C154" s="900"/>
      <c r="D154" s="301" t="s">
        <v>1157</v>
      </c>
      <c r="E154" s="900"/>
      <c r="F154" s="900"/>
      <c r="G154" s="900"/>
      <c r="H154" s="900"/>
      <c r="I154" s="900"/>
      <c r="J154" s="900"/>
      <c r="K154" s="903"/>
      <c r="L154" s="900"/>
      <c r="M154" s="900"/>
      <c r="N154" s="900"/>
      <c r="O154" s="900"/>
      <c r="P154" s="900"/>
      <c r="R154" s="907"/>
    </row>
    <row r="155" spans="1:18" ht="409.6" hidden="1" thickTop="1" x14ac:dyDescent="0.65">
      <c r="A155" s="906" t="s">
        <v>1160</v>
      </c>
      <c r="B155" s="906" t="s">
        <v>1161</v>
      </c>
      <c r="C155" s="906" t="s">
        <v>52</v>
      </c>
      <c r="D155" s="299" t="s">
        <v>1162</v>
      </c>
      <c r="E155" s="898">
        <f t="shared" ref="E155" si="148">F155</f>
        <v>0</v>
      </c>
      <c r="F155" s="898"/>
      <c r="G155" s="898"/>
      <c r="H155" s="898"/>
      <c r="I155" s="898"/>
      <c r="J155" s="898">
        <f t="shared" ref="J155" si="149">L155+O155</f>
        <v>0</v>
      </c>
      <c r="K155" s="901">
        <v>0</v>
      </c>
      <c r="L155" s="898"/>
      <c r="M155" s="898"/>
      <c r="N155" s="898"/>
      <c r="O155" s="901">
        <f t="shared" ref="O155" si="150">K155</f>
        <v>0</v>
      </c>
      <c r="P155" s="898">
        <f t="shared" ref="P155" si="151">E155+J155</f>
        <v>0</v>
      </c>
      <c r="R155" s="904"/>
    </row>
    <row r="156" spans="1:18" ht="409.5" hidden="1" x14ac:dyDescent="0.2">
      <c r="A156" s="899"/>
      <c r="B156" s="899"/>
      <c r="C156" s="899"/>
      <c r="D156" s="300" t="s">
        <v>1163</v>
      </c>
      <c r="E156" s="899"/>
      <c r="F156" s="899"/>
      <c r="G156" s="899"/>
      <c r="H156" s="899"/>
      <c r="I156" s="899"/>
      <c r="J156" s="899"/>
      <c r="K156" s="902"/>
      <c r="L156" s="899"/>
      <c r="M156" s="899"/>
      <c r="N156" s="899"/>
      <c r="O156" s="902"/>
      <c r="P156" s="899"/>
      <c r="R156" s="905"/>
    </row>
    <row r="157" spans="1:18" ht="138" hidden="1" thickBot="1" x14ac:dyDescent="0.25">
      <c r="A157" s="900"/>
      <c r="B157" s="900"/>
      <c r="C157" s="900"/>
      <c r="D157" s="301" t="s">
        <v>1164</v>
      </c>
      <c r="E157" s="900"/>
      <c r="F157" s="900"/>
      <c r="G157" s="900"/>
      <c r="H157" s="900"/>
      <c r="I157" s="900"/>
      <c r="J157" s="900"/>
      <c r="K157" s="903"/>
      <c r="L157" s="900"/>
      <c r="M157" s="900"/>
      <c r="N157" s="900"/>
      <c r="O157" s="903"/>
      <c r="P157" s="900"/>
      <c r="R157" s="905"/>
    </row>
    <row r="158" spans="1:18" ht="409.6" hidden="1" thickTop="1" x14ac:dyDescent="0.65">
      <c r="A158" s="906" t="s">
        <v>1168</v>
      </c>
      <c r="B158" s="906" t="s">
        <v>1169</v>
      </c>
      <c r="C158" s="906" t="s">
        <v>52</v>
      </c>
      <c r="D158" s="299" t="s">
        <v>1165</v>
      </c>
      <c r="E158" s="898">
        <f t="shared" ref="E158" si="152">F158</f>
        <v>0</v>
      </c>
      <c r="F158" s="898"/>
      <c r="G158" s="898"/>
      <c r="H158" s="898"/>
      <c r="I158" s="898"/>
      <c r="J158" s="898">
        <f t="shared" ref="J158" si="153">L158+O158</f>
        <v>0</v>
      </c>
      <c r="K158" s="901">
        <v>0</v>
      </c>
      <c r="L158" s="898"/>
      <c r="M158" s="898"/>
      <c r="N158" s="898"/>
      <c r="O158" s="901">
        <f t="shared" ref="O158" si="154">K158</f>
        <v>0</v>
      </c>
      <c r="P158" s="898">
        <f t="shared" ref="P158" si="155">E158+J158</f>
        <v>0</v>
      </c>
      <c r="R158" s="904"/>
    </row>
    <row r="159" spans="1:18" ht="352.5" hidden="1" customHeight="1" x14ac:dyDescent="0.2">
      <c r="A159" s="899"/>
      <c r="B159" s="899"/>
      <c r="C159" s="899"/>
      <c r="D159" s="300" t="s">
        <v>1166</v>
      </c>
      <c r="E159" s="899"/>
      <c r="F159" s="899"/>
      <c r="G159" s="899"/>
      <c r="H159" s="899"/>
      <c r="I159" s="899"/>
      <c r="J159" s="899"/>
      <c r="K159" s="902"/>
      <c r="L159" s="899"/>
      <c r="M159" s="899"/>
      <c r="N159" s="899"/>
      <c r="O159" s="902"/>
      <c r="P159" s="899"/>
      <c r="R159" s="905"/>
    </row>
    <row r="160" spans="1:18" ht="93" hidden="1" thickTop="1" thickBot="1" x14ac:dyDescent="0.25">
      <c r="A160" s="900"/>
      <c r="B160" s="900"/>
      <c r="C160" s="900"/>
      <c r="D160" s="301" t="s">
        <v>1167</v>
      </c>
      <c r="E160" s="900"/>
      <c r="F160" s="900"/>
      <c r="G160" s="900"/>
      <c r="H160" s="900"/>
      <c r="I160" s="900"/>
      <c r="J160" s="900"/>
      <c r="K160" s="903"/>
      <c r="L160" s="900"/>
      <c r="M160" s="900"/>
      <c r="N160" s="900"/>
      <c r="O160" s="903"/>
      <c r="P160" s="900"/>
      <c r="R160" s="905"/>
    </row>
    <row r="161" spans="1:18" s="778" customFormat="1" ht="230.25" thickTop="1" thickBot="1" x14ac:dyDescent="0.25">
      <c r="A161" s="805" t="s">
        <v>1373</v>
      </c>
      <c r="B161" s="805" t="s">
        <v>1370</v>
      </c>
      <c r="C161" s="805" t="s">
        <v>218</v>
      </c>
      <c r="D161" s="498" t="s">
        <v>1371</v>
      </c>
      <c r="E161" s="574">
        <f t="shared" ref="E161" si="156">F161</f>
        <v>1184000</v>
      </c>
      <c r="F161" s="443">
        <f>((210000)+785000)+189000</f>
        <v>1184000</v>
      </c>
      <c r="G161" s="443"/>
      <c r="H161" s="443"/>
      <c r="I161" s="443"/>
      <c r="J161" s="808">
        <f t="shared" ref="J161" si="157">L161+O161</f>
        <v>128428</v>
      </c>
      <c r="K161" s="443">
        <v>128428</v>
      </c>
      <c r="L161" s="443"/>
      <c r="M161" s="443"/>
      <c r="N161" s="443"/>
      <c r="O161" s="806">
        <f t="shared" ref="O161" si="158">K161</f>
        <v>128428</v>
      </c>
      <c r="P161" s="808">
        <f>E161+J161</f>
        <v>1312428</v>
      </c>
      <c r="Q161" s="613"/>
      <c r="R161" s="804"/>
    </row>
    <row r="162" spans="1:18" s="272" customFormat="1" ht="48" thickTop="1" thickBot="1" x14ac:dyDescent="0.25">
      <c r="A162" s="488" t="s">
        <v>782</v>
      </c>
      <c r="B162" s="488" t="s">
        <v>783</v>
      </c>
      <c r="C162" s="488"/>
      <c r="D162" s="488" t="s">
        <v>784</v>
      </c>
      <c r="E162" s="471">
        <f>SUM(E163:E164)</f>
        <v>37067986.600000001</v>
      </c>
      <c r="F162" s="471">
        <f t="shared" ref="F162:P162" si="159">SUM(F163:F164)</f>
        <v>37067986.600000001</v>
      </c>
      <c r="G162" s="471">
        <f t="shared" si="159"/>
        <v>6612545</v>
      </c>
      <c r="H162" s="471">
        <f t="shared" si="159"/>
        <v>1047083.6</v>
      </c>
      <c r="I162" s="471">
        <f t="shared" si="159"/>
        <v>0</v>
      </c>
      <c r="J162" s="471">
        <f t="shared" si="159"/>
        <v>9056604</v>
      </c>
      <c r="K162" s="471">
        <f t="shared" si="159"/>
        <v>3025900</v>
      </c>
      <c r="L162" s="471">
        <f t="shared" si="159"/>
        <v>5970336</v>
      </c>
      <c r="M162" s="471">
        <f t="shared" si="159"/>
        <v>1653040</v>
      </c>
      <c r="N162" s="471">
        <f t="shared" si="159"/>
        <v>414600</v>
      </c>
      <c r="O162" s="471">
        <f t="shared" si="159"/>
        <v>3086268</v>
      </c>
      <c r="P162" s="471">
        <f t="shared" si="159"/>
        <v>46124590.600000001</v>
      </c>
      <c r="Q162" s="623"/>
      <c r="R162" s="298"/>
    </row>
    <row r="163" spans="1:18" ht="184.5" thickTop="1" thickBot="1" x14ac:dyDescent="0.25">
      <c r="A163" s="532" t="s">
        <v>341</v>
      </c>
      <c r="B163" s="532" t="s">
        <v>343</v>
      </c>
      <c r="C163" s="532" t="s">
        <v>203</v>
      </c>
      <c r="D163" s="498" t="s">
        <v>345</v>
      </c>
      <c r="E163" s="529">
        <f t="shared" si="130"/>
        <v>12747819.6</v>
      </c>
      <c r="F163" s="443">
        <f>((12694065)+30000)+23754.6</f>
        <v>12747819.6</v>
      </c>
      <c r="G163" s="446">
        <f>(2293360+2454115+1865070)</f>
        <v>6612545</v>
      </c>
      <c r="H163" s="446">
        <f>(((6000+34105+94725+91275+3000+264710+207240+113635+19405)+15430)+71304)+23754.6+102500</f>
        <v>1047083.6</v>
      </c>
      <c r="I163" s="443"/>
      <c r="J163" s="529">
        <f t="shared" ref="J163:J175" si="160">L163+O163</f>
        <v>8590704</v>
      </c>
      <c r="K163" s="443">
        <f>(2000000+260000+300000)</f>
        <v>2560000</v>
      </c>
      <c r="L163" s="443">
        <f>(5275704-60368+600000+155000)</f>
        <v>5970336</v>
      </c>
      <c r="M163" s="443">
        <f>(1468040+180000+5000)</f>
        <v>1653040</v>
      </c>
      <c r="N163" s="443">
        <f>(215600+55000+23000+62000+58000+1000)</f>
        <v>414600</v>
      </c>
      <c r="O163" s="534">
        <f>(K163+60368)</f>
        <v>2620368</v>
      </c>
      <c r="P163" s="529">
        <f t="shared" ref="P163:P175" si="161">E163+J163</f>
        <v>21338523.600000001</v>
      </c>
      <c r="R163" s="292"/>
    </row>
    <row r="164" spans="1:18" ht="138.75" thickTop="1" thickBot="1" x14ac:dyDescent="0.25">
      <c r="A164" s="532" t="s">
        <v>342</v>
      </c>
      <c r="B164" s="532" t="s">
        <v>344</v>
      </c>
      <c r="C164" s="532" t="s">
        <v>203</v>
      </c>
      <c r="D164" s="498" t="s">
        <v>346</v>
      </c>
      <c r="E164" s="529">
        <f t="shared" si="130"/>
        <v>24320167</v>
      </c>
      <c r="F164" s="443">
        <f>((23428817)+320000)+571350</f>
        <v>24320167</v>
      </c>
      <c r="G164" s="443"/>
      <c r="H164" s="443"/>
      <c r="I164" s="443"/>
      <c r="J164" s="529">
        <f t="shared" si="160"/>
        <v>465900</v>
      </c>
      <c r="K164" s="443">
        <v>465900</v>
      </c>
      <c r="L164" s="443"/>
      <c r="M164" s="443"/>
      <c r="N164" s="443"/>
      <c r="O164" s="534">
        <f t="shared" ref="O164:O175" si="162">K164</f>
        <v>465900</v>
      </c>
      <c r="P164" s="529">
        <f t="shared" si="161"/>
        <v>24786067</v>
      </c>
      <c r="R164" s="292"/>
    </row>
    <row r="165" spans="1:18" ht="91.5" thickTop="1" thickBot="1" x14ac:dyDescent="0.25">
      <c r="A165" s="151" t="s">
        <v>785</v>
      </c>
      <c r="B165" s="151" t="s">
        <v>786</v>
      </c>
      <c r="C165" s="151"/>
      <c r="D165" s="559" t="s">
        <v>787</v>
      </c>
      <c r="E165" s="529">
        <f>SUM(E166)</f>
        <v>0</v>
      </c>
      <c r="F165" s="529">
        <f t="shared" ref="F165:P165" si="163">SUM(F166)</f>
        <v>0</v>
      </c>
      <c r="G165" s="529">
        <f t="shared" si="163"/>
        <v>0</v>
      </c>
      <c r="H165" s="529">
        <f t="shared" si="163"/>
        <v>0</v>
      </c>
      <c r="I165" s="529">
        <f t="shared" si="163"/>
        <v>0</v>
      </c>
      <c r="J165" s="529">
        <f>SUM(J166)</f>
        <v>6000000</v>
      </c>
      <c r="K165" s="529">
        <f t="shared" si="163"/>
        <v>6000000</v>
      </c>
      <c r="L165" s="529">
        <f t="shared" si="163"/>
        <v>0</v>
      </c>
      <c r="M165" s="529">
        <f t="shared" si="163"/>
        <v>0</v>
      </c>
      <c r="N165" s="529">
        <f t="shared" si="163"/>
        <v>0</v>
      </c>
      <c r="O165" s="529">
        <f t="shared" si="163"/>
        <v>6000000</v>
      </c>
      <c r="P165" s="529">
        <f t="shared" si="163"/>
        <v>6000000</v>
      </c>
      <c r="R165" s="292"/>
    </row>
    <row r="166" spans="1:18" s="272" customFormat="1" ht="93" thickTop="1" thickBot="1" x14ac:dyDescent="0.25">
      <c r="A166" s="488" t="s">
        <v>788</v>
      </c>
      <c r="B166" s="488" t="s">
        <v>789</v>
      </c>
      <c r="C166" s="488"/>
      <c r="D166" s="481" t="s">
        <v>790</v>
      </c>
      <c r="E166" s="471">
        <f>SUM(E167:E168)</f>
        <v>0</v>
      </c>
      <c r="F166" s="471">
        <f>SUM(F167:F168)</f>
        <v>0</v>
      </c>
      <c r="G166" s="471">
        <f>SUM(G167:G168)</f>
        <v>0</v>
      </c>
      <c r="H166" s="471">
        <f>SUM(H167:H168)</f>
        <v>0</v>
      </c>
      <c r="I166" s="471">
        <f>SUM(I167:I168)</f>
        <v>0</v>
      </c>
      <c r="J166" s="471">
        <f t="shared" ref="J166:O166" si="164">SUM(J167:J168)</f>
        <v>6000000</v>
      </c>
      <c r="K166" s="471">
        <f t="shared" si="164"/>
        <v>6000000</v>
      </c>
      <c r="L166" s="471">
        <f t="shared" si="164"/>
        <v>0</v>
      </c>
      <c r="M166" s="471">
        <f t="shared" si="164"/>
        <v>0</v>
      </c>
      <c r="N166" s="471">
        <f t="shared" si="164"/>
        <v>0</v>
      </c>
      <c r="O166" s="471">
        <f t="shared" si="164"/>
        <v>6000000</v>
      </c>
      <c r="P166" s="471">
        <f>SUM(P167:P168)</f>
        <v>6000000</v>
      </c>
      <c r="Q166" s="623"/>
      <c r="R166" s="302"/>
    </row>
    <row r="167" spans="1:18" ht="138.75" thickTop="1" thickBot="1" x14ac:dyDescent="0.25">
      <c r="A167" s="532" t="s">
        <v>381</v>
      </c>
      <c r="B167" s="532" t="s">
        <v>379</v>
      </c>
      <c r="C167" s="532" t="s">
        <v>354</v>
      </c>
      <c r="D167" s="498" t="s">
        <v>380</v>
      </c>
      <c r="E167" s="529">
        <f t="shared" si="130"/>
        <v>0</v>
      </c>
      <c r="F167" s="443"/>
      <c r="G167" s="443"/>
      <c r="H167" s="443"/>
      <c r="I167" s="443"/>
      <c r="J167" s="529">
        <f t="shared" si="160"/>
        <v>6000000</v>
      </c>
      <c r="K167" s="443">
        <v>6000000</v>
      </c>
      <c r="L167" s="443"/>
      <c r="M167" s="443"/>
      <c r="N167" s="443"/>
      <c r="O167" s="534">
        <f t="shared" si="162"/>
        <v>6000000</v>
      </c>
      <c r="P167" s="529">
        <f t="shared" si="161"/>
        <v>6000000</v>
      </c>
      <c r="R167" s="292"/>
    </row>
    <row r="168" spans="1:18" ht="409.6" hidden="1" thickTop="1" thickBot="1" x14ac:dyDescent="0.25">
      <c r="A168" s="259" t="s">
        <v>1170</v>
      </c>
      <c r="B168" s="259" t="s">
        <v>1171</v>
      </c>
      <c r="C168" s="259" t="s">
        <v>354</v>
      </c>
      <c r="D168" s="285" t="s">
        <v>1172</v>
      </c>
      <c r="E168" s="256">
        <f t="shared" si="130"/>
        <v>0</v>
      </c>
      <c r="F168" s="278"/>
      <c r="G168" s="278"/>
      <c r="H168" s="278"/>
      <c r="I168" s="278"/>
      <c r="J168" s="256">
        <f t="shared" si="160"/>
        <v>0</v>
      </c>
      <c r="K168" s="278">
        <v>0</v>
      </c>
      <c r="L168" s="278"/>
      <c r="M168" s="278"/>
      <c r="N168" s="278"/>
      <c r="O168" s="262">
        <f t="shared" si="162"/>
        <v>0</v>
      </c>
      <c r="P168" s="256">
        <f t="shared" si="161"/>
        <v>0</v>
      </c>
      <c r="R168" s="292"/>
    </row>
    <row r="169" spans="1:18" ht="47.25" thickTop="1" thickBot="1" x14ac:dyDescent="0.25">
      <c r="A169" s="151" t="s">
        <v>795</v>
      </c>
      <c r="B169" s="465" t="s">
        <v>792</v>
      </c>
      <c r="C169" s="465"/>
      <c r="D169" s="465" t="s">
        <v>793</v>
      </c>
      <c r="E169" s="529">
        <f t="shared" ref="E169:P169" si="165">E173+E170</f>
        <v>0</v>
      </c>
      <c r="F169" s="529">
        <f t="shared" si="165"/>
        <v>0</v>
      </c>
      <c r="G169" s="529">
        <f t="shared" si="165"/>
        <v>0</v>
      </c>
      <c r="H169" s="529">
        <f t="shared" si="165"/>
        <v>0</v>
      </c>
      <c r="I169" s="529">
        <f t="shared" si="165"/>
        <v>0</v>
      </c>
      <c r="J169" s="529">
        <f t="shared" si="165"/>
        <v>2761400</v>
      </c>
      <c r="K169" s="529">
        <f t="shared" si="165"/>
        <v>2296400</v>
      </c>
      <c r="L169" s="529">
        <f t="shared" si="165"/>
        <v>465000</v>
      </c>
      <c r="M169" s="529">
        <f t="shared" si="165"/>
        <v>0</v>
      </c>
      <c r="N169" s="529">
        <f t="shared" si="165"/>
        <v>0</v>
      </c>
      <c r="O169" s="529">
        <f t="shared" si="165"/>
        <v>2296400</v>
      </c>
      <c r="P169" s="529">
        <f t="shared" si="165"/>
        <v>2761400</v>
      </c>
      <c r="R169" s="292"/>
    </row>
    <row r="170" spans="1:18" ht="91.5" thickTop="1" thickBot="1" x14ac:dyDescent="0.25">
      <c r="A170" s="466" t="s">
        <v>986</v>
      </c>
      <c r="B170" s="468" t="s">
        <v>848</v>
      </c>
      <c r="C170" s="468"/>
      <c r="D170" s="468" t="s">
        <v>849</v>
      </c>
      <c r="E170" s="467">
        <f>E171</f>
        <v>0</v>
      </c>
      <c r="F170" s="467">
        <f t="shared" ref="F170:P174" si="166">F171</f>
        <v>0</v>
      </c>
      <c r="G170" s="467">
        <f t="shared" si="166"/>
        <v>0</v>
      </c>
      <c r="H170" s="467">
        <f t="shared" si="166"/>
        <v>0</v>
      </c>
      <c r="I170" s="467">
        <f t="shared" si="166"/>
        <v>0</v>
      </c>
      <c r="J170" s="467">
        <f t="shared" si="166"/>
        <v>2296400</v>
      </c>
      <c r="K170" s="467">
        <f t="shared" si="166"/>
        <v>2296400</v>
      </c>
      <c r="L170" s="467">
        <f t="shared" si="166"/>
        <v>0</v>
      </c>
      <c r="M170" s="467">
        <f t="shared" si="166"/>
        <v>0</v>
      </c>
      <c r="N170" s="467">
        <f t="shared" si="166"/>
        <v>0</v>
      </c>
      <c r="O170" s="467">
        <f t="shared" si="166"/>
        <v>2296400</v>
      </c>
      <c r="P170" s="467">
        <f t="shared" si="166"/>
        <v>2296400</v>
      </c>
      <c r="R170" s="292"/>
    </row>
    <row r="171" spans="1:18" ht="146.25" thickTop="1" thickBot="1" x14ac:dyDescent="0.25">
      <c r="A171" s="488" t="s">
        <v>982</v>
      </c>
      <c r="B171" s="488" t="s">
        <v>867</v>
      </c>
      <c r="C171" s="488"/>
      <c r="D171" s="488" t="s">
        <v>868</v>
      </c>
      <c r="E171" s="471">
        <f>E172</f>
        <v>0</v>
      </c>
      <c r="F171" s="471">
        <f t="shared" si="166"/>
        <v>0</v>
      </c>
      <c r="G171" s="471">
        <f t="shared" si="166"/>
        <v>0</v>
      </c>
      <c r="H171" s="471">
        <f t="shared" si="166"/>
        <v>0</v>
      </c>
      <c r="I171" s="471">
        <f t="shared" si="166"/>
        <v>0</v>
      </c>
      <c r="J171" s="471">
        <f t="shared" si="166"/>
        <v>2296400</v>
      </c>
      <c r="K171" s="471">
        <f t="shared" si="166"/>
        <v>2296400</v>
      </c>
      <c r="L171" s="471">
        <f t="shared" si="166"/>
        <v>0</v>
      </c>
      <c r="M171" s="471">
        <f t="shared" si="166"/>
        <v>0</v>
      </c>
      <c r="N171" s="471">
        <f t="shared" si="166"/>
        <v>0</v>
      </c>
      <c r="O171" s="471">
        <f t="shared" si="166"/>
        <v>2296400</v>
      </c>
      <c r="P171" s="471">
        <f t="shared" si="166"/>
        <v>2296400</v>
      </c>
      <c r="R171" s="292"/>
    </row>
    <row r="172" spans="1:18" ht="99.75" thickTop="1" thickBot="1" x14ac:dyDescent="0.25">
      <c r="A172" s="532" t="s">
        <v>983</v>
      </c>
      <c r="B172" s="532" t="s">
        <v>984</v>
      </c>
      <c r="C172" s="532" t="s">
        <v>317</v>
      </c>
      <c r="D172" s="532" t="s">
        <v>985</v>
      </c>
      <c r="E172" s="529">
        <f>E173</f>
        <v>0</v>
      </c>
      <c r="F172" s="443"/>
      <c r="G172" s="443"/>
      <c r="H172" s="443"/>
      <c r="I172" s="443"/>
      <c r="J172" s="529">
        <f>L172+O172</f>
        <v>2296400</v>
      </c>
      <c r="K172" s="443">
        <v>2296400</v>
      </c>
      <c r="L172" s="443"/>
      <c r="M172" s="443"/>
      <c r="N172" s="443"/>
      <c r="O172" s="534">
        <f>K172</f>
        <v>2296400</v>
      </c>
      <c r="P172" s="529">
        <f>E172+J172</f>
        <v>2296400</v>
      </c>
      <c r="R172" s="292"/>
    </row>
    <row r="173" spans="1:18" ht="136.5" thickTop="1" thickBot="1" x14ac:dyDescent="0.25">
      <c r="A173" s="466" t="s">
        <v>797</v>
      </c>
      <c r="B173" s="468" t="s">
        <v>734</v>
      </c>
      <c r="C173" s="468"/>
      <c r="D173" s="468" t="s">
        <v>732</v>
      </c>
      <c r="E173" s="467">
        <f>E174</f>
        <v>0</v>
      </c>
      <c r="F173" s="467">
        <f t="shared" si="166"/>
        <v>0</v>
      </c>
      <c r="G173" s="467">
        <f t="shared" si="166"/>
        <v>0</v>
      </c>
      <c r="H173" s="467">
        <f t="shared" si="166"/>
        <v>0</v>
      </c>
      <c r="I173" s="467">
        <f t="shared" si="166"/>
        <v>0</v>
      </c>
      <c r="J173" s="467">
        <f t="shared" si="166"/>
        <v>465000</v>
      </c>
      <c r="K173" s="467">
        <f t="shared" si="166"/>
        <v>0</v>
      </c>
      <c r="L173" s="467">
        <f t="shared" si="166"/>
        <v>465000</v>
      </c>
      <c r="M173" s="467">
        <f t="shared" si="166"/>
        <v>0</v>
      </c>
      <c r="N173" s="467">
        <f t="shared" si="166"/>
        <v>0</v>
      </c>
      <c r="O173" s="467">
        <f t="shared" si="166"/>
        <v>0</v>
      </c>
      <c r="P173" s="467">
        <f t="shared" si="166"/>
        <v>465000</v>
      </c>
      <c r="R173" s="292"/>
    </row>
    <row r="174" spans="1:18" ht="48" thickTop="1" thickBot="1" x14ac:dyDescent="0.25">
      <c r="A174" s="469" t="s">
        <v>796</v>
      </c>
      <c r="B174" s="469" t="s">
        <v>737</v>
      </c>
      <c r="C174" s="469"/>
      <c r="D174" s="481" t="s">
        <v>735</v>
      </c>
      <c r="E174" s="471">
        <f>E175</f>
        <v>0</v>
      </c>
      <c r="F174" s="471">
        <f t="shared" si="166"/>
        <v>0</v>
      </c>
      <c r="G174" s="471">
        <f t="shared" si="166"/>
        <v>0</v>
      </c>
      <c r="H174" s="471">
        <f t="shared" si="166"/>
        <v>0</v>
      </c>
      <c r="I174" s="471">
        <f t="shared" si="166"/>
        <v>0</v>
      </c>
      <c r="J174" s="471">
        <f t="shared" si="166"/>
        <v>465000</v>
      </c>
      <c r="K174" s="471">
        <f t="shared" si="166"/>
        <v>0</v>
      </c>
      <c r="L174" s="471">
        <f t="shared" si="166"/>
        <v>465000</v>
      </c>
      <c r="M174" s="471">
        <f t="shared" si="166"/>
        <v>0</v>
      </c>
      <c r="N174" s="471">
        <f t="shared" si="166"/>
        <v>0</v>
      </c>
      <c r="O174" s="471">
        <f t="shared" si="166"/>
        <v>0</v>
      </c>
      <c r="P174" s="471">
        <f t="shared" si="166"/>
        <v>465000</v>
      </c>
      <c r="R174" s="292"/>
    </row>
    <row r="175" spans="1:18" ht="409.6" thickTop="1" thickBot="1" x14ac:dyDescent="0.7">
      <c r="A175" s="915" t="s">
        <v>439</v>
      </c>
      <c r="B175" s="915" t="s">
        <v>352</v>
      </c>
      <c r="C175" s="915" t="s">
        <v>178</v>
      </c>
      <c r="D175" s="483" t="s">
        <v>457</v>
      </c>
      <c r="E175" s="922">
        <f t="shared" si="130"/>
        <v>0</v>
      </c>
      <c r="F175" s="920"/>
      <c r="G175" s="920"/>
      <c r="H175" s="920"/>
      <c r="I175" s="920"/>
      <c r="J175" s="922">
        <f t="shared" si="160"/>
        <v>465000</v>
      </c>
      <c r="K175" s="920"/>
      <c r="L175" s="920">
        <v>465000</v>
      </c>
      <c r="M175" s="920"/>
      <c r="N175" s="920"/>
      <c r="O175" s="918">
        <f t="shared" si="162"/>
        <v>0</v>
      </c>
      <c r="P175" s="919">
        <f t="shared" si="161"/>
        <v>465000</v>
      </c>
      <c r="R175" s="297"/>
    </row>
    <row r="176" spans="1:18" ht="184.5" thickTop="1" thickBot="1" x14ac:dyDescent="0.25">
      <c r="A176" s="928"/>
      <c r="B176" s="929"/>
      <c r="C176" s="928"/>
      <c r="D176" s="487" t="s">
        <v>458</v>
      </c>
      <c r="E176" s="928"/>
      <c r="F176" s="930"/>
      <c r="G176" s="930"/>
      <c r="H176" s="930"/>
      <c r="I176" s="930"/>
      <c r="J176" s="928"/>
      <c r="K176" s="928"/>
      <c r="L176" s="930"/>
      <c r="M176" s="930"/>
      <c r="N176" s="930"/>
      <c r="O176" s="931"/>
      <c r="P176" s="932"/>
      <c r="R176" s="297"/>
    </row>
    <row r="177" spans="1:18" ht="181.5" thickTop="1" thickBot="1" x14ac:dyDescent="0.25">
      <c r="A177" s="827">
        <v>1000000</v>
      </c>
      <c r="B177" s="827"/>
      <c r="C177" s="827"/>
      <c r="D177" s="828" t="s">
        <v>24</v>
      </c>
      <c r="E177" s="829">
        <f>E178</f>
        <v>145732895</v>
      </c>
      <c r="F177" s="830">
        <f t="shared" ref="F177:G177" si="167">F178</f>
        <v>145732895</v>
      </c>
      <c r="G177" s="830">
        <f t="shared" si="167"/>
        <v>103167225</v>
      </c>
      <c r="H177" s="830">
        <f>H178</f>
        <v>7734640</v>
      </c>
      <c r="I177" s="830">
        <f>I178</f>
        <v>0</v>
      </c>
      <c r="J177" s="829">
        <f>J178</f>
        <v>14379770</v>
      </c>
      <c r="K177" s="830">
        <f>K178</f>
        <v>4666920</v>
      </c>
      <c r="L177" s="830">
        <f>L178</f>
        <v>9603770</v>
      </c>
      <c r="M177" s="830">
        <f t="shared" ref="M177" si="168">M178</f>
        <v>7102670</v>
      </c>
      <c r="N177" s="830">
        <f>N178</f>
        <v>306880</v>
      </c>
      <c r="O177" s="829">
        <f>O178</f>
        <v>4776000</v>
      </c>
      <c r="P177" s="830">
        <f t="shared" ref="P177" si="169">P178</f>
        <v>160112665</v>
      </c>
    </row>
    <row r="178" spans="1:18" ht="181.5" thickTop="1" thickBot="1" x14ac:dyDescent="0.25">
      <c r="A178" s="831">
        <v>1010000</v>
      </c>
      <c r="B178" s="831"/>
      <c r="C178" s="831"/>
      <c r="D178" s="832" t="s">
        <v>41</v>
      </c>
      <c r="E178" s="833">
        <f>E179+E181+E195+E190</f>
        <v>145732895</v>
      </c>
      <c r="F178" s="833">
        <f>F179+F181+F195+F190</f>
        <v>145732895</v>
      </c>
      <c r="G178" s="833">
        <f>G179+G181+G195+G190</f>
        <v>103167225</v>
      </c>
      <c r="H178" s="833">
        <f>H179+H181+H195+H190</f>
        <v>7734640</v>
      </c>
      <c r="I178" s="833">
        <f>I179+I181+I195+I190</f>
        <v>0</v>
      </c>
      <c r="J178" s="833">
        <f t="shared" ref="J178:J189" si="170">L178+O178</f>
        <v>14379770</v>
      </c>
      <c r="K178" s="833">
        <f>K179+K181+K195+K190</f>
        <v>4666920</v>
      </c>
      <c r="L178" s="833">
        <f>L179+L181+L195+L190</f>
        <v>9603770</v>
      </c>
      <c r="M178" s="833">
        <f>M179+M181+M195+M190</f>
        <v>7102670</v>
      </c>
      <c r="N178" s="833">
        <f>N179+N181+N195+N190</f>
        <v>306880</v>
      </c>
      <c r="O178" s="833">
        <f>O179+O181+O195+O190</f>
        <v>4776000</v>
      </c>
      <c r="P178" s="833">
        <f t="shared" ref="P178:P189" si="171">E178+J178</f>
        <v>160112665</v>
      </c>
      <c r="Q178" s="627" t="b">
        <f>P178=P180+P182+P183+P184+P185+P188+P189+P197+P194+P193+P186</f>
        <v>1</v>
      </c>
      <c r="R178" s="292"/>
    </row>
    <row r="179" spans="1:18" ht="47.25" thickTop="1" thickBot="1" x14ac:dyDescent="0.25">
      <c r="A179" s="151" t="s">
        <v>798</v>
      </c>
      <c r="B179" s="151" t="s">
        <v>751</v>
      </c>
      <c r="C179" s="151"/>
      <c r="D179" s="151" t="s">
        <v>752</v>
      </c>
      <c r="E179" s="484">
        <f>E180</f>
        <v>78240350</v>
      </c>
      <c r="F179" s="484">
        <f t="shared" ref="F179:P179" si="172">F180</f>
        <v>78240350</v>
      </c>
      <c r="G179" s="484">
        <f t="shared" si="172"/>
        <v>59906300</v>
      </c>
      <c r="H179" s="484">
        <f t="shared" si="172"/>
        <v>4525245</v>
      </c>
      <c r="I179" s="484">
        <f t="shared" si="172"/>
        <v>0</v>
      </c>
      <c r="J179" s="484">
        <f t="shared" si="172"/>
        <v>8879540</v>
      </c>
      <c r="K179" s="484">
        <f t="shared" si="172"/>
        <v>0</v>
      </c>
      <c r="L179" s="484">
        <f t="shared" si="172"/>
        <v>8840540</v>
      </c>
      <c r="M179" s="484">
        <f t="shared" si="172"/>
        <v>6717330</v>
      </c>
      <c r="N179" s="484">
        <f t="shared" si="172"/>
        <v>234900</v>
      </c>
      <c r="O179" s="484">
        <f t="shared" si="172"/>
        <v>39000</v>
      </c>
      <c r="P179" s="484">
        <f t="shared" si="172"/>
        <v>87119890</v>
      </c>
      <c r="Q179" s="627"/>
      <c r="R179" s="292"/>
    </row>
    <row r="180" spans="1:18" ht="93" thickTop="1" thickBot="1" x14ac:dyDescent="0.25">
      <c r="A180" s="482" t="s">
        <v>678</v>
      </c>
      <c r="B180" s="482" t="s">
        <v>679</v>
      </c>
      <c r="C180" s="482" t="s">
        <v>193</v>
      </c>
      <c r="D180" s="482" t="s">
        <v>1239</v>
      </c>
      <c r="E180" s="484">
        <f>F180</f>
        <v>78240350</v>
      </c>
      <c r="F180" s="443">
        <v>78240350</v>
      </c>
      <c r="G180" s="443">
        <v>59906300</v>
      </c>
      <c r="H180" s="443">
        <f>(3878085+33910+419090+159070+35090)</f>
        <v>4525245</v>
      </c>
      <c r="I180" s="443"/>
      <c r="J180" s="484">
        <f t="shared" si="170"/>
        <v>8879540</v>
      </c>
      <c r="K180" s="443">
        <v>0</v>
      </c>
      <c r="L180" s="443">
        <v>8840540</v>
      </c>
      <c r="M180" s="443">
        <v>6717330</v>
      </c>
      <c r="N180" s="443">
        <v>234900</v>
      </c>
      <c r="O180" s="486">
        <f>(K180+39000)</f>
        <v>39000</v>
      </c>
      <c r="P180" s="484">
        <f t="shared" si="171"/>
        <v>87119890</v>
      </c>
      <c r="R180" s="292"/>
    </row>
    <row r="181" spans="1:18" s="252" customFormat="1" ht="47.25" thickTop="1" thickBot="1" x14ac:dyDescent="0.25">
      <c r="A181" s="151" t="s">
        <v>799</v>
      </c>
      <c r="B181" s="151" t="s">
        <v>800</v>
      </c>
      <c r="C181" s="151"/>
      <c r="D181" s="151" t="s">
        <v>801</v>
      </c>
      <c r="E181" s="484">
        <f>SUM(E182:E189)-E187</f>
        <v>66472685</v>
      </c>
      <c r="F181" s="484">
        <f t="shared" ref="F181:P181" si="173">SUM(F182:F189)-F187</f>
        <v>66472685</v>
      </c>
      <c r="G181" s="484">
        <f t="shared" si="173"/>
        <v>43260925</v>
      </c>
      <c r="H181" s="484">
        <f t="shared" si="173"/>
        <v>3209395</v>
      </c>
      <c r="I181" s="484">
        <f t="shared" si="173"/>
        <v>0</v>
      </c>
      <c r="J181" s="484">
        <f t="shared" si="173"/>
        <v>5486230</v>
      </c>
      <c r="K181" s="484">
        <f t="shared" si="173"/>
        <v>4652920</v>
      </c>
      <c r="L181" s="484">
        <f t="shared" si="173"/>
        <v>763230</v>
      </c>
      <c r="M181" s="484">
        <f t="shared" si="173"/>
        <v>385340</v>
      </c>
      <c r="N181" s="484">
        <f t="shared" si="173"/>
        <v>71980</v>
      </c>
      <c r="O181" s="484">
        <f t="shared" si="173"/>
        <v>4723000</v>
      </c>
      <c r="P181" s="484">
        <f t="shared" si="173"/>
        <v>71958915</v>
      </c>
      <c r="Q181" s="615"/>
      <c r="R181" s="297"/>
    </row>
    <row r="182" spans="1:18" ht="48" thickTop="1" thickBot="1" x14ac:dyDescent="0.25">
      <c r="A182" s="482" t="s">
        <v>179</v>
      </c>
      <c r="B182" s="482" t="s">
        <v>180</v>
      </c>
      <c r="C182" s="482" t="s">
        <v>182</v>
      </c>
      <c r="D182" s="482" t="s">
        <v>183</v>
      </c>
      <c r="E182" s="484">
        <f t="shared" ref="E182:E185" si="174">F182</f>
        <v>1100800</v>
      </c>
      <c r="F182" s="443">
        <v>1100800</v>
      </c>
      <c r="G182" s="443"/>
      <c r="H182" s="443"/>
      <c r="I182" s="443"/>
      <c r="J182" s="484">
        <f t="shared" si="170"/>
        <v>0</v>
      </c>
      <c r="K182" s="443"/>
      <c r="L182" s="443"/>
      <c r="M182" s="443"/>
      <c r="N182" s="443"/>
      <c r="O182" s="486">
        <f t="shared" ref="O182:O189" si="175">K182</f>
        <v>0</v>
      </c>
      <c r="P182" s="484">
        <f t="shared" si="171"/>
        <v>1100800</v>
      </c>
      <c r="R182" s="297"/>
    </row>
    <row r="183" spans="1:18" ht="93" thickTop="1" thickBot="1" x14ac:dyDescent="0.25">
      <c r="A183" s="482" t="s">
        <v>184</v>
      </c>
      <c r="B183" s="482" t="s">
        <v>185</v>
      </c>
      <c r="C183" s="482" t="s">
        <v>186</v>
      </c>
      <c r="D183" s="482" t="s">
        <v>187</v>
      </c>
      <c r="E183" s="484">
        <f t="shared" si="174"/>
        <v>15273555</v>
      </c>
      <c r="F183" s="443">
        <v>15273555</v>
      </c>
      <c r="G183" s="443">
        <v>11168800</v>
      </c>
      <c r="H183" s="443">
        <f>(893620+10630+122500+36000+23230)</f>
        <v>1085980</v>
      </c>
      <c r="I183" s="443"/>
      <c r="J183" s="484">
        <f t="shared" si="170"/>
        <v>120000</v>
      </c>
      <c r="K183" s="443">
        <v>0</v>
      </c>
      <c r="L183" s="443">
        <v>120000</v>
      </c>
      <c r="M183" s="443">
        <v>17940</v>
      </c>
      <c r="N183" s="443">
        <v>19880</v>
      </c>
      <c r="O183" s="486">
        <f t="shared" si="175"/>
        <v>0</v>
      </c>
      <c r="P183" s="484">
        <f t="shared" si="171"/>
        <v>15393555</v>
      </c>
      <c r="R183" s="292"/>
    </row>
    <row r="184" spans="1:18" ht="93" thickTop="1" thickBot="1" x14ac:dyDescent="0.25">
      <c r="A184" s="482" t="s">
        <v>188</v>
      </c>
      <c r="B184" s="482" t="s">
        <v>189</v>
      </c>
      <c r="C184" s="482" t="s">
        <v>186</v>
      </c>
      <c r="D184" s="482" t="s">
        <v>481</v>
      </c>
      <c r="E184" s="484">
        <f t="shared" si="174"/>
        <v>2274910</v>
      </c>
      <c r="F184" s="443">
        <v>2274910</v>
      </c>
      <c r="G184" s="443">
        <v>1467815</v>
      </c>
      <c r="H184" s="443">
        <f>(339200+5150+95015+5150)</f>
        <v>444515</v>
      </c>
      <c r="I184" s="443"/>
      <c r="J184" s="484">
        <f t="shared" si="170"/>
        <v>4738920</v>
      </c>
      <c r="K184" s="443">
        <v>4652920</v>
      </c>
      <c r="L184" s="443">
        <v>86000</v>
      </c>
      <c r="M184" s="443">
        <v>14100</v>
      </c>
      <c r="N184" s="443">
        <v>7300</v>
      </c>
      <c r="O184" s="486">
        <f t="shared" si="175"/>
        <v>4652920</v>
      </c>
      <c r="P184" s="484">
        <f t="shared" si="171"/>
        <v>7013830</v>
      </c>
      <c r="R184" s="292"/>
    </row>
    <row r="185" spans="1:18" ht="184.5" thickTop="1" thickBot="1" x14ac:dyDescent="0.25">
      <c r="A185" s="482" t="s">
        <v>190</v>
      </c>
      <c r="B185" s="482" t="s">
        <v>181</v>
      </c>
      <c r="C185" s="482" t="s">
        <v>191</v>
      </c>
      <c r="D185" s="482" t="s">
        <v>192</v>
      </c>
      <c r="E185" s="484">
        <f t="shared" si="174"/>
        <v>16744655</v>
      </c>
      <c r="F185" s="443">
        <v>16744655</v>
      </c>
      <c r="G185" s="443">
        <v>11922920</v>
      </c>
      <c r="H185" s="443">
        <f>946300+11800+502850+99600+41080</f>
        <v>1601630</v>
      </c>
      <c r="I185" s="443"/>
      <c r="J185" s="484">
        <f t="shared" si="170"/>
        <v>481300</v>
      </c>
      <c r="K185" s="443">
        <v>0</v>
      </c>
      <c r="L185" s="443">
        <v>477820</v>
      </c>
      <c r="M185" s="443">
        <v>342900</v>
      </c>
      <c r="N185" s="443">
        <v>44800</v>
      </c>
      <c r="O185" s="486">
        <f>(K185+3480)</f>
        <v>3480</v>
      </c>
      <c r="P185" s="484">
        <f t="shared" si="171"/>
        <v>17225955</v>
      </c>
      <c r="R185" s="292"/>
    </row>
    <row r="186" spans="1:18" s="778" customFormat="1" ht="93" thickTop="1" thickBot="1" x14ac:dyDescent="0.25">
      <c r="A186" s="785" t="s">
        <v>1364</v>
      </c>
      <c r="B186" s="785" t="s">
        <v>1365</v>
      </c>
      <c r="C186" s="785" t="s">
        <v>1367</v>
      </c>
      <c r="D186" s="785" t="s">
        <v>1366</v>
      </c>
      <c r="E186" s="788">
        <f t="shared" ref="E186" si="176">F186</f>
        <v>334365</v>
      </c>
      <c r="F186" s="443">
        <v>334365</v>
      </c>
      <c r="G186" s="443"/>
      <c r="H186" s="443"/>
      <c r="I186" s="443"/>
      <c r="J186" s="788">
        <f t="shared" ref="J186" si="177">L186+O186</f>
        <v>0</v>
      </c>
      <c r="K186" s="443"/>
      <c r="L186" s="443"/>
      <c r="M186" s="443"/>
      <c r="N186" s="443"/>
      <c r="O186" s="786">
        <f>(K186)</f>
        <v>0</v>
      </c>
      <c r="P186" s="788">
        <f t="shared" ref="P186" si="178">E186+J186</f>
        <v>334365</v>
      </c>
      <c r="Q186" s="613"/>
      <c r="R186" s="784"/>
    </row>
    <row r="187" spans="1:18" ht="93" thickTop="1" thickBot="1" x14ac:dyDescent="0.25">
      <c r="A187" s="488" t="s">
        <v>802</v>
      </c>
      <c r="B187" s="488" t="s">
        <v>803</v>
      </c>
      <c r="C187" s="488"/>
      <c r="D187" s="488" t="s">
        <v>804</v>
      </c>
      <c r="E187" s="471">
        <f>SUM(E188:E189)</f>
        <v>30744400</v>
      </c>
      <c r="F187" s="471">
        <f t="shared" ref="F187:P187" si="179">SUM(F188:F189)</f>
        <v>30744400</v>
      </c>
      <c r="G187" s="471">
        <f t="shared" si="179"/>
        <v>18701390</v>
      </c>
      <c r="H187" s="471">
        <f t="shared" si="179"/>
        <v>77270</v>
      </c>
      <c r="I187" s="471">
        <f t="shared" si="179"/>
        <v>0</v>
      </c>
      <c r="J187" s="471">
        <f t="shared" si="179"/>
        <v>146010</v>
      </c>
      <c r="K187" s="471">
        <f t="shared" si="179"/>
        <v>0</v>
      </c>
      <c r="L187" s="471">
        <f t="shared" si="179"/>
        <v>79410</v>
      </c>
      <c r="M187" s="471">
        <f t="shared" si="179"/>
        <v>10400</v>
      </c>
      <c r="N187" s="471">
        <f t="shared" si="179"/>
        <v>0</v>
      </c>
      <c r="O187" s="471">
        <f t="shared" si="179"/>
        <v>66600</v>
      </c>
      <c r="P187" s="471">
        <f t="shared" si="179"/>
        <v>30890410</v>
      </c>
      <c r="R187" s="292"/>
    </row>
    <row r="188" spans="1:18" ht="138.75" thickTop="1" thickBot="1" x14ac:dyDescent="0.25">
      <c r="A188" s="482" t="s">
        <v>347</v>
      </c>
      <c r="B188" s="482" t="s">
        <v>348</v>
      </c>
      <c r="C188" s="482" t="s">
        <v>194</v>
      </c>
      <c r="D188" s="482" t="s">
        <v>482</v>
      </c>
      <c r="E188" s="484">
        <f>F188</f>
        <v>23987945</v>
      </c>
      <c r="F188" s="443">
        <v>23987945</v>
      </c>
      <c r="G188" s="443">
        <v>18701390</v>
      </c>
      <c r="H188" s="443">
        <f>(70300+6600+370)</f>
        <v>77270</v>
      </c>
      <c r="I188" s="443"/>
      <c r="J188" s="484">
        <f t="shared" si="170"/>
        <v>146010</v>
      </c>
      <c r="K188" s="443">
        <v>0</v>
      </c>
      <c r="L188" s="443">
        <v>79410</v>
      </c>
      <c r="M188" s="443">
        <v>10400</v>
      </c>
      <c r="N188" s="443"/>
      <c r="O188" s="486">
        <f>(K188+66600)</f>
        <v>66600</v>
      </c>
      <c r="P188" s="484">
        <f t="shared" si="171"/>
        <v>24133955</v>
      </c>
      <c r="R188" s="292"/>
    </row>
    <row r="189" spans="1:18" ht="93" thickTop="1" thickBot="1" x14ac:dyDescent="0.25">
      <c r="A189" s="482" t="s">
        <v>349</v>
      </c>
      <c r="B189" s="482" t="s">
        <v>350</v>
      </c>
      <c r="C189" s="482" t="s">
        <v>194</v>
      </c>
      <c r="D189" s="482" t="s">
        <v>483</v>
      </c>
      <c r="E189" s="484">
        <f>F189</f>
        <v>6756455</v>
      </c>
      <c r="F189" s="443">
        <v>6756455</v>
      </c>
      <c r="G189" s="443"/>
      <c r="H189" s="443"/>
      <c r="I189" s="443"/>
      <c r="J189" s="484">
        <f t="shared" si="170"/>
        <v>0</v>
      </c>
      <c r="K189" s="443"/>
      <c r="L189" s="443"/>
      <c r="M189" s="443"/>
      <c r="N189" s="443"/>
      <c r="O189" s="486">
        <f t="shared" si="175"/>
        <v>0</v>
      </c>
      <c r="P189" s="484">
        <f t="shared" si="171"/>
        <v>6756455</v>
      </c>
      <c r="R189" s="297"/>
    </row>
    <row r="190" spans="1:18" ht="47.25" thickTop="1" thickBot="1" x14ac:dyDescent="0.25">
      <c r="A190" s="151" t="s">
        <v>973</v>
      </c>
      <c r="B190" s="465" t="s">
        <v>792</v>
      </c>
      <c r="C190" s="465"/>
      <c r="D190" s="465" t="s">
        <v>793</v>
      </c>
      <c r="E190" s="484">
        <f>SUM(E191)</f>
        <v>1019860</v>
      </c>
      <c r="F190" s="484">
        <f t="shared" ref="F190:P190" si="180">SUM(F191)</f>
        <v>1019860</v>
      </c>
      <c r="G190" s="484">
        <f t="shared" si="180"/>
        <v>0</v>
      </c>
      <c r="H190" s="484">
        <f t="shared" si="180"/>
        <v>0</v>
      </c>
      <c r="I190" s="484">
        <f t="shared" si="180"/>
        <v>0</v>
      </c>
      <c r="J190" s="484">
        <f t="shared" si="180"/>
        <v>14000</v>
      </c>
      <c r="K190" s="484">
        <f t="shared" si="180"/>
        <v>14000</v>
      </c>
      <c r="L190" s="484">
        <f t="shared" si="180"/>
        <v>0</v>
      </c>
      <c r="M190" s="484">
        <f t="shared" si="180"/>
        <v>0</v>
      </c>
      <c r="N190" s="484">
        <f t="shared" si="180"/>
        <v>0</v>
      </c>
      <c r="O190" s="484">
        <f t="shared" si="180"/>
        <v>14000</v>
      </c>
      <c r="P190" s="484">
        <f t="shared" si="180"/>
        <v>1033860</v>
      </c>
      <c r="R190" s="297"/>
    </row>
    <row r="191" spans="1:18" ht="136.5" thickTop="1" thickBot="1" x14ac:dyDescent="0.25">
      <c r="A191" s="466" t="s">
        <v>974</v>
      </c>
      <c r="B191" s="466" t="s">
        <v>734</v>
      </c>
      <c r="C191" s="466"/>
      <c r="D191" s="466" t="s">
        <v>732</v>
      </c>
      <c r="E191" s="467">
        <f>E192+E194</f>
        <v>1019860</v>
      </c>
      <c r="F191" s="467">
        <f t="shared" ref="F191:I191" si="181">F192+F194</f>
        <v>1019860</v>
      </c>
      <c r="G191" s="467">
        <f t="shared" si="181"/>
        <v>0</v>
      </c>
      <c r="H191" s="467">
        <f t="shared" si="181"/>
        <v>0</v>
      </c>
      <c r="I191" s="467">
        <f t="shared" si="181"/>
        <v>0</v>
      </c>
      <c r="J191" s="467">
        <f t="shared" ref="J191" si="182">J192+J194</f>
        <v>14000</v>
      </c>
      <c r="K191" s="467">
        <f t="shared" ref="K191" si="183">K192+K194</f>
        <v>14000</v>
      </c>
      <c r="L191" s="467">
        <f t="shared" ref="L191" si="184">L192+L194</f>
        <v>0</v>
      </c>
      <c r="M191" s="467">
        <f t="shared" ref="M191" si="185">M192+M194</f>
        <v>0</v>
      </c>
      <c r="N191" s="467">
        <f t="shared" ref="N191" si="186">N192+N194</f>
        <v>0</v>
      </c>
      <c r="O191" s="467">
        <f t="shared" ref="O191" si="187">O192+O194</f>
        <v>14000</v>
      </c>
      <c r="P191" s="467">
        <f>P192+P194</f>
        <v>1033860</v>
      </c>
      <c r="R191" s="297"/>
    </row>
    <row r="192" spans="1:18" ht="93" thickTop="1" thickBot="1" x14ac:dyDescent="0.25">
      <c r="A192" s="488" t="s">
        <v>1114</v>
      </c>
      <c r="B192" s="488" t="s">
        <v>1115</v>
      </c>
      <c r="C192" s="488"/>
      <c r="D192" s="488" t="s">
        <v>1113</v>
      </c>
      <c r="E192" s="471">
        <f>E193</f>
        <v>1019860</v>
      </c>
      <c r="F192" s="471">
        <f t="shared" ref="F192:P192" si="188">F193</f>
        <v>1019860</v>
      </c>
      <c r="G192" s="471">
        <f t="shared" si="188"/>
        <v>0</v>
      </c>
      <c r="H192" s="471">
        <f t="shared" si="188"/>
        <v>0</v>
      </c>
      <c r="I192" s="471">
        <f t="shared" si="188"/>
        <v>0</v>
      </c>
      <c r="J192" s="471">
        <f t="shared" si="188"/>
        <v>0</v>
      </c>
      <c r="K192" s="471">
        <f t="shared" si="188"/>
        <v>0</v>
      </c>
      <c r="L192" s="471">
        <f t="shared" si="188"/>
        <v>0</v>
      </c>
      <c r="M192" s="471">
        <f t="shared" si="188"/>
        <v>0</v>
      </c>
      <c r="N192" s="471">
        <f t="shared" si="188"/>
        <v>0</v>
      </c>
      <c r="O192" s="471">
        <f t="shared" si="188"/>
        <v>0</v>
      </c>
      <c r="P192" s="471">
        <f t="shared" si="188"/>
        <v>1019860</v>
      </c>
      <c r="R192" s="297"/>
    </row>
    <row r="193" spans="1:18" ht="153" customHeight="1" thickTop="1" thickBot="1" x14ac:dyDescent="0.25">
      <c r="A193" s="482" t="s">
        <v>1117</v>
      </c>
      <c r="B193" s="482" t="s">
        <v>1118</v>
      </c>
      <c r="C193" s="482" t="s">
        <v>225</v>
      </c>
      <c r="D193" s="482" t="s">
        <v>1116</v>
      </c>
      <c r="E193" s="484">
        <f t="shared" ref="E193" si="189">F193</f>
        <v>1019860</v>
      </c>
      <c r="F193" s="443">
        <v>1019860</v>
      </c>
      <c r="G193" s="443"/>
      <c r="H193" s="443"/>
      <c r="I193" s="443"/>
      <c r="J193" s="484">
        <f>L193+O193</f>
        <v>0</v>
      </c>
      <c r="K193" s="443"/>
      <c r="L193" s="443"/>
      <c r="M193" s="443"/>
      <c r="N193" s="443"/>
      <c r="O193" s="486">
        <f>K193</f>
        <v>0</v>
      </c>
      <c r="P193" s="484">
        <f>E193+J193</f>
        <v>1019860</v>
      </c>
      <c r="R193" s="297"/>
    </row>
    <row r="194" spans="1:18" ht="93" thickTop="1" thickBot="1" x14ac:dyDescent="0.25">
      <c r="A194" s="482" t="s">
        <v>975</v>
      </c>
      <c r="B194" s="482" t="s">
        <v>209</v>
      </c>
      <c r="C194" s="482" t="s">
        <v>178</v>
      </c>
      <c r="D194" s="482" t="s">
        <v>36</v>
      </c>
      <c r="E194" s="484">
        <f t="shared" ref="E194" si="190">F194</f>
        <v>0</v>
      </c>
      <c r="F194" s="443"/>
      <c r="G194" s="443"/>
      <c r="H194" s="443"/>
      <c r="I194" s="443"/>
      <c r="J194" s="484">
        <f t="shared" ref="J194" si="191">L194+O194</f>
        <v>14000</v>
      </c>
      <c r="K194" s="443">
        <v>14000</v>
      </c>
      <c r="L194" s="443"/>
      <c r="M194" s="443"/>
      <c r="N194" s="443"/>
      <c r="O194" s="486">
        <f t="shared" ref="O194" si="192">K194</f>
        <v>14000</v>
      </c>
      <c r="P194" s="484">
        <f t="shared" ref="P194" si="193">E194+J194</f>
        <v>14000</v>
      </c>
      <c r="R194" s="292"/>
    </row>
    <row r="195" spans="1:18" ht="47.25" hidden="1" thickTop="1" thickBot="1" x14ac:dyDescent="0.25">
      <c r="A195" s="250" t="s">
        <v>805</v>
      </c>
      <c r="B195" s="250" t="s">
        <v>745</v>
      </c>
      <c r="C195" s="250"/>
      <c r="D195" s="250" t="s">
        <v>746</v>
      </c>
      <c r="E195" s="256">
        <f>E196</f>
        <v>0</v>
      </c>
      <c r="F195" s="256">
        <f t="shared" ref="F195:P196" si="194">F196</f>
        <v>0</v>
      </c>
      <c r="G195" s="256">
        <f t="shared" si="194"/>
        <v>0</v>
      </c>
      <c r="H195" s="256">
        <f t="shared" si="194"/>
        <v>0</v>
      </c>
      <c r="I195" s="256">
        <f t="shared" si="194"/>
        <v>0</v>
      </c>
      <c r="J195" s="256">
        <f t="shared" si="194"/>
        <v>0</v>
      </c>
      <c r="K195" s="256">
        <f t="shared" si="194"/>
        <v>0</v>
      </c>
      <c r="L195" s="256">
        <f t="shared" si="194"/>
        <v>0</v>
      </c>
      <c r="M195" s="256">
        <f t="shared" si="194"/>
        <v>0</v>
      </c>
      <c r="N195" s="256">
        <f t="shared" si="194"/>
        <v>0</v>
      </c>
      <c r="O195" s="256">
        <f t="shared" si="194"/>
        <v>0</v>
      </c>
      <c r="P195" s="256">
        <f t="shared" si="194"/>
        <v>0</v>
      </c>
      <c r="R195" s="297"/>
    </row>
    <row r="196" spans="1:18" ht="271.5" hidden="1" thickTop="1" thickBot="1" x14ac:dyDescent="0.25">
      <c r="A196" s="253" t="s">
        <v>806</v>
      </c>
      <c r="B196" s="253" t="s">
        <v>748</v>
      </c>
      <c r="C196" s="253"/>
      <c r="D196" s="253" t="s">
        <v>749</v>
      </c>
      <c r="E196" s="270">
        <f>E197</f>
        <v>0</v>
      </c>
      <c r="F196" s="270">
        <f t="shared" si="194"/>
        <v>0</v>
      </c>
      <c r="G196" s="270">
        <f t="shared" si="194"/>
        <v>0</v>
      </c>
      <c r="H196" s="270">
        <f t="shared" si="194"/>
        <v>0</v>
      </c>
      <c r="I196" s="270">
        <f t="shared" si="194"/>
        <v>0</v>
      </c>
      <c r="J196" s="270">
        <f t="shared" si="194"/>
        <v>0</v>
      </c>
      <c r="K196" s="270">
        <f t="shared" si="194"/>
        <v>0</v>
      </c>
      <c r="L196" s="270">
        <f t="shared" si="194"/>
        <v>0</v>
      </c>
      <c r="M196" s="270">
        <f t="shared" si="194"/>
        <v>0</v>
      </c>
      <c r="N196" s="270">
        <f t="shared" si="194"/>
        <v>0</v>
      </c>
      <c r="O196" s="270">
        <f t="shared" si="194"/>
        <v>0</v>
      </c>
      <c r="P196" s="270">
        <f t="shared" si="194"/>
        <v>0</v>
      </c>
      <c r="R196" s="297"/>
    </row>
    <row r="197" spans="1:18" ht="93" hidden="1" thickTop="1" thickBot="1" x14ac:dyDescent="0.25">
      <c r="A197" s="259" t="s">
        <v>618</v>
      </c>
      <c r="B197" s="259" t="s">
        <v>377</v>
      </c>
      <c r="C197" s="259" t="s">
        <v>45</v>
      </c>
      <c r="D197" s="259" t="s">
        <v>378</v>
      </c>
      <c r="E197" s="256">
        <f t="shared" ref="E197" si="195">F197</f>
        <v>0</v>
      </c>
      <c r="F197" s="278">
        <v>0</v>
      </c>
      <c r="G197" s="278"/>
      <c r="H197" s="278"/>
      <c r="I197" s="278"/>
      <c r="J197" s="256">
        <f>L197+O197</f>
        <v>0</v>
      </c>
      <c r="K197" s="278"/>
      <c r="L197" s="278"/>
      <c r="M197" s="278"/>
      <c r="N197" s="278"/>
      <c r="O197" s="262">
        <f>K197</f>
        <v>0</v>
      </c>
      <c r="P197" s="256">
        <f>E197+J197</f>
        <v>0</v>
      </c>
      <c r="R197" s="297"/>
    </row>
    <row r="198" spans="1:18" ht="136.5" thickTop="1" thickBot="1" x14ac:dyDescent="0.25">
      <c r="A198" s="827" t="s">
        <v>22</v>
      </c>
      <c r="B198" s="827"/>
      <c r="C198" s="827"/>
      <c r="D198" s="828" t="s">
        <v>23</v>
      </c>
      <c r="E198" s="829">
        <f>E199</f>
        <v>106528463</v>
      </c>
      <c r="F198" s="830">
        <f t="shared" ref="F198:G198" si="196">F199</f>
        <v>106528463</v>
      </c>
      <c r="G198" s="830">
        <f t="shared" si="196"/>
        <v>46439355</v>
      </c>
      <c r="H198" s="830">
        <f>H199</f>
        <v>4647671</v>
      </c>
      <c r="I198" s="830">
        <f t="shared" ref="I198" si="197">I199</f>
        <v>0</v>
      </c>
      <c r="J198" s="829">
        <f>J199</f>
        <v>9230456</v>
      </c>
      <c r="K198" s="830">
        <f>K199</f>
        <v>7097437</v>
      </c>
      <c r="L198" s="830">
        <f>L199</f>
        <v>2053849</v>
      </c>
      <c r="M198" s="830">
        <f t="shared" ref="M198" si="198">M199</f>
        <v>1042780</v>
      </c>
      <c r="N198" s="830">
        <f>N199</f>
        <v>373828</v>
      </c>
      <c r="O198" s="829">
        <f>O199</f>
        <v>7176607</v>
      </c>
      <c r="P198" s="830">
        <f t="shared" ref="P198" si="199">P199</f>
        <v>115758919</v>
      </c>
    </row>
    <row r="199" spans="1:18" ht="178.5" customHeight="1" thickTop="1" thickBot="1" x14ac:dyDescent="0.25">
      <c r="A199" s="831" t="s">
        <v>21</v>
      </c>
      <c r="B199" s="831"/>
      <c r="C199" s="831"/>
      <c r="D199" s="832" t="s">
        <v>37</v>
      </c>
      <c r="E199" s="833">
        <f>E200+E206+E219+E222+E228</f>
        <v>106528463</v>
      </c>
      <c r="F199" s="833">
        <f t="shared" ref="F199:I199" si="200">F200+F206+F219+F222+F228</f>
        <v>106528463</v>
      </c>
      <c r="G199" s="833">
        <f t="shared" si="200"/>
        <v>46439355</v>
      </c>
      <c r="H199" s="833">
        <f t="shared" si="200"/>
        <v>4647671</v>
      </c>
      <c r="I199" s="833">
        <f t="shared" si="200"/>
        <v>0</v>
      </c>
      <c r="J199" s="833">
        <f>L199+O199</f>
        <v>9230456</v>
      </c>
      <c r="K199" s="833">
        <f t="shared" ref="K199" si="201">K200+K206+K219+K222+K228</f>
        <v>7097437</v>
      </c>
      <c r="L199" s="833">
        <f t="shared" ref="L199" si="202">L200+L206+L219+L222+L228</f>
        <v>2053849</v>
      </c>
      <c r="M199" s="833">
        <f t="shared" ref="M199" si="203">M200+M206+M219+M222+M228</f>
        <v>1042780</v>
      </c>
      <c r="N199" s="833">
        <f t="shared" ref="N199" si="204">N200+N206+N219+N222+N228</f>
        <v>373828</v>
      </c>
      <c r="O199" s="833">
        <f t="shared" ref="O199" si="205">O200+O206+O219+O222+O228</f>
        <v>7176607</v>
      </c>
      <c r="P199" s="833">
        <f>E199+J199</f>
        <v>115758919</v>
      </c>
      <c r="Q199" s="627" t="b">
        <f>P199=P202+P204+P205+P208+P209+P211+P213+P214+P216+P217+P218+P221+P227+P225+P230</f>
        <v>1</v>
      </c>
      <c r="R199" s="292"/>
    </row>
    <row r="200" spans="1:18" ht="91.5" thickTop="1" thickBot="1" x14ac:dyDescent="0.25">
      <c r="A200" s="151" t="s">
        <v>807</v>
      </c>
      <c r="B200" s="151" t="s">
        <v>754</v>
      </c>
      <c r="C200" s="151"/>
      <c r="D200" s="151" t="s">
        <v>755</v>
      </c>
      <c r="E200" s="575">
        <f>SUM(E201:E205)-E201-E203</f>
        <v>13001319</v>
      </c>
      <c r="F200" s="575">
        <f t="shared" ref="F200:P200" si="206">SUM(F201:F205)-F201-F203</f>
        <v>13001319</v>
      </c>
      <c r="G200" s="575">
        <f t="shared" si="206"/>
        <v>4391065</v>
      </c>
      <c r="H200" s="575">
        <f t="shared" si="206"/>
        <v>881110</v>
      </c>
      <c r="I200" s="575">
        <f t="shared" si="206"/>
        <v>0</v>
      </c>
      <c r="J200" s="575">
        <f t="shared" si="206"/>
        <v>903993</v>
      </c>
      <c r="K200" s="575">
        <f t="shared" si="206"/>
        <v>537693</v>
      </c>
      <c r="L200" s="575">
        <f t="shared" si="206"/>
        <v>366300</v>
      </c>
      <c r="M200" s="575">
        <f t="shared" si="206"/>
        <v>180000</v>
      </c>
      <c r="N200" s="575">
        <f t="shared" si="206"/>
        <v>108000</v>
      </c>
      <c r="O200" s="575">
        <f t="shared" si="206"/>
        <v>537693</v>
      </c>
      <c r="P200" s="575">
        <f t="shared" si="206"/>
        <v>13905312</v>
      </c>
      <c r="Q200" s="627"/>
      <c r="R200" s="292"/>
    </row>
    <row r="201" spans="1:18" s="272" customFormat="1" ht="138.75" hidden="1" thickTop="1" thickBot="1" x14ac:dyDescent="0.25">
      <c r="A201" s="488" t="s">
        <v>808</v>
      </c>
      <c r="B201" s="488" t="s">
        <v>809</v>
      </c>
      <c r="C201" s="488"/>
      <c r="D201" s="488" t="s">
        <v>810</v>
      </c>
      <c r="E201" s="576">
        <f>E202</f>
        <v>0</v>
      </c>
      <c r="F201" s="576">
        <f t="shared" ref="F201:P201" si="207">F202</f>
        <v>0</v>
      </c>
      <c r="G201" s="576">
        <f t="shared" si="207"/>
        <v>0</v>
      </c>
      <c r="H201" s="576">
        <f t="shared" si="207"/>
        <v>0</v>
      </c>
      <c r="I201" s="576">
        <f t="shared" si="207"/>
        <v>0</v>
      </c>
      <c r="J201" s="576">
        <f t="shared" si="207"/>
        <v>0</v>
      </c>
      <c r="K201" s="576">
        <f t="shared" si="207"/>
        <v>0</v>
      </c>
      <c r="L201" s="576">
        <f t="shared" si="207"/>
        <v>0</v>
      </c>
      <c r="M201" s="576">
        <f t="shared" si="207"/>
        <v>0</v>
      </c>
      <c r="N201" s="576">
        <f t="shared" si="207"/>
        <v>0</v>
      </c>
      <c r="O201" s="576">
        <f t="shared" si="207"/>
        <v>0</v>
      </c>
      <c r="P201" s="576">
        <f t="shared" si="207"/>
        <v>0</v>
      </c>
      <c r="Q201" s="629"/>
      <c r="R201" s="302"/>
    </row>
    <row r="202" spans="1:18" ht="138.75" hidden="1" thickTop="1" thickBot="1" x14ac:dyDescent="0.25">
      <c r="A202" s="532" t="s">
        <v>195</v>
      </c>
      <c r="B202" s="532" t="s">
        <v>196</v>
      </c>
      <c r="C202" s="532" t="s">
        <v>197</v>
      </c>
      <c r="D202" s="532" t="s">
        <v>680</v>
      </c>
      <c r="E202" s="445">
        <f t="shared" ref="E202:E217" si="208">F202</f>
        <v>0</v>
      </c>
      <c r="F202" s="446">
        <f>(6040461)-6040461</f>
        <v>0</v>
      </c>
      <c r="G202" s="446">
        <f>(4559615)-4559615</f>
        <v>0</v>
      </c>
      <c r="H202" s="446">
        <f>(96665+5295+31600+3840)-137400</f>
        <v>0</v>
      </c>
      <c r="I202" s="446"/>
      <c r="J202" s="529">
        <f t="shared" ref="J202:J227" si="209">L202+O202</f>
        <v>0</v>
      </c>
      <c r="K202" s="446"/>
      <c r="L202" s="458"/>
      <c r="M202" s="458"/>
      <c r="N202" s="458"/>
      <c r="O202" s="534">
        <f t="shared" ref="O202:O227" si="210">K202</f>
        <v>0</v>
      </c>
      <c r="P202" s="529">
        <f>+J202+E202</f>
        <v>0</v>
      </c>
      <c r="Q202" s="630"/>
      <c r="R202" s="297"/>
    </row>
    <row r="203" spans="1:18" s="272" customFormat="1" ht="93" thickTop="1" thickBot="1" x14ac:dyDescent="0.25">
      <c r="A203" s="488" t="s">
        <v>811</v>
      </c>
      <c r="B203" s="488" t="s">
        <v>812</v>
      </c>
      <c r="C203" s="488"/>
      <c r="D203" s="488" t="s">
        <v>813</v>
      </c>
      <c r="E203" s="489">
        <f>SUM(E204:E205)</f>
        <v>13001319</v>
      </c>
      <c r="F203" s="489">
        <f t="shared" ref="F203:P203" si="211">SUM(F204:F205)</f>
        <v>13001319</v>
      </c>
      <c r="G203" s="489">
        <f t="shared" si="211"/>
        <v>4391065</v>
      </c>
      <c r="H203" s="489">
        <f t="shared" si="211"/>
        <v>881110</v>
      </c>
      <c r="I203" s="489">
        <f t="shared" si="211"/>
        <v>0</v>
      </c>
      <c r="J203" s="489">
        <f t="shared" si="211"/>
        <v>903993</v>
      </c>
      <c r="K203" s="489">
        <f t="shared" si="211"/>
        <v>537693</v>
      </c>
      <c r="L203" s="489">
        <f t="shared" si="211"/>
        <v>366300</v>
      </c>
      <c r="M203" s="489">
        <f t="shared" si="211"/>
        <v>180000</v>
      </c>
      <c r="N203" s="489">
        <f t="shared" si="211"/>
        <v>108000</v>
      </c>
      <c r="O203" s="489">
        <f t="shared" si="211"/>
        <v>537693</v>
      </c>
      <c r="P203" s="489">
        <f t="shared" si="211"/>
        <v>13905312</v>
      </c>
      <c r="Q203" s="631"/>
      <c r="R203" s="298"/>
    </row>
    <row r="204" spans="1:18" ht="93" thickTop="1" thickBot="1" x14ac:dyDescent="0.25">
      <c r="A204" s="532" t="s">
        <v>201</v>
      </c>
      <c r="B204" s="532" t="s">
        <v>202</v>
      </c>
      <c r="C204" s="532" t="s">
        <v>197</v>
      </c>
      <c r="D204" s="532" t="s">
        <v>10</v>
      </c>
      <c r="E204" s="445">
        <f t="shared" si="208"/>
        <v>4920329</v>
      </c>
      <c r="F204" s="446">
        <v>4920329</v>
      </c>
      <c r="G204" s="446">
        <v>2954350</v>
      </c>
      <c r="H204" s="446">
        <f>(567760+5370+142130+2090)</f>
        <v>717350</v>
      </c>
      <c r="I204" s="446"/>
      <c r="J204" s="529">
        <f t="shared" si="209"/>
        <v>903993</v>
      </c>
      <c r="K204" s="446">
        <f>(537693)</f>
        <v>537693</v>
      </c>
      <c r="L204" s="458">
        <v>366300</v>
      </c>
      <c r="M204" s="458">
        <v>180000</v>
      </c>
      <c r="N204" s="458">
        <f>(95000)+13000</f>
        <v>108000</v>
      </c>
      <c r="O204" s="534">
        <f>K204</f>
        <v>537693</v>
      </c>
      <c r="P204" s="529">
        <f t="shared" ref="P204:P227" si="212">E204+J204</f>
        <v>5824322</v>
      </c>
      <c r="R204" s="292"/>
    </row>
    <row r="205" spans="1:18" ht="93" thickTop="1" thickBot="1" x14ac:dyDescent="0.25">
      <c r="A205" s="532" t="s">
        <v>365</v>
      </c>
      <c r="B205" s="532" t="s">
        <v>366</v>
      </c>
      <c r="C205" s="532" t="s">
        <v>197</v>
      </c>
      <c r="D205" s="532" t="s">
        <v>367</v>
      </c>
      <c r="E205" s="445">
        <f t="shared" si="208"/>
        <v>8080990</v>
      </c>
      <c r="F205" s="446">
        <v>8080990</v>
      </c>
      <c r="G205" s="446">
        <v>1436715</v>
      </c>
      <c r="H205" s="446">
        <f>(99760+4560+57520+1920)</f>
        <v>163760</v>
      </c>
      <c r="I205" s="446"/>
      <c r="J205" s="529">
        <f t="shared" si="209"/>
        <v>0</v>
      </c>
      <c r="K205" s="446"/>
      <c r="L205" s="458"/>
      <c r="M205" s="458"/>
      <c r="N205" s="458"/>
      <c r="O205" s="534">
        <f t="shared" si="210"/>
        <v>0</v>
      </c>
      <c r="P205" s="529">
        <f t="shared" si="212"/>
        <v>8080990</v>
      </c>
      <c r="R205" s="292"/>
    </row>
    <row r="206" spans="1:18" ht="47.25" thickTop="1" thickBot="1" x14ac:dyDescent="0.25">
      <c r="A206" s="151" t="s">
        <v>814</v>
      </c>
      <c r="B206" s="151" t="s">
        <v>815</v>
      </c>
      <c r="C206" s="532"/>
      <c r="D206" s="151" t="s">
        <v>816</v>
      </c>
      <c r="E206" s="445">
        <f>SUM(E207:E218)-E207-E210-E212-E215</f>
        <v>93488144</v>
      </c>
      <c r="F206" s="445">
        <f t="shared" ref="F206:P206" si="213">SUM(F207:F218)-F207-F210-F212-F215</f>
        <v>93488144</v>
      </c>
      <c r="G206" s="445">
        <f t="shared" si="213"/>
        <v>42048290</v>
      </c>
      <c r="H206" s="445">
        <f t="shared" si="213"/>
        <v>3766561</v>
      </c>
      <c r="I206" s="445">
        <f t="shared" si="213"/>
        <v>0</v>
      </c>
      <c r="J206" s="445">
        <f t="shared" si="213"/>
        <v>8026463</v>
      </c>
      <c r="K206" s="445">
        <f t="shared" si="213"/>
        <v>6259744</v>
      </c>
      <c r="L206" s="445">
        <f t="shared" si="213"/>
        <v>1687549</v>
      </c>
      <c r="M206" s="445">
        <f t="shared" si="213"/>
        <v>862780</v>
      </c>
      <c r="N206" s="445">
        <f t="shared" si="213"/>
        <v>265828</v>
      </c>
      <c r="O206" s="445">
        <f t="shared" si="213"/>
        <v>6338914</v>
      </c>
      <c r="P206" s="445">
        <f t="shared" si="213"/>
        <v>101514607</v>
      </c>
      <c r="R206" s="292"/>
    </row>
    <row r="207" spans="1:18" s="272" customFormat="1" ht="93" thickTop="1" thickBot="1" x14ac:dyDescent="0.25">
      <c r="A207" s="488" t="s">
        <v>817</v>
      </c>
      <c r="B207" s="488" t="s">
        <v>818</v>
      </c>
      <c r="C207" s="488"/>
      <c r="D207" s="488" t="s">
        <v>819</v>
      </c>
      <c r="E207" s="489">
        <f>SUM(E208:E209)</f>
        <v>25324232</v>
      </c>
      <c r="F207" s="489">
        <f t="shared" ref="F207:P207" si="214">SUM(F208:F209)</f>
        <v>25324232</v>
      </c>
      <c r="G207" s="489">
        <f t="shared" si="214"/>
        <v>0</v>
      </c>
      <c r="H207" s="489">
        <f t="shared" si="214"/>
        <v>0</v>
      </c>
      <c r="I207" s="489">
        <f t="shared" si="214"/>
        <v>0</v>
      </c>
      <c r="J207" s="489">
        <f t="shared" si="214"/>
        <v>0</v>
      </c>
      <c r="K207" s="489">
        <f t="shared" si="214"/>
        <v>0</v>
      </c>
      <c r="L207" s="489">
        <f t="shared" si="214"/>
        <v>0</v>
      </c>
      <c r="M207" s="489">
        <f t="shared" si="214"/>
        <v>0</v>
      </c>
      <c r="N207" s="489">
        <f t="shared" si="214"/>
        <v>0</v>
      </c>
      <c r="O207" s="489">
        <f t="shared" si="214"/>
        <v>0</v>
      </c>
      <c r="P207" s="489">
        <f t="shared" si="214"/>
        <v>25324232</v>
      </c>
      <c r="Q207" s="623"/>
      <c r="R207" s="302"/>
    </row>
    <row r="208" spans="1:18" ht="138.75" thickTop="1" thickBot="1" x14ac:dyDescent="0.25">
      <c r="A208" s="532" t="s">
        <v>46</v>
      </c>
      <c r="B208" s="532" t="s">
        <v>198</v>
      </c>
      <c r="C208" s="532" t="s">
        <v>207</v>
      </c>
      <c r="D208" s="532" t="s">
        <v>47</v>
      </c>
      <c r="E208" s="445">
        <f t="shared" si="208"/>
        <v>22258032</v>
      </c>
      <c r="F208" s="446">
        <v>22258032</v>
      </c>
      <c r="G208" s="443"/>
      <c r="H208" s="443"/>
      <c r="I208" s="443"/>
      <c r="J208" s="529">
        <f t="shared" si="209"/>
        <v>0</v>
      </c>
      <c r="K208" s="443"/>
      <c r="L208" s="443"/>
      <c r="M208" s="443"/>
      <c r="N208" s="443"/>
      <c r="O208" s="534">
        <f t="shared" si="210"/>
        <v>0</v>
      </c>
      <c r="P208" s="529">
        <f t="shared" si="212"/>
        <v>22258032</v>
      </c>
      <c r="R208" s="292"/>
    </row>
    <row r="209" spans="1:18" ht="138.75" thickTop="1" thickBot="1" x14ac:dyDescent="0.25">
      <c r="A209" s="532" t="s">
        <v>48</v>
      </c>
      <c r="B209" s="532" t="s">
        <v>199</v>
      </c>
      <c r="C209" s="532" t="s">
        <v>207</v>
      </c>
      <c r="D209" s="532" t="s">
        <v>4</v>
      </c>
      <c r="E209" s="445">
        <f t="shared" si="208"/>
        <v>3066200</v>
      </c>
      <c r="F209" s="446">
        <v>3066200</v>
      </c>
      <c r="G209" s="443"/>
      <c r="H209" s="443"/>
      <c r="I209" s="443"/>
      <c r="J209" s="529">
        <f t="shared" si="209"/>
        <v>0</v>
      </c>
      <c r="K209" s="443"/>
      <c r="L209" s="443"/>
      <c r="M209" s="443"/>
      <c r="N209" s="443"/>
      <c r="O209" s="534">
        <f t="shared" si="210"/>
        <v>0</v>
      </c>
      <c r="P209" s="529">
        <f t="shared" si="212"/>
        <v>3066200</v>
      </c>
      <c r="R209" s="292"/>
    </row>
    <row r="210" spans="1:18" s="272" customFormat="1" ht="184.5" thickTop="1" thickBot="1" x14ac:dyDescent="0.25">
      <c r="A210" s="488" t="s">
        <v>820</v>
      </c>
      <c r="B210" s="488" t="s">
        <v>821</v>
      </c>
      <c r="C210" s="488"/>
      <c r="D210" s="488" t="s">
        <v>822</v>
      </c>
      <c r="E210" s="489">
        <f>E211</f>
        <v>53300</v>
      </c>
      <c r="F210" s="489">
        <f t="shared" ref="F210:P210" si="215">F211</f>
        <v>53300</v>
      </c>
      <c r="G210" s="489">
        <f t="shared" si="215"/>
        <v>0</v>
      </c>
      <c r="H210" s="489">
        <f t="shared" si="215"/>
        <v>0</v>
      </c>
      <c r="I210" s="489">
        <f t="shared" si="215"/>
        <v>0</v>
      </c>
      <c r="J210" s="489">
        <f t="shared" si="215"/>
        <v>0</v>
      </c>
      <c r="K210" s="489">
        <f t="shared" si="215"/>
        <v>0</v>
      </c>
      <c r="L210" s="489">
        <f t="shared" si="215"/>
        <v>0</v>
      </c>
      <c r="M210" s="489">
        <f t="shared" si="215"/>
        <v>0</v>
      </c>
      <c r="N210" s="489">
        <f t="shared" si="215"/>
        <v>0</v>
      </c>
      <c r="O210" s="489">
        <f t="shared" si="215"/>
        <v>0</v>
      </c>
      <c r="P210" s="489">
        <f t="shared" si="215"/>
        <v>53300</v>
      </c>
      <c r="Q210" s="623"/>
      <c r="R210" s="306"/>
    </row>
    <row r="211" spans="1:18" ht="184.5" thickTop="1" thickBot="1" x14ac:dyDescent="0.25">
      <c r="A211" s="532" t="s">
        <v>49</v>
      </c>
      <c r="B211" s="532" t="s">
        <v>200</v>
      </c>
      <c r="C211" s="532" t="s">
        <v>207</v>
      </c>
      <c r="D211" s="532" t="s">
        <v>363</v>
      </c>
      <c r="E211" s="445">
        <f>F211</f>
        <v>53300</v>
      </c>
      <c r="F211" s="446">
        <v>53300</v>
      </c>
      <c r="G211" s="446"/>
      <c r="H211" s="446"/>
      <c r="I211" s="443"/>
      <c r="J211" s="529">
        <f t="shared" si="209"/>
        <v>0</v>
      </c>
      <c r="K211" s="443"/>
      <c r="L211" s="446"/>
      <c r="M211" s="446"/>
      <c r="N211" s="446"/>
      <c r="O211" s="534">
        <f t="shared" si="210"/>
        <v>0</v>
      </c>
      <c r="P211" s="529">
        <f t="shared" si="212"/>
        <v>53300</v>
      </c>
      <c r="R211" s="292"/>
    </row>
    <row r="212" spans="1:18" ht="93" thickTop="1" thickBot="1" x14ac:dyDescent="0.25">
      <c r="A212" s="488" t="s">
        <v>823</v>
      </c>
      <c r="B212" s="488" t="s">
        <v>824</v>
      </c>
      <c r="C212" s="488"/>
      <c r="D212" s="488" t="s">
        <v>825</v>
      </c>
      <c r="E212" s="489">
        <f>SUM(E213:E214)</f>
        <v>62849146</v>
      </c>
      <c r="F212" s="489">
        <f t="shared" ref="F212:P212" si="216">SUM(F213:F214)</f>
        <v>62849146</v>
      </c>
      <c r="G212" s="489">
        <f t="shared" si="216"/>
        <v>40789410</v>
      </c>
      <c r="H212" s="489">
        <f t="shared" si="216"/>
        <v>3766561</v>
      </c>
      <c r="I212" s="489">
        <f t="shared" si="216"/>
        <v>0</v>
      </c>
      <c r="J212" s="489">
        <f t="shared" si="216"/>
        <v>8026463</v>
      </c>
      <c r="K212" s="489">
        <f t="shared" si="216"/>
        <v>6259744</v>
      </c>
      <c r="L212" s="489">
        <f t="shared" si="216"/>
        <v>1687549</v>
      </c>
      <c r="M212" s="489">
        <f t="shared" si="216"/>
        <v>862780</v>
      </c>
      <c r="N212" s="489">
        <f t="shared" si="216"/>
        <v>265828</v>
      </c>
      <c r="O212" s="489">
        <f t="shared" si="216"/>
        <v>6338914</v>
      </c>
      <c r="P212" s="489">
        <f t="shared" si="216"/>
        <v>70875609</v>
      </c>
      <c r="R212" s="292"/>
    </row>
    <row r="213" spans="1:18" ht="184.5" thickTop="1" thickBot="1" x14ac:dyDescent="0.25">
      <c r="A213" s="532" t="s">
        <v>28</v>
      </c>
      <c r="B213" s="532" t="s">
        <v>204</v>
      </c>
      <c r="C213" s="532" t="s">
        <v>207</v>
      </c>
      <c r="D213" s="532" t="s">
        <v>50</v>
      </c>
      <c r="E213" s="445">
        <f t="shared" si="208"/>
        <v>57335156</v>
      </c>
      <c r="F213" s="446">
        <f>((57087290)+120000)+127866</f>
        <v>57335156</v>
      </c>
      <c r="G213" s="446">
        <f>(12879510+12795060+10845985+4268855)</f>
        <v>40789410</v>
      </c>
      <c r="H213" s="446">
        <f>((568195+101700+408980+67080+521160+40690+421560+252585+9315+25800+17640+132495+378400+3930+411080+5380+95115+57590)+120000)+127866</f>
        <v>3766561</v>
      </c>
      <c r="I213" s="446"/>
      <c r="J213" s="529">
        <f t="shared" si="209"/>
        <v>8026463</v>
      </c>
      <c r="K213" s="446">
        <v>6259744</v>
      </c>
      <c r="L213" s="446">
        <f>(808722+957997-58300-20870)</f>
        <v>1687549</v>
      </c>
      <c r="M213" s="446">
        <f>(242165+620615)</f>
        <v>862780</v>
      </c>
      <c r="N213" s="446">
        <f>((197561+60767)+500)+7000</f>
        <v>265828</v>
      </c>
      <c r="O213" s="534">
        <f>(K213+58300+20870)</f>
        <v>6338914</v>
      </c>
      <c r="P213" s="529">
        <f t="shared" si="212"/>
        <v>65361619</v>
      </c>
      <c r="R213" s="292"/>
    </row>
    <row r="214" spans="1:18" ht="184.5" thickTop="1" thickBot="1" x14ac:dyDescent="0.25">
      <c r="A214" s="532" t="s">
        <v>29</v>
      </c>
      <c r="B214" s="532" t="s">
        <v>205</v>
      </c>
      <c r="C214" s="532" t="s">
        <v>207</v>
      </c>
      <c r="D214" s="532" t="s">
        <v>51</v>
      </c>
      <c r="E214" s="445">
        <f t="shared" si="208"/>
        <v>5513990</v>
      </c>
      <c r="F214" s="446">
        <v>5513990</v>
      </c>
      <c r="G214" s="446"/>
      <c r="H214" s="446"/>
      <c r="I214" s="446"/>
      <c r="J214" s="529">
        <f t="shared" si="209"/>
        <v>0</v>
      </c>
      <c r="K214" s="446">
        <v>0</v>
      </c>
      <c r="L214" s="446"/>
      <c r="M214" s="446"/>
      <c r="N214" s="446"/>
      <c r="O214" s="534">
        <f t="shared" si="210"/>
        <v>0</v>
      </c>
      <c r="P214" s="529">
        <f t="shared" si="212"/>
        <v>5513990</v>
      </c>
      <c r="R214" s="292"/>
    </row>
    <row r="215" spans="1:18" ht="93" thickTop="1" thickBot="1" x14ac:dyDescent="0.25">
      <c r="A215" s="577" t="s">
        <v>826</v>
      </c>
      <c r="B215" s="488" t="s">
        <v>827</v>
      </c>
      <c r="C215" s="488"/>
      <c r="D215" s="488" t="s">
        <v>828</v>
      </c>
      <c r="E215" s="489">
        <f>SUM(E216:E218)</f>
        <v>5261466</v>
      </c>
      <c r="F215" s="489">
        <f t="shared" ref="F215:P215" si="217">SUM(F216:F218)</f>
        <v>5261466</v>
      </c>
      <c r="G215" s="489">
        <f t="shared" si="217"/>
        <v>1258880</v>
      </c>
      <c r="H215" s="489">
        <f t="shared" si="217"/>
        <v>0</v>
      </c>
      <c r="I215" s="489">
        <f t="shared" si="217"/>
        <v>0</v>
      </c>
      <c r="J215" s="489">
        <f t="shared" si="217"/>
        <v>0</v>
      </c>
      <c r="K215" s="489">
        <f t="shared" si="217"/>
        <v>0</v>
      </c>
      <c r="L215" s="489">
        <f t="shared" si="217"/>
        <v>0</v>
      </c>
      <c r="M215" s="489">
        <f t="shared" si="217"/>
        <v>0</v>
      </c>
      <c r="N215" s="489">
        <f t="shared" si="217"/>
        <v>0</v>
      </c>
      <c r="O215" s="489">
        <f t="shared" si="217"/>
        <v>0</v>
      </c>
      <c r="P215" s="489">
        <f t="shared" si="217"/>
        <v>5261466</v>
      </c>
      <c r="R215" s="292"/>
    </row>
    <row r="216" spans="1:18" ht="276" thickTop="1" thickBot="1" x14ac:dyDescent="0.25">
      <c r="A216" s="578" t="s">
        <v>30</v>
      </c>
      <c r="B216" s="578" t="s">
        <v>206</v>
      </c>
      <c r="C216" s="578" t="s">
        <v>207</v>
      </c>
      <c r="D216" s="532" t="s">
        <v>31</v>
      </c>
      <c r="E216" s="445">
        <f t="shared" si="208"/>
        <v>1016620</v>
      </c>
      <c r="F216" s="446">
        <v>1016620</v>
      </c>
      <c r="G216" s="443"/>
      <c r="H216" s="443"/>
      <c r="I216" s="443"/>
      <c r="J216" s="529">
        <f t="shared" si="209"/>
        <v>0</v>
      </c>
      <c r="K216" s="443"/>
      <c r="L216" s="443"/>
      <c r="M216" s="443"/>
      <c r="N216" s="443"/>
      <c r="O216" s="534">
        <f t="shared" si="210"/>
        <v>0</v>
      </c>
      <c r="P216" s="529">
        <f t="shared" si="212"/>
        <v>1016620</v>
      </c>
      <c r="R216" s="292"/>
    </row>
    <row r="217" spans="1:18" ht="184.5" thickTop="1" thickBot="1" x14ac:dyDescent="0.25">
      <c r="A217" s="578" t="s">
        <v>530</v>
      </c>
      <c r="B217" s="578" t="s">
        <v>528</v>
      </c>
      <c r="C217" s="578" t="s">
        <v>207</v>
      </c>
      <c r="D217" s="532" t="s">
        <v>529</v>
      </c>
      <c r="E217" s="445">
        <f t="shared" si="208"/>
        <v>2490471</v>
      </c>
      <c r="F217" s="446">
        <v>2490471</v>
      </c>
      <c r="G217" s="443"/>
      <c r="H217" s="443"/>
      <c r="I217" s="443"/>
      <c r="J217" s="529">
        <f t="shared" si="209"/>
        <v>0</v>
      </c>
      <c r="K217" s="443"/>
      <c r="L217" s="443"/>
      <c r="M217" s="443"/>
      <c r="N217" s="443"/>
      <c r="O217" s="534">
        <f t="shared" si="210"/>
        <v>0</v>
      </c>
      <c r="P217" s="529">
        <f t="shared" si="212"/>
        <v>2490471</v>
      </c>
      <c r="R217" s="292"/>
    </row>
    <row r="218" spans="1:18" ht="93" thickTop="1" thickBot="1" x14ac:dyDescent="0.25">
      <c r="A218" s="578" t="s">
        <v>32</v>
      </c>
      <c r="B218" s="578" t="s">
        <v>208</v>
      </c>
      <c r="C218" s="578" t="s">
        <v>207</v>
      </c>
      <c r="D218" s="532" t="s">
        <v>33</v>
      </c>
      <c r="E218" s="445">
        <f>F218</f>
        <v>1754375</v>
      </c>
      <c r="F218" s="446">
        <v>1754375</v>
      </c>
      <c r="G218" s="443">
        <v>1258880</v>
      </c>
      <c r="H218" s="443"/>
      <c r="I218" s="443"/>
      <c r="J218" s="529">
        <f t="shared" si="209"/>
        <v>0</v>
      </c>
      <c r="K218" s="443">
        <v>0</v>
      </c>
      <c r="L218" s="443"/>
      <c r="M218" s="443"/>
      <c r="N218" s="443"/>
      <c r="O218" s="534">
        <f t="shared" si="210"/>
        <v>0</v>
      </c>
      <c r="P218" s="529">
        <f t="shared" si="212"/>
        <v>1754375</v>
      </c>
      <c r="R218" s="292"/>
    </row>
    <row r="219" spans="1:18" ht="91.5" thickTop="1" thickBot="1" x14ac:dyDescent="0.25">
      <c r="A219" s="151" t="s">
        <v>829</v>
      </c>
      <c r="B219" s="151" t="s">
        <v>786</v>
      </c>
      <c r="C219" s="151"/>
      <c r="D219" s="559" t="s">
        <v>787</v>
      </c>
      <c r="E219" s="445">
        <f>E220</f>
        <v>39000</v>
      </c>
      <c r="F219" s="445">
        <f t="shared" ref="F219:P220" si="218">F220</f>
        <v>39000</v>
      </c>
      <c r="G219" s="445">
        <f t="shared" si="218"/>
        <v>0</v>
      </c>
      <c r="H219" s="445">
        <f t="shared" si="218"/>
        <v>0</v>
      </c>
      <c r="I219" s="445">
        <f t="shared" si="218"/>
        <v>0</v>
      </c>
      <c r="J219" s="445">
        <f t="shared" si="218"/>
        <v>0</v>
      </c>
      <c r="K219" s="445">
        <f t="shared" si="218"/>
        <v>0</v>
      </c>
      <c r="L219" s="445">
        <f t="shared" si="218"/>
        <v>0</v>
      </c>
      <c r="M219" s="445">
        <f t="shared" si="218"/>
        <v>0</v>
      </c>
      <c r="N219" s="445">
        <f t="shared" si="218"/>
        <v>0</v>
      </c>
      <c r="O219" s="445">
        <f t="shared" si="218"/>
        <v>0</v>
      </c>
      <c r="P219" s="445">
        <f t="shared" si="218"/>
        <v>39000</v>
      </c>
      <c r="R219" s="292"/>
    </row>
    <row r="220" spans="1:18" ht="93" thickTop="1" thickBot="1" x14ac:dyDescent="0.25">
      <c r="A220" s="577" t="s">
        <v>830</v>
      </c>
      <c r="B220" s="577" t="s">
        <v>789</v>
      </c>
      <c r="C220" s="577"/>
      <c r="D220" s="488" t="s">
        <v>790</v>
      </c>
      <c r="E220" s="489">
        <f>E221</f>
        <v>39000</v>
      </c>
      <c r="F220" s="489">
        <f t="shared" si="218"/>
        <v>39000</v>
      </c>
      <c r="G220" s="489">
        <f t="shared" si="218"/>
        <v>0</v>
      </c>
      <c r="H220" s="489">
        <f t="shared" si="218"/>
        <v>0</v>
      </c>
      <c r="I220" s="489">
        <f t="shared" si="218"/>
        <v>0</v>
      </c>
      <c r="J220" s="489">
        <f t="shared" si="218"/>
        <v>0</v>
      </c>
      <c r="K220" s="489">
        <f t="shared" si="218"/>
        <v>0</v>
      </c>
      <c r="L220" s="489">
        <f t="shared" si="218"/>
        <v>0</v>
      </c>
      <c r="M220" s="489">
        <f t="shared" si="218"/>
        <v>0</v>
      </c>
      <c r="N220" s="489">
        <f t="shared" si="218"/>
        <v>0</v>
      </c>
      <c r="O220" s="489">
        <f t="shared" si="218"/>
        <v>0</v>
      </c>
      <c r="P220" s="489">
        <f t="shared" si="218"/>
        <v>39000</v>
      </c>
      <c r="R220" s="292"/>
    </row>
    <row r="221" spans="1:18" ht="276" thickTop="1" thickBot="1" x14ac:dyDescent="0.25">
      <c r="A221" s="578" t="s">
        <v>356</v>
      </c>
      <c r="B221" s="578" t="s">
        <v>355</v>
      </c>
      <c r="C221" s="578" t="s">
        <v>354</v>
      </c>
      <c r="D221" s="532" t="s">
        <v>681</v>
      </c>
      <c r="E221" s="445">
        <f>F221</f>
        <v>39000</v>
      </c>
      <c r="F221" s="446">
        <v>39000</v>
      </c>
      <c r="G221" s="443"/>
      <c r="H221" s="443"/>
      <c r="I221" s="443"/>
      <c r="J221" s="529">
        <f t="shared" si="209"/>
        <v>0</v>
      </c>
      <c r="K221" s="443"/>
      <c r="L221" s="443"/>
      <c r="M221" s="443"/>
      <c r="N221" s="443"/>
      <c r="O221" s="534">
        <f t="shared" si="210"/>
        <v>0</v>
      </c>
      <c r="P221" s="529">
        <f t="shared" si="212"/>
        <v>39000</v>
      </c>
      <c r="R221" s="297"/>
    </row>
    <row r="222" spans="1:18" ht="47.25" thickTop="1" thickBot="1" x14ac:dyDescent="0.25">
      <c r="A222" s="151" t="s">
        <v>831</v>
      </c>
      <c r="B222" s="465" t="s">
        <v>792</v>
      </c>
      <c r="C222" s="465"/>
      <c r="D222" s="465" t="s">
        <v>793</v>
      </c>
      <c r="E222" s="445">
        <f>E226+E223</f>
        <v>0</v>
      </c>
      <c r="F222" s="445">
        <f t="shared" ref="F222:P222" si="219">F226+F223</f>
        <v>0</v>
      </c>
      <c r="G222" s="445">
        <f t="shared" si="219"/>
        <v>0</v>
      </c>
      <c r="H222" s="445">
        <f t="shared" si="219"/>
        <v>0</v>
      </c>
      <c r="I222" s="445">
        <f t="shared" si="219"/>
        <v>0</v>
      </c>
      <c r="J222" s="445">
        <f t="shared" si="219"/>
        <v>300000</v>
      </c>
      <c r="K222" s="445">
        <f t="shared" si="219"/>
        <v>300000</v>
      </c>
      <c r="L222" s="445">
        <f t="shared" si="219"/>
        <v>0</v>
      </c>
      <c r="M222" s="445">
        <f t="shared" si="219"/>
        <v>0</v>
      </c>
      <c r="N222" s="445">
        <f t="shared" si="219"/>
        <v>0</v>
      </c>
      <c r="O222" s="445">
        <f t="shared" si="219"/>
        <v>300000</v>
      </c>
      <c r="P222" s="445">
        <f t="shared" si="219"/>
        <v>300000</v>
      </c>
      <c r="R222" s="297"/>
    </row>
    <row r="223" spans="1:18" ht="91.5" hidden="1" thickTop="1" thickBot="1" x14ac:dyDescent="0.25">
      <c r="A223" s="466" t="s">
        <v>1202</v>
      </c>
      <c r="B223" s="466" t="s">
        <v>848</v>
      </c>
      <c r="C223" s="466"/>
      <c r="D223" s="466" t="s">
        <v>849</v>
      </c>
      <c r="E223" s="467">
        <f>E224</f>
        <v>0</v>
      </c>
      <c r="F223" s="467">
        <f t="shared" ref="F223:P224" si="220">F224</f>
        <v>0</v>
      </c>
      <c r="G223" s="467">
        <f t="shared" si="220"/>
        <v>0</v>
      </c>
      <c r="H223" s="467">
        <f t="shared" si="220"/>
        <v>0</v>
      </c>
      <c r="I223" s="467">
        <f t="shared" si="220"/>
        <v>0</v>
      </c>
      <c r="J223" s="467">
        <f t="shared" si="220"/>
        <v>0</v>
      </c>
      <c r="K223" s="467">
        <f t="shared" si="220"/>
        <v>0</v>
      </c>
      <c r="L223" s="467">
        <f t="shared" si="220"/>
        <v>0</v>
      </c>
      <c r="M223" s="467">
        <f t="shared" si="220"/>
        <v>0</v>
      </c>
      <c r="N223" s="467">
        <f t="shared" si="220"/>
        <v>0</v>
      </c>
      <c r="O223" s="467">
        <f t="shared" si="220"/>
        <v>0</v>
      </c>
      <c r="P223" s="467">
        <f t="shared" si="220"/>
        <v>0</v>
      </c>
      <c r="R223" s="297"/>
    </row>
    <row r="224" spans="1:18" ht="145.5" hidden="1" thickTop="1" thickBot="1" x14ac:dyDescent="0.25">
      <c r="A224" s="488" t="s">
        <v>1203</v>
      </c>
      <c r="B224" s="488" t="s">
        <v>867</v>
      </c>
      <c r="C224" s="488"/>
      <c r="D224" s="488" t="s">
        <v>1193</v>
      </c>
      <c r="E224" s="471">
        <f>E225</f>
        <v>0</v>
      </c>
      <c r="F224" s="471">
        <f t="shared" si="220"/>
        <v>0</v>
      </c>
      <c r="G224" s="471">
        <f t="shared" si="220"/>
        <v>0</v>
      </c>
      <c r="H224" s="471">
        <f t="shared" si="220"/>
        <v>0</v>
      </c>
      <c r="I224" s="471">
        <f t="shared" si="220"/>
        <v>0</v>
      </c>
      <c r="J224" s="471">
        <f t="shared" si="220"/>
        <v>0</v>
      </c>
      <c r="K224" s="471">
        <f t="shared" si="220"/>
        <v>0</v>
      </c>
      <c r="L224" s="471">
        <f t="shared" si="220"/>
        <v>0</v>
      </c>
      <c r="M224" s="471">
        <f t="shared" si="220"/>
        <v>0</v>
      </c>
      <c r="N224" s="471">
        <f t="shared" si="220"/>
        <v>0</v>
      </c>
      <c r="O224" s="471">
        <f t="shared" si="220"/>
        <v>0</v>
      </c>
      <c r="P224" s="471">
        <f t="shared" si="220"/>
        <v>0</v>
      </c>
      <c r="R224" s="297"/>
    </row>
    <row r="225" spans="1:18" ht="145.5" hidden="1" thickTop="1" thickBot="1" x14ac:dyDescent="0.25">
      <c r="A225" s="532" t="s">
        <v>1204</v>
      </c>
      <c r="B225" s="532" t="s">
        <v>326</v>
      </c>
      <c r="C225" s="532" t="s">
        <v>317</v>
      </c>
      <c r="D225" s="532" t="s">
        <v>667</v>
      </c>
      <c r="E225" s="529">
        <f t="shared" ref="E225" si="221">F225</f>
        <v>0</v>
      </c>
      <c r="F225" s="443"/>
      <c r="G225" s="443"/>
      <c r="H225" s="443"/>
      <c r="I225" s="443"/>
      <c r="J225" s="529">
        <f t="shared" ref="J225" si="222">L225+O225</f>
        <v>0</v>
      </c>
      <c r="K225" s="443">
        <v>0</v>
      </c>
      <c r="L225" s="443"/>
      <c r="M225" s="443"/>
      <c r="N225" s="443"/>
      <c r="O225" s="534">
        <f t="shared" ref="O225" si="223">K225</f>
        <v>0</v>
      </c>
      <c r="P225" s="529">
        <f>E225+J225</f>
        <v>0</v>
      </c>
      <c r="R225" s="297"/>
    </row>
    <row r="226" spans="1:18" ht="136.5" thickTop="1" thickBot="1" x14ac:dyDescent="0.25">
      <c r="A226" s="466" t="s">
        <v>832</v>
      </c>
      <c r="B226" s="466" t="s">
        <v>734</v>
      </c>
      <c r="C226" s="466"/>
      <c r="D226" s="466" t="s">
        <v>732</v>
      </c>
      <c r="E226" s="523">
        <f>E227</f>
        <v>0</v>
      </c>
      <c r="F226" s="523">
        <f t="shared" ref="F226:P226" si="224">F227</f>
        <v>0</v>
      </c>
      <c r="G226" s="523">
        <f t="shared" si="224"/>
        <v>0</v>
      </c>
      <c r="H226" s="523">
        <f t="shared" si="224"/>
        <v>0</v>
      </c>
      <c r="I226" s="523">
        <f t="shared" si="224"/>
        <v>0</v>
      </c>
      <c r="J226" s="523">
        <f t="shared" si="224"/>
        <v>300000</v>
      </c>
      <c r="K226" s="523">
        <f t="shared" si="224"/>
        <v>300000</v>
      </c>
      <c r="L226" s="523">
        <f t="shared" si="224"/>
        <v>0</v>
      </c>
      <c r="M226" s="523">
        <f t="shared" si="224"/>
        <v>0</v>
      </c>
      <c r="N226" s="523">
        <f t="shared" si="224"/>
        <v>0</v>
      </c>
      <c r="O226" s="523">
        <f t="shared" si="224"/>
        <v>300000</v>
      </c>
      <c r="P226" s="523">
        <f t="shared" si="224"/>
        <v>300000</v>
      </c>
      <c r="R226" s="297"/>
    </row>
    <row r="227" spans="1:18" ht="93" thickTop="1" thickBot="1" x14ac:dyDescent="0.25">
      <c r="A227" s="532" t="s">
        <v>642</v>
      </c>
      <c r="B227" s="532" t="s">
        <v>209</v>
      </c>
      <c r="C227" s="532" t="s">
        <v>178</v>
      </c>
      <c r="D227" s="532" t="s">
        <v>36</v>
      </c>
      <c r="E227" s="529">
        <f t="shared" ref="E227" si="225">F227</f>
        <v>0</v>
      </c>
      <c r="F227" s="443"/>
      <c r="G227" s="443"/>
      <c r="H227" s="443"/>
      <c r="I227" s="443"/>
      <c r="J227" s="529">
        <f t="shared" si="209"/>
        <v>300000</v>
      </c>
      <c r="K227" s="443">
        <f>(300000)</f>
        <v>300000</v>
      </c>
      <c r="L227" s="443"/>
      <c r="M227" s="443"/>
      <c r="N227" s="443"/>
      <c r="O227" s="534">
        <f t="shared" si="210"/>
        <v>300000</v>
      </c>
      <c r="P227" s="529">
        <f t="shared" si="212"/>
        <v>300000</v>
      </c>
      <c r="R227" s="292"/>
    </row>
    <row r="228" spans="1:18" ht="47.25" hidden="1" thickTop="1" thickBot="1" x14ac:dyDescent="0.25">
      <c r="A228" s="250" t="s">
        <v>1212</v>
      </c>
      <c r="B228" s="250" t="s">
        <v>745</v>
      </c>
      <c r="C228" s="250"/>
      <c r="D228" s="250" t="s">
        <v>746</v>
      </c>
      <c r="E228" s="256">
        <f>E229</f>
        <v>0</v>
      </c>
      <c r="F228" s="256">
        <f t="shared" ref="F228:P229" si="226">F229</f>
        <v>0</v>
      </c>
      <c r="G228" s="256">
        <f t="shared" si="226"/>
        <v>0</v>
      </c>
      <c r="H228" s="256">
        <f t="shared" si="226"/>
        <v>0</v>
      </c>
      <c r="I228" s="256">
        <f t="shared" si="226"/>
        <v>0</v>
      </c>
      <c r="J228" s="256">
        <f t="shared" si="226"/>
        <v>0</v>
      </c>
      <c r="K228" s="256">
        <f t="shared" si="226"/>
        <v>0</v>
      </c>
      <c r="L228" s="256">
        <f t="shared" si="226"/>
        <v>0</v>
      </c>
      <c r="M228" s="256">
        <f t="shared" si="226"/>
        <v>0</v>
      </c>
      <c r="N228" s="256">
        <f t="shared" si="226"/>
        <v>0</v>
      </c>
      <c r="O228" s="256">
        <f t="shared" si="226"/>
        <v>0</v>
      </c>
      <c r="P228" s="256">
        <f t="shared" si="226"/>
        <v>0</v>
      </c>
      <c r="R228" s="292"/>
    </row>
    <row r="229" spans="1:18" ht="271.5" hidden="1" thickTop="1" thickBot="1" x14ac:dyDescent="0.25">
      <c r="A229" s="253" t="s">
        <v>1213</v>
      </c>
      <c r="B229" s="253" t="s">
        <v>748</v>
      </c>
      <c r="C229" s="253"/>
      <c r="D229" s="253" t="s">
        <v>749</v>
      </c>
      <c r="E229" s="270">
        <f>E230</f>
        <v>0</v>
      </c>
      <c r="F229" s="270">
        <f t="shared" si="226"/>
        <v>0</v>
      </c>
      <c r="G229" s="270">
        <f t="shared" si="226"/>
        <v>0</v>
      </c>
      <c r="H229" s="270">
        <f t="shared" si="226"/>
        <v>0</v>
      </c>
      <c r="I229" s="270">
        <f t="shared" si="226"/>
        <v>0</v>
      </c>
      <c r="J229" s="270">
        <f t="shared" si="226"/>
        <v>0</v>
      </c>
      <c r="K229" s="270">
        <f t="shared" si="226"/>
        <v>0</v>
      </c>
      <c r="L229" s="270">
        <f t="shared" si="226"/>
        <v>0</v>
      </c>
      <c r="M229" s="270">
        <f t="shared" si="226"/>
        <v>0</v>
      </c>
      <c r="N229" s="270">
        <f t="shared" si="226"/>
        <v>0</v>
      </c>
      <c r="O229" s="270">
        <f t="shared" si="226"/>
        <v>0</v>
      </c>
      <c r="P229" s="270">
        <f t="shared" si="226"/>
        <v>0</v>
      </c>
      <c r="R229" s="292"/>
    </row>
    <row r="230" spans="1:18" ht="93" hidden="1" thickTop="1" thickBot="1" x14ac:dyDescent="0.25">
      <c r="A230" s="259" t="s">
        <v>1214</v>
      </c>
      <c r="B230" s="259" t="s">
        <v>377</v>
      </c>
      <c r="C230" s="259" t="s">
        <v>45</v>
      </c>
      <c r="D230" s="259" t="s">
        <v>378</v>
      </c>
      <c r="E230" s="256">
        <f t="shared" ref="E230" si="227">F230</f>
        <v>0</v>
      </c>
      <c r="F230" s="278">
        <v>0</v>
      </c>
      <c r="G230" s="278"/>
      <c r="H230" s="278"/>
      <c r="I230" s="278"/>
      <c r="J230" s="256">
        <f>L230+O230</f>
        <v>0</v>
      </c>
      <c r="K230" s="278">
        <v>0</v>
      </c>
      <c r="L230" s="278"/>
      <c r="M230" s="278"/>
      <c r="N230" s="278"/>
      <c r="O230" s="262">
        <f>K230</f>
        <v>0</v>
      </c>
      <c r="P230" s="256">
        <f>E230+J230</f>
        <v>0</v>
      </c>
      <c r="R230" s="292"/>
    </row>
    <row r="231" spans="1:18" ht="181.5" thickTop="1" thickBot="1" x14ac:dyDescent="0.25">
      <c r="A231" s="827" t="s">
        <v>166</v>
      </c>
      <c r="B231" s="827"/>
      <c r="C231" s="827"/>
      <c r="D231" s="828" t="s">
        <v>587</v>
      </c>
      <c r="E231" s="829">
        <f>E232</f>
        <v>19570753</v>
      </c>
      <c r="F231" s="830">
        <f t="shared" ref="F231:G231" si="228">F232</f>
        <v>19570753</v>
      </c>
      <c r="G231" s="830">
        <f t="shared" si="228"/>
        <v>6530800</v>
      </c>
      <c r="H231" s="830">
        <f>H232</f>
        <v>165444</v>
      </c>
      <c r="I231" s="830">
        <f t="shared" ref="I231" si="229">I232</f>
        <v>0</v>
      </c>
      <c r="J231" s="829">
        <f>J232</f>
        <v>7219326</v>
      </c>
      <c r="K231" s="830">
        <f>K232</f>
        <v>6335326</v>
      </c>
      <c r="L231" s="830">
        <f>L232</f>
        <v>450000</v>
      </c>
      <c r="M231" s="830">
        <f t="shared" ref="M231" si="230">M232</f>
        <v>0</v>
      </c>
      <c r="N231" s="830">
        <f>N232</f>
        <v>0</v>
      </c>
      <c r="O231" s="829">
        <f>O232</f>
        <v>6769326</v>
      </c>
      <c r="P231" s="830">
        <f>P232</f>
        <v>26790079</v>
      </c>
      <c r="R231" s="297"/>
    </row>
    <row r="232" spans="1:18" ht="181.5" thickTop="1" thickBot="1" x14ac:dyDescent="0.25">
      <c r="A232" s="831" t="s">
        <v>167</v>
      </c>
      <c r="B232" s="831"/>
      <c r="C232" s="831"/>
      <c r="D232" s="832" t="s">
        <v>588</v>
      </c>
      <c r="E232" s="833">
        <f>E233+E237+E244</f>
        <v>19570753</v>
      </c>
      <c r="F232" s="833">
        <f t="shared" ref="F232:I232" si="231">F233+F237+F244</f>
        <v>19570753</v>
      </c>
      <c r="G232" s="833">
        <f t="shared" si="231"/>
        <v>6530800</v>
      </c>
      <c r="H232" s="833">
        <f t="shared" si="231"/>
        <v>165444</v>
      </c>
      <c r="I232" s="833">
        <f t="shared" si="231"/>
        <v>0</v>
      </c>
      <c r="J232" s="833">
        <f t="shared" ref="J232:J251" si="232">L232+O232</f>
        <v>7219326</v>
      </c>
      <c r="K232" s="833">
        <f t="shared" ref="K232:O232" si="233">K233+K237+K244</f>
        <v>6335326</v>
      </c>
      <c r="L232" s="833">
        <f t="shared" si="233"/>
        <v>450000</v>
      </c>
      <c r="M232" s="833">
        <f t="shared" si="233"/>
        <v>0</v>
      </c>
      <c r="N232" s="833">
        <f t="shared" si="233"/>
        <v>0</v>
      </c>
      <c r="O232" s="833">
        <f t="shared" si="233"/>
        <v>6769326</v>
      </c>
      <c r="P232" s="833">
        <f>E232+J232</f>
        <v>26790079</v>
      </c>
      <c r="Q232" s="627" t="b">
        <f>P232=P234+P239+P240+P241+P243+P248+P251+P235+P249+P242+P246+P236</f>
        <v>1</v>
      </c>
      <c r="R232" s="307"/>
    </row>
    <row r="233" spans="1:18" ht="47.25" thickTop="1" thickBot="1" x14ac:dyDescent="0.25">
      <c r="A233" s="151" t="s">
        <v>833</v>
      </c>
      <c r="B233" s="151" t="s">
        <v>727</v>
      </c>
      <c r="C233" s="151"/>
      <c r="D233" s="151" t="s">
        <v>728</v>
      </c>
      <c r="E233" s="442">
        <f>SUM(E234:E236)</f>
        <v>8935308</v>
      </c>
      <c r="F233" s="484">
        <f t="shared" ref="F233:N233" si="234">SUM(F234:F236)</f>
        <v>8935308</v>
      </c>
      <c r="G233" s="484">
        <f t="shared" si="234"/>
        <v>6530800</v>
      </c>
      <c r="H233" s="484">
        <f t="shared" si="234"/>
        <v>165444</v>
      </c>
      <c r="I233" s="484">
        <f t="shared" si="234"/>
        <v>0</v>
      </c>
      <c r="J233" s="484">
        <f t="shared" si="234"/>
        <v>88000</v>
      </c>
      <c r="K233" s="484">
        <f t="shared" si="234"/>
        <v>88000</v>
      </c>
      <c r="L233" s="484">
        <f t="shared" si="234"/>
        <v>0</v>
      </c>
      <c r="M233" s="484">
        <f t="shared" si="234"/>
        <v>0</v>
      </c>
      <c r="N233" s="484">
        <f t="shared" si="234"/>
        <v>0</v>
      </c>
      <c r="O233" s="484">
        <f>SUM(O234:O236)</f>
        <v>88000</v>
      </c>
      <c r="P233" s="484">
        <f>SUM(P234:P236)</f>
        <v>9023308</v>
      </c>
      <c r="Q233" s="627"/>
      <c r="R233" s="307"/>
    </row>
    <row r="234" spans="1:18" ht="230.25" thickTop="1" thickBot="1" x14ac:dyDescent="0.25">
      <c r="A234" s="224" t="s">
        <v>437</v>
      </c>
      <c r="B234" s="224" t="s">
        <v>248</v>
      </c>
      <c r="C234" s="224" t="s">
        <v>246</v>
      </c>
      <c r="D234" s="224" t="s">
        <v>247</v>
      </c>
      <c r="E234" s="445">
        <f>F234</f>
        <v>8900478</v>
      </c>
      <c r="F234" s="446">
        <v>8900478</v>
      </c>
      <c r="G234" s="446">
        <v>6530800</v>
      </c>
      <c r="H234" s="446">
        <f>61273+5208+94487+4476</f>
        <v>165444</v>
      </c>
      <c r="I234" s="446"/>
      <c r="J234" s="442">
        <f t="shared" si="232"/>
        <v>88000</v>
      </c>
      <c r="K234" s="446">
        <v>88000</v>
      </c>
      <c r="L234" s="458"/>
      <c r="M234" s="458"/>
      <c r="N234" s="458"/>
      <c r="O234" s="444">
        <f t="shared" ref="O234:O248" si="235">K234</f>
        <v>88000</v>
      </c>
      <c r="P234" s="442">
        <f t="shared" ref="P234:P241" si="236">+J234+E234</f>
        <v>8988478</v>
      </c>
      <c r="R234" s="307"/>
    </row>
    <row r="235" spans="1:18" ht="184.5" thickTop="1" thickBot="1" x14ac:dyDescent="0.25">
      <c r="A235" s="447" t="s">
        <v>669</v>
      </c>
      <c r="B235" s="447" t="s">
        <v>376</v>
      </c>
      <c r="C235" s="447" t="s">
        <v>662</v>
      </c>
      <c r="D235" s="447" t="s">
        <v>663</v>
      </c>
      <c r="E235" s="448">
        <f t="shared" ref="E235:E236" si="237">F235</f>
        <v>12000</v>
      </c>
      <c r="F235" s="449">
        <v>12000</v>
      </c>
      <c r="G235" s="449"/>
      <c r="H235" s="449"/>
      <c r="I235" s="449"/>
      <c r="J235" s="448">
        <f t="shared" si="232"/>
        <v>0</v>
      </c>
      <c r="K235" s="449"/>
      <c r="L235" s="459"/>
      <c r="M235" s="460"/>
      <c r="N235" s="460"/>
      <c r="O235" s="461">
        <f t="shared" si="235"/>
        <v>0</v>
      </c>
      <c r="P235" s="448">
        <f>+J235+E235</f>
        <v>12000</v>
      </c>
      <c r="R235" s="307"/>
    </row>
    <row r="236" spans="1:18" ht="93" thickTop="1" thickBot="1" x14ac:dyDescent="0.25">
      <c r="A236" s="472" t="s">
        <v>1281</v>
      </c>
      <c r="B236" s="472" t="s">
        <v>45</v>
      </c>
      <c r="C236" s="472" t="s">
        <v>44</v>
      </c>
      <c r="D236" s="472" t="s">
        <v>260</v>
      </c>
      <c r="E236" s="474">
        <f t="shared" si="237"/>
        <v>22830</v>
      </c>
      <c r="F236" s="449">
        <v>22830</v>
      </c>
      <c r="G236" s="449"/>
      <c r="H236" s="449"/>
      <c r="I236" s="449"/>
      <c r="J236" s="474">
        <f t="shared" si="232"/>
        <v>0</v>
      </c>
      <c r="K236" s="449"/>
      <c r="L236" s="459"/>
      <c r="M236" s="460"/>
      <c r="N236" s="460"/>
      <c r="O236" s="461"/>
      <c r="P236" s="474">
        <f>+J236+E236</f>
        <v>22830</v>
      </c>
      <c r="R236" s="307"/>
    </row>
    <row r="237" spans="1:18" ht="91.5" thickTop="1" thickBot="1" x14ac:dyDescent="0.25">
      <c r="A237" s="151" t="s">
        <v>834</v>
      </c>
      <c r="B237" s="465" t="s">
        <v>786</v>
      </c>
      <c r="C237" s="465"/>
      <c r="D237" s="559" t="s">
        <v>787</v>
      </c>
      <c r="E237" s="474">
        <f>SUM(E238:E243)-E238</f>
        <v>9635445</v>
      </c>
      <c r="F237" s="474">
        <f t="shared" ref="F237:P237" si="238">SUM(F238:F243)-F238</f>
        <v>9635445</v>
      </c>
      <c r="G237" s="474">
        <f t="shared" si="238"/>
        <v>0</v>
      </c>
      <c r="H237" s="474">
        <f t="shared" si="238"/>
        <v>0</v>
      </c>
      <c r="I237" s="474">
        <f t="shared" si="238"/>
        <v>0</v>
      </c>
      <c r="J237" s="474">
        <f t="shared" si="238"/>
        <v>4208600</v>
      </c>
      <c r="K237" s="474">
        <f t="shared" si="238"/>
        <v>4208600</v>
      </c>
      <c r="L237" s="474">
        <f t="shared" si="238"/>
        <v>0</v>
      </c>
      <c r="M237" s="474">
        <f t="shared" si="238"/>
        <v>0</v>
      </c>
      <c r="N237" s="474">
        <f t="shared" si="238"/>
        <v>0</v>
      </c>
      <c r="O237" s="474">
        <f t="shared" si="238"/>
        <v>4208600</v>
      </c>
      <c r="P237" s="474">
        <f t="shared" si="238"/>
        <v>13844045</v>
      </c>
      <c r="R237" s="307"/>
    </row>
    <row r="238" spans="1:18" s="272" customFormat="1" ht="184.5" thickTop="1" thickBot="1" x14ac:dyDescent="0.25">
      <c r="A238" s="488" t="s">
        <v>835</v>
      </c>
      <c r="B238" s="469" t="s">
        <v>836</v>
      </c>
      <c r="C238" s="469"/>
      <c r="D238" s="469" t="s">
        <v>837</v>
      </c>
      <c r="E238" s="560">
        <f>SUM(E239:E241)</f>
        <v>1213200</v>
      </c>
      <c r="F238" s="560">
        <f t="shared" ref="F238:P238" si="239">SUM(F239:F241)</f>
        <v>1213200</v>
      </c>
      <c r="G238" s="560">
        <f t="shared" si="239"/>
        <v>0</v>
      </c>
      <c r="H238" s="560">
        <f t="shared" si="239"/>
        <v>0</v>
      </c>
      <c r="I238" s="560">
        <f t="shared" si="239"/>
        <v>0</v>
      </c>
      <c r="J238" s="560">
        <f t="shared" si="239"/>
        <v>4208600</v>
      </c>
      <c r="K238" s="560">
        <f t="shared" si="239"/>
        <v>4208600</v>
      </c>
      <c r="L238" s="560">
        <f t="shared" si="239"/>
        <v>0</v>
      </c>
      <c r="M238" s="560">
        <f t="shared" si="239"/>
        <v>0</v>
      </c>
      <c r="N238" s="560">
        <f t="shared" si="239"/>
        <v>0</v>
      </c>
      <c r="O238" s="560">
        <f t="shared" si="239"/>
        <v>4208600</v>
      </c>
      <c r="P238" s="560">
        <f t="shared" si="239"/>
        <v>5421800</v>
      </c>
      <c r="Q238" s="623"/>
      <c r="R238" s="307"/>
    </row>
    <row r="239" spans="1:18" ht="138.75" thickTop="1" thickBot="1" x14ac:dyDescent="0.25">
      <c r="A239" s="482" t="s">
        <v>292</v>
      </c>
      <c r="B239" s="482" t="s">
        <v>293</v>
      </c>
      <c r="C239" s="482" t="s">
        <v>354</v>
      </c>
      <c r="D239" s="482" t="s">
        <v>294</v>
      </c>
      <c r="E239" s="445">
        <f t="shared" ref="E239:E251" si="240">F239</f>
        <v>513200</v>
      </c>
      <c r="F239" s="446">
        <f>(1500000)-986800</f>
        <v>513200</v>
      </c>
      <c r="G239" s="446"/>
      <c r="H239" s="446"/>
      <c r="I239" s="446"/>
      <c r="J239" s="484">
        <f t="shared" si="232"/>
        <v>708600</v>
      </c>
      <c r="K239" s="446">
        <f>((4508600)-3000000)-800000</f>
        <v>708600</v>
      </c>
      <c r="L239" s="458"/>
      <c r="M239" s="458"/>
      <c r="N239" s="458"/>
      <c r="O239" s="486">
        <f t="shared" si="235"/>
        <v>708600</v>
      </c>
      <c r="P239" s="484">
        <f t="shared" si="236"/>
        <v>1221800</v>
      </c>
      <c r="R239" s="307"/>
    </row>
    <row r="240" spans="1:18" ht="138.75" thickTop="1" thickBot="1" x14ac:dyDescent="0.25">
      <c r="A240" s="482" t="s">
        <v>314</v>
      </c>
      <c r="B240" s="482" t="s">
        <v>315</v>
      </c>
      <c r="C240" s="482" t="s">
        <v>295</v>
      </c>
      <c r="D240" s="482" t="s">
        <v>316</v>
      </c>
      <c r="E240" s="445">
        <f t="shared" si="240"/>
        <v>0</v>
      </c>
      <c r="F240" s="446"/>
      <c r="G240" s="446"/>
      <c r="H240" s="446"/>
      <c r="I240" s="446"/>
      <c r="J240" s="484">
        <f t="shared" si="232"/>
        <v>3000000</v>
      </c>
      <c r="K240" s="446">
        <v>3000000</v>
      </c>
      <c r="L240" s="458"/>
      <c r="M240" s="458"/>
      <c r="N240" s="458"/>
      <c r="O240" s="486">
        <f t="shared" si="235"/>
        <v>3000000</v>
      </c>
      <c r="P240" s="484">
        <f t="shared" si="236"/>
        <v>3000000</v>
      </c>
      <c r="R240" s="307"/>
    </row>
    <row r="241" spans="1:18" ht="184.5" thickTop="1" thickBot="1" x14ac:dyDescent="0.25">
      <c r="A241" s="482" t="s">
        <v>296</v>
      </c>
      <c r="B241" s="482" t="s">
        <v>297</v>
      </c>
      <c r="C241" s="482" t="s">
        <v>295</v>
      </c>
      <c r="D241" s="482" t="s">
        <v>484</v>
      </c>
      <c r="E241" s="445">
        <f t="shared" si="240"/>
        <v>700000</v>
      </c>
      <c r="F241" s="446">
        <f>(16700000-15000000)-1000000</f>
        <v>700000</v>
      </c>
      <c r="G241" s="446"/>
      <c r="H241" s="446"/>
      <c r="I241" s="446"/>
      <c r="J241" s="484">
        <f t="shared" si="232"/>
        <v>500000</v>
      </c>
      <c r="K241" s="446">
        <f>((18500000)-13000000)-5000000</f>
        <v>500000</v>
      </c>
      <c r="L241" s="458"/>
      <c r="M241" s="458"/>
      <c r="N241" s="458"/>
      <c r="O241" s="486">
        <f t="shared" si="235"/>
        <v>500000</v>
      </c>
      <c r="P241" s="484">
        <f t="shared" si="236"/>
        <v>1200000</v>
      </c>
      <c r="R241" s="307"/>
    </row>
    <row r="242" spans="1:18" ht="230.25" thickTop="1" thickBot="1" x14ac:dyDescent="0.25">
      <c r="A242" s="754" t="s">
        <v>989</v>
      </c>
      <c r="B242" s="754" t="s">
        <v>310</v>
      </c>
      <c r="C242" s="754" t="s">
        <v>295</v>
      </c>
      <c r="D242" s="754" t="s">
        <v>311</v>
      </c>
      <c r="E242" s="445">
        <f t="shared" ref="E242" si="241">F242</f>
        <v>8422245</v>
      </c>
      <c r="F242" s="446">
        <v>8422245</v>
      </c>
      <c r="G242" s="446"/>
      <c r="H242" s="446"/>
      <c r="I242" s="446"/>
      <c r="J242" s="757">
        <f t="shared" ref="J242" si="242">L242+O242</f>
        <v>0</v>
      </c>
      <c r="K242" s="446"/>
      <c r="L242" s="458"/>
      <c r="M242" s="458"/>
      <c r="N242" s="458"/>
      <c r="O242" s="755">
        <f t="shared" ref="O242" si="243">K242</f>
        <v>0</v>
      </c>
      <c r="P242" s="757">
        <f t="shared" ref="P242" si="244">+J242+E242</f>
        <v>8422245</v>
      </c>
      <c r="R242" s="307"/>
    </row>
    <row r="243" spans="1:18" ht="93" hidden="1" thickTop="1" thickBot="1" x14ac:dyDescent="0.25">
      <c r="A243" s="799" t="s">
        <v>300</v>
      </c>
      <c r="B243" s="799" t="s">
        <v>301</v>
      </c>
      <c r="C243" s="799" t="s">
        <v>295</v>
      </c>
      <c r="D243" s="799" t="s">
        <v>302</v>
      </c>
      <c r="E243" s="445">
        <f t="shared" si="240"/>
        <v>0</v>
      </c>
      <c r="F243" s="446">
        <f>(((0)+15000000)-10000000)-5000000</f>
        <v>0</v>
      </c>
      <c r="G243" s="446"/>
      <c r="H243" s="446"/>
      <c r="I243" s="446"/>
      <c r="J243" s="797">
        <f t="shared" si="232"/>
        <v>0</v>
      </c>
      <c r="K243" s="443"/>
      <c r="L243" s="446"/>
      <c r="M243" s="446"/>
      <c r="N243" s="446"/>
      <c r="O243" s="800">
        <f t="shared" si="235"/>
        <v>0</v>
      </c>
      <c r="P243" s="797">
        <f t="shared" ref="P243" si="245">E243+J243</f>
        <v>0</v>
      </c>
      <c r="R243" s="297"/>
    </row>
    <row r="244" spans="1:18" ht="47.25" thickTop="1" thickBot="1" x14ac:dyDescent="0.25">
      <c r="A244" s="151" t="s">
        <v>838</v>
      </c>
      <c r="B244" s="151" t="s">
        <v>792</v>
      </c>
      <c r="C244" s="151"/>
      <c r="D244" s="151" t="s">
        <v>839</v>
      </c>
      <c r="E244" s="445">
        <f>E247+E245</f>
        <v>1000000</v>
      </c>
      <c r="F244" s="445">
        <f t="shared" ref="F244:P244" si="246">F247+F245</f>
        <v>1000000</v>
      </c>
      <c r="G244" s="445">
        <f t="shared" si="246"/>
        <v>0</v>
      </c>
      <c r="H244" s="445">
        <f t="shared" si="246"/>
        <v>0</v>
      </c>
      <c r="I244" s="445">
        <f t="shared" si="246"/>
        <v>0</v>
      </c>
      <c r="J244" s="445">
        <f t="shared" si="246"/>
        <v>2922726</v>
      </c>
      <c r="K244" s="445">
        <f t="shared" si="246"/>
        <v>2038726</v>
      </c>
      <c r="L244" s="445">
        <f t="shared" si="246"/>
        <v>450000</v>
      </c>
      <c r="M244" s="445">
        <f t="shared" si="246"/>
        <v>0</v>
      </c>
      <c r="N244" s="445">
        <f t="shared" si="246"/>
        <v>0</v>
      </c>
      <c r="O244" s="445">
        <f t="shared" si="246"/>
        <v>2472726</v>
      </c>
      <c r="P244" s="445">
        <f t="shared" si="246"/>
        <v>3922726</v>
      </c>
      <c r="R244" s="297"/>
    </row>
    <row r="245" spans="1:18" ht="91.5" thickTop="1" thickBot="1" x14ac:dyDescent="0.25">
      <c r="A245" s="466" t="s">
        <v>1285</v>
      </c>
      <c r="B245" s="466" t="s">
        <v>848</v>
      </c>
      <c r="C245" s="466"/>
      <c r="D245" s="466" t="s">
        <v>849</v>
      </c>
      <c r="E245" s="523">
        <f>E246</f>
        <v>0</v>
      </c>
      <c r="F245" s="523">
        <f t="shared" ref="F245:P245" si="247">F246</f>
        <v>0</v>
      </c>
      <c r="G245" s="523">
        <f t="shared" si="247"/>
        <v>0</v>
      </c>
      <c r="H245" s="523">
        <f t="shared" si="247"/>
        <v>0</v>
      </c>
      <c r="I245" s="523">
        <f t="shared" si="247"/>
        <v>0</v>
      </c>
      <c r="J245" s="523">
        <f t="shared" si="247"/>
        <v>38726</v>
      </c>
      <c r="K245" s="523">
        <f t="shared" si="247"/>
        <v>38726</v>
      </c>
      <c r="L245" s="523">
        <f t="shared" si="247"/>
        <v>0</v>
      </c>
      <c r="M245" s="523">
        <f t="shared" si="247"/>
        <v>0</v>
      </c>
      <c r="N245" s="523">
        <f t="shared" si="247"/>
        <v>0</v>
      </c>
      <c r="O245" s="523">
        <f t="shared" si="247"/>
        <v>38726</v>
      </c>
      <c r="P245" s="523">
        <f t="shared" si="247"/>
        <v>38726</v>
      </c>
      <c r="R245" s="297"/>
    </row>
    <row r="246" spans="1:18" ht="129.75" customHeight="1" thickTop="1" thickBot="1" x14ac:dyDescent="0.25">
      <c r="A246" s="482" t="s">
        <v>1286</v>
      </c>
      <c r="B246" s="482" t="s">
        <v>318</v>
      </c>
      <c r="C246" s="482" t="s">
        <v>317</v>
      </c>
      <c r="D246" s="482" t="s">
        <v>664</v>
      </c>
      <c r="E246" s="445">
        <f t="shared" ref="E246" si="248">F246</f>
        <v>0</v>
      </c>
      <c r="F246" s="446"/>
      <c r="G246" s="446"/>
      <c r="H246" s="446"/>
      <c r="I246" s="446"/>
      <c r="J246" s="484">
        <f>L246+O246</f>
        <v>38726</v>
      </c>
      <c r="K246" s="443">
        <f>(1968726)-1930000</f>
        <v>38726</v>
      </c>
      <c r="L246" s="446"/>
      <c r="M246" s="446"/>
      <c r="N246" s="446"/>
      <c r="O246" s="486">
        <f>K246</f>
        <v>38726</v>
      </c>
      <c r="P246" s="484">
        <f t="shared" ref="P246" si="249">E246+J246</f>
        <v>38726</v>
      </c>
      <c r="R246" s="297"/>
    </row>
    <row r="247" spans="1:18" ht="136.5" thickTop="1" thickBot="1" x14ac:dyDescent="0.25">
      <c r="A247" s="466" t="s">
        <v>840</v>
      </c>
      <c r="B247" s="466" t="s">
        <v>734</v>
      </c>
      <c r="C247" s="466"/>
      <c r="D247" s="466" t="s">
        <v>732</v>
      </c>
      <c r="E247" s="523">
        <f t="shared" ref="E247:P247" si="250">E248+E250+E249</f>
        <v>1000000</v>
      </c>
      <c r="F247" s="523">
        <f t="shared" si="250"/>
        <v>1000000</v>
      </c>
      <c r="G247" s="523">
        <f t="shared" si="250"/>
        <v>0</v>
      </c>
      <c r="H247" s="523">
        <f t="shared" si="250"/>
        <v>0</v>
      </c>
      <c r="I247" s="523">
        <f t="shared" si="250"/>
        <v>0</v>
      </c>
      <c r="J247" s="523">
        <f t="shared" si="250"/>
        <v>2884000</v>
      </c>
      <c r="K247" s="523">
        <f t="shared" si="250"/>
        <v>2000000</v>
      </c>
      <c r="L247" s="523">
        <f t="shared" si="250"/>
        <v>450000</v>
      </c>
      <c r="M247" s="523">
        <f t="shared" si="250"/>
        <v>0</v>
      </c>
      <c r="N247" s="523">
        <f t="shared" si="250"/>
        <v>0</v>
      </c>
      <c r="O247" s="523">
        <f t="shared" si="250"/>
        <v>2434000</v>
      </c>
      <c r="P247" s="523">
        <f t="shared" si="250"/>
        <v>3884000</v>
      </c>
      <c r="R247" s="297"/>
    </row>
    <row r="248" spans="1:18" ht="48" thickTop="1" thickBot="1" x14ac:dyDescent="0.25">
      <c r="A248" s="482" t="s">
        <v>309</v>
      </c>
      <c r="B248" s="482" t="s">
        <v>224</v>
      </c>
      <c r="C248" s="482" t="s">
        <v>225</v>
      </c>
      <c r="D248" s="482" t="s">
        <v>43</v>
      </c>
      <c r="E248" s="445">
        <f t="shared" si="240"/>
        <v>1000000</v>
      </c>
      <c r="F248" s="446">
        <v>1000000</v>
      </c>
      <c r="G248" s="446"/>
      <c r="H248" s="446"/>
      <c r="I248" s="446"/>
      <c r="J248" s="484">
        <f t="shared" si="232"/>
        <v>2000000</v>
      </c>
      <c r="K248" s="443">
        <v>2000000</v>
      </c>
      <c r="L248" s="446"/>
      <c r="M248" s="446"/>
      <c r="N248" s="446"/>
      <c r="O248" s="486">
        <f t="shared" si="235"/>
        <v>2000000</v>
      </c>
      <c r="P248" s="484">
        <f>E248+J248</f>
        <v>3000000</v>
      </c>
      <c r="R248" s="307"/>
    </row>
    <row r="249" spans="1:18" ht="93" hidden="1" thickTop="1" thickBot="1" x14ac:dyDescent="0.25">
      <c r="A249" s="259" t="s">
        <v>976</v>
      </c>
      <c r="B249" s="259" t="s">
        <v>209</v>
      </c>
      <c r="C249" s="259" t="s">
        <v>178</v>
      </c>
      <c r="D249" s="259" t="s">
        <v>36</v>
      </c>
      <c r="E249" s="305">
        <f t="shared" ref="E249" si="251">F249</f>
        <v>0</v>
      </c>
      <c r="F249" s="260"/>
      <c r="G249" s="260"/>
      <c r="H249" s="260"/>
      <c r="I249" s="260"/>
      <c r="J249" s="256">
        <f t="shared" ref="J249" si="252">L249+O249</f>
        <v>0</v>
      </c>
      <c r="K249" s="278"/>
      <c r="L249" s="260"/>
      <c r="M249" s="260"/>
      <c r="N249" s="260"/>
      <c r="O249" s="262">
        <f t="shared" ref="O249" si="253">K249</f>
        <v>0</v>
      </c>
      <c r="P249" s="256">
        <f>E249+J249</f>
        <v>0</v>
      </c>
      <c r="R249" s="307"/>
    </row>
    <row r="250" spans="1:18" ht="48" thickTop="1" thickBot="1" x14ac:dyDescent="0.25">
      <c r="A250" s="488" t="s">
        <v>841</v>
      </c>
      <c r="B250" s="488" t="s">
        <v>737</v>
      </c>
      <c r="C250" s="488"/>
      <c r="D250" s="488" t="s">
        <v>842</v>
      </c>
      <c r="E250" s="489">
        <f>E251</f>
        <v>0</v>
      </c>
      <c r="F250" s="489">
        <f t="shared" ref="F250:P250" si="254">F251</f>
        <v>0</v>
      </c>
      <c r="G250" s="489">
        <f t="shared" si="254"/>
        <v>0</v>
      </c>
      <c r="H250" s="489">
        <f t="shared" si="254"/>
        <v>0</v>
      </c>
      <c r="I250" s="489">
        <f t="shared" si="254"/>
        <v>0</v>
      </c>
      <c r="J250" s="489">
        <f t="shared" si="254"/>
        <v>884000</v>
      </c>
      <c r="K250" s="489">
        <f t="shared" si="254"/>
        <v>0</v>
      </c>
      <c r="L250" s="489">
        <f t="shared" si="254"/>
        <v>450000</v>
      </c>
      <c r="M250" s="489">
        <f t="shared" si="254"/>
        <v>0</v>
      </c>
      <c r="N250" s="489">
        <f t="shared" si="254"/>
        <v>0</v>
      </c>
      <c r="O250" s="489">
        <f t="shared" si="254"/>
        <v>434000</v>
      </c>
      <c r="P250" s="489">
        <f t="shared" si="254"/>
        <v>884000</v>
      </c>
      <c r="R250" s="297"/>
    </row>
    <row r="251" spans="1:18" ht="409.6" thickTop="1" thickBot="1" x14ac:dyDescent="0.7">
      <c r="A251" s="915" t="s">
        <v>440</v>
      </c>
      <c r="B251" s="915" t="s">
        <v>352</v>
      </c>
      <c r="C251" s="915" t="s">
        <v>178</v>
      </c>
      <c r="D251" s="483" t="s">
        <v>457</v>
      </c>
      <c r="E251" s="922">
        <f t="shared" si="240"/>
        <v>0</v>
      </c>
      <c r="F251" s="920"/>
      <c r="G251" s="920"/>
      <c r="H251" s="920"/>
      <c r="I251" s="920"/>
      <c r="J251" s="922">
        <f t="shared" si="232"/>
        <v>884000</v>
      </c>
      <c r="K251" s="920"/>
      <c r="L251" s="920">
        <f>0+450000</f>
        <v>450000</v>
      </c>
      <c r="M251" s="920"/>
      <c r="N251" s="920"/>
      <c r="O251" s="918">
        <f>(K251+884000)-450000</f>
        <v>434000</v>
      </c>
      <c r="P251" s="919">
        <f>E251+J251</f>
        <v>884000</v>
      </c>
      <c r="R251" s="297"/>
    </row>
    <row r="252" spans="1:18" ht="184.5" thickTop="1" thickBot="1" x14ac:dyDescent="0.25">
      <c r="A252" s="915"/>
      <c r="B252" s="915"/>
      <c r="C252" s="915"/>
      <c r="D252" s="487" t="s">
        <v>458</v>
      </c>
      <c r="E252" s="922"/>
      <c r="F252" s="920"/>
      <c r="G252" s="920"/>
      <c r="H252" s="920"/>
      <c r="I252" s="920"/>
      <c r="J252" s="922"/>
      <c r="K252" s="920"/>
      <c r="L252" s="920"/>
      <c r="M252" s="920"/>
      <c r="N252" s="920"/>
      <c r="O252" s="918"/>
      <c r="P252" s="919"/>
      <c r="R252" s="297"/>
    </row>
    <row r="253" spans="1:18" ht="181.5" thickTop="1" thickBot="1" x14ac:dyDescent="0.25">
      <c r="A253" s="827" t="s">
        <v>566</v>
      </c>
      <c r="B253" s="827"/>
      <c r="C253" s="827"/>
      <c r="D253" s="828" t="s">
        <v>585</v>
      </c>
      <c r="E253" s="829">
        <f>E254</f>
        <v>434466257</v>
      </c>
      <c r="F253" s="830">
        <f t="shared" ref="F253:G253" si="255">F254</f>
        <v>434466257</v>
      </c>
      <c r="G253" s="830">
        <f t="shared" si="255"/>
        <v>8506105</v>
      </c>
      <c r="H253" s="830">
        <f>H254</f>
        <v>254069</v>
      </c>
      <c r="I253" s="830">
        <f t="shared" ref="I253" si="256">I254</f>
        <v>0</v>
      </c>
      <c r="J253" s="829">
        <f>J254</f>
        <v>57033993.590000004</v>
      </c>
      <c r="K253" s="830">
        <f>K254</f>
        <v>55733993.590000004</v>
      </c>
      <c r="L253" s="830">
        <f>L254</f>
        <v>0</v>
      </c>
      <c r="M253" s="830">
        <f t="shared" ref="M253" si="257">M254</f>
        <v>0</v>
      </c>
      <c r="N253" s="830">
        <f>N254</f>
        <v>0</v>
      </c>
      <c r="O253" s="829">
        <f>O254</f>
        <v>57033993.590000004</v>
      </c>
      <c r="P253" s="830">
        <f>P254</f>
        <v>491500250.59000003</v>
      </c>
      <c r="R253" s="297"/>
    </row>
    <row r="254" spans="1:18" ht="181.5" thickTop="1" thickBot="1" x14ac:dyDescent="0.25">
      <c r="A254" s="831" t="s">
        <v>567</v>
      </c>
      <c r="B254" s="831"/>
      <c r="C254" s="831"/>
      <c r="D254" s="832" t="s">
        <v>586</v>
      </c>
      <c r="E254" s="833">
        <f>E255+E259+E266+E279</f>
        <v>434466257</v>
      </c>
      <c r="F254" s="833">
        <f t="shared" ref="F254:I254" si="258">F255+F259+F266+F279</f>
        <v>434466257</v>
      </c>
      <c r="G254" s="833">
        <f t="shared" si="258"/>
        <v>8506105</v>
      </c>
      <c r="H254" s="833">
        <f t="shared" si="258"/>
        <v>254069</v>
      </c>
      <c r="I254" s="833">
        <f t="shared" si="258"/>
        <v>0</v>
      </c>
      <c r="J254" s="833">
        <f t="shared" ref="J254:J276" si="259">L254+O254</f>
        <v>57033993.590000004</v>
      </c>
      <c r="K254" s="833">
        <f t="shared" ref="K254:O254" si="260">K255+K259+K266+K279</f>
        <v>55733993.590000004</v>
      </c>
      <c r="L254" s="833">
        <f t="shared" si="260"/>
        <v>0</v>
      </c>
      <c r="M254" s="833">
        <f t="shared" si="260"/>
        <v>0</v>
      </c>
      <c r="N254" s="833">
        <f t="shared" si="260"/>
        <v>0</v>
      </c>
      <c r="O254" s="833">
        <f t="shared" si="260"/>
        <v>57033993.590000004</v>
      </c>
      <c r="P254" s="833">
        <f>E254+J254</f>
        <v>491500250.59000003</v>
      </c>
      <c r="Q254" s="627" t="b">
        <f>P254=P256+P257+P258+P261+P262+P263+P264+P268+P271+P273+P274+P276+P281+P282+P283+P265+P278</f>
        <v>1</v>
      </c>
      <c r="R254" s="291"/>
    </row>
    <row r="255" spans="1:18" ht="47.25" thickTop="1" thickBot="1" x14ac:dyDescent="0.25">
      <c r="A255" s="151" t="s">
        <v>843</v>
      </c>
      <c r="B255" s="151" t="s">
        <v>727</v>
      </c>
      <c r="C255" s="151"/>
      <c r="D255" s="151" t="s">
        <v>728</v>
      </c>
      <c r="E255" s="442">
        <f>SUM(E256:E258)</f>
        <v>9012595</v>
      </c>
      <c r="F255" s="442">
        <f t="shared" ref="F255:P255" si="261">SUM(F256:F258)</f>
        <v>9012595</v>
      </c>
      <c r="G255" s="442">
        <f t="shared" si="261"/>
        <v>6736115</v>
      </c>
      <c r="H255" s="442">
        <f t="shared" si="261"/>
        <v>189764</v>
      </c>
      <c r="I255" s="442">
        <f t="shared" si="261"/>
        <v>0</v>
      </c>
      <c r="J255" s="442">
        <f t="shared" si="261"/>
        <v>22000</v>
      </c>
      <c r="K255" s="442">
        <f t="shared" si="261"/>
        <v>22000</v>
      </c>
      <c r="L255" s="442">
        <f t="shared" si="261"/>
        <v>0</v>
      </c>
      <c r="M255" s="442">
        <f t="shared" si="261"/>
        <v>0</v>
      </c>
      <c r="N255" s="442">
        <f t="shared" si="261"/>
        <v>0</v>
      </c>
      <c r="O255" s="442">
        <f t="shared" si="261"/>
        <v>22000</v>
      </c>
      <c r="P255" s="442">
        <f t="shared" si="261"/>
        <v>9034595</v>
      </c>
      <c r="Q255" s="627"/>
      <c r="R255" s="291"/>
    </row>
    <row r="256" spans="1:18" ht="230.25" thickTop="1" thickBot="1" x14ac:dyDescent="0.25">
      <c r="A256" s="224" t="s">
        <v>568</v>
      </c>
      <c r="B256" s="224" t="s">
        <v>248</v>
      </c>
      <c r="C256" s="224" t="s">
        <v>246</v>
      </c>
      <c r="D256" s="224" t="s">
        <v>247</v>
      </c>
      <c r="E256" s="445">
        <f>F256</f>
        <v>8944984</v>
      </c>
      <c r="F256" s="446">
        <v>8944984</v>
      </c>
      <c r="G256" s="446">
        <v>6736115</v>
      </c>
      <c r="H256" s="446">
        <f>125302+7056+52006+5400</f>
        <v>189764</v>
      </c>
      <c r="I256" s="446"/>
      <c r="J256" s="442">
        <f t="shared" si="259"/>
        <v>22000</v>
      </c>
      <c r="K256" s="446">
        <v>22000</v>
      </c>
      <c r="L256" s="458"/>
      <c r="M256" s="458"/>
      <c r="N256" s="458"/>
      <c r="O256" s="444">
        <f t="shared" ref="O256:O274" si="262">K256</f>
        <v>22000</v>
      </c>
      <c r="P256" s="442">
        <f t="shared" ref="P256:P262" si="263">+J256+E256</f>
        <v>8966984</v>
      </c>
      <c r="R256" s="291"/>
    </row>
    <row r="257" spans="1:18" ht="184.5" thickTop="1" thickBot="1" x14ac:dyDescent="0.25">
      <c r="A257" s="472" t="s">
        <v>671</v>
      </c>
      <c r="B257" s="472" t="s">
        <v>376</v>
      </c>
      <c r="C257" s="472" t="s">
        <v>662</v>
      </c>
      <c r="D257" s="472" t="s">
        <v>663</v>
      </c>
      <c r="E257" s="445">
        <f>F257</f>
        <v>10000</v>
      </c>
      <c r="F257" s="446">
        <v>10000</v>
      </c>
      <c r="G257" s="446"/>
      <c r="H257" s="446"/>
      <c r="I257" s="446"/>
      <c r="J257" s="484">
        <f t="shared" ref="J257" si="264">L257+O257</f>
        <v>0</v>
      </c>
      <c r="K257" s="446"/>
      <c r="L257" s="458"/>
      <c r="M257" s="458"/>
      <c r="N257" s="458"/>
      <c r="O257" s="486">
        <f t="shared" ref="O257" si="265">K257</f>
        <v>0</v>
      </c>
      <c r="P257" s="484">
        <f t="shared" ref="P257" si="266">+J257+E257</f>
        <v>10000</v>
      </c>
      <c r="R257" s="291"/>
    </row>
    <row r="258" spans="1:18" ht="93" thickTop="1" thickBot="1" x14ac:dyDescent="0.25">
      <c r="A258" s="482" t="s">
        <v>569</v>
      </c>
      <c r="B258" s="482" t="s">
        <v>45</v>
      </c>
      <c r="C258" s="482" t="s">
        <v>44</v>
      </c>
      <c r="D258" s="482" t="s">
        <v>260</v>
      </c>
      <c r="E258" s="445">
        <f>F258</f>
        <v>57611</v>
      </c>
      <c r="F258" s="446">
        <v>57611</v>
      </c>
      <c r="G258" s="446"/>
      <c r="H258" s="446"/>
      <c r="I258" s="446"/>
      <c r="J258" s="484">
        <f t="shared" si="259"/>
        <v>0</v>
      </c>
      <c r="K258" s="446"/>
      <c r="L258" s="458"/>
      <c r="M258" s="458"/>
      <c r="N258" s="458"/>
      <c r="O258" s="486">
        <f t="shared" si="262"/>
        <v>0</v>
      </c>
      <c r="P258" s="484">
        <f t="shared" si="263"/>
        <v>57611</v>
      </c>
      <c r="R258" s="297"/>
    </row>
    <row r="259" spans="1:18" ht="91.5" thickTop="1" thickBot="1" x14ac:dyDescent="0.25">
      <c r="A259" s="151" t="s">
        <v>844</v>
      </c>
      <c r="B259" s="465" t="s">
        <v>786</v>
      </c>
      <c r="C259" s="465"/>
      <c r="D259" s="559" t="s">
        <v>787</v>
      </c>
      <c r="E259" s="445">
        <f>SUM(E260:E265)-E260</f>
        <v>358712592</v>
      </c>
      <c r="F259" s="445">
        <f t="shared" ref="F259:P259" si="267">SUM(F260:F265)-F260</f>
        <v>358712592</v>
      </c>
      <c r="G259" s="445">
        <f t="shared" si="267"/>
        <v>0</v>
      </c>
      <c r="H259" s="445">
        <f t="shared" si="267"/>
        <v>10000</v>
      </c>
      <c r="I259" s="445">
        <f t="shared" si="267"/>
        <v>0</v>
      </c>
      <c r="J259" s="445">
        <f t="shared" si="267"/>
        <v>1765000</v>
      </c>
      <c r="K259" s="445">
        <f t="shared" si="267"/>
        <v>1765000</v>
      </c>
      <c r="L259" s="445">
        <f t="shared" si="267"/>
        <v>0</v>
      </c>
      <c r="M259" s="445">
        <f t="shared" si="267"/>
        <v>0</v>
      </c>
      <c r="N259" s="445">
        <f t="shared" si="267"/>
        <v>0</v>
      </c>
      <c r="O259" s="445">
        <f t="shared" si="267"/>
        <v>1765000</v>
      </c>
      <c r="P259" s="445">
        <f t="shared" si="267"/>
        <v>360477592</v>
      </c>
      <c r="R259" s="297"/>
    </row>
    <row r="260" spans="1:18" ht="184.5" thickTop="1" thickBot="1" x14ac:dyDescent="0.25">
      <c r="A260" s="488" t="s">
        <v>845</v>
      </c>
      <c r="B260" s="469" t="s">
        <v>836</v>
      </c>
      <c r="C260" s="469"/>
      <c r="D260" s="469" t="s">
        <v>837</v>
      </c>
      <c r="E260" s="489">
        <f>SUM(E261:E262)</f>
        <v>105250000</v>
      </c>
      <c r="F260" s="489">
        <f>SUM(F261:F262)</f>
        <v>105250000</v>
      </c>
      <c r="G260" s="489">
        <f t="shared" ref="G260:P260" si="268">SUM(G261:G262)</f>
        <v>0</v>
      </c>
      <c r="H260" s="489">
        <f t="shared" si="268"/>
        <v>0</v>
      </c>
      <c r="I260" s="489">
        <f t="shared" si="268"/>
        <v>0</v>
      </c>
      <c r="J260" s="489">
        <f t="shared" si="268"/>
        <v>250000</v>
      </c>
      <c r="K260" s="489">
        <f t="shared" si="268"/>
        <v>250000</v>
      </c>
      <c r="L260" s="489">
        <f t="shared" si="268"/>
        <v>0</v>
      </c>
      <c r="M260" s="489">
        <f t="shared" si="268"/>
        <v>0</v>
      </c>
      <c r="N260" s="489">
        <f t="shared" si="268"/>
        <v>0</v>
      </c>
      <c r="O260" s="489">
        <f t="shared" si="268"/>
        <v>250000</v>
      </c>
      <c r="P260" s="489">
        <f t="shared" si="268"/>
        <v>105500000</v>
      </c>
      <c r="R260" s="297"/>
    </row>
    <row r="261" spans="1:18" ht="138.75" thickTop="1" thickBot="1" x14ac:dyDescent="0.25">
      <c r="A261" s="482" t="s">
        <v>570</v>
      </c>
      <c r="B261" s="855" t="s">
        <v>391</v>
      </c>
      <c r="C261" s="482" t="s">
        <v>295</v>
      </c>
      <c r="D261" s="482" t="s">
        <v>392</v>
      </c>
      <c r="E261" s="445">
        <f t="shared" ref="E261:E274" si="269">F261</f>
        <v>97600000</v>
      </c>
      <c r="F261" s="446">
        <f>(35000000+15000000)+47600000</f>
        <v>97600000</v>
      </c>
      <c r="G261" s="446"/>
      <c r="H261" s="446"/>
      <c r="I261" s="446"/>
      <c r="J261" s="484">
        <f t="shared" si="259"/>
        <v>0</v>
      </c>
      <c r="K261" s="446"/>
      <c r="L261" s="458"/>
      <c r="M261" s="458"/>
      <c r="N261" s="458"/>
      <c r="O261" s="486">
        <f t="shared" si="262"/>
        <v>0</v>
      </c>
      <c r="P261" s="484">
        <f t="shared" si="263"/>
        <v>97600000</v>
      </c>
      <c r="R261" s="297"/>
    </row>
    <row r="262" spans="1:18" ht="138.75" thickTop="1" thickBot="1" x14ac:dyDescent="0.25">
      <c r="A262" s="482" t="s">
        <v>571</v>
      </c>
      <c r="B262" s="482" t="s">
        <v>298</v>
      </c>
      <c r="C262" s="482" t="s">
        <v>295</v>
      </c>
      <c r="D262" s="482" t="s">
        <v>299</v>
      </c>
      <c r="E262" s="445">
        <f t="shared" si="269"/>
        <v>7650000</v>
      </c>
      <c r="F262" s="446">
        <f>(650000)+7000000</f>
        <v>7650000</v>
      </c>
      <c r="G262" s="446"/>
      <c r="H262" s="446"/>
      <c r="I262" s="446"/>
      <c r="J262" s="484">
        <f t="shared" si="259"/>
        <v>250000</v>
      </c>
      <c r="K262" s="446">
        <v>250000</v>
      </c>
      <c r="L262" s="458"/>
      <c r="M262" s="458"/>
      <c r="N262" s="458"/>
      <c r="O262" s="486">
        <f t="shared" si="262"/>
        <v>250000</v>
      </c>
      <c r="P262" s="484">
        <f t="shared" si="263"/>
        <v>7900000</v>
      </c>
      <c r="R262" s="297"/>
    </row>
    <row r="263" spans="1:18" ht="230.25" thickTop="1" thickBot="1" x14ac:dyDescent="0.25">
      <c r="A263" s="482" t="s">
        <v>572</v>
      </c>
      <c r="B263" s="482" t="s">
        <v>310</v>
      </c>
      <c r="C263" s="482" t="s">
        <v>295</v>
      </c>
      <c r="D263" s="482" t="s">
        <v>311</v>
      </c>
      <c r="E263" s="445">
        <f t="shared" si="269"/>
        <v>2574000</v>
      </c>
      <c r="F263" s="446">
        <v>2574000</v>
      </c>
      <c r="G263" s="446"/>
      <c r="H263" s="446"/>
      <c r="I263" s="446"/>
      <c r="J263" s="484">
        <f t="shared" si="259"/>
        <v>0</v>
      </c>
      <c r="K263" s="443"/>
      <c r="L263" s="446"/>
      <c r="M263" s="446"/>
      <c r="N263" s="446"/>
      <c r="O263" s="486">
        <f t="shared" si="262"/>
        <v>0</v>
      </c>
      <c r="P263" s="484">
        <f t="shared" ref="P263:P268" si="270">E263+J263</f>
        <v>2574000</v>
      </c>
      <c r="R263" s="297"/>
    </row>
    <row r="264" spans="1:18" ht="93" thickTop="1" thickBot="1" x14ac:dyDescent="0.25">
      <c r="A264" s="482" t="s">
        <v>573</v>
      </c>
      <c r="B264" s="482" t="s">
        <v>301</v>
      </c>
      <c r="C264" s="482" t="s">
        <v>295</v>
      </c>
      <c r="D264" s="482" t="s">
        <v>302</v>
      </c>
      <c r="E264" s="445">
        <f t="shared" si="269"/>
        <v>246164742</v>
      </c>
      <c r="F264" s="446">
        <f>(((229382942)-17920000)+34615000)+86800</f>
        <v>246164742</v>
      </c>
      <c r="G264" s="446"/>
      <c r="H264" s="446">
        <v>10000</v>
      </c>
      <c r="I264" s="446"/>
      <c r="J264" s="484">
        <f t="shared" si="259"/>
        <v>1515000</v>
      </c>
      <c r="K264" s="443">
        <f>(5215000)-3700000</f>
        <v>1515000</v>
      </c>
      <c r="L264" s="446"/>
      <c r="M264" s="446"/>
      <c r="N264" s="446"/>
      <c r="O264" s="486">
        <f t="shared" si="262"/>
        <v>1515000</v>
      </c>
      <c r="P264" s="484">
        <f t="shared" si="270"/>
        <v>247679742</v>
      </c>
      <c r="R264" s="291"/>
    </row>
    <row r="265" spans="1:18" ht="138.75" thickTop="1" thickBot="1" x14ac:dyDescent="0.25">
      <c r="A265" s="482" t="s">
        <v>1288</v>
      </c>
      <c r="B265" s="482" t="s">
        <v>1289</v>
      </c>
      <c r="C265" s="482" t="s">
        <v>1290</v>
      </c>
      <c r="D265" s="482" t="s">
        <v>1287</v>
      </c>
      <c r="E265" s="445">
        <f t="shared" si="269"/>
        <v>4723850</v>
      </c>
      <c r="F265" s="446">
        <v>4723850</v>
      </c>
      <c r="G265" s="446"/>
      <c r="H265" s="446"/>
      <c r="I265" s="446"/>
      <c r="J265" s="484">
        <f t="shared" si="259"/>
        <v>0</v>
      </c>
      <c r="K265" s="443"/>
      <c r="L265" s="446"/>
      <c r="M265" s="446"/>
      <c r="N265" s="446"/>
      <c r="O265" s="486">
        <f t="shared" si="262"/>
        <v>0</v>
      </c>
      <c r="P265" s="484">
        <f t="shared" si="270"/>
        <v>4723850</v>
      </c>
      <c r="R265" s="291"/>
    </row>
    <row r="266" spans="1:18" ht="47.25" thickTop="1" thickBot="1" x14ac:dyDescent="0.25">
      <c r="A266" s="151" t="s">
        <v>846</v>
      </c>
      <c r="B266" s="465" t="s">
        <v>792</v>
      </c>
      <c r="C266" s="465"/>
      <c r="D266" s="465" t="s">
        <v>793</v>
      </c>
      <c r="E266" s="445">
        <f>E267+E269+E272</f>
        <v>63012000</v>
      </c>
      <c r="F266" s="445">
        <f t="shared" ref="F266:P266" si="271">F267+F269+F272</f>
        <v>63012000</v>
      </c>
      <c r="G266" s="445">
        <f t="shared" si="271"/>
        <v>0</v>
      </c>
      <c r="H266" s="445">
        <f t="shared" si="271"/>
        <v>0</v>
      </c>
      <c r="I266" s="445">
        <f t="shared" si="271"/>
        <v>0</v>
      </c>
      <c r="J266" s="445">
        <f>J267+J269+J272</f>
        <v>47146993.590000004</v>
      </c>
      <c r="K266" s="445">
        <f t="shared" si="271"/>
        <v>45846993.590000004</v>
      </c>
      <c r="L266" s="445">
        <f t="shared" si="271"/>
        <v>0</v>
      </c>
      <c r="M266" s="445">
        <f t="shared" si="271"/>
        <v>0</v>
      </c>
      <c r="N266" s="445">
        <f t="shared" si="271"/>
        <v>0</v>
      </c>
      <c r="O266" s="445">
        <f t="shared" si="271"/>
        <v>47146993.590000004</v>
      </c>
      <c r="P266" s="445">
        <f t="shared" si="271"/>
        <v>110158993.59</v>
      </c>
      <c r="R266" s="297"/>
    </row>
    <row r="267" spans="1:18" ht="91.5" thickTop="1" thickBot="1" x14ac:dyDescent="0.25">
      <c r="A267" s="466" t="s">
        <v>847</v>
      </c>
      <c r="B267" s="466" t="s">
        <v>848</v>
      </c>
      <c r="C267" s="466"/>
      <c r="D267" s="466" t="s">
        <v>849</v>
      </c>
      <c r="E267" s="523">
        <f>E268</f>
        <v>0</v>
      </c>
      <c r="F267" s="523">
        <f t="shared" ref="F267:P267" si="272">F268</f>
        <v>0</v>
      </c>
      <c r="G267" s="523">
        <f t="shared" si="272"/>
        <v>0</v>
      </c>
      <c r="H267" s="523">
        <f t="shared" si="272"/>
        <v>0</v>
      </c>
      <c r="I267" s="523">
        <f t="shared" si="272"/>
        <v>0</v>
      </c>
      <c r="J267" s="523">
        <f t="shared" si="272"/>
        <v>3070000</v>
      </c>
      <c r="K267" s="523">
        <f t="shared" si="272"/>
        <v>3070000</v>
      </c>
      <c r="L267" s="523">
        <f t="shared" si="272"/>
        <v>0</v>
      </c>
      <c r="M267" s="523">
        <f t="shared" si="272"/>
        <v>0</v>
      </c>
      <c r="N267" s="523">
        <f t="shared" si="272"/>
        <v>0</v>
      </c>
      <c r="O267" s="523">
        <f t="shared" si="272"/>
        <v>3070000</v>
      </c>
      <c r="P267" s="523">
        <f t="shared" si="272"/>
        <v>3070000</v>
      </c>
      <c r="R267" s="297"/>
    </row>
    <row r="268" spans="1:18" ht="99.75" thickTop="1" thickBot="1" x14ac:dyDescent="0.25">
      <c r="A268" s="482" t="s">
        <v>574</v>
      </c>
      <c r="B268" s="482" t="s">
        <v>318</v>
      </c>
      <c r="C268" s="482" t="s">
        <v>317</v>
      </c>
      <c r="D268" s="482" t="s">
        <v>664</v>
      </c>
      <c r="E268" s="445">
        <f t="shared" si="269"/>
        <v>0</v>
      </c>
      <c r="F268" s="446"/>
      <c r="G268" s="446"/>
      <c r="H268" s="446"/>
      <c r="I268" s="446"/>
      <c r="J268" s="484">
        <f>L268+O268</f>
        <v>3070000</v>
      </c>
      <c r="K268" s="443">
        <f>((6670000+1000000)-600000)-4000000</f>
        <v>3070000</v>
      </c>
      <c r="L268" s="446"/>
      <c r="M268" s="446"/>
      <c r="N268" s="446"/>
      <c r="O268" s="486">
        <f>K268</f>
        <v>3070000</v>
      </c>
      <c r="P268" s="484">
        <f t="shared" si="270"/>
        <v>3070000</v>
      </c>
      <c r="R268" s="291"/>
    </row>
    <row r="269" spans="1:18" ht="136.5" thickTop="1" thickBot="1" x14ac:dyDescent="0.25">
      <c r="A269" s="466" t="s">
        <v>850</v>
      </c>
      <c r="B269" s="466" t="s">
        <v>851</v>
      </c>
      <c r="C269" s="466"/>
      <c r="D269" s="466" t="s">
        <v>852</v>
      </c>
      <c r="E269" s="523">
        <f t="shared" ref="E269:P270" si="273">E270</f>
        <v>62866000</v>
      </c>
      <c r="F269" s="523">
        <f t="shared" si="273"/>
        <v>62866000</v>
      </c>
      <c r="G269" s="523">
        <f t="shared" si="273"/>
        <v>0</v>
      </c>
      <c r="H269" s="523">
        <f t="shared" si="273"/>
        <v>0</v>
      </c>
      <c r="I269" s="523">
        <f t="shared" si="273"/>
        <v>0</v>
      </c>
      <c r="J269" s="523">
        <f t="shared" si="273"/>
        <v>25600000</v>
      </c>
      <c r="K269" s="523">
        <f t="shared" si="273"/>
        <v>25600000</v>
      </c>
      <c r="L269" s="523">
        <f t="shared" si="273"/>
        <v>0</v>
      </c>
      <c r="M269" s="523">
        <f t="shared" si="273"/>
        <v>0</v>
      </c>
      <c r="N269" s="523">
        <f t="shared" si="273"/>
        <v>0</v>
      </c>
      <c r="O269" s="523">
        <f t="shared" si="273"/>
        <v>25600000</v>
      </c>
      <c r="P269" s="523">
        <f t="shared" si="273"/>
        <v>88466000</v>
      </c>
      <c r="R269" s="297"/>
    </row>
    <row r="270" spans="1:18" ht="138.75" thickTop="1" thickBot="1" x14ac:dyDescent="0.25">
      <c r="A270" s="482" t="s">
        <v>1028</v>
      </c>
      <c r="B270" s="488" t="s">
        <v>1029</v>
      </c>
      <c r="C270" s="466"/>
      <c r="D270" s="488" t="s">
        <v>1030</v>
      </c>
      <c r="E270" s="489">
        <f t="shared" si="273"/>
        <v>62866000</v>
      </c>
      <c r="F270" s="489">
        <f t="shared" si="273"/>
        <v>62866000</v>
      </c>
      <c r="G270" s="489">
        <f t="shared" si="273"/>
        <v>0</v>
      </c>
      <c r="H270" s="489">
        <f t="shared" si="273"/>
        <v>0</v>
      </c>
      <c r="I270" s="489">
        <f t="shared" si="273"/>
        <v>0</v>
      </c>
      <c r="J270" s="489">
        <f t="shared" si="273"/>
        <v>25600000</v>
      </c>
      <c r="K270" s="489">
        <f t="shared" si="273"/>
        <v>25600000</v>
      </c>
      <c r="L270" s="489">
        <f t="shared" si="273"/>
        <v>0</v>
      </c>
      <c r="M270" s="489">
        <f t="shared" si="273"/>
        <v>0</v>
      </c>
      <c r="N270" s="489">
        <f t="shared" si="273"/>
        <v>0</v>
      </c>
      <c r="O270" s="489">
        <f t="shared" si="273"/>
        <v>25600000</v>
      </c>
      <c r="P270" s="489">
        <f t="shared" si="273"/>
        <v>88466000</v>
      </c>
      <c r="R270" s="297"/>
    </row>
    <row r="271" spans="1:18" ht="230.25" thickTop="1" thickBot="1" x14ac:dyDescent="0.25">
      <c r="A271" s="482" t="s">
        <v>575</v>
      </c>
      <c r="B271" s="855" t="s">
        <v>306</v>
      </c>
      <c r="C271" s="482" t="s">
        <v>308</v>
      </c>
      <c r="D271" s="482" t="s">
        <v>307</v>
      </c>
      <c r="E271" s="445">
        <f t="shared" si="269"/>
        <v>62866000</v>
      </c>
      <c r="F271" s="446">
        <f>((41966000)+17920000)+2980000</f>
        <v>62866000</v>
      </c>
      <c r="G271" s="446"/>
      <c r="H271" s="446"/>
      <c r="I271" s="446"/>
      <c r="J271" s="484">
        <f t="shared" si="259"/>
        <v>25600000</v>
      </c>
      <c r="K271" s="446">
        <f>((((105000000-10000000-1000000)-47600000)-30000000)-5000000)+14200000</f>
        <v>25600000</v>
      </c>
      <c r="L271" s="458"/>
      <c r="M271" s="458"/>
      <c r="N271" s="458"/>
      <c r="O271" s="486">
        <f>K271</f>
        <v>25600000</v>
      </c>
      <c r="P271" s="484">
        <f>+J271+E271</f>
        <v>88466000</v>
      </c>
      <c r="R271" s="291"/>
    </row>
    <row r="272" spans="1:18" ht="136.5" thickTop="1" thickBot="1" x14ac:dyDescent="0.25">
      <c r="A272" s="466" t="s">
        <v>853</v>
      </c>
      <c r="B272" s="466" t="s">
        <v>734</v>
      </c>
      <c r="C272" s="466"/>
      <c r="D272" s="466" t="s">
        <v>732</v>
      </c>
      <c r="E272" s="523">
        <f>SUM(E273:E278)-E275</f>
        <v>146000</v>
      </c>
      <c r="F272" s="523">
        <f t="shared" ref="F272:P272" si="274">SUM(F273:F278)-F275</f>
        <v>146000</v>
      </c>
      <c r="G272" s="523">
        <f t="shared" si="274"/>
        <v>0</v>
      </c>
      <c r="H272" s="523">
        <f t="shared" si="274"/>
        <v>0</v>
      </c>
      <c r="I272" s="523">
        <f t="shared" si="274"/>
        <v>0</v>
      </c>
      <c r="J272" s="523">
        <f t="shared" si="274"/>
        <v>18476993.59</v>
      </c>
      <c r="K272" s="523">
        <f t="shared" si="274"/>
        <v>17176993.59</v>
      </c>
      <c r="L272" s="523">
        <f t="shared" si="274"/>
        <v>0</v>
      </c>
      <c r="M272" s="523">
        <f t="shared" si="274"/>
        <v>0</v>
      </c>
      <c r="N272" s="523">
        <f t="shared" si="274"/>
        <v>0</v>
      </c>
      <c r="O272" s="523">
        <f t="shared" si="274"/>
        <v>18476993.59</v>
      </c>
      <c r="P272" s="523">
        <f t="shared" si="274"/>
        <v>18622993.59</v>
      </c>
      <c r="R272" s="291"/>
    </row>
    <row r="273" spans="1:18" ht="48" thickTop="1" thickBot="1" x14ac:dyDescent="0.25">
      <c r="A273" s="482" t="s">
        <v>576</v>
      </c>
      <c r="B273" s="482" t="s">
        <v>224</v>
      </c>
      <c r="C273" s="482" t="s">
        <v>225</v>
      </c>
      <c r="D273" s="482" t="s">
        <v>43</v>
      </c>
      <c r="E273" s="445">
        <f t="shared" si="269"/>
        <v>0</v>
      </c>
      <c r="F273" s="446"/>
      <c r="G273" s="446"/>
      <c r="H273" s="446"/>
      <c r="I273" s="446"/>
      <c r="J273" s="484">
        <f t="shared" si="259"/>
        <v>13296993.59</v>
      </c>
      <c r="K273" s="443">
        <f>(12560000)+736993.59</f>
        <v>13296993.59</v>
      </c>
      <c r="L273" s="446"/>
      <c r="M273" s="446"/>
      <c r="N273" s="446"/>
      <c r="O273" s="486">
        <f t="shared" si="262"/>
        <v>13296993.59</v>
      </c>
      <c r="P273" s="484">
        <f>E273+J273</f>
        <v>13296993.59</v>
      </c>
      <c r="R273" s="291"/>
    </row>
    <row r="274" spans="1:18" ht="93" thickTop="1" thickBot="1" x14ac:dyDescent="0.25">
      <c r="A274" s="482" t="s">
        <v>577</v>
      </c>
      <c r="B274" s="482" t="s">
        <v>209</v>
      </c>
      <c r="C274" s="482" t="s">
        <v>178</v>
      </c>
      <c r="D274" s="482" t="s">
        <v>36</v>
      </c>
      <c r="E274" s="445">
        <f t="shared" si="269"/>
        <v>0</v>
      </c>
      <c r="F274" s="446"/>
      <c r="G274" s="446"/>
      <c r="H274" s="446"/>
      <c r="I274" s="446"/>
      <c r="J274" s="484">
        <f t="shared" si="259"/>
        <v>3880000</v>
      </c>
      <c r="K274" s="443">
        <f>((((11305000)+3000000)-3460000)-2295000)-4670000</f>
        <v>3880000</v>
      </c>
      <c r="L274" s="446"/>
      <c r="M274" s="446"/>
      <c r="N274" s="446"/>
      <c r="O274" s="486">
        <f t="shared" si="262"/>
        <v>3880000</v>
      </c>
      <c r="P274" s="484">
        <f>E274+J274</f>
        <v>3880000</v>
      </c>
      <c r="R274" s="291"/>
    </row>
    <row r="275" spans="1:18" ht="48" thickTop="1" thickBot="1" x14ac:dyDescent="0.25">
      <c r="A275" s="488" t="s">
        <v>854</v>
      </c>
      <c r="B275" s="488" t="s">
        <v>737</v>
      </c>
      <c r="C275" s="488"/>
      <c r="D275" s="488" t="s">
        <v>842</v>
      </c>
      <c r="E275" s="489">
        <f t="shared" ref="E275:P275" si="275">E276+E278</f>
        <v>146000</v>
      </c>
      <c r="F275" s="489">
        <f t="shared" si="275"/>
        <v>146000</v>
      </c>
      <c r="G275" s="489">
        <f t="shared" si="275"/>
        <v>0</v>
      </c>
      <c r="H275" s="489">
        <f t="shared" si="275"/>
        <v>0</v>
      </c>
      <c r="I275" s="489">
        <f t="shared" si="275"/>
        <v>0</v>
      </c>
      <c r="J275" s="489">
        <f t="shared" si="275"/>
        <v>1300000</v>
      </c>
      <c r="K275" s="489">
        <f t="shared" si="275"/>
        <v>0</v>
      </c>
      <c r="L275" s="489">
        <f t="shared" si="275"/>
        <v>0</v>
      </c>
      <c r="M275" s="489">
        <f t="shared" si="275"/>
        <v>0</v>
      </c>
      <c r="N275" s="489">
        <f t="shared" si="275"/>
        <v>0</v>
      </c>
      <c r="O275" s="489">
        <f t="shared" si="275"/>
        <v>1300000</v>
      </c>
      <c r="P275" s="489">
        <f t="shared" si="275"/>
        <v>1446000</v>
      </c>
      <c r="R275" s="297"/>
    </row>
    <row r="276" spans="1:18" ht="409.6" thickTop="1" thickBot="1" x14ac:dyDescent="0.7">
      <c r="A276" s="915" t="s">
        <v>578</v>
      </c>
      <c r="B276" s="915" t="s">
        <v>352</v>
      </c>
      <c r="C276" s="915" t="s">
        <v>178</v>
      </c>
      <c r="D276" s="483" t="s">
        <v>457</v>
      </c>
      <c r="E276" s="922"/>
      <c r="F276" s="920"/>
      <c r="G276" s="920"/>
      <c r="H276" s="920"/>
      <c r="I276" s="920"/>
      <c r="J276" s="922">
        <f t="shared" si="259"/>
        <v>1300000</v>
      </c>
      <c r="K276" s="920"/>
      <c r="L276" s="920">
        <v>0</v>
      </c>
      <c r="M276" s="920"/>
      <c r="N276" s="920"/>
      <c r="O276" s="918">
        <v>1300000</v>
      </c>
      <c r="P276" s="919">
        <f>E276+J276</f>
        <v>1300000</v>
      </c>
      <c r="R276" s="297"/>
    </row>
    <row r="277" spans="1:18" ht="184.5" thickTop="1" thickBot="1" x14ac:dyDescent="0.25">
      <c r="A277" s="915"/>
      <c r="B277" s="915"/>
      <c r="C277" s="915"/>
      <c r="D277" s="487" t="s">
        <v>458</v>
      </c>
      <c r="E277" s="922"/>
      <c r="F277" s="920"/>
      <c r="G277" s="920"/>
      <c r="H277" s="920"/>
      <c r="I277" s="920"/>
      <c r="J277" s="922"/>
      <c r="K277" s="920"/>
      <c r="L277" s="920"/>
      <c r="M277" s="920"/>
      <c r="N277" s="920"/>
      <c r="O277" s="918"/>
      <c r="P277" s="919"/>
      <c r="R277" s="297"/>
    </row>
    <row r="278" spans="1:18" s="743" customFormat="1" ht="93" thickTop="1" thickBot="1" x14ac:dyDescent="0.25">
      <c r="A278" s="754" t="s">
        <v>1337</v>
      </c>
      <c r="B278" s="754" t="s">
        <v>269</v>
      </c>
      <c r="C278" s="754" t="s">
        <v>178</v>
      </c>
      <c r="D278" s="487" t="s">
        <v>267</v>
      </c>
      <c r="E278" s="445">
        <f t="shared" ref="E278" si="276">F278</f>
        <v>146000</v>
      </c>
      <c r="F278" s="446">
        <v>146000</v>
      </c>
      <c r="G278" s="446"/>
      <c r="H278" s="446"/>
      <c r="I278" s="446"/>
      <c r="J278" s="757">
        <f t="shared" ref="J278" si="277">L278+O278</f>
        <v>0</v>
      </c>
      <c r="K278" s="443"/>
      <c r="L278" s="446"/>
      <c r="M278" s="446"/>
      <c r="N278" s="446"/>
      <c r="O278" s="755">
        <f t="shared" ref="O278" si="278">K278</f>
        <v>0</v>
      </c>
      <c r="P278" s="757">
        <f>E278+J278</f>
        <v>146000</v>
      </c>
      <c r="Q278" s="613"/>
      <c r="R278" s="297"/>
    </row>
    <row r="279" spans="1:18" ht="47.25" thickTop="1" thickBot="1" x14ac:dyDescent="0.25">
      <c r="A279" s="151" t="s">
        <v>855</v>
      </c>
      <c r="B279" s="151" t="s">
        <v>739</v>
      </c>
      <c r="C279" s="151"/>
      <c r="D279" s="568" t="s">
        <v>740</v>
      </c>
      <c r="E279" s="484">
        <f>E280</f>
        <v>3729070</v>
      </c>
      <c r="F279" s="484">
        <f t="shared" ref="F279:P279" si="279">F280</f>
        <v>3729070</v>
      </c>
      <c r="G279" s="484">
        <f t="shared" si="279"/>
        <v>1769990</v>
      </c>
      <c r="H279" s="484">
        <f t="shared" si="279"/>
        <v>54305</v>
      </c>
      <c r="I279" s="484">
        <f t="shared" si="279"/>
        <v>0</v>
      </c>
      <c r="J279" s="484">
        <f t="shared" si="279"/>
        <v>8100000</v>
      </c>
      <c r="K279" s="484">
        <f t="shared" si="279"/>
        <v>8100000</v>
      </c>
      <c r="L279" s="484">
        <f t="shared" si="279"/>
        <v>0</v>
      </c>
      <c r="M279" s="484">
        <f t="shared" si="279"/>
        <v>0</v>
      </c>
      <c r="N279" s="484">
        <f t="shared" si="279"/>
        <v>0</v>
      </c>
      <c r="O279" s="484">
        <f t="shared" si="279"/>
        <v>8100000</v>
      </c>
      <c r="P279" s="484">
        <f t="shared" si="279"/>
        <v>11829070</v>
      </c>
      <c r="R279" s="297"/>
    </row>
    <row r="280" spans="1:18" ht="181.5" thickTop="1" thickBot="1" x14ac:dyDescent="0.25">
      <c r="A280" s="466" t="s">
        <v>857</v>
      </c>
      <c r="B280" s="466" t="s">
        <v>858</v>
      </c>
      <c r="C280" s="466"/>
      <c r="D280" s="569" t="s">
        <v>856</v>
      </c>
      <c r="E280" s="467">
        <f>SUM(E281:E283)</f>
        <v>3729070</v>
      </c>
      <c r="F280" s="467">
        <f t="shared" ref="F280:P280" si="280">SUM(F281:F283)</f>
        <v>3729070</v>
      </c>
      <c r="G280" s="467">
        <f t="shared" si="280"/>
        <v>1769990</v>
      </c>
      <c r="H280" s="467">
        <f t="shared" si="280"/>
        <v>54305</v>
      </c>
      <c r="I280" s="467">
        <f t="shared" si="280"/>
        <v>0</v>
      </c>
      <c r="J280" s="467">
        <f t="shared" si="280"/>
        <v>8100000</v>
      </c>
      <c r="K280" s="467">
        <f t="shared" si="280"/>
        <v>8100000</v>
      </c>
      <c r="L280" s="467">
        <f t="shared" si="280"/>
        <v>0</v>
      </c>
      <c r="M280" s="467">
        <f t="shared" si="280"/>
        <v>0</v>
      </c>
      <c r="N280" s="467">
        <f t="shared" si="280"/>
        <v>0</v>
      </c>
      <c r="O280" s="467">
        <f t="shared" si="280"/>
        <v>8100000</v>
      </c>
      <c r="P280" s="467">
        <f t="shared" si="280"/>
        <v>11829070</v>
      </c>
      <c r="R280" s="297"/>
    </row>
    <row r="281" spans="1:18" ht="184.5" thickTop="1" thickBot="1" x14ac:dyDescent="0.25">
      <c r="A281" s="482" t="s">
        <v>579</v>
      </c>
      <c r="B281" s="482" t="s">
        <v>536</v>
      </c>
      <c r="C281" s="482" t="s">
        <v>263</v>
      </c>
      <c r="D281" s="482" t="s">
        <v>537</v>
      </c>
      <c r="E281" s="445">
        <f>F281</f>
        <v>1200000</v>
      </c>
      <c r="F281" s="446">
        <f>((63040)+136960)+1000000</f>
        <v>1200000</v>
      </c>
      <c r="G281" s="446"/>
      <c r="H281" s="446"/>
      <c r="I281" s="446"/>
      <c r="J281" s="484">
        <f>L281+O281</f>
        <v>8100000</v>
      </c>
      <c r="K281" s="443">
        <v>8100000</v>
      </c>
      <c r="L281" s="446"/>
      <c r="M281" s="446"/>
      <c r="N281" s="446"/>
      <c r="O281" s="486">
        <f>K281</f>
        <v>8100000</v>
      </c>
      <c r="P281" s="484">
        <f>E281+J281</f>
        <v>9300000</v>
      </c>
      <c r="R281" s="297"/>
    </row>
    <row r="282" spans="1:18" ht="93" thickTop="1" thickBot="1" x14ac:dyDescent="0.25">
      <c r="A282" s="482" t="s">
        <v>580</v>
      </c>
      <c r="B282" s="482" t="s">
        <v>262</v>
      </c>
      <c r="C282" s="482" t="s">
        <v>263</v>
      </c>
      <c r="D282" s="482" t="s">
        <v>261</v>
      </c>
      <c r="E282" s="445">
        <f t="shared" ref="E282:E283" si="281">F282</f>
        <v>2529070</v>
      </c>
      <c r="F282" s="446">
        <v>2529070</v>
      </c>
      <c r="G282" s="446">
        <v>1769990</v>
      </c>
      <c r="H282" s="446">
        <f>(2060+40860+11385)</f>
        <v>54305</v>
      </c>
      <c r="I282" s="446"/>
      <c r="J282" s="484">
        <f>L282+O282</f>
        <v>0</v>
      </c>
      <c r="K282" s="443"/>
      <c r="L282" s="446"/>
      <c r="M282" s="446"/>
      <c r="N282" s="446"/>
      <c r="O282" s="486">
        <f>K282</f>
        <v>0</v>
      </c>
      <c r="P282" s="484">
        <f>E282+J282</f>
        <v>2529070</v>
      </c>
      <c r="R282" s="292"/>
    </row>
    <row r="283" spans="1:18" ht="93" hidden="1" thickTop="1" thickBot="1" x14ac:dyDescent="0.25">
      <c r="A283" s="259" t="s">
        <v>581</v>
      </c>
      <c r="B283" s="259" t="s">
        <v>582</v>
      </c>
      <c r="C283" s="259" t="s">
        <v>263</v>
      </c>
      <c r="D283" s="259" t="s">
        <v>583</v>
      </c>
      <c r="E283" s="305">
        <f t="shared" si="281"/>
        <v>0</v>
      </c>
      <c r="F283" s="260">
        <f>(1219000)-1219000</f>
        <v>0</v>
      </c>
      <c r="G283" s="260">
        <f>(354000+540000)-894000</f>
        <v>0</v>
      </c>
      <c r="H283" s="260">
        <f>(6000+3000)-9000</f>
        <v>0</v>
      </c>
      <c r="I283" s="260"/>
      <c r="J283" s="256">
        <f>L283+O283</f>
        <v>0</v>
      </c>
      <c r="K283" s="278"/>
      <c r="L283" s="260"/>
      <c r="M283" s="260"/>
      <c r="N283" s="260"/>
      <c r="O283" s="262">
        <f>K283</f>
        <v>0</v>
      </c>
      <c r="P283" s="256">
        <f>E283+J283</f>
        <v>0</v>
      </c>
      <c r="R283" s="297"/>
    </row>
    <row r="284" spans="1:18" ht="316.5" thickTop="1" thickBot="1" x14ac:dyDescent="0.25">
      <c r="A284" s="827" t="s">
        <v>25</v>
      </c>
      <c r="B284" s="827"/>
      <c r="C284" s="827"/>
      <c r="D284" s="828" t="s">
        <v>388</v>
      </c>
      <c r="E284" s="829">
        <f>E285</f>
        <v>3985330</v>
      </c>
      <c r="F284" s="830">
        <f t="shared" ref="F284:G284" si="282">F285</f>
        <v>3985330</v>
      </c>
      <c r="G284" s="830">
        <f t="shared" si="282"/>
        <v>2707790</v>
      </c>
      <c r="H284" s="830">
        <f>H285</f>
        <v>117376</v>
      </c>
      <c r="I284" s="830">
        <f t="shared" ref="I284" si="283">I285</f>
        <v>0</v>
      </c>
      <c r="J284" s="829">
        <f>J285</f>
        <v>32971688</v>
      </c>
      <c r="K284" s="830">
        <f>K285</f>
        <v>32971688</v>
      </c>
      <c r="L284" s="830">
        <f>L285</f>
        <v>0</v>
      </c>
      <c r="M284" s="830">
        <f t="shared" ref="M284" si="284">M285</f>
        <v>0</v>
      </c>
      <c r="N284" s="830">
        <f>N285</f>
        <v>0</v>
      </c>
      <c r="O284" s="829">
        <f>O285</f>
        <v>32971688</v>
      </c>
      <c r="P284" s="830">
        <f t="shared" ref="P284" si="285">P285</f>
        <v>36957018</v>
      </c>
    </row>
    <row r="285" spans="1:18" ht="181.5" thickTop="1" thickBot="1" x14ac:dyDescent="0.25">
      <c r="A285" s="831" t="s">
        <v>26</v>
      </c>
      <c r="B285" s="831"/>
      <c r="C285" s="831"/>
      <c r="D285" s="832" t="s">
        <v>945</v>
      </c>
      <c r="E285" s="833">
        <f>E286+E290+E293</f>
        <v>3985330</v>
      </c>
      <c r="F285" s="833">
        <f t="shared" ref="F285:I285" si="286">F286+F290+F293</f>
        <v>3985330</v>
      </c>
      <c r="G285" s="833">
        <f t="shared" si="286"/>
        <v>2707790</v>
      </c>
      <c r="H285" s="833">
        <f t="shared" si="286"/>
        <v>117376</v>
      </c>
      <c r="I285" s="833">
        <f t="shared" si="286"/>
        <v>0</v>
      </c>
      <c r="J285" s="833">
        <f>L285+O285</f>
        <v>32971688</v>
      </c>
      <c r="K285" s="833">
        <f t="shared" ref="K285:O285" si="287">K286+K290+K293</f>
        <v>32971688</v>
      </c>
      <c r="L285" s="833">
        <f t="shared" si="287"/>
        <v>0</v>
      </c>
      <c r="M285" s="833">
        <f t="shared" si="287"/>
        <v>0</v>
      </c>
      <c r="N285" s="833">
        <f t="shared" si="287"/>
        <v>0</v>
      </c>
      <c r="O285" s="833">
        <f t="shared" si="287"/>
        <v>32971688</v>
      </c>
      <c r="P285" s="833">
        <f t="shared" ref="P285:P301" si="288">E285+J285</f>
        <v>36957018</v>
      </c>
      <c r="Q285" s="627" t="b">
        <f>P285=P297+P299+P300+P287+P301+P292+P298+P288+P295+P289+P304+P306</f>
        <v>1</v>
      </c>
      <c r="R285" s="292"/>
    </row>
    <row r="286" spans="1:18" ht="47.25" thickTop="1" thickBot="1" x14ac:dyDescent="0.25">
      <c r="A286" s="151" t="s">
        <v>859</v>
      </c>
      <c r="B286" s="151" t="s">
        <v>727</v>
      </c>
      <c r="C286" s="151"/>
      <c r="D286" s="151" t="s">
        <v>728</v>
      </c>
      <c r="E286" s="529">
        <f t="shared" ref="E286:P286" si="289">SUM(E287:E289)</f>
        <v>3685330</v>
      </c>
      <c r="F286" s="529">
        <f t="shared" si="289"/>
        <v>3685330</v>
      </c>
      <c r="G286" s="529">
        <f t="shared" si="289"/>
        <v>2707790</v>
      </c>
      <c r="H286" s="529">
        <f t="shared" si="289"/>
        <v>117376</v>
      </c>
      <c r="I286" s="529">
        <f t="shared" si="289"/>
        <v>0</v>
      </c>
      <c r="J286" s="529">
        <f t="shared" si="289"/>
        <v>0</v>
      </c>
      <c r="K286" s="529">
        <f t="shared" si="289"/>
        <v>0</v>
      </c>
      <c r="L286" s="529">
        <f t="shared" si="289"/>
        <v>0</v>
      </c>
      <c r="M286" s="529">
        <f t="shared" si="289"/>
        <v>0</v>
      </c>
      <c r="N286" s="529">
        <f t="shared" si="289"/>
        <v>0</v>
      </c>
      <c r="O286" s="529">
        <f t="shared" si="289"/>
        <v>0</v>
      </c>
      <c r="P286" s="529">
        <f t="shared" si="289"/>
        <v>3685330</v>
      </c>
      <c r="Q286" s="627"/>
      <c r="R286" s="292"/>
    </row>
    <row r="287" spans="1:18" ht="230.25" thickTop="1" thickBot="1" x14ac:dyDescent="0.25">
      <c r="A287" s="532" t="s">
        <v>433</v>
      </c>
      <c r="B287" s="532" t="s">
        <v>248</v>
      </c>
      <c r="C287" s="532" t="s">
        <v>246</v>
      </c>
      <c r="D287" s="532" t="s">
        <v>247</v>
      </c>
      <c r="E287" s="529">
        <f>F287</f>
        <v>3675330</v>
      </c>
      <c r="F287" s="443">
        <v>3675330</v>
      </c>
      <c r="G287" s="443">
        <v>2707790</v>
      </c>
      <c r="H287" s="443">
        <f>1845+45196+70335</f>
        <v>117376</v>
      </c>
      <c r="I287" s="443"/>
      <c r="J287" s="529">
        <f t="shared" ref="J287:J301" si="290">L287+O287</f>
        <v>0</v>
      </c>
      <c r="K287" s="443"/>
      <c r="L287" s="443"/>
      <c r="M287" s="443"/>
      <c r="N287" s="443"/>
      <c r="O287" s="534">
        <f>K287</f>
        <v>0</v>
      </c>
      <c r="P287" s="529">
        <f t="shared" si="288"/>
        <v>3675330</v>
      </c>
      <c r="Q287" s="627"/>
      <c r="R287" s="297"/>
    </row>
    <row r="288" spans="1:18" ht="184.5" thickTop="1" thickBot="1" x14ac:dyDescent="0.25">
      <c r="A288" s="531" t="s">
        <v>672</v>
      </c>
      <c r="B288" s="531" t="s">
        <v>376</v>
      </c>
      <c r="C288" s="531" t="s">
        <v>662</v>
      </c>
      <c r="D288" s="531" t="s">
        <v>663</v>
      </c>
      <c r="E288" s="445">
        <f>F288</f>
        <v>10000</v>
      </c>
      <c r="F288" s="446">
        <v>10000</v>
      </c>
      <c r="G288" s="446"/>
      <c r="H288" s="446"/>
      <c r="I288" s="446"/>
      <c r="J288" s="529">
        <f t="shared" si="290"/>
        <v>0</v>
      </c>
      <c r="K288" s="446"/>
      <c r="L288" s="458"/>
      <c r="M288" s="458"/>
      <c r="N288" s="458"/>
      <c r="O288" s="534">
        <f t="shared" ref="O288" si="291">K288</f>
        <v>0</v>
      </c>
      <c r="P288" s="529">
        <f t="shared" ref="P288" si="292">+J288+E288</f>
        <v>10000</v>
      </c>
      <c r="Q288" s="627"/>
      <c r="R288" s="297"/>
    </row>
    <row r="289" spans="1:18" ht="93" hidden="1" thickTop="1" thickBot="1" x14ac:dyDescent="0.25">
      <c r="A289" s="532" t="s">
        <v>988</v>
      </c>
      <c r="B289" s="532" t="s">
        <v>45</v>
      </c>
      <c r="C289" s="532" t="s">
        <v>44</v>
      </c>
      <c r="D289" s="532" t="s">
        <v>260</v>
      </c>
      <c r="E289" s="529">
        <f>F289</f>
        <v>0</v>
      </c>
      <c r="F289" s="443">
        <v>0</v>
      </c>
      <c r="G289" s="443"/>
      <c r="H289" s="443"/>
      <c r="I289" s="443"/>
      <c r="J289" s="529">
        <f t="shared" ref="J289" si="293">L289+O289</f>
        <v>0</v>
      </c>
      <c r="K289" s="446"/>
      <c r="L289" s="458"/>
      <c r="M289" s="458"/>
      <c r="N289" s="458"/>
      <c r="O289" s="534">
        <f t="shared" ref="O289" si="294">K289</f>
        <v>0</v>
      </c>
      <c r="P289" s="529">
        <f t="shared" ref="P289" si="295">+J289+E289</f>
        <v>0</v>
      </c>
      <c r="Q289" s="627"/>
      <c r="R289" s="297"/>
    </row>
    <row r="290" spans="1:18" ht="47.25" thickTop="1" thickBot="1" x14ac:dyDescent="0.25">
      <c r="A290" s="151" t="s">
        <v>860</v>
      </c>
      <c r="B290" s="151" t="s">
        <v>815</v>
      </c>
      <c r="C290" s="532"/>
      <c r="D290" s="151" t="s">
        <v>816</v>
      </c>
      <c r="E290" s="445">
        <f>E291</f>
        <v>0</v>
      </c>
      <c r="F290" s="445">
        <f t="shared" ref="F290:P291" si="296">F291</f>
        <v>0</v>
      </c>
      <c r="G290" s="445">
        <f t="shared" si="296"/>
        <v>0</v>
      </c>
      <c r="H290" s="445">
        <f t="shared" si="296"/>
        <v>0</v>
      </c>
      <c r="I290" s="445">
        <f t="shared" si="296"/>
        <v>0</v>
      </c>
      <c r="J290" s="445">
        <f t="shared" si="296"/>
        <v>20000000</v>
      </c>
      <c r="K290" s="445">
        <f t="shared" si="296"/>
        <v>20000000</v>
      </c>
      <c r="L290" s="445">
        <f t="shared" si="296"/>
        <v>0</v>
      </c>
      <c r="M290" s="445">
        <f t="shared" si="296"/>
        <v>0</v>
      </c>
      <c r="N290" s="445">
        <f t="shared" si="296"/>
        <v>0</v>
      </c>
      <c r="O290" s="445">
        <f t="shared" si="296"/>
        <v>20000000</v>
      </c>
      <c r="P290" s="445">
        <f t="shared" si="296"/>
        <v>20000000</v>
      </c>
      <c r="Q290" s="627"/>
      <c r="R290" s="297"/>
    </row>
    <row r="291" spans="1:18" ht="93" thickTop="1" thickBot="1" x14ac:dyDescent="0.25">
      <c r="A291" s="488" t="s">
        <v>861</v>
      </c>
      <c r="B291" s="488" t="s">
        <v>862</v>
      </c>
      <c r="C291" s="488"/>
      <c r="D291" s="488" t="s">
        <v>863</v>
      </c>
      <c r="E291" s="489">
        <f>E292</f>
        <v>0</v>
      </c>
      <c r="F291" s="489">
        <f t="shared" si="296"/>
        <v>0</v>
      </c>
      <c r="G291" s="489">
        <f t="shared" si="296"/>
        <v>0</v>
      </c>
      <c r="H291" s="489">
        <f t="shared" si="296"/>
        <v>0</v>
      </c>
      <c r="I291" s="489">
        <f t="shared" si="296"/>
        <v>0</v>
      </c>
      <c r="J291" s="489">
        <f t="shared" si="296"/>
        <v>20000000</v>
      </c>
      <c r="K291" s="489">
        <f t="shared" si="296"/>
        <v>20000000</v>
      </c>
      <c r="L291" s="489">
        <f t="shared" si="296"/>
        <v>0</v>
      </c>
      <c r="M291" s="489">
        <f t="shared" si="296"/>
        <v>0</v>
      </c>
      <c r="N291" s="489">
        <f t="shared" si="296"/>
        <v>0</v>
      </c>
      <c r="O291" s="489">
        <f t="shared" si="296"/>
        <v>20000000</v>
      </c>
      <c r="P291" s="489">
        <f t="shared" si="296"/>
        <v>20000000</v>
      </c>
      <c r="Q291" s="627"/>
      <c r="R291" s="297"/>
    </row>
    <row r="292" spans="1:18" ht="409.6" thickTop="1" thickBot="1" x14ac:dyDescent="0.25">
      <c r="A292" s="532" t="s">
        <v>449</v>
      </c>
      <c r="B292" s="532" t="s">
        <v>450</v>
      </c>
      <c r="C292" s="532" t="s">
        <v>207</v>
      </c>
      <c r="D292" s="532" t="s">
        <v>1330</v>
      </c>
      <c r="E292" s="529">
        <f t="shared" ref="E292:E299" si="297">F292</f>
        <v>0</v>
      </c>
      <c r="F292" s="443"/>
      <c r="G292" s="443"/>
      <c r="H292" s="443"/>
      <c r="I292" s="443"/>
      <c r="J292" s="529">
        <f t="shared" si="290"/>
        <v>20000000</v>
      </c>
      <c r="K292" s="443">
        <v>20000000</v>
      </c>
      <c r="L292" s="443"/>
      <c r="M292" s="443"/>
      <c r="N292" s="443"/>
      <c r="O292" s="534">
        <f t="shared" ref="O292" si="298">K292</f>
        <v>20000000</v>
      </c>
      <c r="P292" s="529">
        <f t="shared" si="288"/>
        <v>20000000</v>
      </c>
      <c r="Q292" s="627"/>
      <c r="R292" s="292"/>
    </row>
    <row r="293" spans="1:18" ht="47.25" thickTop="1" thickBot="1" x14ac:dyDescent="0.25">
      <c r="A293" s="151" t="s">
        <v>864</v>
      </c>
      <c r="B293" s="151" t="s">
        <v>792</v>
      </c>
      <c r="C293" s="532"/>
      <c r="D293" s="151" t="s">
        <v>839</v>
      </c>
      <c r="E293" s="529">
        <f>E294+E302</f>
        <v>300000</v>
      </c>
      <c r="F293" s="529">
        <f t="shared" ref="F293:I293" si="299">F294+F302</f>
        <v>300000</v>
      </c>
      <c r="G293" s="529">
        <f t="shared" si="299"/>
        <v>0</v>
      </c>
      <c r="H293" s="529">
        <f t="shared" si="299"/>
        <v>0</v>
      </c>
      <c r="I293" s="529">
        <f t="shared" si="299"/>
        <v>0</v>
      </c>
      <c r="J293" s="529">
        <f t="shared" ref="J293" si="300">J294+J302</f>
        <v>12971688</v>
      </c>
      <c r="K293" s="529">
        <f t="shared" ref="K293" si="301">K294+K302</f>
        <v>12971688</v>
      </c>
      <c r="L293" s="529">
        <f t="shared" ref="L293" si="302">L294+L302</f>
        <v>0</v>
      </c>
      <c r="M293" s="529">
        <f t="shared" ref="M293" si="303">M294+M302</f>
        <v>0</v>
      </c>
      <c r="N293" s="529">
        <f t="shared" ref="N293" si="304">N294+N302</f>
        <v>0</v>
      </c>
      <c r="O293" s="529">
        <f t="shared" ref="O293" si="305">O294+O302</f>
        <v>12971688</v>
      </c>
      <c r="P293" s="529">
        <f t="shared" ref="P293" si="306">P294+P302</f>
        <v>13271688</v>
      </c>
      <c r="Q293" s="627"/>
      <c r="R293" s="297"/>
    </row>
    <row r="294" spans="1:18" ht="91.5" thickTop="1" thickBot="1" x14ac:dyDescent="0.25">
      <c r="A294" s="466" t="s">
        <v>865</v>
      </c>
      <c r="B294" s="466" t="s">
        <v>848</v>
      </c>
      <c r="C294" s="466"/>
      <c r="D294" s="466" t="s">
        <v>849</v>
      </c>
      <c r="E294" s="467">
        <f t="shared" ref="E294:P294" si="307">SUM(E295:E301)-E296</f>
        <v>0</v>
      </c>
      <c r="F294" s="467">
        <f t="shared" si="307"/>
        <v>0</v>
      </c>
      <c r="G294" s="467">
        <f t="shared" si="307"/>
        <v>0</v>
      </c>
      <c r="H294" s="467">
        <f t="shared" si="307"/>
        <v>0</v>
      </c>
      <c r="I294" s="467">
        <f t="shared" si="307"/>
        <v>0</v>
      </c>
      <c r="J294" s="467">
        <f t="shared" si="307"/>
        <v>12971688</v>
      </c>
      <c r="K294" s="467">
        <f t="shared" si="307"/>
        <v>12971688</v>
      </c>
      <c r="L294" s="467">
        <f t="shared" si="307"/>
        <v>0</v>
      </c>
      <c r="M294" s="467">
        <f t="shared" si="307"/>
        <v>0</v>
      </c>
      <c r="N294" s="467">
        <f t="shared" si="307"/>
        <v>0</v>
      </c>
      <c r="O294" s="467">
        <f t="shared" si="307"/>
        <v>12971688</v>
      </c>
      <c r="P294" s="467">
        <f t="shared" si="307"/>
        <v>12971688</v>
      </c>
      <c r="Q294" s="627"/>
      <c r="R294" s="297"/>
    </row>
    <row r="295" spans="1:18" ht="99.75" thickTop="1" thickBot="1" x14ac:dyDescent="0.25">
      <c r="A295" s="532" t="s">
        <v>987</v>
      </c>
      <c r="B295" s="532" t="s">
        <v>318</v>
      </c>
      <c r="C295" s="532" t="s">
        <v>317</v>
      </c>
      <c r="D295" s="532" t="s">
        <v>664</v>
      </c>
      <c r="E295" s="529">
        <f t="shared" ref="E295" si="308">F295</f>
        <v>0</v>
      </c>
      <c r="F295" s="443"/>
      <c r="G295" s="443"/>
      <c r="H295" s="443"/>
      <c r="I295" s="443"/>
      <c r="J295" s="529">
        <f t="shared" ref="J295" si="309">L295+O295</f>
        <v>706113</v>
      </c>
      <c r="K295" s="443">
        <v>706113</v>
      </c>
      <c r="L295" s="443"/>
      <c r="M295" s="443"/>
      <c r="N295" s="443"/>
      <c r="O295" s="534">
        <f>K295</f>
        <v>706113</v>
      </c>
      <c r="P295" s="529">
        <f t="shared" ref="P295" si="310">E295+J295</f>
        <v>706113</v>
      </c>
      <c r="Q295" s="627"/>
      <c r="R295" s="292"/>
    </row>
    <row r="296" spans="1:18" ht="146.25" thickTop="1" thickBot="1" x14ac:dyDescent="0.25">
      <c r="A296" s="488" t="s">
        <v>866</v>
      </c>
      <c r="B296" s="488" t="s">
        <v>867</v>
      </c>
      <c r="C296" s="488"/>
      <c r="D296" s="488" t="s">
        <v>868</v>
      </c>
      <c r="E296" s="471">
        <f>SUM(E297:E298)</f>
        <v>0</v>
      </c>
      <c r="F296" s="471">
        <f t="shared" ref="F296:P296" si="311">SUM(F297:F298)</f>
        <v>0</v>
      </c>
      <c r="G296" s="471">
        <f t="shared" si="311"/>
        <v>0</v>
      </c>
      <c r="H296" s="471">
        <f t="shared" si="311"/>
        <v>0</v>
      </c>
      <c r="I296" s="471">
        <f t="shared" si="311"/>
        <v>0</v>
      </c>
      <c r="J296" s="471">
        <f t="shared" si="311"/>
        <v>3192710</v>
      </c>
      <c r="K296" s="471">
        <f t="shared" si="311"/>
        <v>3192710</v>
      </c>
      <c r="L296" s="471">
        <f t="shared" si="311"/>
        <v>0</v>
      </c>
      <c r="M296" s="471">
        <f t="shared" si="311"/>
        <v>0</v>
      </c>
      <c r="N296" s="471">
        <f t="shared" si="311"/>
        <v>0</v>
      </c>
      <c r="O296" s="471">
        <f t="shared" si="311"/>
        <v>3192710</v>
      </c>
      <c r="P296" s="471">
        <f t="shared" si="311"/>
        <v>3192710</v>
      </c>
      <c r="Q296" s="627"/>
      <c r="R296" s="297"/>
    </row>
    <row r="297" spans="1:18" ht="99.75" thickTop="1" thickBot="1" x14ac:dyDescent="0.25">
      <c r="A297" s="532" t="s">
        <v>323</v>
      </c>
      <c r="B297" s="532" t="s">
        <v>324</v>
      </c>
      <c r="C297" s="532" t="s">
        <v>317</v>
      </c>
      <c r="D297" s="532" t="s">
        <v>665</v>
      </c>
      <c r="E297" s="529">
        <f t="shared" si="297"/>
        <v>0</v>
      </c>
      <c r="F297" s="443"/>
      <c r="G297" s="443"/>
      <c r="H297" s="443"/>
      <c r="I297" s="443"/>
      <c r="J297" s="529">
        <f t="shared" si="290"/>
        <v>1944219</v>
      </c>
      <c r="K297" s="443">
        <v>1944219</v>
      </c>
      <c r="L297" s="443"/>
      <c r="M297" s="443"/>
      <c r="N297" s="443"/>
      <c r="O297" s="534">
        <f>K297</f>
        <v>1944219</v>
      </c>
      <c r="P297" s="529">
        <f t="shared" si="288"/>
        <v>1944219</v>
      </c>
      <c r="Q297" s="614"/>
      <c r="R297" s="292"/>
    </row>
    <row r="298" spans="1:18" ht="99.75" thickTop="1" thickBot="1" x14ac:dyDescent="0.25">
      <c r="A298" s="532" t="s">
        <v>534</v>
      </c>
      <c r="B298" s="532" t="s">
        <v>535</v>
      </c>
      <c r="C298" s="532" t="s">
        <v>317</v>
      </c>
      <c r="D298" s="532" t="s">
        <v>666</v>
      </c>
      <c r="E298" s="529">
        <f t="shared" si="297"/>
        <v>0</v>
      </c>
      <c r="F298" s="443"/>
      <c r="G298" s="443"/>
      <c r="H298" s="443"/>
      <c r="I298" s="443"/>
      <c r="J298" s="529">
        <f t="shared" si="290"/>
        <v>1248491</v>
      </c>
      <c r="K298" s="443">
        <v>1248491</v>
      </c>
      <c r="L298" s="443"/>
      <c r="M298" s="443"/>
      <c r="N298" s="443"/>
      <c r="O298" s="534">
        <f>K298</f>
        <v>1248491</v>
      </c>
      <c r="P298" s="529">
        <f t="shared" si="288"/>
        <v>1248491</v>
      </c>
      <c r="Q298" s="614"/>
      <c r="R298" s="292"/>
    </row>
    <row r="299" spans="1:18" ht="145.5" thickTop="1" thickBot="1" x14ac:dyDescent="0.25">
      <c r="A299" s="532" t="s">
        <v>325</v>
      </c>
      <c r="B299" s="532" t="s">
        <v>326</v>
      </c>
      <c r="C299" s="532" t="s">
        <v>317</v>
      </c>
      <c r="D299" s="532" t="s">
        <v>667</v>
      </c>
      <c r="E299" s="529">
        <f t="shared" si="297"/>
        <v>0</v>
      </c>
      <c r="F299" s="443"/>
      <c r="G299" s="443"/>
      <c r="H299" s="443"/>
      <c r="I299" s="443"/>
      <c r="J299" s="529">
        <f t="shared" si="290"/>
        <v>1300000</v>
      </c>
      <c r="K299" s="443">
        <v>1300000</v>
      </c>
      <c r="L299" s="443"/>
      <c r="M299" s="443"/>
      <c r="N299" s="443"/>
      <c r="O299" s="534">
        <f>K299</f>
        <v>1300000</v>
      </c>
      <c r="P299" s="529">
        <f t="shared" si="288"/>
        <v>1300000</v>
      </c>
      <c r="Q299" s="614"/>
    </row>
    <row r="300" spans="1:18" ht="99.75" thickTop="1" thickBot="1" x14ac:dyDescent="0.3">
      <c r="A300" s="532" t="s">
        <v>327</v>
      </c>
      <c r="B300" s="532" t="s">
        <v>328</v>
      </c>
      <c r="C300" s="532" t="s">
        <v>317</v>
      </c>
      <c r="D300" s="532" t="s">
        <v>668</v>
      </c>
      <c r="E300" s="529">
        <f>F300</f>
        <v>0</v>
      </c>
      <c r="F300" s="443"/>
      <c r="G300" s="443"/>
      <c r="H300" s="443"/>
      <c r="I300" s="443"/>
      <c r="J300" s="529">
        <f t="shared" si="290"/>
        <v>7772865</v>
      </c>
      <c r="K300" s="443">
        <f>7272865+500000</f>
        <v>7772865</v>
      </c>
      <c r="L300" s="443"/>
      <c r="M300" s="443"/>
      <c r="N300" s="443"/>
      <c r="O300" s="534">
        <f>K300</f>
        <v>7772865</v>
      </c>
      <c r="P300" s="529">
        <f t="shared" si="288"/>
        <v>7772865</v>
      </c>
      <c r="Q300" s="632"/>
      <c r="R300" s="292"/>
    </row>
    <row r="301" spans="1:18" ht="138.75" hidden="1" thickTop="1" thickBot="1" x14ac:dyDescent="0.25">
      <c r="A301" s="259" t="s">
        <v>454</v>
      </c>
      <c r="B301" s="259" t="s">
        <v>364</v>
      </c>
      <c r="C301" s="259" t="s">
        <v>178</v>
      </c>
      <c r="D301" s="259" t="s">
        <v>274</v>
      </c>
      <c r="E301" s="256">
        <f>F301</f>
        <v>0</v>
      </c>
      <c r="F301" s="278"/>
      <c r="G301" s="278"/>
      <c r="H301" s="278"/>
      <c r="I301" s="278"/>
      <c r="J301" s="256">
        <f t="shared" si="290"/>
        <v>0</v>
      </c>
      <c r="K301" s="278">
        <v>0</v>
      </c>
      <c r="L301" s="278"/>
      <c r="M301" s="278"/>
      <c r="N301" s="278"/>
      <c r="O301" s="262">
        <f>K301</f>
        <v>0</v>
      </c>
      <c r="P301" s="256">
        <f t="shared" si="288"/>
        <v>0</v>
      </c>
      <c r="R301" s="292"/>
    </row>
    <row r="302" spans="1:18" ht="136.5" thickTop="1" thickBot="1" x14ac:dyDescent="0.25">
      <c r="A302" s="466" t="s">
        <v>1063</v>
      </c>
      <c r="B302" s="466" t="s">
        <v>734</v>
      </c>
      <c r="C302" s="466"/>
      <c r="D302" s="466" t="s">
        <v>732</v>
      </c>
      <c r="E302" s="523">
        <f>E303</f>
        <v>300000</v>
      </c>
      <c r="F302" s="523">
        <f>F303</f>
        <v>300000</v>
      </c>
      <c r="G302" s="523">
        <f>G303</f>
        <v>0</v>
      </c>
      <c r="H302" s="523">
        <f>H303</f>
        <v>0</v>
      </c>
      <c r="I302" s="523">
        <f>I303</f>
        <v>0</v>
      </c>
      <c r="J302" s="523">
        <f t="shared" ref="J302:O302" si="312">J303</f>
        <v>0</v>
      </c>
      <c r="K302" s="523">
        <f t="shared" si="312"/>
        <v>0</v>
      </c>
      <c r="L302" s="523">
        <f t="shared" si="312"/>
        <v>0</v>
      </c>
      <c r="M302" s="523">
        <f t="shared" si="312"/>
        <v>0</v>
      </c>
      <c r="N302" s="523">
        <f t="shared" si="312"/>
        <v>0</v>
      </c>
      <c r="O302" s="523">
        <f t="shared" si="312"/>
        <v>0</v>
      </c>
      <c r="P302" s="523">
        <f>P303</f>
        <v>300000</v>
      </c>
      <c r="R302" s="292"/>
    </row>
    <row r="303" spans="1:18" ht="48" thickTop="1" thickBot="1" x14ac:dyDescent="0.25">
      <c r="A303" s="488" t="s">
        <v>1064</v>
      </c>
      <c r="B303" s="488" t="s">
        <v>737</v>
      </c>
      <c r="C303" s="488"/>
      <c r="D303" s="488" t="s">
        <v>842</v>
      </c>
      <c r="E303" s="489">
        <f>E304+E306</f>
        <v>300000</v>
      </c>
      <c r="F303" s="489">
        <f t="shared" ref="F303:P303" si="313">F304+F306</f>
        <v>300000</v>
      </c>
      <c r="G303" s="489">
        <f t="shared" si="313"/>
        <v>0</v>
      </c>
      <c r="H303" s="489">
        <f t="shared" si="313"/>
        <v>0</v>
      </c>
      <c r="I303" s="489">
        <f t="shared" si="313"/>
        <v>0</v>
      </c>
      <c r="J303" s="489">
        <f t="shared" si="313"/>
        <v>0</v>
      </c>
      <c r="K303" s="489">
        <f t="shared" si="313"/>
        <v>0</v>
      </c>
      <c r="L303" s="489">
        <f t="shared" si="313"/>
        <v>0</v>
      </c>
      <c r="M303" s="489">
        <f t="shared" si="313"/>
        <v>0</v>
      </c>
      <c r="N303" s="489">
        <f t="shared" si="313"/>
        <v>0</v>
      </c>
      <c r="O303" s="489">
        <f t="shared" si="313"/>
        <v>0</v>
      </c>
      <c r="P303" s="489">
        <f t="shared" si="313"/>
        <v>300000</v>
      </c>
      <c r="R303" s="292"/>
    </row>
    <row r="304" spans="1:18" ht="409.6" hidden="1" thickTop="1" thickBot="1" x14ac:dyDescent="0.7">
      <c r="A304" s="912" t="s">
        <v>1065</v>
      </c>
      <c r="B304" s="912" t="s">
        <v>352</v>
      </c>
      <c r="C304" s="912" t="s">
        <v>178</v>
      </c>
      <c r="D304" s="303" t="s">
        <v>457</v>
      </c>
      <c r="E304" s="913">
        <f t="shared" ref="E304" si="314">F304</f>
        <v>0</v>
      </c>
      <c r="F304" s="914"/>
      <c r="G304" s="914"/>
      <c r="H304" s="914"/>
      <c r="I304" s="914"/>
      <c r="J304" s="913">
        <f t="shared" ref="J304" si="315">L304+O304</f>
        <v>0</v>
      </c>
      <c r="K304" s="914"/>
      <c r="L304" s="914"/>
      <c r="M304" s="914"/>
      <c r="N304" s="914"/>
      <c r="O304" s="921">
        <f>K304</f>
        <v>0</v>
      </c>
      <c r="P304" s="909">
        <f>E304+J304</f>
        <v>0</v>
      </c>
      <c r="R304" s="292"/>
    </row>
    <row r="305" spans="1:18" ht="184.5" hidden="1" thickTop="1" thickBot="1" x14ac:dyDescent="0.25">
      <c r="A305" s="912"/>
      <c r="B305" s="912"/>
      <c r="C305" s="912"/>
      <c r="D305" s="304" t="s">
        <v>458</v>
      </c>
      <c r="E305" s="913"/>
      <c r="F305" s="914"/>
      <c r="G305" s="914"/>
      <c r="H305" s="914"/>
      <c r="I305" s="914"/>
      <c r="J305" s="913"/>
      <c r="K305" s="914"/>
      <c r="L305" s="914"/>
      <c r="M305" s="914"/>
      <c r="N305" s="914"/>
      <c r="O305" s="921"/>
      <c r="P305" s="909"/>
      <c r="R305" s="292"/>
    </row>
    <row r="306" spans="1:18" s="778" customFormat="1" ht="93" thickTop="1" thickBot="1" x14ac:dyDescent="0.25">
      <c r="A306" s="774" t="s">
        <v>1361</v>
      </c>
      <c r="B306" s="774" t="s">
        <v>269</v>
      </c>
      <c r="C306" s="774" t="s">
        <v>178</v>
      </c>
      <c r="D306" s="487" t="s">
        <v>267</v>
      </c>
      <c r="E306" s="772">
        <f>F306</f>
        <v>300000</v>
      </c>
      <c r="F306" s="443">
        <v>300000</v>
      </c>
      <c r="G306" s="443"/>
      <c r="H306" s="443"/>
      <c r="I306" s="443"/>
      <c r="J306" s="772">
        <f t="shared" ref="J306" si="316">L306+O306</f>
        <v>0</v>
      </c>
      <c r="K306" s="443"/>
      <c r="L306" s="443"/>
      <c r="M306" s="443"/>
      <c r="N306" s="443"/>
      <c r="O306" s="775">
        <f>K306</f>
        <v>0</v>
      </c>
      <c r="P306" s="772">
        <f t="shared" ref="P306" si="317">E306+J306</f>
        <v>300000</v>
      </c>
      <c r="Q306" s="613"/>
      <c r="R306" s="776"/>
    </row>
    <row r="307" spans="1:18" ht="181.5" thickTop="1" thickBot="1" x14ac:dyDescent="0.25">
      <c r="A307" s="827" t="s">
        <v>168</v>
      </c>
      <c r="B307" s="827"/>
      <c r="C307" s="827"/>
      <c r="D307" s="828" t="s">
        <v>946</v>
      </c>
      <c r="E307" s="829">
        <f>E308</f>
        <v>8172083</v>
      </c>
      <c r="F307" s="830">
        <f t="shared" ref="F307:G307" si="318">F308</f>
        <v>8172083</v>
      </c>
      <c r="G307" s="830">
        <f t="shared" si="318"/>
        <v>6097950</v>
      </c>
      <c r="H307" s="830">
        <f>H308</f>
        <v>195000</v>
      </c>
      <c r="I307" s="830">
        <f t="shared" ref="I307" si="319">I308</f>
        <v>0</v>
      </c>
      <c r="J307" s="829">
        <f>J308</f>
        <v>1498100</v>
      </c>
      <c r="K307" s="830">
        <f>K308</f>
        <v>1498100</v>
      </c>
      <c r="L307" s="830">
        <f>L308</f>
        <v>0</v>
      </c>
      <c r="M307" s="830">
        <f t="shared" ref="M307" si="320">M308</f>
        <v>0</v>
      </c>
      <c r="N307" s="830">
        <f>N308</f>
        <v>0</v>
      </c>
      <c r="O307" s="829">
        <f>O308</f>
        <v>1498100</v>
      </c>
      <c r="P307" s="830">
        <f t="shared" ref="P307" si="321">P308</f>
        <v>9670183</v>
      </c>
    </row>
    <row r="308" spans="1:18" ht="181.5" thickTop="1" thickBot="1" x14ac:dyDescent="0.25">
      <c r="A308" s="831" t="s">
        <v>169</v>
      </c>
      <c r="B308" s="831"/>
      <c r="C308" s="831"/>
      <c r="D308" s="832" t="s">
        <v>947</v>
      </c>
      <c r="E308" s="833">
        <f>E309+E312</f>
        <v>8172083</v>
      </c>
      <c r="F308" s="833">
        <f>F309+F312</f>
        <v>8172083</v>
      </c>
      <c r="G308" s="833">
        <f>G309+G312</f>
        <v>6097950</v>
      </c>
      <c r="H308" s="833">
        <f>H309+H312</f>
        <v>195000</v>
      </c>
      <c r="I308" s="833">
        <f>I309+I312</f>
        <v>0</v>
      </c>
      <c r="J308" s="833">
        <f>L308+O308</f>
        <v>1498100</v>
      </c>
      <c r="K308" s="833">
        <f>K309+K312</f>
        <v>1498100</v>
      </c>
      <c r="L308" s="833">
        <f>L309+L312</f>
        <v>0</v>
      </c>
      <c r="M308" s="833">
        <f>M309+M312</f>
        <v>0</v>
      </c>
      <c r="N308" s="833">
        <f>N309+N312</f>
        <v>0</v>
      </c>
      <c r="O308" s="833">
        <f>O309+O312</f>
        <v>1498100</v>
      </c>
      <c r="P308" s="833">
        <f>E308+J308</f>
        <v>9670183</v>
      </c>
      <c r="Q308" s="627" t="b">
        <f>P308=P310+P311+P314</f>
        <v>1</v>
      </c>
      <c r="R308" s="292"/>
    </row>
    <row r="309" spans="1:18" ht="47.25" thickTop="1" thickBot="1" x14ac:dyDescent="0.25">
      <c r="A309" s="151" t="s">
        <v>869</v>
      </c>
      <c r="B309" s="151" t="s">
        <v>727</v>
      </c>
      <c r="C309" s="151"/>
      <c r="D309" s="151" t="s">
        <v>728</v>
      </c>
      <c r="E309" s="442">
        <f>SUM(E310:E311)</f>
        <v>8172083</v>
      </c>
      <c r="F309" s="442">
        <f t="shared" ref="F309" si="322">SUM(F310:F311)</f>
        <v>8172083</v>
      </c>
      <c r="G309" s="442">
        <f t="shared" ref="G309" si="323">SUM(G310:G311)</f>
        <v>6097950</v>
      </c>
      <c r="H309" s="442">
        <f t="shared" ref="H309" si="324">SUM(H310:H311)</f>
        <v>195000</v>
      </c>
      <c r="I309" s="442">
        <f t="shared" ref="I309" si="325">SUM(I310:I311)</f>
        <v>0</v>
      </c>
      <c r="J309" s="442">
        <f t="shared" ref="J309" si="326">SUM(J310:J311)</f>
        <v>90000</v>
      </c>
      <c r="K309" s="442">
        <f t="shared" ref="K309" si="327">SUM(K310:K311)</f>
        <v>90000</v>
      </c>
      <c r="L309" s="442">
        <f t="shared" ref="L309" si="328">SUM(L310:L311)</f>
        <v>0</v>
      </c>
      <c r="M309" s="442">
        <f t="shared" ref="M309" si="329">SUM(M310:M311)</f>
        <v>0</v>
      </c>
      <c r="N309" s="442">
        <f t="shared" ref="N309" si="330">SUM(N310:N311)</f>
        <v>0</v>
      </c>
      <c r="O309" s="442">
        <f t="shared" ref="O309" si="331">SUM(O310:O311)</f>
        <v>90000</v>
      </c>
      <c r="P309" s="442">
        <f t="shared" ref="P309" si="332">SUM(P310:P311)</f>
        <v>8262083</v>
      </c>
      <c r="Q309" s="627"/>
      <c r="R309" s="292"/>
    </row>
    <row r="310" spans="1:18" ht="230.25" thickTop="1" thickBot="1" x14ac:dyDescent="0.25">
      <c r="A310" s="224" t="s">
        <v>435</v>
      </c>
      <c r="B310" s="224" t="s">
        <v>248</v>
      </c>
      <c r="C310" s="224" t="s">
        <v>246</v>
      </c>
      <c r="D310" s="224" t="s">
        <v>247</v>
      </c>
      <c r="E310" s="442">
        <f>F310</f>
        <v>8164495</v>
      </c>
      <c r="F310" s="443">
        <v>8164495</v>
      </c>
      <c r="G310" s="443">
        <v>6097950</v>
      </c>
      <c r="H310" s="443">
        <f>151000+3000+41000</f>
        <v>195000</v>
      </c>
      <c r="I310" s="443"/>
      <c r="J310" s="442">
        <f>L310+O310</f>
        <v>90000</v>
      </c>
      <c r="K310" s="443">
        <v>90000</v>
      </c>
      <c r="L310" s="443"/>
      <c r="M310" s="443"/>
      <c r="N310" s="443"/>
      <c r="O310" s="444">
        <f>K310</f>
        <v>90000</v>
      </c>
      <c r="P310" s="442">
        <f>E310+J310</f>
        <v>8254495</v>
      </c>
      <c r="Q310" s="627"/>
      <c r="R310" s="292"/>
    </row>
    <row r="311" spans="1:18" ht="184.5" thickTop="1" thickBot="1" x14ac:dyDescent="0.25">
      <c r="A311" s="224" t="s">
        <v>673</v>
      </c>
      <c r="B311" s="224" t="s">
        <v>376</v>
      </c>
      <c r="C311" s="224" t="s">
        <v>662</v>
      </c>
      <c r="D311" s="224" t="s">
        <v>663</v>
      </c>
      <c r="E311" s="445">
        <f>F311</f>
        <v>7588</v>
      </c>
      <c r="F311" s="446">
        <v>7588</v>
      </c>
      <c r="G311" s="446"/>
      <c r="H311" s="446"/>
      <c r="I311" s="446"/>
      <c r="J311" s="442">
        <f t="shared" ref="J311" si="333">L311+O311</f>
        <v>0</v>
      </c>
      <c r="K311" s="446"/>
      <c r="L311" s="458"/>
      <c r="M311" s="458"/>
      <c r="N311" s="458"/>
      <c r="O311" s="444">
        <f t="shared" ref="O311" si="334">K311</f>
        <v>0</v>
      </c>
      <c r="P311" s="442">
        <f t="shared" ref="P311" si="335">+J311+E311</f>
        <v>7588</v>
      </c>
      <c r="Q311" s="627"/>
      <c r="R311" s="292"/>
    </row>
    <row r="312" spans="1:18" ht="47.25" thickTop="1" thickBot="1" x14ac:dyDescent="0.25">
      <c r="A312" s="151" t="s">
        <v>965</v>
      </c>
      <c r="B312" s="151" t="s">
        <v>792</v>
      </c>
      <c r="C312" s="532"/>
      <c r="D312" s="151" t="s">
        <v>839</v>
      </c>
      <c r="E312" s="529">
        <f>E313</f>
        <v>0</v>
      </c>
      <c r="F312" s="529">
        <f t="shared" ref="F312:P313" si="336">F313</f>
        <v>0</v>
      </c>
      <c r="G312" s="529">
        <f t="shared" si="336"/>
        <v>0</v>
      </c>
      <c r="H312" s="529">
        <f t="shared" si="336"/>
        <v>0</v>
      </c>
      <c r="I312" s="529">
        <f t="shared" si="336"/>
        <v>0</v>
      </c>
      <c r="J312" s="529">
        <f t="shared" si="336"/>
        <v>1408100</v>
      </c>
      <c r="K312" s="529">
        <f t="shared" si="336"/>
        <v>1408100</v>
      </c>
      <c r="L312" s="529">
        <f t="shared" si="336"/>
        <v>0</v>
      </c>
      <c r="M312" s="529">
        <f t="shared" si="336"/>
        <v>0</v>
      </c>
      <c r="N312" s="529">
        <f t="shared" si="336"/>
        <v>0</v>
      </c>
      <c r="O312" s="529">
        <f t="shared" si="336"/>
        <v>1408100</v>
      </c>
      <c r="P312" s="529">
        <f t="shared" si="336"/>
        <v>1408100</v>
      </c>
      <c r="Q312" s="627"/>
      <c r="R312" s="292"/>
    </row>
    <row r="313" spans="1:18" ht="91.5" thickTop="1" thickBot="1" x14ac:dyDescent="0.25">
      <c r="A313" s="466" t="s">
        <v>966</v>
      </c>
      <c r="B313" s="466" t="s">
        <v>848</v>
      </c>
      <c r="C313" s="466"/>
      <c r="D313" s="466" t="s">
        <v>849</v>
      </c>
      <c r="E313" s="467">
        <f>E314</f>
        <v>0</v>
      </c>
      <c r="F313" s="467">
        <f t="shared" si="336"/>
        <v>0</v>
      </c>
      <c r="G313" s="467">
        <f t="shared" si="336"/>
        <v>0</v>
      </c>
      <c r="H313" s="467">
        <f t="shared" si="336"/>
        <v>0</v>
      </c>
      <c r="I313" s="467">
        <f t="shared" si="336"/>
        <v>0</v>
      </c>
      <c r="J313" s="467">
        <f t="shared" si="336"/>
        <v>1408100</v>
      </c>
      <c r="K313" s="467">
        <f t="shared" si="336"/>
        <v>1408100</v>
      </c>
      <c r="L313" s="467">
        <f t="shared" si="336"/>
        <v>0</v>
      </c>
      <c r="M313" s="467">
        <f t="shared" si="336"/>
        <v>0</v>
      </c>
      <c r="N313" s="467">
        <f t="shared" si="336"/>
        <v>0</v>
      </c>
      <c r="O313" s="467">
        <f t="shared" si="336"/>
        <v>1408100</v>
      </c>
      <c r="P313" s="467">
        <f t="shared" si="336"/>
        <v>1408100</v>
      </c>
      <c r="Q313" s="627"/>
      <c r="R313" s="292"/>
    </row>
    <row r="314" spans="1:18" ht="138.75" thickTop="1" thickBot="1" x14ac:dyDescent="0.25">
      <c r="A314" s="532" t="s">
        <v>967</v>
      </c>
      <c r="B314" s="532" t="s">
        <v>968</v>
      </c>
      <c r="C314" s="532" t="s">
        <v>317</v>
      </c>
      <c r="D314" s="532" t="s">
        <v>969</v>
      </c>
      <c r="E314" s="445">
        <f>F314</f>
        <v>0</v>
      </c>
      <c r="F314" s="446"/>
      <c r="G314" s="446"/>
      <c r="H314" s="446"/>
      <c r="I314" s="446"/>
      <c r="J314" s="529">
        <f t="shared" ref="J314" si="337">L314+O314</f>
        <v>1408100</v>
      </c>
      <c r="K314" s="446">
        <v>1408100</v>
      </c>
      <c r="L314" s="458"/>
      <c r="M314" s="458"/>
      <c r="N314" s="458"/>
      <c r="O314" s="534">
        <f t="shared" ref="O314" si="338">K314</f>
        <v>1408100</v>
      </c>
      <c r="P314" s="529">
        <f t="shared" ref="P314" si="339">+J314+E314</f>
        <v>1408100</v>
      </c>
      <c r="Q314" s="627"/>
      <c r="R314" s="292"/>
    </row>
    <row r="315" spans="1:18" ht="136.5" thickTop="1" thickBot="1" x14ac:dyDescent="0.25">
      <c r="A315" s="827" t="s">
        <v>461</v>
      </c>
      <c r="B315" s="827"/>
      <c r="C315" s="827"/>
      <c r="D315" s="828" t="s">
        <v>463</v>
      </c>
      <c r="E315" s="829">
        <f>E316</f>
        <v>116905191</v>
      </c>
      <c r="F315" s="830">
        <f t="shared" ref="F315:G315" si="340">F316</f>
        <v>116905191</v>
      </c>
      <c r="G315" s="830">
        <f t="shared" si="340"/>
        <v>3273700</v>
      </c>
      <c r="H315" s="830">
        <f>H316</f>
        <v>131446</v>
      </c>
      <c r="I315" s="830">
        <f t="shared" ref="I315" si="341">I316</f>
        <v>0</v>
      </c>
      <c r="J315" s="829">
        <f>J316</f>
        <v>23741650</v>
      </c>
      <c r="K315" s="830">
        <f>K316</f>
        <v>23741650</v>
      </c>
      <c r="L315" s="830">
        <f>L316</f>
        <v>0</v>
      </c>
      <c r="M315" s="830">
        <f t="shared" ref="M315" si="342">M316</f>
        <v>0</v>
      </c>
      <c r="N315" s="830">
        <f>N316</f>
        <v>0</v>
      </c>
      <c r="O315" s="829">
        <f>O316</f>
        <v>23741650</v>
      </c>
      <c r="P315" s="830">
        <f t="shared" ref="P315" si="343">P316</f>
        <v>140646841</v>
      </c>
    </row>
    <row r="316" spans="1:18" ht="181.5" thickTop="1" thickBot="1" x14ac:dyDescent="0.25">
      <c r="A316" s="831" t="s">
        <v>462</v>
      </c>
      <c r="B316" s="831"/>
      <c r="C316" s="831"/>
      <c r="D316" s="832" t="s">
        <v>464</v>
      </c>
      <c r="E316" s="833">
        <f t="shared" ref="E316:K316" si="344">E317+E320+E329</f>
        <v>116905191</v>
      </c>
      <c r="F316" s="833">
        <f t="shared" si="344"/>
        <v>116905191</v>
      </c>
      <c r="G316" s="833">
        <f t="shared" si="344"/>
        <v>3273700</v>
      </c>
      <c r="H316" s="833">
        <f t="shared" si="344"/>
        <v>131446</v>
      </c>
      <c r="I316" s="833">
        <f t="shared" si="344"/>
        <v>0</v>
      </c>
      <c r="J316" s="833">
        <f t="shared" si="344"/>
        <v>23741650</v>
      </c>
      <c r="K316" s="833">
        <f t="shared" si="344"/>
        <v>23741650</v>
      </c>
      <c r="L316" s="833">
        <f t="shared" ref="L316:N316" si="345">L317+L320+L329</f>
        <v>0</v>
      </c>
      <c r="M316" s="833">
        <f t="shared" si="345"/>
        <v>0</v>
      </c>
      <c r="N316" s="833">
        <f t="shared" si="345"/>
        <v>0</v>
      </c>
      <c r="O316" s="833">
        <f>O317+O320+O329</f>
        <v>23741650</v>
      </c>
      <c r="P316" s="833">
        <f>E316+J316</f>
        <v>140646841</v>
      </c>
      <c r="Q316" s="627" t="b">
        <f>P316=P318+P325+P319+P323+P328+P326+P331</f>
        <v>1</v>
      </c>
      <c r="R316" s="292"/>
    </row>
    <row r="317" spans="1:18" ht="47.25" thickTop="1" thickBot="1" x14ac:dyDescent="0.25">
      <c r="A317" s="151" t="s">
        <v>870</v>
      </c>
      <c r="B317" s="151" t="s">
        <v>727</v>
      </c>
      <c r="C317" s="151"/>
      <c r="D317" s="151" t="s">
        <v>728</v>
      </c>
      <c r="E317" s="442">
        <f>SUM(E318:E319)</f>
        <v>6963391</v>
      </c>
      <c r="F317" s="442">
        <f t="shared" ref="F317" si="346">SUM(F318:F319)</f>
        <v>6963391</v>
      </c>
      <c r="G317" s="442">
        <f t="shared" ref="G317" si="347">SUM(G318:G319)</f>
        <v>3273700</v>
      </c>
      <c r="H317" s="442">
        <f t="shared" ref="H317" si="348">SUM(H318:H319)</f>
        <v>131446</v>
      </c>
      <c r="I317" s="442">
        <f t="shared" ref="I317" si="349">SUM(I318:I319)</f>
        <v>0</v>
      </c>
      <c r="J317" s="529">
        <f t="shared" ref="J317" si="350">SUM(J318:J319)</f>
        <v>110500</v>
      </c>
      <c r="K317" s="529">
        <f t="shared" ref="K317" si="351">SUM(K318:K319)</f>
        <v>110500</v>
      </c>
      <c r="L317" s="529">
        <f t="shared" ref="L317" si="352">SUM(L318:L319)</f>
        <v>0</v>
      </c>
      <c r="M317" s="529">
        <f t="shared" ref="M317" si="353">SUM(M318:M319)</f>
        <v>0</v>
      </c>
      <c r="N317" s="529">
        <f t="shared" ref="N317" si="354">SUM(N318:N319)</f>
        <v>0</v>
      </c>
      <c r="O317" s="529">
        <f t="shared" ref="O317" si="355">SUM(O318:O319)</f>
        <v>110500</v>
      </c>
      <c r="P317" s="529">
        <f t="shared" ref="P317" si="356">SUM(P318:P319)</f>
        <v>7073891</v>
      </c>
      <c r="Q317" s="627"/>
      <c r="R317" s="292"/>
    </row>
    <row r="318" spans="1:18" ht="230.25" thickTop="1" thickBot="1" x14ac:dyDescent="0.25">
      <c r="A318" s="224" t="s">
        <v>465</v>
      </c>
      <c r="B318" s="224" t="s">
        <v>248</v>
      </c>
      <c r="C318" s="224" t="s">
        <v>246</v>
      </c>
      <c r="D318" s="224" t="s">
        <v>247</v>
      </c>
      <c r="E318" s="442">
        <f>F318</f>
        <v>6963391</v>
      </c>
      <c r="F318" s="443">
        <f>(6322671)+640720</f>
        <v>6963391</v>
      </c>
      <c r="G318" s="443">
        <f>(3273700)</f>
        <v>3273700</v>
      </c>
      <c r="H318" s="443">
        <f>86000+2822+39624+3000</f>
        <v>131446</v>
      </c>
      <c r="I318" s="443"/>
      <c r="J318" s="529">
        <f>L318+O318</f>
        <v>110500</v>
      </c>
      <c r="K318" s="443">
        <v>110500</v>
      </c>
      <c r="L318" s="443"/>
      <c r="M318" s="443"/>
      <c r="N318" s="443"/>
      <c r="O318" s="534">
        <f>K318</f>
        <v>110500</v>
      </c>
      <c r="P318" s="529">
        <f>E318+J318</f>
        <v>7073891</v>
      </c>
      <c r="Q318" s="627"/>
      <c r="R318" s="292"/>
    </row>
    <row r="319" spans="1:18" ht="184.5" hidden="1" thickTop="1" thickBot="1" x14ac:dyDescent="0.25">
      <c r="A319" s="259" t="s">
        <v>674</v>
      </c>
      <c r="B319" s="259" t="s">
        <v>376</v>
      </c>
      <c r="C319" s="259" t="s">
        <v>662</v>
      </c>
      <c r="D319" s="259" t="s">
        <v>663</v>
      </c>
      <c r="E319" s="305">
        <f>F319</f>
        <v>0</v>
      </c>
      <c r="F319" s="260"/>
      <c r="G319" s="260"/>
      <c r="H319" s="260"/>
      <c r="I319" s="260"/>
      <c r="J319" s="256">
        <f t="shared" ref="J319" si="357">L319+O319</f>
        <v>0</v>
      </c>
      <c r="K319" s="260"/>
      <c r="L319" s="261"/>
      <c r="M319" s="261"/>
      <c r="N319" s="261"/>
      <c r="O319" s="262">
        <f t="shared" ref="O319" si="358">K319</f>
        <v>0</v>
      </c>
      <c r="P319" s="256">
        <f t="shared" ref="P319" si="359">+J319+E319</f>
        <v>0</v>
      </c>
      <c r="Q319" s="627"/>
      <c r="R319" s="292"/>
    </row>
    <row r="320" spans="1:18" ht="47.25" thickTop="1" thickBot="1" x14ac:dyDescent="0.25">
      <c r="A320" s="151" t="s">
        <v>871</v>
      </c>
      <c r="B320" s="151" t="s">
        <v>792</v>
      </c>
      <c r="C320" s="532"/>
      <c r="D320" s="151" t="s">
        <v>839</v>
      </c>
      <c r="E320" s="529">
        <f>E321+E327</f>
        <v>109791800</v>
      </c>
      <c r="F320" s="736">
        <f t="shared" ref="F320:P320" si="360">F321+F327</f>
        <v>109791800</v>
      </c>
      <c r="G320" s="736">
        <f t="shared" si="360"/>
        <v>0</v>
      </c>
      <c r="H320" s="736">
        <f t="shared" si="360"/>
        <v>0</v>
      </c>
      <c r="I320" s="736">
        <f t="shared" si="360"/>
        <v>0</v>
      </c>
      <c r="J320" s="736">
        <f t="shared" si="360"/>
        <v>23631150</v>
      </c>
      <c r="K320" s="736">
        <f t="shared" si="360"/>
        <v>23631150</v>
      </c>
      <c r="L320" s="736">
        <f t="shared" si="360"/>
        <v>0</v>
      </c>
      <c r="M320" s="736">
        <f t="shared" si="360"/>
        <v>0</v>
      </c>
      <c r="N320" s="736">
        <f t="shared" si="360"/>
        <v>0</v>
      </c>
      <c r="O320" s="736">
        <f t="shared" si="360"/>
        <v>23631150</v>
      </c>
      <c r="P320" s="736">
        <f t="shared" si="360"/>
        <v>133422950</v>
      </c>
      <c r="Q320" s="627"/>
      <c r="R320" s="297"/>
    </row>
    <row r="321" spans="1:18" ht="136.5" thickTop="1" thickBot="1" x14ac:dyDescent="0.25">
      <c r="A321" s="466" t="s">
        <v>872</v>
      </c>
      <c r="B321" s="466" t="s">
        <v>851</v>
      </c>
      <c r="C321" s="466"/>
      <c r="D321" s="466" t="s">
        <v>852</v>
      </c>
      <c r="E321" s="467">
        <f>E324+E326</f>
        <v>109791800</v>
      </c>
      <c r="F321" s="467">
        <f t="shared" ref="F321:P321" si="361">F324+F326</f>
        <v>109791800</v>
      </c>
      <c r="G321" s="467">
        <f t="shared" si="361"/>
        <v>0</v>
      </c>
      <c r="H321" s="467">
        <f t="shared" si="361"/>
        <v>0</v>
      </c>
      <c r="I321" s="467">
        <f t="shared" si="361"/>
        <v>0</v>
      </c>
      <c r="J321" s="467">
        <f t="shared" si="361"/>
        <v>0</v>
      </c>
      <c r="K321" s="467">
        <f t="shared" si="361"/>
        <v>0</v>
      </c>
      <c r="L321" s="467">
        <f t="shared" si="361"/>
        <v>0</v>
      </c>
      <c r="M321" s="467">
        <f t="shared" si="361"/>
        <v>0</v>
      </c>
      <c r="N321" s="467">
        <f t="shared" si="361"/>
        <v>0</v>
      </c>
      <c r="O321" s="467">
        <f t="shared" si="361"/>
        <v>0</v>
      </c>
      <c r="P321" s="467">
        <f t="shared" si="361"/>
        <v>109791800</v>
      </c>
      <c r="Q321" s="627"/>
      <c r="R321" s="297"/>
    </row>
    <row r="322" spans="1:18" ht="138.75" hidden="1" thickTop="1" thickBot="1" x14ac:dyDescent="0.25">
      <c r="A322" s="488" t="s">
        <v>1093</v>
      </c>
      <c r="B322" s="488" t="s">
        <v>1094</v>
      </c>
      <c r="C322" s="488"/>
      <c r="D322" s="488" t="s">
        <v>1092</v>
      </c>
      <c r="E322" s="471">
        <f>E323</f>
        <v>0</v>
      </c>
      <c r="F322" s="471">
        <f t="shared" ref="F322:O322" si="362">F323</f>
        <v>0</v>
      </c>
      <c r="G322" s="471">
        <f t="shared" si="362"/>
        <v>0</v>
      </c>
      <c r="H322" s="471">
        <f t="shared" si="362"/>
        <v>0</v>
      </c>
      <c r="I322" s="471">
        <f t="shared" si="362"/>
        <v>0</v>
      </c>
      <c r="J322" s="471">
        <f t="shared" si="362"/>
        <v>0</v>
      </c>
      <c r="K322" s="471">
        <f t="shared" si="362"/>
        <v>0</v>
      </c>
      <c r="L322" s="471">
        <f t="shared" si="362"/>
        <v>0</v>
      </c>
      <c r="M322" s="471">
        <f t="shared" si="362"/>
        <v>0</v>
      </c>
      <c r="N322" s="471">
        <f t="shared" si="362"/>
        <v>0</v>
      </c>
      <c r="O322" s="471">
        <f t="shared" si="362"/>
        <v>0</v>
      </c>
      <c r="P322" s="471">
        <f t="shared" ref="F322:P324" si="363">P323</f>
        <v>0</v>
      </c>
      <c r="Q322" s="627"/>
      <c r="R322" s="297"/>
    </row>
    <row r="323" spans="1:18" ht="93" hidden="1" thickTop="1" thickBot="1" x14ac:dyDescent="0.25">
      <c r="A323" s="532" t="s">
        <v>485</v>
      </c>
      <c r="B323" s="532" t="s">
        <v>428</v>
      </c>
      <c r="C323" s="532" t="s">
        <v>429</v>
      </c>
      <c r="D323" s="532" t="s">
        <v>430</v>
      </c>
      <c r="E323" s="529">
        <f>F323</f>
        <v>0</v>
      </c>
      <c r="F323" s="443">
        <f>7903408-7903408</f>
        <v>0</v>
      </c>
      <c r="G323" s="443"/>
      <c r="H323" s="443"/>
      <c r="I323" s="443"/>
      <c r="J323" s="529">
        <f>L323+O323</f>
        <v>0</v>
      </c>
      <c r="K323" s="443"/>
      <c r="L323" s="443"/>
      <c r="M323" s="443"/>
      <c r="N323" s="443"/>
      <c r="O323" s="534">
        <f>K323</f>
        <v>0</v>
      </c>
      <c r="P323" s="529">
        <f>E323+J323</f>
        <v>0</v>
      </c>
      <c r="Q323" s="627"/>
      <c r="R323" s="297"/>
    </row>
    <row r="324" spans="1:18" ht="138.75" thickTop="1" thickBot="1" x14ac:dyDescent="0.25">
      <c r="A324" s="488" t="s">
        <v>873</v>
      </c>
      <c r="B324" s="488" t="s">
        <v>874</v>
      </c>
      <c r="C324" s="488"/>
      <c r="D324" s="488" t="s">
        <v>875</v>
      </c>
      <c r="E324" s="471">
        <f>E325</f>
        <v>109641800</v>
      </c>
      <c r="F324" s="471">
        <f t="shared" si="363"/>
        <v>109641800</v>
      </c>
      <c r="G324" s="471">
        <f t="shared" si="363"/>
        <v>0</v>
      </c>
      <c r="H324" s="471">
        <f t="shared" si="363"/>
        <v>0</v>
      </c>
      <c r="I324" s="471">
        <f t="shared" si="363"/>
        <v>0</v>
      </c>
      <c r="J324" s="471">
        <f t="shared" si="363"/>
        <v>0</v>
      </c>
      <c r="K324" s="471">
        <f t="shared" si="363"/>
        <v>0</v>
      </c>
      <c r="L324" s="471">
        <f t="shared" si="363"/>
        <v>0</v>
      </c>
      <c r="M324" s="471">
        <f t="shared" si="363"/>
        <v>0</v>
      </c>
      <c r="N324" s="471">
        <f t="shared" si="363"/>
        <v>0</v>
      </c>
      <c r="O324" s="471">
        <f t="shared" si="363"/>
        <v>0</v>
      </c>
      <c r="P324" s="471">
        <f t="shared" si="363"/>
        <v>109641800</v>
      </c>
      <c r="Q324" s="627"/>
      <c r="R324" s="297"/>
    </row>
    <row r="325" spans="1:18" ht="93" thickTop="1" thickBot="1" x14ac:dyDescent="0.25">
      <c r="A325" s="532" t="s">
        <v>486</v>
      </c>
      <c r="B325" s="532" t="s">
        <v>303</v>
      </c>
      <c r="C325" s="532" t="s">
        <v>305</v>
      </c>
      <c r="D325" s="532" t="s">
        <v>304</v>
      </c>
      <c r="E325" s="529">
        <f>F325</f>
        <v>109641800</v>
      </c>
      <c r="F325" s="443">
        <f>(106941800)+2700000</f>
        <v>109641800</v>
      </c>
      <c r="G325" s="443"/>
      <c r="H325" s="443"/>
      <c r="I325" s="443"/>
      <c r="J325" s="529">
        <f>L325+O325</f>
        <v>0</v>
      </c>
      <c r="K325" s="443"/>
      <c r="L325" s="443"/>
      <c r="M325" s="443"/>
      <c r="N325" s="443"/>
      <c r="O325" s="534">
        <f>K325</f>
        <v>0</v>
      </c>
      <c r="P325" s="529">
        <f>E325+J325</f>
        <v>109641800</v>
      </c>
      <c r="Q325" s="627"/>
      <c r="R325" s="297"/>
    </row>
    <row r="326" spans="1:18" s="778" customFormat="1" ht="93" thickTop="1" thickBot="1" x14ac:dyDescent="0.25">
      <c r="A326" s="774" t="s">
        <v>1200</v>
      </c>
      <c r="B326" s="774" t="s">
        <v>1201</v>
      </c>
      <c r="C326" s="774" t="s">
        <v>308</v>
      </c>
      <c r="D326" s="774" t="s">
        <v>1199</v>
      </c>
      <c r="E326" s="772">
        <f>F326</f>
        <v>150000</v>
      </c>
      <c r="F326" s="443">
        <v>150000</v>
      </c>
      <c r="G326" s="443"/>
      <c r="H326" s="443"/>
      <c r="I326" s="443"/>
      <c r="J326" s="772">
        <f>L326+O326</f>
        <v>0</v>
      </c>
      <c r="K326" s="443"/>
      <c r="L326" s="443"/>
      <c r="M326" s="443"/>
      <c r="N326" s="443"/>
      <c r="O326" s="775">
        <f>K326</f>
        <v>0</v>
      </c>
      <c r="P326" s="772">
        <f>E326+J326</f>
        <v>150000</v>
      </c>
      <c r="Q326" s="627"/>
      <c r="R326" s="297"/>
    </row>
    <row r="327" spans="1:18" s="743" customFormat="1" ht="136.5" thickTop="1" thickBot="1" x14ac:dyDescent="0.25">
      <c r="A327" s="466" t="s">
        <v>1324</v>
      </c>
      <c r="B327" s="466" t="s">
        <v>734</v>
      </c>
      <c r="C327" s="466"/>
      <c r="D327" s="466" t="s">
        <v>732</v>
      </c>
      <c r="E327" s="467">
        <f>E328</f>
        <v>0</v>
      </c>
      <c r="F327" s="467">
        <f t="shared" ref="F327:P327" si="364">F328</f>
        <v>0</v>
      </c>
      <c r="G327" s="467">
        <f t="shared" si="364"/>
        <v>0</v>
      </c>
      <c r="H327" s="467">
        <f t="shared" si="364"/>
        <v>0</v>
      </c>
      <c r="I327" s="467">
        <f t="shared" si="364"/>
        <v>0</v>
      </c>
      <c r="J327" s="467">
        <f t="shared" si="364"/>
        <v>23631150</v>
      </c>
      <c r="K327" s="467">
        <f t="shared" si="364"/>
        <v>23631150</v>
      </c>
      <c r="L327" s="467">
        <f t="shared" si="364"/>
        <v>0</v>
      </c>
      <c r="M327" s="467">
        <f t="shared" si="364"/>
        <v>0</v>
      </c>
      <c r="N327" s="467">
        <f t="shared" si="364"/>
        <v>0</v>
      </c>
      <c r="O327" s="467">
        <f t="shared" si="364"/>
        <v>23631150</v>
      </c>
      <c r="P327" s="467">
        <f t="shared" si="364"/>
        <v>23631150</v>
      </c>
      <c r="Q327" s="627"/>
      <c r="R327" s="297"/>
    </row>
    <row r="328" spans="1:18" ht="93" thickTop="1" thickBot="1" x14ac:dyDescent="0.25">
      <c r="A328" s="738" t="s">
        <v>1325</v>
      </c>
      <c r="B328" s="738" t="s">
        <v>209</v>
      </c>
      <c r="C328" s="738" t="s">
        <v>178</v>
      </c>
      <c r="D328" s="738" t="s">
        <v>1326</v>
      </c>
      <c r="E328" s="736">
        <f>F328</f>
        <v>0</v>
      </c>
      <c r="F328" s="443">
        <v>0</v>
      </c>
      <c r="G328" s="443"/>
      <c r="H328" s="443"/>
      <c r="I328" s="443"/>
      <c r="J328" s="736">
        <f>L328+O328</f>
        <v>23631150</v>
      </c>
      <c r="K328" s="443">
        <f>(7903408)+15727742</f>
        <v>23631150</v>
      </c>
      <c r="L328" s="443"/>
      <c r="M328" s="443"/>
      <c r="N328" s="443"/>
      <c r="O328" s="739">
        <f>K328</f>
        <v>23631150</v>
      </c>
      <c r="P328" s="736">
        <f>E328+J328</f>
        <v>23631150</v>
      </c>
      <c r="Q328" s="627"/>
      <c r="R328" s="297"/>
    </row>
    <row r="329" spans="1:18" s="778" customFormat="1" ht="47.25" thickTop="1" thickBot="1" x14ac:dyDescent="0.25">
      <c r="A329" s="151" t="s">
        <v>1393</v>
      </c>
      <c r="B329" s="151" t="s">
        <v>739</v>
      </c>
      <c r="C329" s="151"/>
      <c r="D329" s="151" t="s">
        <v>740</v>
      </c>
      <c r="E329" s="869">
        <f>E330</f>
        <v>150000</v>
      </c>
      <c r="F329" s="869">
        <f t="shared" ref="F329:P329" si="365">F330</f>
        <v>150000</v>
      </c>
      <c r="G329" s="869">
        <f t="shared" si="365"/>
        <v>0</v>
      </c>
      <c r="H329" s="869">
        <f t="shared" si="365"/>
        <v>0</v>
      </c>
      <c r="I329" s="869">
        <f t="shared" si="365"/>
        <v>0</v>
      </c>
      <c r="J329" s="869">
        <f t="shared" si="365"/>
        <v>0</v>
      </c>
      <c r="K329" s="869">
        <f t="shared" si="365"/>
        <v>0</v>
      </c>
      <c r="L329" s="869">
        <f t="shared" si="365"/>
        <v>0</v>
      </c>
      <c r="M329" s="869">
        <f t="shared" si="365"/>
        <v>0</v>
      </c>
      <c r="N329" s="869">
        <f t="shared" si="365"/>
        <v>0</v>
      </c>
      <c r="O329" s="869">
        <f t="shared" si="365"/>
        <v>0</v>
      </c>
      <c r="P329" s="869">
        <f t="shared" si="365"/>
        <v>150000</v>
      </c>
      <c r="Q329" s="627"/>
      <c r="R329" s="297"/>
    </row>
    <row r="330" spans="1:18" s="778" customFormat="1" ht="91.5" thickTop="1" thickBot="1" x14ac:dyDescent="0.25">
      <c r="A330" s="466" t="s">
        <v>1394</v>
      </c>
      <c r="B330" s="466" t="s">
        <v>1340</v>
      </c>
      <c r="C330" s="466"/>
      <c r="D330" s="466" t="s">
        <v>1338</v>
      </c>
      <c r="E330" s="467">
        <f>E331</f>
        <v>150000</v>
      </c>
      <c r="F330" s="467">
        <f>F331</f>
        <v>150000</v>
      </c>
      <c r="G330" s="467">
        <f t="shared" ref="G330:O330" si="366">G331</f>
        <v>0</v>
      </c>
      <c r="H330" s="467">
        <f t="shared" si="366"/>
        <v>0</v>
      </c>
      <c r="I330" s="467">
        <f t="shared" si="366"/>
        <v>0</v>
      </c>
      <c r="J330" s="467">
        <f t="shared" si="366"/>
        <v>0</v>
      </c>
      <c r="K330" s="467">
        <f t="shared" si="366"/>
        <v>0</v>
      </c>
      <c r="L330" s="467">
        <f t="shared" si="366"/>
        <v>0</v>
      </c>
      <c r="M330" s="467">
        <f t="shared" si="366"/>
        <v>0</v>
      </c>
      <c r="N330" s="467">
        <f t="shared" si="366"/>
        <v>0</v>
      </c>
      <c r="O330" s="467">
        <f t="shared" si="366"/>
        <v>0</v>
      </c>
      <c r="P330" s="467">
        <f>P331</f>
        <v>150000</v>
      </c>
      <c r="Q330" s="627"/>
      <c r="R330" s="297"/>
    </row>
    <row r="331" spans="1:18" s="778" customFormat="1" ht="138.75" thickTop="1" thickBot="1" x14ac:dyDescent="0.25">
      <c r="A331" s="866" t="s">
        <v>1395</v>
      </c>
      <c r="B331" s="866" t="s">
        <v>1396</v>
      </c>
      <c r="C331" s="866" t="s">
        <v>1342</v>
      </c>
      <c r="D331" s="866" t="s">
        <v>1397</v>
      </c>
      <c r="E331" s="869">
        <f>F331</f>
        <v>150000</v>
      </c>
      <c r="F331" s="443">
        <v>150000</v>
      </c>
      <c r="G331" s="443"/>
      <c r="H331" s="443"/>
      <c r="I331" s="443"/>
      <c r="J331" s="869">
        <f>L331+O331</f>
        <v>0</v>
      </c>
      <c r="K331" s="443"/>
      <c r="L331" s="443"/>
      <c r="M331" s="443"/>
      <c r="N331" s="443"/>
      <c r="O331" s="867">
        <f>K331</f>
        <v>0</v>
      </c>
      <c r="P331" s="869">
        <f>E331+J331</f>
        <v>150000</v>
      </c>
      <c r="Q331" s="627"/>
      <c r="R331" s="297"/>
    </row>
    <row r="332" spans="1:18" ht="136.5" thickTop="1" thickBot="1" x14ac:dyDescent="0.25">
      <c r="A332" s="827" t="s">
        <v>174</v>
      </c>
      <c r="B332" s="827"/>
      <c r="C332" s="827"/>
      <c r="D332" s="828" t="s">
        <v>368</v>
      </c>
      <c r="E332" s="829">
        <f>E333</f>
        <v>8319400</v>
      </c>
      <c r="F332" s="830">
        <f t="shared" ref="F332:G332" si="367">F333</f>
        <v>8319400</v>
      </c>
      <c r="G332" s="830">
        <f t="shared" si="367"/>
        <v>0</v>
      </c>
      <c r="H332" s="830">
        <f>H333</f>
        <v>0</v>
      </c>
      <c r="I332" s="830">
        <f t="shared" ref="I332" si="368">I333</f>
        <v>0</v>
      </c>
      <c r="J332" s="829">
        <f>J333</f>
        <v>800000</v>
      </c>
      <c r="K332" s="830">
        <f>K333</f>
        <v>800000</v>
      </c>
      <c r="L332" s="830">
        <f>L333</f>
        <v>0</v>
      </c>
      <c r="M332" s="830">
        <f t="shared" ref="M332" si="369">M333</f>
        <v>0</v>
      </c>
      <c r="N332" s="830">
        <f>N333</f>
        <v>0</v>
      </c>
      <c r="O332" s="829">
        <f>O333</f>
        <v>800000</v>
      </c>
      <c r="P332" s="830">
        <f t="shared" ref="P332" si="370">P333</f>
        <v>9119400</v>
      </c>
    </row>
    <row r="333" spans="1:18" ht="136.5" thickTop="1" thickBot="1" x14ac:dyDescent="0.25">
      <c r="A333" s="831" t="s">
        <v>175</v>
      </c>
      <c r="B333" s="831"/>
      <c r="C333" s="831"/>
      <c r="D333" s="832" t="s">
        <v>369</v>
      </c>
      <c r="E333" s="833">
        <f>E334+E342</f>
        <v>8319400</v>
      </c>
      <c r="F333" s="833">
        <f>F334+F342</f>
        <v>8319400</v>
      </c>
      <c r="G333" s="833">
        <f t="shared" ref="G333:K333" si="371">G334+G342</f>
        <v>0</v>
      </c>
      <c r="H333" s="833">
        <f t="shared" si="371"/>
        <v>0</v>
      </c>
      <c r="I333" s="833">
        <f t="shared" si="371"/>
        <v>0</v>
      </c>
      <c r="J333" s="833">
        <f t="shared" ref="J333:J341" si="372">L333+O333</f>
        <v>800000</v>
      </c>
      <c r="K333" s="833">
        <f t="shared" si="371"/>
        <v>800000</v>
      </c>
      <c r="L333" s="833">
        <f t="shared" ref="L333" si="373">L334+L342</f>
        <v>0</v>
      </c>
      <c r="M333" s="833">
        <f t="shared" ref="M333" si="374">M334+M342</f>
        <v>0</v>
      </c>
      <c r="N333" s="833">
        <f t="shared" ref="N333" si="375">N334+N342</f>
        <v>0</v>
      </c>
      <c r="O333" s="833">
        <f t="shared" ref="O333" si="376">O334+O342</f>
        <v>800000</v>
      </c>
      <c r="P333" s="833">
        <f t="shared" ref="P333:P341" si="377">E333+J333</f>
        <v>9119400</v>
      </c>
      <c r="Q333" s="627" t="b">
        <f>P333=P338+P339+P341+P344+P336</f>
        <v>1</v>
      </c>
      <c r="R333" s="292"/>
    </row>
    <row r="334" spans="1:18" ht="47.25" thickTop="1" thickBot="1" x14ac:dyDescent="0.25">
      <c r="A334" s="151" t="s">
        <v>876</v>
      </c>
      <c r="B334" s="151" t="s">
        <v>792</v>
      </c>
      <c r="C334" s="532"/>
      <c r="D334" s="151" t="s">
        <v>839</v>
      </c>
      <c r="E334" s="575">
        <f t="shared" ref="E334:P334" si="378">E337+E335</f>
        <v>8319400</v>
      </c>
      <c r="F334" s="575">
        <f t="shared" si="378"/>
        <v>8319400</v>
      </c>
      <c r="G334" s="575">
        <f t="shared" si="378"/>
        <v>0</v>
      </c>
      <c r="H334" s="575">
        <f t="shared" si="378"/>
        <v>0</v>
      </c>
      <c r="I334" s="575">
        <f t="shared" si="378"/>
        <v>0</v>
      </c>
      <c r="J334" s="575">
        <f t="shared" si="378"/>
        <v>800000</v>
      </c>
      <c r="K334" s="575">
        <f t="shared" si="378"/>
        <v>800000</v>
      </c>
      <c r="L334" s="575">
        <f t="shared" si="378"/>
        <v>0</v>
      </c>
      <c r="M334" s="575">
        <f t="shared" si="378"/>
        <v>0</v>
      </c>
      <c r="N334" s="575">
        <f t="shared" si="378"/>
        <v>0</v>
      </c>
      <c r="O334" s="575">
        <f t="shared" si="378"/>
        <v>800000</v>
      </c>
      <c r="P334" s="575">
        <f t="shared" si="378"/>
        <v>9119400</v>
      </c>
      <c r="Q334" s="627"/>
      <c r="R334" s="292"/>
    </row>
    <row r="335" spans="1:18" ht="91.5" thickTop="1" thickBot="1" x14ac:dyDescent="0.25">
      <c r="A335" s="466" t="s">
        <v>1090</v>
      </c>
      <c r="B335" s="466" t="s">
        <v>848</v>
      </c>
      <c r="C335" s="466"/>
      <c r="D335" s="466" t="s">
        <v>849</v>
      </c>
      <c r="E335" s="609">
        <f>E336</f>
        <v>74340</v>
      </c>
      <c r="F335" s="609">
        <f>F336</f>
        <v>74340</v>
      </c>
      <c r="G335" s="609">
        <f t="shared" ref="G335:O335" si="379">G336</f>
        <v>0</v>
      </c>
      <c r="H335" s="609">
        <f t="shared" si="379"/>
        <v>0</v>
      </c>
      <c r="I335" s="609">
        <f t="shared" si="379"/>
        <v>0</v>
      </c>
      <c r="J335" s="609">
        <f t="shared" si="379"/>
        <v>0</v>
      </c>
      <c r="K335" s="609">
        <f t="shared" si="379"/>
        <v>0</v>
      </c>
      <c r="L335" s="609">
        <f t="shared" si="379"/>
        <v>0</v>
      </c>
      <c r="M335" s="609">
        <f t="shared" si="379"/>
        <v>0</v>
      </c>
      <c r="N335" s="609">
        <f t="shared" si="379"/>
        <v>0</v>
      </c>
      <c r="O335" s="609">
        <f t="shared" si="379"/>
        <v>0</v>
      </c>
      <c r="P335" s="609">
        <f>P336</f>
        <v>74340</v>
      </c>
      <c r="Q335" s="627"/>
      <c r="R335" s="292"/>
    </row>
    <row r="336" spans="1:18" ht="138.75" thickTop="1" thickBot="1" x14ac:dyDescent="0.25">
      <c r="A336" s="532" t="s">
        <v>1091</v>
      </c>
      <c r="B336" s="532" t="s">
        <v>364</v>
      </c>
      <c r="C336" s="532" t="s">
        <v>178</v>
      </c>
      <c r="D336" s="532" t="s">
        <v>274</v>
      </c>
      <c r="E336" s="529">
        <f t="shared" ref="E336" si="380">F336</f>
        <v>74340</v>
      </c>
      <c r="F336" s="443">
        <v>74340</v>
      </c>
      <c r="G336" s="443"/>
      <c r="H336" s="443"/>
      <c r="I336" s="443"/>
      <c r="J336" s="529">
        <f t="shared" ref="J336" si="381">L336+O336</f>
        <v>0</v>
      </c>
      <c r="K336" s="443"/>
      <c r="L336" s="443"/>
      <c r="M336" s="443"/>
      <c r="N336" s="443"/>
      <c r="O336" s="534">
        <f>K336</f>
        <v>0</v>
      </c>
      <c r="P336" s="529">
        <f t="shared" ref="P336" si="382">E336+J336</f>
        <v>74340</v>
      </c>
      <c r="Q336" s="627"/>
      <c r="R336" s="292"/>
    </row>
    <row r="337" spans="1:18" ht="136.5" thickTop="1" thickBot="1" x14ac:dyDescent="0.25">
      <c r="A337" s="466" t="s">
        <v>877</v>
      </c>
      <c r="B337" s="466" t="s">
        <v>734</v>
      </c>
      <c r="C337" s="466"/>
      <c r="D337" s="466" t="s">
        <v>732</v>
      </c>
      <c r="E337" s="609">
        <f>SUM(E338:E341)-E340</f>
        <v>8245060</v>
      </c>
      <c r="F337" s="609">
        <f t="shared" ref="F337:P337" si="383">SUM(F338:F341)-F340</f>
        <v>8245060</v>
      </c>
      <c r="G337" s="609">
        <f t="shared" si="383"/>
        <v>0</v>
      </c>
      <c r="H337" s="609">
        <f t="shared" si="383"/>
        <v>0</v>
      </c>
      <c r="I337" s="609">
        <f t="shared" si="383"/>
        <v>0</v>
      </c>
      <c r="J337" s="609">
        <f t="shared" si="383"/>
        <v>800000</v>
      </c>
      <c r="K337" s="609">
        <f t="shared" si="383"/>
        <v>800000</v>
      </c>
      <c r="L337" s="609">
        <f t="shared" si="383"/>
        <v>0</v>
      </c>
      <c r="M337" s="609">
        <f t="shared" si="383"/>
        <v>0</v>
      </c>
      <c r="N337" s="609">
        <f t="shared" si="383"/>
        <v>0</v>
      </c>
      <c r="O337" s="609">
        <f t="shared" si="383"/>
        <v>800000</v>
      </c>
      <c r="P337" s="609">
        <f t="shared" si="383"/>
        <v>9045060</v>
      </c>
      <c r="Q337" s="627"/>
      <c r="R337" s="292"/>
    </row>
    <row r="338" spans="1:18" ht="93" thickTop="1" thickBot="1" x14ac:dyDescent="0.25">
      <c r="A338" s="532" t="s">
        <v>272</v>
      </c>
      <c r="B338" s="532" t="s">
        <v>273</v>
      </c>
      <c r="C338" s="532" t="s">
        <v>271</v>
      </c>
      <c r="D338" s="532" t="s">
        <v>270</v>
      </c>
      <c r="E338" s="529">
        <f t="shared" ref="E338:E341" si="384">F338</f>
        <v>5260060</v>
      </c>
      <c r="F338" s="443">
        <f>5760060-500000</f>
        <v>5260060</v>
      </c>
      <c r="G338" s="443"/>
      <c r="H338" s="443"/>
      <c r="I338" s="443"/>
      <c r="J338" s="529">
        <f t="shared" si="372"/>
        <v>0</v>
      </c>
      <c r="K338" s="443"/>
      <c r="L338" s="443"/>
      <c r="M338" s="443"/>
      <c r="N338" s="443"/>
      <c r="O338" s="534">
        <f>K338</f>
        <v>0</v>
      </c>
      <c r="P338" s="529">
        <f t="shared" si="377"/>
        <v>5260060</v>
      </c>
      <c r="R338" s="292"/>
    </row>
    <row r="339" spans="1:18" ht="138.75" thickTop="1" thickBot="1" x14ac:dyDescent="0.25">
      <c r="A339" s="532" t="s">
        <v>264</v>
      </c>
      <c r="B339" s="532" t="s">
        <v>266</v>
      </c>
      <c r="C339" s="532" t="s">
        <v>225</v>
      </c>
      <c r="D339" s="532" t="s">
        <v>265</v>
      </c>
      <c r="E339" s="529">
        <f t="shared" si="384"/>
        <v>1085000</v>
      </c>
      <c r="F339" s="443">
        <v>1085000</v>
      </c>
      <c r="G339" s="443"/>
      <c r="H339" s="443"/>
      <c r="I339" s="443"/>
      <c r="J339" s="529">
        <f t="shared" si="372"/>
        <v>0</v>
      </c>
      <c r="K339" s="443"/>
      <c r="L339" s="443"/>
      <c r="M339" s="443"/>
      <c r="N339" s="443"/>
      <c r="O339" s="534">
        <f>K339</f>
        <v>0</v>
      </c>
      <c r="P339" s="529">
        <f t="shared" si="377"/>
        <v>1085000</v>
      </c>
      <c r="R339" s="292"/>
    </row>
    <row r="340" spans="1:18" ht="48" thickTop="1" thickBot="1" x14ac:dyDescent="0.25">
      <c r="A340" s="488" t="s">
        <v>878</v>
      </c>
      <c r="B340" s="488" t="s">
        <v>737</v>
      </c>
      <c r="C340" s="488"/>
      <c r="D340" s="488" t="s">
        <v>735</v>
      </c>
      <c r="E340" s="471">
        <f>E341</f>
        <v>1900000</v>
      </c>
      <c r="F340" s="471">
        <f t="shared" ref="F340:P340" si="385">F341</f>
        <v>1900000</v>
      </c>
      <c r="G340" s="471">
        <f t="shared" si="385"/>
        <v>0</v>
      </c>
      <c r="H340" s="471">
        <f t="shared" si="385"/>
        <v>0</v>
      </c>
      <c r="I340" s="471">
        <f t="shared" si="385"/>
        <v>0</v>
      </c>
      <c r="J340" s="471">
        <f t="shared" si="385"/>
        <v>800000</v>
      </c>
      <c r="K340" s="471">
        <f t="shared" si="385"/>
        <v>800000</v>
      </c>
      <c r="L340" s="471">
        <f t="shared" si="385"/>
        <v>0</v>
      </c>
      <c r="M340" s="471">
        <f t="shared" si="385"/>
        <v>0</v>
      </c>
      <c r="N340" s="471">
        <f t="shared" si="385"/>
        <v>0</v>
      </c>
      <c r="O340" s="471">
        <f t="shared" si="385"/>
        <v>800000</v>
      </c>
      <c r="P340" s="471">
        <f t="shared" si="385"/>
        <v>2700000</v>
      </c>
      <c r="R340" s="292"/>
    </row>
    <row r="341" spans="1:18" ht="93" thickTop="1" thickBot="1" x14ac:dyDescent="0.25">
      <c r="A341" s="532" t="s">
        <v>268</v>
      </c>
      <c r="B341" s="532" t="s">
        <v>269</v>
      </c>
      <c r="C341" s="532" t="s">
        <v>178</v>
      </c>
      <c r="D341" s="532" t="s">
        <v>267</v>
      </c>
      <c r="E341" s="529">
        <f t="shared" si="384"/>
        <v>1900000</v>
      </c>
      <c r="F341" s="443">
        <f>(1200000+700000)</f>
        <v>1900000</v>
      </c>
      <c r="G341" s="443"/>
      <c r="H341" s="443"/>
      <c r="I341" s="443"/>
      <c r="J341" s="529">
        <f t="shared" si="372"/>
        <v>800000</v>
      </c>
      <c r="K341" s="443">
        <v>800000</v>
      </c>
      <c r="L341" s="443"/>
      <c r="M341" s="443"/>
      <c r="N341" s="443"/>
      <c r="O341" s="534">
        <f>K341</f>
        <v>800000</v>
      </c>
      <c r="P341" s="529">
        <f t="shared" si="377"/>
        <v>2700000</v>
      </c>
      <c r="R341" s="292"/>
    </row>
    <row r="342" spans="1:18" ht="47.25" hidden="1" thickTop="1" thickBot="1" x14ac:dyDescent="0.25">
      <c r="A342" s="250" t="s">
        <v>961</v>
      </c>
      <c r="B342" s="250" t="s">
        <v>745</v>
      </c>
      <c r="C342" s="250"/>
      <c r="D342" s="250" t="s">
        <v>746</v>
      </c>
      <c r="E342" s="256">
        <f>E343</f>
        <v>0</v>
      </c>
      <c r="F342" s="256">
        <f t="shared" ref="F342:P343" si="386">F343</f>
        <v>0</v>
      </c>
      <c r="G342" s="256">
        <f t="shared" si="386"/>
        <v>0</v>
      </c>
      <c r="H342" s="256">
        <f t="shared" si="386"/>
        <v>0</v>
      </c>
      <c r="I342" s="256">
        <f t="shared" si="386"/>
        <v>0</v>
      </c>
      <c r="J342" s="256">
        <f t="shared" si="386"/>
        <v>0</v>
      </c>
      <c r="K342" s="256">
        <f t="shared" si="386"/>
        <v>0</v>
      </c>
      <c r="L342" s="256">
        <f t="shared" si="386"/>
        <v>0</v>
      </c>
      <c r="M342" s="256">
        <f t="shared" si="386"/>
        <v>0</v>
      </c>
      <c r="N342" s="256">
        <f t="shared" si="386"/>
        <v>0</v>
      </c>
      <c r="O342" s="256">
        <f t="shared" si="386"/>
        <v>0</v>
      </c>
      <c r="P342" s="256">
        <f t="shared" si="386"/>
        <v>0</v>
      </c>
      <c r="R342" s="292"/>
    </row>
    <row r="343" spans="1:18" ht="271.5" hidden="1" thickTop="1" thickBot="1" x14ac:dyDescent="0.25">
      <c r="A343" s="253" t="s">
        <v>962</v>
      </c>
      <c r="B343" s="253" t="s">
        <v>748</v>
      </c>
      <c r="C343" s="253"/>
      <c r="D343" s="253" t="s">
        <v>749</v>
      </c>
      <c r="E343" s="270">
        <f>E344</f>
        <v>0</v>
      </c>
      <c r="F343" s="270">
        <f t="shared" si="386"/>
        <v>0</v>
      </c>
      <c r="G343" s="270">
        <f t="shared" si="386"/>
        <v>0</v>
      </c>
      <c r="H343" s="270">
        <f t="shared" si="386"/>
        <v>0</v>
      </c>
      <c r="I343" s="270">
        <f t="shared" si="386"/>
        <v>0</v>
      </c>
      <c r="J343" s="270">
        <f t="shared" si="386"/>
        <v>0</v>
      </c>
      <c r="K343" s="270">
        <f t="shared" si="386"/>
        <v>0</v>
      </c>
      <c r="L343" s="270">
        <f t="shared" si="386"/>
        <v>0</v>
      </c>
      <c r="M343" s="270">
        <f t="shared" si="386"/>
        <v>0</v>
      </c>
      <c r="N343" s="270">
        <f t="shared" si="386"/>
        <v>0</v>
      </c>
      <c r="O343" s="270">
        <f t="shared" si="386"/>
        <v>0</v>
      </c>
      <c r="P343" s="270">
        <f t="shared" si="386"/>
        <v>0</v>
      </c>
      <c r="R343" s="292"/>
    </row>
    <row r="344" spans="1:18" ht="93" hidden="1" thickTop="1" thickBot="1" x14ac:dyDescent="0.25">
      <c r="A344" s="259" t="s">
        <v>963</v>
      </c>
      <c r="B344" s="259" t="s">
        <v>377</v>
      </c>
      <c r="C344" s="259" t="s">
        <v>45</v>
      </c>
      <c r="D344" s="259" t="s">
        <v>378</v>
      </c>
      <c r="E344" s="256">
        <f t="shared" ref="E344" si="387">F344</f>
        <v>0</v>
      </c>
      <c r="F344" s="278">
        <v>0</v>
      </c>
      <c r="G344" s="278"/>
      <c r="H344" s="278"/>
      <c r="I344" s="278"/>
      <c r="J344" s="256">
        <f>L344+O344</f>
        <v>0</v>
      </c>
      <c r="K344" s="278">
        <v>0</v>
      </c>
      <c r="L344" s="278"/>
      <c r="M344" s="278"/>
      <c r="N344" s="278"/>
      <c r="O344" s="262">
        <f>K344</f>
        <v>0</v>
      </c>
      <c r="P344" s="256">
        <f>E344+J344</f>
        <v>0</v>
      </c>
      <c r="R344" s="292"/>
    </row>
    <row r="345" spans="1:18" ht="226.5" thickTop="1" thickBot="1" x14ac:dyDescent="0.25">
      <c r="A345" s="827" t="s">
        <v>172</v>
      </c>
      <c r="B345" s="827"/>
      <c r="C345" s="827"/>
      <c r="D345" s="828" t="s">
        <v>938</v>
      </c>
      <c r="E345" s="829">
        <f>E346</f>
        <v>6793333</v>
      </c>
      <c r="F345" s="830">
        <f t="shared" ref="F345:G345" si="388">F346</f>
        <v>6793333</v>
      </c>
      <c r="G345" s="830">
        <f t="shared" si="388"/>
        <v>5204880</v>
      </c>
      <c r="H345" s="830">
        <f>H346</f>
        <v>171531</v>
      </c>
      <c r="I345" s="830">
        <f t="shared" ref="I345" si="389">I346</f>
        <v>0</v>
      </c>
      <c r="J345" s="829">
        <f>J346</f>
        <v>746000</v>
      </c>
      <c r="K345" s="830">
        <f>K346</f>
        <v>46000</v>
      </c>
      <c r="L345" s="830">
        <f>L346</f>
        <v>652000</v>
      </c>
      <c r="M345" s="830">
        <f t="shared" ref="M345" si="390">M346</f>
        <v>0</v>
      </c>
      <c r="N345" s="830">
        <f>N346</f>
        <v>0</v>
      </c>
      <c r="O345" s="829">
        <f>O346</f>
        <v>94000</v>
      </c>
      <c r="P345" s="830">
        <f t="shared" ref="P345" si="391">P346</f>
        <v>7539333</v>
      </c>
    </row>
    <row r="346" spans="1:18" ht="181.5" thickTop="1" thickBot="1" x14ac:dyDescent="0.25">
      <c r="A346" s="831" t="s">
        <v>173</v>
      </c>
      <c r="B346" s="831"/>
      <c r="C346" s="831"/>
      <c r="D346" s="832" t="s">
        <v>937</v>
      </c>
      <c r="E346" s="833">
        <f>E347+E350</f>
        <v>6793333</v>
      </c>
      <c r="F346" s="833">
        <f t="shared" ref="F346:I346" si="392">F347+F350</f>
        <v>6793333</v>
      </c>
      <c r="G346" s="833">
        <f t="shared" si="392"/>
        <v>5204880</v>
      </c>
      <c r="H346" s="833">
        <f t="shared" si="392"/>
        <v>171531</v>
      </c>
      <c r="I346" s="833">
        <f t="shared" si="392"/>
        <v>0</v>
      </c>
      <c r="J346" s="833">
        <f>L346+O346</f>
        <v>746000</v>
      </c>
      <c r="K346" s="833">
        <f t="shared" ref="K346:O346" si="393">K347+K350</f>
        <v>46000</v>
      </c>
      <c r="L346" s="833">
        <f t="shared" si="393"/>
        <v>652000</v>
      </c>
      <c r="M346" s="833">
        <f t="shared" si="393"/>
        <v>0</v>
      </c>
      <c r="N346" s="833">
        <f t="shared" si="393"/>
        <v>0</v>
      </c>
      <c r="O346" s="833">
        <f t="shared" si="393"/>
        <v>94000</v>
      </c>
      <c r="P346" s="833">
        <f t="shared" ref="P346:P352" si="394">E346+J346</f>
        <v>7539333</v>
      </c>
      <c r="Q346" s="627" t="b">
        <f>P346=P348+P352</f>
        <v>1</v>
      </c>
      <c r="R346" s="292"/>
    </row>
    <row r="347" spans="1:18" ht="47.25" thickTop="1" thickBot="1" x14ac:dyDescent="0.25">
      <c r="A347" s="151" t="s">
        <v>879</v>
      </c>
      <c r="B347" s="151" t="s">
        <v>727</v>
      </c>
      <c r="C347" s="151"/>
      <c r="D347" s="151" t="s">
        <v>728</v>
      </c>
      <c r="E347" s="442">
        <f>SUM(E348:E349)</f>
        <v>6793333</v>
      </c>
      <c r="F347" s="442">
        <f t="shared" ref="F347" si="395">SUM(F348:F349)</f>
        <v>6793333</v>
      </c>
      <c r="G347" s="442">
        <f t="shared" ref="G347" si="396">SUM(G348:G349)</f>
        <v>5204880</v>
      </c>
      <c r="H347" s="442">
        <f t="shared" ref="H347" si="397">SUM(H348:H349)</f>
        <v>171531</v>
      </c>
      <c r="I347" s="442">
        <f t="shared" ref="I347" si="398">SUM(I348:I349)</f>
        <v>0</v>
      </c>
      <c r="J347" s="442">
        <f t="shared" ref="J347" si="399">SUM(J348:J349)</f>
        <v>46000</v>
      </c>
      <c r="K347" s="442">
        <f t="shared" ref="K347" si="400">SUM(K348:K349)</f>
        <v>46000</v>
      </c>
      <c r="L347" s="442">
        <f t="shared" ref="L347" si="401">SUM(L348:L349)</f>
        <v>0</v>
      </c>
      <c r="M347" s="442">
        <f t="shared" ref="M347" si="402">SUM(M348:M349)</f>
        <v>0</v>
      </c>
      <c r="N347" s="442">
        <f t="shared" ref="N347" si="403">SUM(N348:N349)</f>
        <v>0</v>
      </c>
      <c r="O347" s="442">
        <f>SUM(O348:O349)</f>
        <v>46000</v>
      </c>
      <c r="P347" s="442">
        <f t="shared" ref="P347" si="404">SUM(P348:P349)</f>
        <v>6839333</v>
      </c>
      <c r="Q347" s="627"/>
      <c r="R347" s="292"/>
    </row>
    <row r="348" spans="1:18" ht="230.25" thickTop="1" thickBot="1" x14ac:dyDescent="0.25">
      <c r="A348" s="224" t="s">
        <v>438</v>
      </c>
      <c r="B348" s="224" t="s">
        <v>248</v>
      </c>
      <c r="C348" s="224" t="s">
        <v>246</v>
      </c>
      <c r="D348" s="224" t="s">
        <v>247</v>
      </c>
      <c r="E348" s="442">
        <f>F348</f>
        <v>6793333</v>
      </c>
      <c r="F348" s="443">
        <v>6793333</v>
      </c>
      <c r="G348" s="443">
        <v>5204880</v>
      </c>
      <c r="H348" s="443">
        <f>120400+4752+42719+3660</f>
        <v>171531</v>
      </c>
      <c r="I348" s="443"/>
      <c r="J348" s="442">
        <f t="shared" ref="J348:J352" si="405">L348+O348</f>
        <v>46000</v>
      </c>
      <c r="K348" s="443">
        <v>46000</v>
      </c>
      <c r="L348" s="443"/>
      <c r="M348" s="443"/>
      <c r="N348" s="443"/>
      <c r="O348" s="444">
        <f>K348</f>
        <v>46000</v>
      </c>
      <c r="P348" s="442">
        <f t="shared" si="394"/>
        <v>6839333</v>
      </c>
      <c r="Q348" s="627"/>
      <c r="R348" s="292"/>
    </row>
    <row r="349" spans="1:18" ht="184.5" hidden="1" thickTop="1" thickBot="1" x14ac:dyDescent="0.25">
      <c r="A349" s="259" t="s">
        <v>675</v>
      </c>
      <c r="B349" s="259" t="s">
        <v>376</v>
      </c>
      <c r="C349" s="259" t="s">
        <v>662</v>
      </c>
      <c r="D349" s="259" t="s">
        <v>663</v>
      </c>
      <c r="E349" s="305">
        <f>F349</f>
        <v>0</v>
      </c>
      <c r="F349" s="260">
        <v>0</v>
      </c>
      <c r="G349" s="260"/>
      <c r="H349" s="260"/>
      <c r="I349" s="260"/>
      <c r="J349" s="256">
        <f t="shared" si="405"/>
        <v>0</v>
      </c>
      <c r="K349" s="260"/>
      <c r="L349" s="261"/>
      <c r="M349" s="261"/>
      <c r="N349" s="261"/>
      <c r="O349" s="262">
        <f t="shared" ref="O349" si="406">K349</f>
        <v>0</v>
      </c>
      <c r="P349" s="256">
        <f t="shared" ref="P349" si="407">+J349+E349</f>
        <v>0</v>
      </c>
      <c r="Q349" s="627"/>
      <c r="R349" s="292"/>
    </row>
    <row r="350" spans="1:18" ht="47.25" thickTop="1" thickBot="1" x14ac:dyDescent="0.25">
      <c r="A350" s="151" t="s">
        <v>880</v>
      </c>
      <c r="B350" s="151" t="s">
        <v>739</v>
      </c>
      <c r="C350" s="151"/>
      <c r="D350" s="151" t="s">
        <v>740</v>
      </c>
      <c r="E350" s="445">
        <f>E351</f>
        <v>0</v>
      </c>
      <c r="F350" s="445">
        <f t="shared" ref="F350:P351" si="408">F351</f>
        <v>0</v>
      </c>
      <c r="G350" s="445">
        <f t="shared" si="408"/>
        <v>0</v>
      </c>
      <c r="H350" s="445">
        <f t="shared" si="408"/>
        <v>0</v>
      </c>
      <c r="I350" s="445">
        <f t="shared" si="408"/>
        <v>0</v>
      </c>
      <c r="J350" s="445">
        <f t="shared" si="408"/>
        <v>700000</v>
      </c>
      <c r="K350" s="445">
        <f t="shared" si="408"/>
        <v>0</v>
      </c>
      <c r="L350" s="445">
        <f t="shared" si="408"/>
        <v>652000</v>
      </c>
      <c r="M350" s="445">
        <f t="shared" si="408"/>
        <v>0</v>
      </c>
      <c r="N350" s="445">
        <f t="shared" si="408"/>
        <v>0</v>
      </c>
      <c r="O350" s="445">
        <f t="shared" si="408"/>
        <v>48000</v>
      </c>
      <c r="P350" s="445">
        <f t="shared" si="408"/>
        <v>700000</v>
      </c>
      <c r="Q350" s="627"/>
      <c r="R350" s="292"/>
    </row>
    <row r="351" spans="1:18" ht="91.5" thickTop="1" thickBot="1" x14ac:dyDescent="0.25">
      <c r="A351" s="466" t="s">
        <v>881</v>
      </c>
      <c r="B351" s="466" t="s">
        <v>882</v>
      </c>
      <c r="C351" s="466"/>
      <c r="D351" s="466" t="s">
        <v>883</v>
      </c>
      <c r="E351" s="523">
        <f>E352</f>
        <v>0</v>
      </c>
      <c r="F351" s="523">
        <f t="shared" si="408"/>
        <v>0</v>
      </c>
      <c r="G351" s="523">
        <f t="shared" si="408"/>
        <v>0</v>
      </c>
      <c r="H351" s="523">
        <f t="shared" si="408"/>
        <v>0</v>
      </c>
      <c r="I351" s="523">
        <f t="shared" si="408"/>
        <v>0</v>
      </c>
      <c r="J351" s="523">
        <f t="shared" si="408"/>
        <v>700000</v>
      </c>
      <c r="K351" s="523">
        <f t="shared" ref="K351:P351" si="409">K352</f>
        <v>0</v>
      </c>
      <c r="L351" s="523">
        <f t="shared" si="409"/>
        <v>652000</v>
      </c>
      <c r="M351" s="523">
        <f t="shared" si="409"/>
        <v>0</v>
      </c>
      <c r="N351" s="523">
        <f t="shared" si="409"/>
        <v>0</v>
      </c>
      <c r="O351" s="523">
        <f t="shared" si="409"/>
        <v>48000</v>
      </c>
      <c r="P351" s="523">
        <f t="shared" si="409"/>
        <v>700000</v>
      </c>
      <c r="Q351" s="627"/>
      <c r="R351" s="292"/>
    </row>
    <row r="352" spans="1:18" ht="93" thickTop="1" thickBot="1" x14ac:dyDescent="0.25">
      <c r="A352" s="224" t="s">
        <v>1257</v>
      </c>
      <c r="B352" s="224" t="s">
        <v>1258</v>
      </c>
      <c r="C352" s="224" t="s">
        <v>53</v>
      </c>
      <c r="D352" s="224" t="s">
        <v>1259</v>
      </c>
      <c r="E352" s="442">
        <v>0</v>
      </c>
      <c r="F352" s="443"/>
      <c r="G352" s="443"/>
      <c r="H352" s="443"/>
      <c r="I352" s="443"/>
      <c r="J352" s="442">
        <f t="shared" si="405"/>
        <v>700000</v>
      </c>
      <c r="K352" s="442"/>
      <c r="L352" s="443">
        <v>652000</v>
      </c>
      <c r="M352" s="443"/>
      <c r="N352" s="443"/>
      <c r="O352" s="444">
        <f>K352+48000</f>
        <v>48000</v>
      </c>
      <c r="P352" s="442">
        <f t="shared" si="394"/>
        <v>700000</v>
      </c>
      <c r="Q352" s="627" t="b">
        <f>J352='d9'!F17</f>
        <v>1</v>
      </c>
    </row>
    <row r="353" spans="1:19" ht="136.5" thickTop="1" thickBot="1" x14ac:dyDescent="0.25">
      <c r="A353" s="827" t="s">
        <v>170</v>
      </c>
      <c r="B353" s="827"/>
      <c r="C353" s="827"/>
      <c r="D353" s="828" t="s">
        <v>950</v>
      </c>
      <c r="E353" s="829">
        <f>E354</f>
        <v>10120960</v>
      </c>
      <c r="F353" s="830">
        <f t="shared" ref="F353:G353" si="410">F354</f>
        <v>10120960</v>
      </c>
      <c r="G353" s="830">
        <f t="shared" si="410"/>
        <v>7650520</v>
      </c>
      <c r="H353" s="830">
        <f>H354</f>
        <v>103980</v>
      </c>
      <c r="I353" s="830">
        <f t="shared" ref="I353" si="411">I354</f>
        <v>0</v>
      </c>
      <c r="J353" s="829">
        <f>J354</f>
        <v>490000</v>
      </c>
      <c r="K353" s="830">
        <f>K354</f>
        <v>490000</v>
      </c>
      <c r="L353" s="830">
        <f>L354</f>
        <v>0</v>
      </c>
      <c r="M353" s="830">
        <f t="shared" ref="M353" si="412">M354</f>
        <v>0</v>
      </c>
      <c r="N353" s="830">
        <f>N354</f>
        <v>0</v>
      </c>
      <c r="O353" s="829">
        <f>O354</f>
        <v>490000</v>
      </c>
      <c r="P353" s="830">
        <f t="shared" ref="P353" si="413">P354</f>
        <v>10610960</v>
      </c>
    </row>
    <row r="354" spans="1:19" ht="181.5" thickTop="1" thickBot="1" x14ac:dyDescent="0.25">
      <c r="A354" s="831" t="s">
        <v>171</v>
      </c>
      <c r="B354" s="831"/>
      <c r="C354" s="831"/>
      <c r="D354" s="832" t="s">
        <v>949</v>
      </c>
      <c r="E354" s="833">
        <f>E355+E357</f>
        <v>10120960</v>
      </c>
      <c r="F354" s="833">
        <f t="shared" ref="F354:I354" si="414">F355+F357</f>
        <v>10120960</v>
      </c>
      <c r="G354" s="833">
        <f t="shared" si="414"/>
        <v>7650520</v>
      </c>
      <c r="H354" s="833">
        <f t="shared" si="414"/>
        <v>103980</v>
      </c>
      <c r="I354" s="833">
        <f t="shared" si="414"/>
        <v>0</v>
      </c>
      <c r="J354" s="833">
        <f>L354+O354</f>
        <v>490000</v>
      </c>
      <c r="K354" s="833">
        <f t="shared" ref="K354:O354" si="415">K355+K357</f>
        <v>490000</v>
      </c>
      <c r="L354" s="833">
        <f t="shared" si="415"/>
        <v>0</v>
      </c>
      <c r="M354" s="833">
        <f t="shared" si="415"/>
        <v>0</v>
      </c>
      <c r="N354" s="833">
        <f t="shared" si="415"/>
        <v>0</v>
      </c>
      <c r="O354" s="833">
        <f t="shared" si="415"/>
        <v>490000</v>
      </c>
      <c r="P354" s="833">
        <f>E354+J354</f>
        <v>10610960</v>
      </c>
      <c r="Q354" s="627" t="b">
        <f>P354=P359+P361+P356</f>
        <v>1</v>
      </c>
      <c r="R354" s="291"/>
    </row>
    <row r="355" spans="1:19" ht="47.25" thickTop="1" thickBot="1" x14ac:dyDescent="0.25">
      <c r="A355" s="151" t="s">
        <v>884</v>
      </c>
      <c r="B355" s="151" t="s">
        <v>727</v>
      </c>
      <c r="C355" s="151"/>
      <c r="D355" s="151" t="s">
        <v>728</v>
      </c>
      <c r="E355" s="442">
        <f>SUM(E356)</f>
        <v>9820960</v>
      </c>
      <c r="F355" s="442">
        <f t="shared" ref="F355:P355" si="416">SUM(F356)</f>
        <v>9820960</v>
      </c>
      <c r="G355" s="442">
        <f t="shared" si="416"/>
        <v>7650520</v>
      </c>
      <c r="H355" s="442">
        <f t="shared" si="416"/>
        <v>103980</v>
      </c>
      <c r="I355" s="442">
        <f t="shared" si="416"/>
        <v>0</v>
      </c>
      <c r="J355" s="442">
        <f t="shared" si="416"/>
        <v>40000</v>
      </c>
      <c r="K355" s="442">
        <f t="shared" si="416"/>
        <v>40000</v>
      </c>
      <c r="L355" s="442">
        <f t="shared" si="416"/>
        <v>0</v>
      </c>
      <c r="M355" s="442">
        <f t="shared" si="416"/>
        <v>0</v>
      </c>
      <c r="N355" s="442">
        <f t="shared" si="416"/>
        <v>0</v>
      </c>
      <c r="O355" s="442">
        <f t="shared" si="416"/>
        <v>40000</v>
      </c>
      <c r="P355" s="442">
        <f t="shared" si="416"/>
        <v>9860960</v>
      </c>
      <c r="Q355" s="627"/>
      <c r="R355" s="291"/>
    </row>
    <row r="356" spans="1:19" ht="230.25" thickTop="1" thickBot="1" x14ac:dyDescent="0.25">
      <c r="A356" s="224" t="s">
        <v>434</v>
      </c>
      <c r="B356" s="224" t="s">
        <v>248</v>
      </c>
      <c r="C356" s="224" t="s">
        <v>246</v>
      </c>
      <c r="D356" s="224" t="s">
        <v>247</v>
      </c>
      <c r="E356" s="442">
        <f>F356</f>
        <v>9820960</v>
      </c>
      <c r="F356" s="443">
        <v>9820960</v>
      </c>
      <c r="G356" s="443">
        <v>7650520</v>
      </c>
      <c r="H356" s="443">
        <f>82000+2000+19980</f>
        <v>103980</v>
      </c>
      <c r="I356" s="443"/>
      <c r="J356" s="442">
        <f>L356+O356</f>
        <v>40000</v>
      </c>
      <c r="K356" s="443">
        <v>40000</v>
      </c>
      <c r="L356" s="443"/>
      <c r="M356" s="443"/>
      <c r="N356" s="443"/>
      <c r="O356" s="444">
        <f>K356</f>
        <v>40000</v>
      </c>
      <c r="P356" s="442">
        <f>E356+J356</f>
        <v>9860960</v>
      </c>
      <c r="R356" s="291"/>
    </row>
    <row r="357" spans="1:19" ht="47.25" thickTop="1" thickBot="1" x14ac:dyDescent="0.25">
      <c r="A357" s="151" t="s">
        <v>885</v>
      </c>
      <c r="B357" s="151" t="s">
        <v>792</v>
      </c>
      <c r="C357" s="532"/>
      <c r="D357" s="151" t="s">
        <v>839</v>
      </c>
      <c r="E357" s="529">
        <f t="shared" ref="E357:P357" si="417">E358+E360</f>
        <v>300000</v>
      </c>
      <c r="F357" s="529">
        <f t="shared" si="417"/>
        <v>300000</v>
      </c>
      <c r="G357" s="529">
        <f t="shared" si="417"/>
        <v>0</v>
      </c>
      <c r="H357" s="529">
        <f t="shared" si="417"/>
        <v>0</v>
      </c>
      <c r="I357" s="529">
        <f t="shared" si="417"/>
        <v>0</v>
      </c>
      <c r="J357" s="529">
        <f t="shared" si="417"/>
        <v>450000</v>
      </c>
      <c r="K357" s="529">
        <f t="shared" si="417"/>
        <v>450000</v>
      </c>
      <c r="L357" s="529">
        <f t="shared" si="417"/>
        <v>0</v>
      </c>
      <c r="M357" s="529">
        <f t="shared" si="417"/>
        <v>0</v>
      </c>
      <c r="N357" s="529">
        <f t="shared" si="417"/>
        <v>0</v>
      </c>
      <c r="O357" s="529">
        <f t="shared" si="417"/>
        <v>450000</v>
      </c>
      <c r="P357" s="529">
        <f t="shared" si="417"/>
        <v>750000</v>
      </c>
      <c r="R357" s="293"/>
    </row>
    <row r="358" spans="1:19" ht="91.5" thickTop="1" thickBot="1" x14ac:dyDescent="0.25">
      <c r="A358" s="466" t="s">
        <v>886</v>
      </c>
      <c r="B358" s="466" t="s">
        <v>887</v>
      </c>
      <c r="C358" s="466"/>
      <c r="D358" s="466" t="s">
        <v>888</v>
      </c>
      <c r="E358" s="467">
        <f>SUM(E359)</f>
        <v>300000</v>
      </c>
      <c r="F358" s="467">
        <f t="shared" ref="F358:P358" si="418">SUM(F359)</f>
        <v>300000</v>
      </c>
      <c r="G358" s="467">
        <f t="shared" si="418"/>
        <v>0</v>
      </c>
      <c r="H358" s="467">
        <f t="shared" si="418"/>
        <v>0</v>
      </c>
      <c r="I358" s="467">
        <f t="shared" si="418"/>
        <v>0</v>
      </c>
      <c r="J358" s="467">
        <f t="shared" si="418"/>
        <v>400000</v>
      </c>
      <c r="K358" s="467">
        <f t="shared" si="418"/>
        <v>400000</v>
      </c>
      <c r="L358" s="467">
        <f t="shared" si="418"/>
        <v>0</v>
      </c>
      <c r="M358" s="467">
        <f t="shared" si="418"/>
        <v>0</v>
      </c>
      <c r="N358" s="467">
        <f t="shared" si="418"/>
        <v>0</v>
      </c>
      <c r="O358" s="467">
        <f t="shared" si="418"/>
        <v>400000</v>
      </c>
      <c r="P358" s="467">
        <f t="shared" si="418"/>
        <v>700000</v>
      </c>
      <c r="R358" s="293"/>
    </row>
    <row r="359" spans="1:19" ht="93" thickTop="1" thickBot="1" x14ac:dyDescent="0.25">
      <c r="A359" s="532" t="s">
        <v>319</v>
      </c>
      <c r="B359" s="532" t="s">
        <v>320</v>
      </c>
      <c r="C359" s="532" t="s">
        <v>321</v>
      </c>
      <c r="D359" s="532" t="s">
        <v>479</v>
      </c>
      <c r="E359" s="529">
        <f>F359</f>
        <v>300000</v>
      </c>
      <c r="F359" s="443">
        <v>300000</v>
      </c>
      <c r="G359" s="443"/>
      <c r="H359" s="443"/>
      <c r="I359" s="443"/>
      <c r="J359" s="529">
        <f>L359+O359</f>
        <v>400000</v>
      </c>
      <c r="K359" s="443">
        <v>400000</v>
      </c>
      <c r="L359" s="443"/>
      <c r="M359" s="443"/>
      <c r="N359" s="443"/>
      <c r="O359" s="534">
        <f>K359</f>
        <v>400000</v>
      </c>
      <c r="P359" s="529">
        <f>E359+J359</f>
        <v>700000</v>
      </c>
      <c r="R359" s="291"/>
    </row>
    <row r="360" spans="1:19" ht="136.5" thickTop="1" thickBot="1" x14ac:dyDescent="0.25">
      <c r="A360" s="466" t="s">
        <v>889</v>
      </c>
      <c r="B360" s="466" t="s">
        <v>734</v>
      </c>
      <c r="C360" s="532"/>
      <c r="D360" s="466" t="s">
        <v>890</v>
      </c>
      <c r="E360" s="467">
        <f>SUM(E361)</f>
        <v>0</v>
      </c>
      <c r="F360" s="467">
        <f t="shared" ref="F360:P360" si="419">SUM(F361)</f>
        <v>0</v>
      </c>
      <c r="G360" s="467">
        <f t="shared" si="419"/>
        <v>0</v>
      </c>
      <c r="H360" s="467">
        <f t="shared" si="419"/>
        <v>0</v>
      </c>
      <c r="I360" s="467">
        <f t="shared" si="419"/>
        <v>0</v>
      </c>
      <c r="J360" s="467">
        <f t="shared" si="419"/>
        <v>50000</v>
      </c>
      <c r="K360" s="467">
        <f t="shared" si="419"/>
        <v>50000</v>
      </c>
      <c r="L360" s="467">
        <f t="shared" si="419"/>
        <v>0</v>
      </c>
      <c r="M360" s="467">
        <f t="shared" si="419"/>
        <v>0</v>
      </c>
      <c r="N360" s="467">
        <f t="shared" si="419"/>
        <v>0</v>
      </c>
      <c r="O360" s="467">
        <f t="shared" si="419"/>
        <v>50000</v>
      </c>
      <c r="P360" s="467">
        <f t="shared" si="419"/>
        <v>50000</v>
      </c>
    </row>
    <row r="361" spans="1:19" ht="138.75" thickTop="1" thickBot="1" x14ac:dyDescent="0.25">
      <c r="A361" s="532" t="s">
        <v>382</v>
      </c>
      <c r="B361" s="532" t="s">
        <v>383</v>
      </c>
      <c r="C361" s="532" t="s">
        <v>178</v>
      </c>
      <c r="D361" s="532" t="s">
        <v>384</v>
      </c>
      <c r="E361" s="529">
        <f>F361</f>
        <v>0</v>
      </c>
      <c r="F361" s="443"/>
      <c r="G361" s="443"/>
      <c r="H361" s="443"/>
      <c r="I361" s="443"/>
      <c r="J361" s="529">
        <f>L361+O361</f>
        <v>50000</v>
      </c>
      <c r="K361" s="443">
        <v>50000</v>
      </c>
      <c r="L361" s="443"/>
      <c r="M361" s="443"/>
      <c r="N361" s="443"/>
      <c r="O361" s="534">
        <f>K361</f>
        <v>50000</v>
      </c>
      <c r="P361" s="529">
        <f>E361+J361</f>
        <v>50000</v>
      </c>
      <c r="R361" s="291"/>
    </row>
    <row r="362" spans="1:19" ht="136.5" thickTop="1" thickBot="1" x14ac:dyDescent="0.25">
      <c r="A362" s="827" t="s">
        <v>176</v>
      </c>
      <c r="B362" s="827"/>
      <c r="C362" s="827"/>
      <c r="D362" s="828" t="s">
        <v>27</v>
      </c>
      <c r="E362" s="829">
        <f>E363</f>
        <v>126364314.37</v>
      </c>
      <c r="F362" s="830">
        <f t="shared" ref="F362:G362" si="420">F363</f>
        <v>126364314.37</v>
      </c>
      <c r="G362" s="830">
        <f t="shared" si="420"/>
        <v>8023550</v>
      </c>
      <c r="H362" s="830">
        <f>H363</f>
        <v>254660</v>
      </c>
      <c r="I362" s="830">
        <f t="shared" ref="I362" si="421">I363</f>
        <v>0</v>
      </c>
      <c r="J362" s="829">
        <f>J363</f>
        <v>0</v>
      </c>
      <c r="K362" s="830">
        <f>K363</f>
        <v>0</v>
      </c>
      <c r="L362" s="830">
        <f>L363</f>
        <v>0</v>
      </c>
      <c r="M362" s="830">
        <f t="shared" ref="M362" si="422">M363</f>
        <v>0</v>
      </c>
      <c r="N362" s="830">
        <f>N363</f>
        <v>0</v>
      </c>
      <c r="O362" s="829">
        <f>O363</f>
        <v>0</v>
      </c>
      <c r="P362" s="830">
        <f t="shared" ref="P362" si="423">P363</f>
        <v>126364314.37</v>
      </c>
    </row>
    <row r="363" spans="1:19" ht="136.5" thickTop="1" thickBot="1" x14ac:dyDescent="0.25">
      <c r="A363" s="831" t="s">
        <v>177</v>
      </c>
      <c r="B363" s="831"/>
      <c r="C363" s="831"/>
      <c r="D363" s="832" t="s">
        <v>42</v>
      </c>
      <c r="E363" s="833">
        <f>E364+E370+E377+E367</f>
        <v>126364314.37</v>
      </c>
      <c r="F363" s="833">
        <f t="shared" ref="F363:P363" si="424">F364+F370+F377+F367</f>
        <v>126364314.37</v>
      </c>
      <c r="G363" s="833">
        <f t="shared" si="424"/>
        <v>8023550</v>
      </c>
      <c r="H363" s="833">
        <f t="shared" si="424"/>
        <v>254660</v>
      </c>
      <c r="I363" s="833">
        <f t="shared" si="424"/>
        <v>0</v>
      </c>
      <c r="J363" s="833">
        <f t="shared" si="424"/>
        <v>0</v>
      </c>
      <c r="K363" s="833">
        <f t="shared" si="424"/>
        <v>0</v>
      </c>
      <c r="L363" s="833">
        <f t="shared" si="424"/>
        <v>0</v>
      </c>
      <c r="M363" s="833">
        <f t="shared" si="424"/>
        <v>0</v>
      </c>
      <c r="N363" s="833">
        <f t="shared" si="424"/>
        <v>0</v>
      </c>
      <c r="O363" s="833">
        <f t="shared" si="424"/>
        <v>0</v>
      </c>
      <c r="P363" s="833">
        <f t="shared" si="424"/>
        <v>126364314.37</v>
      </c>
      <c r="Q363" s="627" t="b">
        <f>P363=P371+P373+P379+P365+P366+P376+P369</f>
        <v>1</v>
      </c>
      <c r="R363" s="291"/>
    </row>
    <row r="364" spans="1:19" ht="47.25" thickTop="1" thickBot="1" x14ac:dyDescent="0.25">
      <c r="A364" s="151" t="s">
        <v>891</v>
      </c>
      <c r="B364" s="151" t="s">
        <v>727</v>
      </c>
      <c r="C364" s="151"/>
      <c r="D364" s="151" t="s">
        <v>728</v>
      </c>
      <c r="E364" s="442">
        <f>SUM(E365:E366)</f>
        <v>10351190</v>
      </c>
      <c r="F364" s="442">
        <f t="shared" ref="F364:P364" si="425">SUM(F365:F366)</f>
        <v>10351190</v>
      </c>
      <c r="G364" s="442">
        <f t="shared" si="425"/>
        <v>8023550</v>
      </c>
      <c r="H364" s="442">
        <f t="shared" si="425"/>
        <v>254660</v>
      </c>
      <c r="I364" s="442">
        <f t="shared" si="425"/>
        <v>0</v>
      </c>
      <c r="J364" s="442">
        <f t="shared" si="425"/>
        <v>0</v>
      </c>
      <c r="K364" s="442">
        <f t="shared" si="425"/>
        <v>0</v>
      </c>
      <c r="L364" s="442">
        <f t="shared" si="425"/>
        <v>0</v>
      </c>
      <c r="M364" s="442">
        <f t="shared" si="425"/>
        <v>0</v>
      </c>
      <c r="N364" s="442">
        <f t="shared" si="425"/>
        <v>0</v>
      </c>
      <c r="O364" s="442">
        <f t="shared" si="425"/>
        <v>0</v>
      </c>
      <c r="P364" s="442">
        <f t="shared" si="425"/>
        <v>10351190</v>
      </c>
      <c r="Q364" s="627"/>
      <c r="R364" s="297"/>
    </row>
    <row r="365" spans="1:19" ht="230.25" thickTop="1" thickBot="1" x14ac:dyDescent="0.25">
      <c r="A365" s="224" t="s">
        <v>436</v>
      </c>
      <c r="B365" s="224" t="s">
        <v>248</v>
      </c>
      <c r="C365" s="224" t="s">
        <v>246</v>
      </c>
      <c r="D365" s="224" t="s">
        <v>247</v>
      </c>
      <c r="E365" s="442">
        <f>F365</f>
        <v>10344190</v>
      </c>
      <c r="F365" s="443">
        <v>10344190</v>
      </c>
      <c r="G365" s="443">
        <v>8023550</v>
      </c>
      <c r="H365" s="443">
        <f>144480+4120+99060+7000</f>
        <v>254660</v>
      </c>
      <c r="I365" s="443"/>
      <c r="J365" s="442">
        <f>L365+O365</f>
        <v>0</v>
      </c>
      <c r="K365" s="443"/>
      <c r="L365" s="443"/>
      <c r="M365" s="443"/>
      <c r="N365" s="443"/>
      <c r="O365" s="444">
        <f>K365</f>
        <v>0</v>
      </c>
      <c r="P365" s="442">
        <f>E365+J365</f>
        <v>10344190</v>
      </c>
      <c r="Q365" s="627" t="b">
        <f>K365='d6'!J100</f>
        <v>1</v>
      </c>
      <c r="R365" s="297"/>
      <c r="S365" s="293">
        <f>'d6'!J100</f>
        <v>0</v>
      </c>
    </row>
    <row r="366" spans="1:19" ht="184.5" thickTop="1" thickBot="1" x14ac:dyDescent="0.25">
      <c r="A366" s="224" t="s">
        <v>676</v>
      </c>
      <c r="B366" s="224" t="s">
        <v>376</v>
      </c>
      <c r="C366" s="224" t="s">
        <v>662</v>
      </c>
      <c r="D366" s="224" t="s">
        <v>663</v>
      </c>
      <c r="E366" s="445">
        <f>F366</f>
        <v>7000</v>
      </c>
      <c r="F366" s="446">
        <v>7000</v>
      </c>
      <c r="G366" s="446"/>
      <c r="H366" s="446"/>
      <c r="I366" s="446"/>
      <c r="J366" s="442">
        <f t="shared" ref="J366" si="426">L366+O366</f>
        <v>0</v>
      </c>
      <c r="K366" s="446"/>
      <c r="L366" s="458"/>
      <c r="M366" s="458"/>
      <c r="N366" s="458"/>
      <c r="O366" s="444">
        <f t="shared" ref="O366" si="427">K366</f>
        <v>0</v>
      </c>
      <c r="P366" s="442">
        <f t="shared" ref="P366" si="428">+J366+E366</f>
        <v>7000</v>
      </c>
      <c r="Q366" s="627"/>
      <c r="R366" s="297"/>
    </row>
    <row r="367" spans="1:19" s="778" customFormat="1" ht="136.5" thickTop="1" thickBot="1" x14ac:dyDescent="0.25">
      <c r="A367" s="466" t="s">
        <v>1375</v>
      </c>
      <c r="B367" s="466" t="s">
        <v>734</v>
      </c>
      <c r="C367" s="466"/>
      <c r="D367" s="466" t="s">
        <v>732</v>
      </c>
      <c r="E367" s="609">
        <f>E368</f>
        <v>2500000</v>
      </c>
      <c r="F367" s="609">
        <f t="shared" ref="F367:P368" si="429">F368</f>
        <v>2500000</v>
      </c>
      <c r="G367" s="609">
        <f t="shared" si="429"/>
        <v>0</v>
      </c>
      <c r="H367" s="609">
        <f t="shared" si="429"/>
        <v>0</v>
      </c>
      <c r="I367" s="609">
        <f t="shared" si="429"/>
        <v>0</v>
      </c>
      <c r="J367" s="609">
        <f t="shared" si="429"/>
        <v>0</v>
      </c>
      <c r="K367" s="609">
        <f t="shared" si="429"/>
        <v>0</v>
      </c>
      <c r="L367" s="609">
        <f t="shared" si="429"/>
        <v>0</v>
      </c>
      <c r="M367" s="609">
        <f t="shared" si="429"/>
        <v>0</v>
      </c>
      <c r="N367" s="609">
        <f t="shared" si="429"/>
        <v>0</v>
      </c>
      <c r="O367" s="609">
        <f t="shared" si="429"/>
        <v>0</v>
      </c>
      <c r="P367" s="609">
        <f t="shared" si="429"/>
        <v>2500000</v>
      </c>
      <c r="Q367" s="627"/>
      <c r="R367" s="297"/>
    </row>
    <row r="368" spans="1:19" s="778" customFormat="1" ht="48" thickTop="1" thickBot="1" x14ac:dyDescent="0.25">
      <c r="A368" s="488" t="s">
        <v>1376</v>
      </c>
      <c r="B368" s="488" t="s">
        <v>737</v>
      </c>
      <c r="C368" s="488"/>
      <c r="D368" s="488" t="s">
        <v>735</v>
      </c>
      <c r="E368" s="471">
        <f>E369</f>
        <v>2500000</v>
      </c>
      <c r="F368" s="471">
        <f t="shared" si="429"/>
        <v>2500000</v>
      </c>
      <c r="G368" s="471">
        <f t="shared" si="429"/>
        <v>0</v>
      </c>
      <c r="H368" s="471">
        <f t="shared" si="429"/>
        <v>0</v>
      </c>
      <c r="I368" s="471">
        <f t="shared" si="429"/>
        <v>0</v>
      </c>
      <c r="J368" s="471">
        <f t="shared" si="429"/>
        <v>0</v>
      </c>
      <c r="K368" s="471">
        <f t="shared" si="429"/>
        <v>0</v>
      </c>
      <c r="L368" s="471">
        <f t="shared" si="429"/>
        <v>0</v>
      </c>
      <c r="M368" s="471">
        <f t="shared" si="429"/>
        <v>0</v>
      </c>
      <c r="N368" s="471">
        <f t="shared" si="429"/>
        <v>0</v>
      </c>
      <c r="O368" s="471">
        <f t="shared" si="429"/>
        <v>0</v>
      </c>
      <c r="P368" s="471">
        <f t="shared" si="429"/>
        <v>2500000</v>
      </c>
      <c r="Q368" s="627"/>
      <c r="R368" s="297"/>
    </row>
    <row r="369" spans="1:18" s="778" customFormat="1" ht="93" thickTop="1" thickBot="1" x14ac:dyDescent="0.25">
      <c r="A369" s="814" t="s">
        <v>1377</v>
      </c>
      <c r="B369" s="814" t="s">
        <v>269</v>
      </c>
      <c r="C369" s="814" t="s">
        <v>178</v>
      </c>
      <c r="D369" s="814" t="s">
        <v>267</v>
      </c>
      <c r="E369" s="816">
        <f t="shared" ref="E369" si="430">F369</f>
        <v>2500000</v>
      </c>
      <c r="F369" s="443">
        <v>2500000</v>
      </c>
      <c r="G369" s="443"/>
      <c r="H369" s="443"/>
      <c r="I369" s="443"/>
      <c r="J369" s="816">
        <f t="shared" ref="J369" si="431">L369+O369</f>
        <v>0</v>
      </c>
      <c r="K369" s="443"/>
      <c r="L369" s="443"/>
      <c r="M369" s="443"/>
      <c r="N369" s="443"/>
      <c r="O369" s="815">
        <f>K369</f>
        <v>0</v>
      </c>
      <c r="P369" s="816">
        <f t="shared" ref="P369" si="432">E369+J369</f>
        <v>2500000</v>
      </c>
      <c r="Q369" s="627"/>
      <c r="R369" s="297"/>
    </row>
    <row r="370" spans="1:18" ht="47.25" thickTop="1" thickBot="1" x14ac:dyDescent="0.25">
      <c r="A370" s="151" t="s">
        <v>892</v>
      </c>
      <c r="B370" s="151" t="s">
        <v>739</v>
      </c>
      <c r="C370" s="151"/>
      <c r="D370" s="151" t="s">
        <v>740</v>
      </c>
      <c r="E370" s="445">
        <f t="shared" ref="E370:P370" si="433">E371+E372+E374</f>
        <v>21800224.369999997</v>
      </c>
      <c r="F370" s="445">
        <f t="shared" si="433"/>
        <v>21800224.369999997</v>
      </c>
      <c r="G370" s="445">
        <f t="shared" si="433"/>
        <v>0</v>
      </c>
      <c r="H370" s="445">
        <f t="shared" si="433"/>
        <v>0</v>
      </c>
      <c r="I370" s="445">
        <f t="shared" si="433"/>
        <v>0</v>
      </c>
      <c r="J370" s="445">
        <f t="shared" si="433"/>
        <v>0</v>
      </c>
      <c r="K370" s="445">
        <f t="shared" si="433"/>
        <v>0</v>
      </c>
      <c r="L370" s="445">
        <f t="shared" si="433"/>
        <v>0</v>
      </c>
      <c r="M370" s="445">
        <f t="shared" si="433"/>
        <v>0</v>
      </c>
      <c r="N370" s="445">
        <f t="shared" si="433"/>
        <v>0</v>
      </c>
      <c r="O370" s="445">
        <f t="shared" si="433"/>
        <v>0</v>
      </c>
      <c r="P370" s="445">
        <f t="shared" si="433"/>
        <v>21800224.369999997</v>
      </c>
      <c r="Q370" s="627"/>
      <c r="R370" s="297"/>
    </row>
    <row r="371" spans="1:18" ht="91.5" thickTop="1" thickBot="1" x14ac:dyDescent="0.25">
      <c r="A371" s="590">
        <v>3718600</v>
      </c>
      <c r="B371" s="590">
        <v>8600</v>
      </c>
      <c r="C371" s="466" t="s">
        <v>376</v>
      </c>
      <c r="D371" s="590" t="s">
        <v>470</v>
      </c>
      <c r="E371" s="467">
        <f>F371</f>
        <v>9112018</v>
      </c>
      <c r="F371" s="467">
        <f>(8838983)+273035</f>
        <v>9112018</v>
      </c>
      <c r="G371" s="467"/>
      <c r="H371" s="467"/>
      <c r="I371" s="467"/>
      <c r="J371" s="467">
        <f>L371+O371</f>
        <v>0</v>
      </c>
      <c r="K371" s="467"/>
      <c r="L371" s="467"/>
      <c r="M371" s="467"/>
      <c r="N371" s="467"/>
      <c r="O371" s="592">
        <f>K371</f>
        <v>0</v>
      </c>
      <c r="P371" s="467">
        <f>E371+J371</f>
        <v>9112018</v>
      </c>
    </row>
    <row r="372" spans="1:18" ht="47.25" thickTop="1" thickBot="1" x14ac:dyDescent="0.25">
      <c r="A372" s="590">
        <v>3718700</v>
      </c>
      <c r="B372" s="590">
        <v>8700</v>
      </c>
      <c r="C372" s="466"/>
      <c r="D372" s="590" t="s">
        <v>893</v>
      </c>
      <c r="E372" s="467">
        <f t="shared" ref="E372:P372" si="434">E373</f>
        <v>12688206.369999997</v>
      </c>
      <c r="F372" s="467">
        <f t="shared" si="434"/>
        <v>12688206.369999997</v>
      </c>
      <c r="G372" s="467">
        <f t="shared" si="434"/>
        <v>0</v>
      </c>
      <c r="H372" s="467">
        <f t="shared" si="434"/>
        <v>0</v>
      </c>
      <c r="I372" s="467">
        <f t="shared" si="434"/>
        <v>0</v>
      </c>
      <c r="J372" s="467">
        <f t="shared" si="434"/>
        <v>0</v>
      </c>
      <c r="K372" s="467">
        <f t="shared" si="434"/>
        <v>0</v>
      </c>
      <c r="L372" s="467">
        <f t="shared" si="434"/>
        <v>0</v>
      </c>
      <c r="M372" s="467">
        <f t="shared" si="434"/>
        <v>0</v>
      </c>
      <c r="N372" s="467">
        <f t="shared" si="434"/>
        <v>0</v>
      </c>
      <c r="O372" s="467">
        <f t="shared" si="434"/>
        <v>0</v>
      </c>
      <c r="P372" s="467">
        <f t="shared" si="434"/>
        <v>12688206.369999997</v>
      </c>
    </row>
    <row r="373" spans="1:18" ht="93" thickTop="1" thickBot="1" x14ac:dyDescent="0.25">
      <c r="A373" s="561">
        <v>3718710</v>
      </c>
      <c r="B373" s="561">
        <v>8710</v>
      </c>
      <c r="C373" s="532" t="s">
        <v>44</v>
      </c>
      <c r="D373" s="498" t="s">
        <v>682</v>
      </c>
      <c r="E373" s="529">
        <f>F373</f>
        <v>12688206.369999997</v>
      </c>
      <c r="F373" s="443">
        <f>((((((((3000000-1000000)+45085944.68)-7585175)-3513325)-3000000+3748848.69)-735866)-16016872)-4778474)-2516875</f>
        <v>12688206.369999997</v>
      </c>
      <c r="G373" s="443"/>
      <c r="H373" s="443"/>
      <c r="I373" s="443"/>
      <c r="J373" s="529">
        <f>L373+O373</f>
        <v>0</v>
      </c>
      <c r="K373" s="443"/>
      <c r="L373" s="443"/>
      <c r="M373" s="443"/>
      <c r="N373" s="443"/>
      <c r="O373" s="534">
        <f>K373</f>
        <v>0</v>
      </c>
      <c r="P373" s="529">
        <f>E373+J373</f>
        <v>12688206.369999997</v>
      </c>
    </row>
    <row r="374" spans="1:18" ht="47.25" hidden="1" thickTop="1" thickBot="1" x14ac:dyDescent="0.25">
      <c r="A374" s="590">
        <v>3718800</v>
      </c>
      <c r="B374" s="590">
        <v>8800</v>
      </c>
      <c r="C374" s="466"/>
      <c r="D374" s="590" t="s">
        <v>901</v>
      </c>
      <c r="E374" s="467">
        <f>E375</f>
        <v>0</v>
      </c>
      <c r="F374" s="467">
        <f>F375</f>
        <v>0</v>
      </c>
      <c r="G374" s="467">
        <f t="shared" ref="G374:P375" si="435">G375</f>
        <v>0</v>
      </c>
      <c r="H374" s="467">
        <f t="shared" si="435"/>
        <v>0</v>
      </c>
      <c r="I374" s="467">
        <f t="shared" si="435"/>
        <v>0</v>
      </c>
      <c r="J374" s="467">
        <f t="shared" si="435"/>
        <v>0</v>
      </c>
      <c r="K374" s="467">
        <f t="shared" si="435"/>
        <v>0</v>
      </c>
      <c r="L374" s="467">
        <f t="shared" si="435"/>
        <v>0</v>
      </c>
      <c r="M374" s="467">
        <f t="shared" si="435"/>
        <v>0</v>
      </c>
      <c r="N374" s="467">
        <f t="shared" si="435"/>
        <v>0</v>
      </c>
      <c r="O374" s="467">
        <f t="shared" si="435"/>
        <v>0</v>
      </c>
      <c r="P374" s="467">
        <f t="shared" si="435"/>
        <v>0</v>
      </c>
    </row>
    <row r="375" spans="1:18" ht="184.5" hidden="1" thickTop="1" thickBot="1" x14ac:dyDescent="0.25">
      <c r="A375" s="591">
        <v>3718880</v>
      </c>
      <c r="B375" s="591">
        <v>8880</v>
      </c>
      <c r="C375" s="488"/>
      <c r="D375" s="481" t="s">
        <v>1298</v>
      </c>
      <c r="E375" s="471">
        <f>E376</f>
        <v>0</v>
      </c>
      <c r="F375" s="471">
        <f t="shared" ref="F375" si="436">F376</f>
        <v>0</v>
      </c>
      <c r="G375" s="471">
        <f t="shared" si="435"/>
        <v>0</v>
      </c>
      <c r="H375" s="471">
        <f t="shared" si="435"/>
        <v>0</v>
      </c>
      <c r="I375" s="471">
        <f t="shared" si="435"/>
        <v>0</v>
      </c>
      <c r="J375" s="471">
        <f t="shared" si="435"/>
        <v>0</v>
      </c>
      <c r="K375" s="471">
        <f t="shared" si="435"/>
        <v>0</v>
      </c>
      <c r="L375" s="471">
        <f t="shared" si="435"/>
        <v>0</v>
      </c>
      <c r="M375" s="471">
        <f t="shared" si="435"/>
        <v>0</v>
      </c>
      <c r="N375" s="471">
        <f t="shared" si="435"/>
        <v>0</v>
      </c>
      <c r="O375" s="471">
        <f t="shared" si="435"/>
        <v>0</v>
      </c>
      <c r="P375" s="471">
        <f t="shared" si="435"/>
        <v>0</v>
      </c>
    </row>
    <row r="376" spans="1:18" ht="230.25" hidden="1" thickTop="1" thickBot="1" x14ac:dyDescent="0.25">
      <c r="A376" s="532">
        <v>3718881</v>
      </c>
      <c r="B376" s="532">
        <v>8881</v>
      </c>
      <c r="C376" s="532" t="s">
        <v>178</v>
      </c>
      <c r="D376" s="532" t="s">
        <v>1299</v>
      </c>
      <c r="E376" s="445">
        <f>F376</f>
        <v>0</v>
      </c>
      <c r="F376" s="446">
        <f>(2500000)-2500000</f>
        <v>0</v>
      </c>
      <c r="G376" s="446"/>
      <c r="H376" s="446"/>
      <c r="I376" s="446"/>
      <c r="J376" s="529">
        <f t="shared" ref="J376" si="437">L376+O376</f>
        <v>0</v>
      </c>
      <c r="K376" s="446"/>
      <c r="L376" s="458"/>
      <c r="M376" s="458"/>
      <c r="N376" s="458"/>
      <c r="O376" s="534">
        <f t="shared" ref="O376" si="438">K376</f>
        <v>0</v>
      </c>
      <c r="P376" s="529">
        <f t="shared" ref="P376" si="439">+J376+E376</f>
        <v>0</v>
      </c>
    </row>
    <row r="377" spans="1:18" ht="47.25" thickTop="1" thickBot="1" x14ac:dyDescent="0.25">
      <c r="A377" s="151" t="s">
        <v>894</v>
      </c>
      <c r="B377" s="151" t="s">
        <v>745</v>
      </c>
      <c r="C377" s="151"/>
      <c r="D377" s="151" t="s">
        <v>746</v>
      </c>
      <c r="E377" s="529">
        <f>E378</f>
        <v>91712900</v>
      </c>
      <c r="F377" s="529">
        <f t="shared" ref="F377:P378" si="440">F378</f>
        <v>91712900</v>
      </c>
      <c r="G377" s="529">
        <f t="shared" si="440"/>
        <v>0</v>
      </c>
      <c r="H377" s="529">
        <f t="shared" si="440"/>
        <v>0</v>
      </c>
      <c r="I377" s="529">
        <f t="shared" si="440"/>
        <v>0</v>
      </c>
      <c r="J377" s="529">
        <f t="shared" si="440"/>
        <v>0</v>
      </c>
      <c r="K377" s="529">
        <f t="shared" si="440"/>
        <v>0</v>
      </c>
      <c r="L377" s="529">
        <f t="shared" si="440"/>
        <v>0</v>
      </c>
      <c r="M377" s="529">
        <f t="shared" si="440"/>
        <v>0</v>
      </c>
      <c r="N377" s="529">
        <f t="shared" si="440"/>
        <v>0</v>
      </c>
      <c r="O377" s="529">
        <f t="shared" si="440"/>
        <v>0</v>
      </c>
      <c r="P377" s="529">
        <f t="shared" si="440"/>
        <v>91712900</v>
      </c>
    </row>
    <row r="378" spans="1:18" ht="91.5" thickTop="1" thickBot="1" x14ac:dyDescent="0.25">
      <c r="A378" s="590">
        <v>3719100</v>
      </c>
      <c r="B378" s="466" t="s">
        <v>896</v>
      </c>
      <c r="C378" s="466"/>
      <c r="D378" s="466" t="s">
        <v>895</v>
      </c>
      <c r="E378" s="467">
        <f>E379</f>
        <v>91712900</v>
      </c>
      <c r="F378" s="467">
        <f t="shared" si="440"/>
        <v>91712900</v>
      </c>
      <c r="G378" s="467">
        <f t="shared" si="440"/>
        <v>0</v>
      </c>
      <c r="H378" s="467">
        <f t="shared" si="440"/>
        <v>0</v>
      </c>
      <c r="I378" s="467">
        <f t="shared" si="440"/>
        <v>0</v>
      </c>
      <c r="J378" s="467">
        <f t="shared" si="440"/>
        <v>0</v>
      </c>
      <c r="K378" s="467">
        <f t="shared" si="440"/>
        <v>0</v>
      </c>
      <c r="L378" s="467">
        <f t="shared" si="440"/>
        <v>0</v>
      </c>
      <c r="M378" s="467">
        <f t="shared" si="440"/>
        <v>0</v>
      </c>
      <c r="N378" s="467">
        <f t="shared" si="440"/>
        <v>0</v>
      </c>
      <c r="O378" s="467">
        <f t="shared" si="440"/>
        <v>0</v>
      </c>
      <c r="P378" s="467">
        <f t="shared" si="440"/>
        <v>91712900</v>
      </c>
    </row>
    <row r="379" spans="1:18" ht="48" thickTop="1" thickBot="1" x14ac:dyDescent="0.25">
      <c r="A379" s="561">
        <v>3719110</v>
      </c>
      <c r="B379" s="561">
        <v>9110</v>
      </c>
      <c r="C379" s="532" t="s">
        <v>45</v>
      </c>
      <c r="D379" s="498" t="s">
        <v>469</v>
      </c>
      <c r="E379" s="529">
        <f>F379</f>
        <v>91712900</v>
      </c>
      <c r="F379" s="443">
        <v>91712900</v>
      </c>
      <c r="G379" s="443"/>
      <c r="H379" s="443"/>
      <c r="I379" s="443"/>
      <c r="J379" s="529">
        <f>L379+O379</f>
        <v>0</v>
      </c>
      <c r="K379" s="443"/>
      <c r="L379" s="443"/>
      <c r="M379" s="443"/>
      <c r="N379" s="443"/>
      <c r="O379" s="534">
        <f>K379</f>
        <v>0</v>
      </c>
      <c r="P379" s="529">
        <f>E379+J379</f>
        <v>91712900</v>
      </c>
    </row>
    <row r="380" spans="1:18" ht="159.75" customHeight="1" thickTop="1" thickBot="1" x14ac:dyDescent="0.25">
      <c r="A380" s="440" t="s">
        <v>396</v>
      </c>
      <c r="B380" s="440" t="s">
        <v>396</v>
      </c>
      <c r="C380" s="440" t="s">
        <v>396</v>
      </c>
      <c r="D380" s="440" t="s">
        <v>406</v>
      </c>
      <c r="E380" s="441">
        <f t="shared" ref="E380:P380" si="441">E16+E44+E199+E92+E120+E178++E285+E308+E363+E333+E346+E354+E316+E254+E232</f>
        <v>3289676005.4299998</v>
      </c>
      <c r="F380" s="441">
        <f t="shared" si="441"/>
        <v>3289676005.4299998</v>
      </c>
      <c r="G380" s="441">
        <f t="shared" si="441"/>
        <v>1567041024</v>
      </c>
      <c r="H380" s="441">
        <f t="shared" si="441"/>
        <v>212403489.03999999</v>
      </c>
      <c r="I380" s="441">
        <f t="shared" si="441"/>
        <v>0</v>
      </c>
      <c r="J380" s="441">
        <f t="shared" si="441"/>
        <v>425083594.96000004</v>
      </c>
      <c r="K380" s="441">
        <f t="shared" si="441"/>
        <v>233948129.59</v>
      </c>
      <c r="L380" s="441">
        <f t="shared" si="441"/>
        <v>185628937.37</v>
      </c>
      <c r="M380" s="441">
        <f t="shared" si="441"/>
        <v>55225789</v>
      </c>
      <c r="N380" s="441">
        <f t="shared" si="441"/>
        <v>15495085</v>
      </c>
      <c r="O380" s="441">
        <f t="shared" si="441"/>
        <v>239454657.59</v>
      </c>
      <c r="P380" s="441">
        <f t="shared" si="441"/>
        <v>3714759600.3899999</v>
      </c>
      <c r="Q380" s="611" t="b">
        <f>P380=J380+E380</f>
        <v>1</v>
      </c>
    </row>
    <row r="381" spans="1:18" ht="46.5" thickTop="1" x14ac:dyDescent="0.2">
      <c r="A381" s="947" t="s">
        <v>1229</v>
      </c>
      <c r="B381" s="948"/>
      <c r="C381" s="948"/>
      <c r="D381" s="948"/>
      <c r="E381" s="948"/>
      <c r="F381" s="948"/>
      <c r="G381" s="948"/>
      <c r="H381" s="948"/>
      <c r="I381" s="948"/>
      <c r="J381" s="948"/>
      <c r="K381" s="948"/>
      <c r="L381" s="948"/>
      <c r="M381" s="948"/>
      <c r="N381" s="948"/>
      <c r="O381" s="948"/>
      <c r="P381" s="948"/>
      <c r="Q381" s="633"/>
    </row>
    <row r="382" spans="1:18" ht="60.75" hidden="1" x14ac:dyDescent="0.2">
      <c r="A382" s="185"/>
      <c r="B382" s="186"/>
      <c r="C382" s="186"/>
      <c r="D382" s="186"/>
      <c r="E382" s="864">
        <f>F382</f>
        <v>3289676005.4300003</v>
      </c>
      <c r="F382" s="864">
        <f>(((((((((3193579493+15000000-'d4'!F20)+11441007)-8903408)+86371703.98)-74000)-73325965)+4807848.69-3000000+47600000)-5736952)+27294676)-4878398.24</f>
        <v>3289676005.4300003</v>
      </c>
      <c r="G382" s="864">
        <f>((1769990+50998970+103167225+34055950+2551300+1241065255+97388110+91862005+24500+3924850)-59767131)</f>
        <v>1567041024</v>
      </c>
      <c r="H382" s="864">
        <f>(((((64305+4537205+7734640+2175525+152010+198230190-5980497+5754505+3107172+6628199)+118900)+120000)+15430)+127866+71304-300000)+1505976.76-11659241.72</f>
        <v>212403489.03999999</v>
      </c>
      <c r="I382" s="864">
        <v>0</v>
      </c>
      <c r="J382" s="864">
        <f>(((((((((506071198+'d2'!E37)+1701336)+8903408)+5545498.37)+74000)-170420)+80000+3000000-47600000)-16299664.41+22773610)-25708361)+6540000</f>
        <v>425083594.95999998</v>
      </c>
      <c r="K382" s="864">
        <f>(((((((((506071198-181772123-6000000-700000+'d2'!F37)+1701336)+8903408)+(5545498.37-2663342.37))+74000)-170420)+80000+3000000-47600000)-16299664.41+22773610)-25708361)+6540000</f>
        <v>233948129.59</v>
      </c>
      <c r="L382" s="864">
        <f>(((3616000+652000)+(163345550-3275910)+(9712850-109080)+(6580704-60368)+(2133019-79170))+2663342.37)+450000</f>
        <v>185628937.37</v>
      </c>
      <c r="M382" s="864">
        <f>(45127299+7102670+1953040+1042780)</f>
        <v>55225789</v>
      </c>
      <c r="N382" s="864">
        <f>((12370056+306880+465600+353328+2000000)+13500)-21279+7000</f>
        <v>15495085</v>
      </c>
      <c r="O382" s="864">
        <f>((((((((((2384000+48000+3275910+109080+60368+79170)+(506071198+'d2'!F37-181772123-6000000-700000)+1701336)+8903408)+(5545498.37-2663342.37))+74000)-450000)-170420)+80000+3000000-47600000)-16299664.41+22773610)-25708361)+6540000</f>
        <v>239454657.59</v>
      </c>
      <c r="P382" s="864">
        <f>(((((((3699650691+15000000+'d2'!E37-'d4'!Q20)+13142343)+91917202.35)-73496385)+4887848.69)-16299664.41-5736952+22773610)+1586315)+1403476.76+258125</f>
        <v>3714759600.3900003</v>
      </c>
      <c r="Q382" s="611" t="b">
        <f>E382+J382=P382</f>
        <v>1</v>
      </c>
      <c r="R382" s="309"/>
    </row>
    <row r="383" spans="1:18" ht="60.75" x14ac:dyDescent="0.2">
      <c r="A383" s="185"/>
      <c r="B383" s="186"/>
      <c r="C383" s="186"/>
      <c r="D383" s="186"/>
      <c r="E383" s="187"/>
      <c r="F383" s="187"/>
      <c r="G383" s="187"/>
      <c r="H383" s="187"/>
      <c r="I383" s="187"/>
      <c r="J383" s="187"/>
      <c r="K383" s="187"/>
      <c r="L383" s="187"/>
      <c r="M383" s="187"/>
      <c r="N383" s="187"/>
      <c r="O383" s="187"/>
      <c r="P383" s="187"/>
      <c r="Q383" s="611"/>
      <c r="R383" s="309"/>
    </row>
    <row r="384" spans="1:18" ht="75.75" customHeight="1" x14ac:dyDescent="0.65">
      <c r="A384" s="185"/>
      <c r="B384" s="186"/>
      <c r="C384" s="186"/>
      <c r="D384" s="439" t="s">
        <v>1362</v>
      </c>
      <c r="E384" s="781"/>
      <c r="F384" s="781"/>
      <c r="G384" s="183"/>
      <c r="H384" s="439"/>
      <c r="I384" s="438"/>
      <c r="J384" s="439"/>
      <c r="K384" s="439" t="s">
        <v>1363</v>
      </c>
      <c r="L384" s="438"/>
      <c r="M384" s="438"/>
      <c r="N384" s="438"/>
      <c r="O384" s="438"/>
      <c r="P384" s="438"/>
      <c r="Q384" s="633"/>
    </row>
    <row r="385" spans="1:18" ht="12.75" customHeight="1" x14ac:dyDescent="0.65">
      <c r="A385" s="185"/>
      <c r="B385" s="186"/>
      <c r="C385" s="186"/>
      <c r="D385" s="916"/>
      <c r="E385" s="916"/>
      <c r="F385" s="916"/>
      <c r="G385" s="916"/>
      <c r="H385" s="916"/>
      <c r="I385" s="916"/>
      <c r="J385" s="916"/>
      <c r="K385" s="916"/>
      <c r="L385" s="916"/>
      <c r="M385" s="916"/>
      <c r="N385" s="916"/>
      <c r="O385" s="916"/>
      <c r="P385" s="916"/>
      <c r="Q385" s="633"/>
    </row>
    <row r="386" spans="1:18" ht="46.5" thickBot="1" x14ac:dyDescent="0.7">
      <c r="A386" s="185"/>
      <c r="B386" s="186"/>
      <c r="C386" s="186"/>
      <c r="D386" s="439" t="s">
        <v>1398</v>
      </c>
      <c r="E386" s="437"/>
      <c r="F386" s="437"/>
      <c r="G386" s="437"/>
      <c r="H386" s="439"/>
      <c r="I386" s="438"/>
      <c r="J386" s="438"/>
      <c r="K386" s="439" t="s">
        <v>1399</v>
      </c>
      <c r="L386" s="438"/>
      <c r="M386" s="438"/>
      <c r="N386" s="438"/>
      <c r="O386" s="438"/>
      <c r="P386" s="438"/>
      <c r="Q386" s="633"/>
    </row>
    <row r="387" spans="1:18" ht="47.25" thickTop="1" thickBot="1" x14ac:dyDescent="0.7">
      <c r="A387" s="246"/>
      <c r="B387" s="246"/>
      <c r="C387" s="246"/>
      <c r="D387" s="946"/>
      <c r="E387" s="946"/>
      <c r="F387" s="946"/>
      <c r="G387" s="946"/>
      <c r="H387" s="946"/>
      <c r="I387" s="946"/>
      <c r="J387" s="946"/>
      <c r="K387" s="946"/>
      <c r="L387" s="946"/>
      <c r="M387" s="946"/>
      <c r="N387" s="946"/>
      <c r="O387" s="946"/>
      <c r="P387" s="946"/>
      <c r="Q387" s="634"/>
    </row>
    <row r="388" spans="1:18" ht="150.75" hidden="1" customHeight="1" x14ac:dyDescent="0.65">
      <c r="D388" s="946" t="s">
        <v>546</v>
      </c>
      <c r="E388" s="946"/>
      <c r="F388" s="946"/>
      <c r="G388" s="946"/>
      <c r="H388" s="946"/>
      <c r="I388" s="946"/>
      <c r="J388" s="946"/>
      <c r="K388" s="946"/>
      <c r="L388" s="946"/>
      <c r="M388" s="946"/>
      <c r="N388" s="946"/>
      <c r="O388" s="946"/>
      <c r="P388" s="946"/>
    </row>
    <row r="389" spans="1:18" ht="95.25" customHeight="1" thickTop="1" x14ac:dyDescent="0.55000000000000004">
      <c r="G389" s="311"/>
      <c r="H389" s="311"/>
      <c r="I389" s="654"/>
      <c r="J389" s="655"/>
      <c r="K389" s="655"/>
      <c r="L389" s="654"/>
      <c r="M389" s="654"/>
      <c r="N389" s="654"/>
      <c r="O389" s="654"/>
      <c r="P389" s="655"/>
      <c r="Q389" s="624"/>
    </row>
    <row r="390" spans="1:18" hidden="1" x14ac:dyDescent="0.2">
      <c r="E390" s="312"/>
      <c r="F390" s="313"/>
      <c r="G390" s="311"/>
      <c r="H390" s="311"/>
      <c r="I390" s="654"/>
      <c r="J390" s="656"/>
      <c r="K390" s="656"/>
      <c r="L390" s="654"/>
      <c r="M390" s="654"/>
      <c r="N390" s="654"/>
      <c r="O390" s="654"/>
      <c r="P390" s="655"/>
    </row>
    <row r="391" spans="1:18" hidden="1" x14ac:dyDescent="0.2">
      <c r="E391" s="312"/>
      <c r="F391" s="313"/>
      <c r="G391" s="311"/>
      <c r="H391" s="311"/>
      <c r="I391" s="654"/>
      <c r="J391" s="656"/>
      <c r="K391" s="656"/>
      <c r="L391" s="654"/>
      <c r="M391" s="654"/>
      <c r="N391" s="654"/>
      <c r="O391" s="654"/>
      <c r="P391" s="655"/>
    </row>
    <row r="392" spans="1:18" ht="60.75" x14ac:dyDescent="0.2">
      <c r="E392" s="611" t="b">
        <f>E382=E380</f>
        <v>1</v>
      </c>
      <c r="F392" s="611" t="b">
        <f>F382=F380</f>
        <v>1</v>
      </c>
      <c r="G392" s="611" t="b">
        <f>G382=G380</f>
        <v>1</v>
      </c>
      <c r="H392" s="611" t="b">
        <f t="shared" ref="H392:O392" si="442">H382=H380</f>
        <v>1</v>
      </c>
      <c r="I392" s="611" t="b">
        <f>I382=I380</f>
        <v>1</v>
      </c>
      <c r="J392" s="611" t="b">
        <f>J380=J382</f>
        <v>1</v>
      </c>
      <c r="K392" s="611" t="b">
        <f>K382=K380</f>
        <v>1</v>
      </c>
      <c r="L392" s="611" t="b">
        <f t="shared" si="442"/>
        <v>1</v>
      </c>
      <c r="M392" s="611" t="b">
        <f t="shared" si="442"/>
        <v>1</v>
      </c>
      <c r="N392" s="611" t="b">
        <f>N382=N380</f>
        <v>1</v>
      </c>
      <c r="O392" s="611" t="b">
        <f t="shared" si="442"/>
        <v>1</v>
      </c>
      <c r="P392" s="611" t="b">
        <f>P382=P380</f>
        <v>1</v>
      </c>
    </row>
    <row r="393" spans="1:18" ht="61.5" x14ac:dyDescent="0.2">
      <c r="E393" s="611" t="b">
        <f>E380=F380</f>
        <v>1</v>
      </c>
      <c r="F393" s="822">
        <f>F373/E380</f>
        <v>3.8569775105683993E-3</v>
      </c>
      <c r="G393" s="648"/>
      <c r="H393" s="649"/>
      <c r="I393" s="650"/>
      <c r="J393" s="611" t="b">
        <f>J382=L382+O382</f>
        <v>1</v>
      </c>
      <c r="K393" s="657"/>
      <c r="L393" s="611"/>
      <c r="M393" s="650"/>
      <c r="N393" s="650"/>
      <c r="O393" s="611"/>
      <c r="P393" s="611" t="b">
        <f>E380+J380=P380</f>
        <v>1</v>
      </c>
    </row>
    <row r="394" spans="1:18" ht="60.75" x14ac:dyDescent="0.2">
      <c r="E394" s="651"/>
      <c r="F394" s="652"/>
      <c r="G394" s="651"/>
      <c r="H394" s="653"/>
      <c r="I394" s="651"/>
      <c r="J394" s="312"/>
      <c r="K394" s="312"/>
    </row>
    <row r="395" spans="1:18" ht="61.5" x14ac:dyDescent="0.2">
      <c r="A395" s="248"/>
      <c r="B395" s="248"/>
      <c r="C395" s="248"/>
      <c r="D395" s="249"/>
      <c r="E395" s="248"/>
      <c r="F395" s="822">
        <f>400000/E380</f>
        <v>1.2159252137285029E-4</v>
      </c>
      <c r="G395" s="648"/>
      <c r="H395" s="314"/>
      <c r="I395" s="249"/>
      <c r="J395" s="280">
        <f>J380-J382</f>
        <v>0</v>
      </c>
      <c r="K395" s="280">
        <f>K380-K382</f>
        <v>0</v>
      </c>
      <c r="L395" s="280"/>
      <c r="M395" s="280"/>
      <c r="N395" s="280"/>
      <c r="O395" s="280">
        <f>O380-O382</f>
        <v>0</v>
      </c>
      <c r="P395" s="280"/>
    </row>
    <row r="396" spans="1:18" ht="61.5" x14ac:dyDescent="0.2">
      <c r="D396" s="249"/>
      <c r="E396" s="280"/>
      <c r="F396" s="316"/>
      <c r="G396" s="308"/>
      <c r="H396" s="314"/>
      <c r="I396" s="249"/>
      <c r="J396" s="280"/>
      <c r="K396" s="280"/>
      <c r="L396" s="317"/>
      <c r="P396" s="308"/>
      <c r="Q396" s="635"/>
      <c r="R396" s="318"/>
    </row>
    <row r="397" spans="1:18" ht="60.75" x14ac:dyDescent="0.2">
      <c r="A397" s="248"/>
      <c r="B397" s="248"/>
      <c r="C397" s="248"/>
      <c r="D397" s="249"/>
      <c r="E397" s="255"/>
      <c r="F397" s="255"/>
      <c r="G397" s="255"/>
      <c r="H397" s="255"/>
      <c r="I397" s="319"/>
      <c r="J397" s="255"/>
      <c r="K397" s="255"/>
      <c r="L397" s="255"/>
      <c r="M397" s="255"/>
      <c r="N397" s="255"/>
      <c r="O397" s="255"/>
      <c r="P397" s="255"/>
      <c r="Q397" s="635"/>
      <c r="R397" s="318"/>
    </row>
    <row r="398" spans="1:18" ht="60.75" x14ac:dyDescent="0.2">
      <c r="D398" s="249"/>
      <c r="E398" s="280"/>
      <c r="F398" s="320"/>
      <c r="G398" s="321"/>
      <c r="O398" s="308"/>
      <c r="P398" s="308"/>
    </row>
    <row r="399" spans="1:18" ht="60.75" x14ac:dyDescent="0.2">
      <c r="A399" s="248"/>
      <c r="B399" s="248"/>
      <c r="C399" s="248"/>
      <c r="D399" s="249"/>
      <c r="E399" s="280"/>
      <c r="F399" s="315"/>
      <c r="G399" s="317"/>
      <c r="I399" s="322"/>
      <c r="J399" s="312"/>
      <c r="K399" s="312"/>
      <c r="L399" s="248"/>
      <c r="M399" s="248"/>
      <c r="N399" s="248"/>
      <c r="O399" s="248"/>
      <c r="P399" s="308"/>
    </row>
    <row r="400" spans="1:18" ht="62.25" x14ac:dyDescent="0.8">
      <c r="A400" s="248"/>
      <c r="B400" s="248"/>
      <c r="C400" s="248"/>
      <c r="D400" s="248"/>
      <c r="E400" s="323"/>
      <c r="F400" s="315"/>
      <c r="J400" s="312"/>
      <c r="K400" s="312"/>
      <c r="L400" s="248"/>
      <c r="M400" s="248"/>
      <c r="N400" s="248"/>
      <c r="O400" s="248"/>
      <c r="P400" s="324"/>
    </row>
    <row r="401" spans="1:16" ht="45.75" x14ac:dyDescent="0.2">
      <c r="E401" s="325"/>
      <c r="F401" s="320"/>
    </row>
    <row r="402" spans="1:16" ht="45.75" x14ac:dyDescent="0.2">
      <c r="A402" s="248"/>
      <c r="B402" s="248"/>
      <c r="C402" s="248"/>
      <c r="D402" s="248"/>
      <c r="E402" s="323"/>
      <c r="F402" s="315"/>
      <c r="L402" s="248"/>
      <c r="M402" s="248"/>
      <c r="N402" s="248"/>
      <c r="O402" s="248"/>
      <c r="P402" s="248"/>
    </row>
    <row r="403" spans="1:16" ht="45.75" x14ac:dyDescent="0.2">
      <c r="E403" s="326"/>
      <c r="F403" s="320"/>
    </row>
    <row r="404" spans="1:16" ht="45.75" x14ac:dyDescent="0.2">
      <c r="E404" s="326"/>
      <c r="F404" s="320"/>
    </row>
    <row r="405" spans="1:16" ht="45.75" x14ac:dyDescent="0.2">
      <c r="E405" s="326"/>
      <c r="F405" s="320"/>
    </row>
    <row r="406" spans="1:16" ht="45.75" x14ac:dyDescent="0.2">
      <c r="A406" s="248"/>
      <c r="B406" s="248"/>
      <c r="C406" s="248"/>
      <c r="D406" s="248"/>
      <c r="E406" s="326"/>
      <c r="F406" s="320"/>
      <c r="G406" s="248"/>
      <c r="H406" s="248"/>
      <c r="I406" s="248"/>
      <c r="J406" s="248"/>
      <c r="K406" s="248"/>
      <c r="L406" s="248"/>
      <c r="M406" s="248"/>
      <c r="N406" s="248"/>
      <c r="O406" s="248"/>
      <c r="P406" s="248"/>
    </row>
    <row r="407" spans="1:16" ht="45.75" x14ac:dyDescent="0.2">
      <c r="A407" s="248"/>
      <c r="B407" s="248"/>
      <c r="C407" s="248"/>
      <c r="D407" s="248"/>
      <c r="E407" s="326"/>
      <c r="F407" s="320"/>
      <c r="G407" s="248"/>
      <c r="H407" s="248"/>
      <c r="I407" s="248"/>
      <c r="J407" s="248"/>
      <c r="K407" s="248"/>
      <c r="L407" s="248"/>
      <c r="M407" s="248"/>
      <c r="N407" s="248"/>
      <c r="O407" s="248"/>
      <c r="P407" s="248"/>
    </row>
    <row r="408" spans="1:16" ht="45.75" x14ac:dyDescent="0.2">
      <c r="A408" s="248"/>
      <c r="B408" s="248"/>
      <c r="C408" s="248"/>
      <c r="D408" s="248"/>
      <c r="E408" s="326"/>
      <c r="F408" s="320"/>
      <c r="G408" s="248"/>
      <c r="H408" s="248"/>
      <c r="I408" s="248"/>
      <c r="J408" s="248"/>
      <c r="K408" s="248"/>
      <c r="L408" s="248"/>
      <c r="M408" s="248"/>
      <c r="N408" s="248"/>
      <c r="O408" s="248"/>
      <c r="P408" s="248"/>
    </row>
    <row r="409" spans="1:16" ht="45.75" x14ac:dyDescent="0.2">
      <c r="A409" s="248"/>
      <c r="B409" s="248"/>
      <c r="C409" s="248"/>
      <c r="D409" s="248"/>
      <c r="E409" s="326"/>
      <c r="F409" s="320"/>
      <c r="G409" s="248"/>
      <c r="H409" s="248"/>
      <c r="I409" s="248"/>
      <c r="J409" s="248"/>
      <c r="K409" s="248"/>
      <c r="L409" s="248"/>
      <c r="M409" s="248"/>
      <c r="N409" s="248"/>
      <c r="O409" s="248"/>
      <c r="P409" s="248"/>
    </row>
  </sheetData>
  <mergeCells count="198">
    <mergeCell ref="D388:P388"/>
    <mergeCell ref="A381:P381"/>
    <mergeCell ref="D387:P387"/>
    <mergeCell ref="K29:K30"/>
    <mergeCell ref="L29:L30"/>
    <mergeCell ref="M29:M30"/>
    <mergeCell ref="N29:N30"/>
    <mergeCell ref="O29:O30"/>
    <mergeCell ref="P29:P30"/>
    <mergeCell ref="E251:E252"/>
    <mergeCell ref="F251:F252"/>
    <mergeCell ref="G251:G252"/>
    <mergeCell ref="H251:H252"/>
    <mergeCell ref="I251:I252"/>
    <mergeCell ref="J251:J252"/>
    <mergeCell ref="A29:A30"/>
    <mergeCell ref="E29:E30"/>
    <mergeCell ref="F29:F30"/>
    <mergeCell ref="G29:G30"/>
    <mergeCell ref="H29:H30"/>
    <mergeCell ref="J29:J30"/>
    <mergeCell ref="A276:A277"/>
    <mergeCell ref="A54:A55"/>
    <mergeCell ref="B54:B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L54:L55"/>
    <mergeCell ref="M54:M55"/>
    <mergeCell ref="N54:N55"/>
    <mergeCell ref="G175:G176"/>
    <mergeCell ref="C54:C55"/>
    <mergeCell ref="E54:E55"/>
    <mergeCell ref="F54:F55"/>
    <mergeCell ref="H175:H176"/>
    <mergeCell ref="I175:I176"/>
    <mergeCell ref="C175:C176"/>
    <mergeCell ref="E175:E176"/>
    <mergeCell ref="F175:F176"/>
    <mergeCell ref="C73:C74"/>
    <mergeCell ref="D73:D74"/>
    <mergeCell ref="E73:E74"/>
    <mergeCell ref="C148:C150"/>
    <mergeCell ref="E148:E150"/>
    <mergeCell ref="F148:F150"/>
    <mergeCell ref="G148:G150"/>
    <mergeCell ref="H148:H150"/>
    <mergeCell ref="I148:I150"/>
    <mergeCell ref="K151:K154"/>
    <mergeCell ref="L151:L154"/>
    <mergeCell ref="M151:M154"/>
    <mergeCell ref="P251:P252"/>
    <mergeCell ref="K175:K176"/>
    <mergeCell ref="L175:L176"/>
    <mergeCell ref="M175:M176"/>
    <mergeCell ref="N175:N176"/>
    <mergeCell ref="O175:O176"/>
    <mergeCell ref="P175:P176"/>
    <mergeCell ref="K251:K252"/>
    <mergeCell ref="L251:L252"/>
    <mergeCell ref="M251:M252"/>
    <mergeCell ref="N251:N252"/>
    <mergeCell ref="O251:O252"/>
    <mergeCell ref="H276:H277"/>
    <mergeCell ref="I276:I277"/>
    <mergeCell ref="I29:I30"/>
    <mergeCell ref="B29:B30"/>
    <mergeCell ref="C29:C30"/>
    <mergeCell ref="J276:J277"/>
    <mergeCell ref="A251:A252"/>
    <mergeCell ref="B251:B252"/>
    <mergeCell ref="C251:C252"/>
    <mergeCell ref="J175:J176"/>
    <mergeCell ref="A175:A176"/>
    <mergeCell ref="B175:B176"/>
    <mergeCell ref="A73:A74"/>
    <mergeCell ref="B73:B74"/>
    <mergeCell ref="B148:B150"/>
    <mergeCell ref="A158:A160"/>
    <mergeCell ref="B158:B160"/>
    <mergeCell ref="I151:I154"/>
    <mergeCell ref="J151:J154"/>
    <mergeCell ref="P73:P74"/>
    <mergeCell ref="A148:A150"/>
    <mergeCell ref="D385:P385"/>
    <mergeCell ref="O54:O55"/>
    <mergeCell ref="P54:P55"/>
    <mergeCell ref="G54:G55"/>
    <mergeCell ref="H54:H55"/>
    <mergeCell ref="I54:I55"/>
    <mergeCell ref="J54:J55"/>
    <mergeCell ref="K54:K55"/>
    <mergeCell ref="O276:O277"/>
    <mergeCell ref="P276:P277"/>
    <mergeCell ref="K276:K277"/>
    <mergeCell ref="L276:L277"/>
    <mergeCell ref="M276:M277"/>
    <mergeCell ref="N276:N277"/>
    <mergeCell ref="K304:K305"/>
    <mergeCell ref="L304:L305"/>
    <mergeCell ref="M304:M305"/>
    <mergeCell ref="N304:N305"/>
    <mergeCell ref="O304:O305"/>
    <mergeCell ref="E276:E277"/>
    <mergeCell ref="F276:F277"/>
    <mergeCell ref="G276:G277"/>
    <mergeCell ref="Q148:Q150"/>
    <mergeCell ref="A151:A154"/>
    <mergeCell ref="P304:P305"/>
    <mergeCell ref="I73:I74"/>
    <mergeCell ref="J73:J74"/>
    <mergeCell ref="K73:K74"/>
    <mergeCell ref="L73:L74"/>
    <mergeCell ref="A304:A305"/>
    <mergeCell ref="B304:B305"/>
    <mergeCell ref="C304:C305"/>
    <mergeCell ref="E304:E305"/>
    <mergeCell ref="F304:F305"/>
    <mergeCell ref="G304:G305"/>
    <mergeCell ref="H304:H305"/>
    <mergeCell ref="I304:I305"/>
    <mergeCell ref="J304:J305"/>
    <mergeCell ref="F73:F74"/>
    <mergeCell ref="G73:G74"/>
    <mergeCell ref="H73:H74"/>
    <mergeCell ref="M73:M74"/>
    <mergeCell ref="N73:N74"/>
    <mergeCell ref="B276:B277"/>
    <mergeCell ref="C276:C277"/>
    <mergeCell ref="O73:O74"/>
    <mergeCell ref="N151:N154"/>
    <mergeCell ref="O151:O154"/>
    <mergeCell ref="P151:P154"/>
    <mergeCell ref="J148:J150"/>
    <mergeCell ref="K148:K150"/>
    <mergeCell ref="L148:L150"/>
    <mergeCell ref="M148:M150"/>
    <mergeCell ref="N148:N150"/>
    <mergeCell ref="O148:O150"/>
    <mergeCell ref="P148:P150"/>
    <mergeCell ref="R148:R150"/>
    <mergeCell ref="R155:R157"/>
    <mergeCell ref="A155:A157"/>
    <mergeCell ref="B155:B157"/>
    <mergeCell ref="C155:C157"/>
    <mergeCell ref="E155:E157"/>
    <mergeCell ref="F155:F157"/>
    <mergeCell ref="G155:G157"/>
    <mergeCell ref="H155:H157"/>
    <mergeCell ref="I155:I157"/>
    <mergeCell ref="J155:J157"/>
    <mergeCell ref="K155:K157"/>
    <mergeCell ref="L155:L157"/>
    <mergeCell ref="M155:M157"/>
    <mergeCell ref="N155:N157"/>
    <mergeCell ref="O155:O157"/>
    <mergeCell ref="P155:P157"/>
    <mergeCell ref="R151:R154"/>
    <mergeCell ref="B151:B154"/>
    <mergeCell ref="C151:C154"/>
    <mergeCell ref="E151:E154"/>
    <mergeCell ref="F151:F154"/>
    <mergeCell ref="G151:G154"/>
    <mergeCell ref="H151:H154"/>
    <mergeCell ref="M158:M160"/>
    <mergeCell ref="N158:N160"/>
    <mergeCell ref="O158:O160"/>
    <mergeCell ref="P158:P160"/>
    <mergeCell ref="R158:R160"/>
    <mergeCell ref="C158:C160"/>
    <mergeCell ref="E158:E160"/>
    <mergeCell ref="F158:F160"/>
    <mergeCell ref="G158:G160"/>
    <mergeCell ref="H158:H160"/>
    <mergeCell ref="I158:I160"/>
    <mergeCell ref="J158:J160"/>
    <mergeCell ref="K158:K160"/>
    <mergeCell ref="L158:L160"/>
  </mergeCells>
  <conditionalFormatting sqref="Q363:Q364 Q366:R370 R365:S365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56:R358 Q354:R355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64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33:R337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16:Q317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16:R317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08:R309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08:Q314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10:R31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46:R347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38:R344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52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65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59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1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48:R351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46:Q351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18:Q331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18:R331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B16" zoomScale="85" zoomScaleNormal="85" zoomScaleSheetLayoutView="85" workbookViewId="0">
      <selection activeCell="E37" sqref="E37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959" t="s">
        <v>1350</v>
      </c>
      <c r="N2" s="959"/>
      <c r="O2" s="959"/>
      <c r="P2" s="959"/>
      <c r="Q2" s="959"/>
    </row>
    <row r="3" spans="1:18" ht="18.75" x14ac:dyDescent="0.2">
      <c r="B3" s="962"/>
      <c r="C3" s="962"/>
      <c r="D3" s="67"/>
      <c r="E3" s="960" t="s">
        <v>598</v>
      </c>
      <c r="F3" s="960"/>
      <c r="G3" s="960"/>
      <c r="H3" s="960"/>
      <c r="I3" s="960"/>
      <c r="J3" s="960"/>
      <c r="K3" s="960"/>
      <c r="L3" s="960"/>
      <c r="M3" s="960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960" t="s">
        <v>1220</v>
      </c>
      <c r="F4" s="970"/>
      <c r="G4" s="970"/>
      <c r="H4" s="970"/>
      <c r="I4" s="970"/>
      <c r="J4" s="970"/>
      <c r="K4" s="970"/>
      <c r="L4" s="970"/>
      <c r="M4" s="970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963">
        <v>22564000000</v>
      </c>
      <c r="C5" s="964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965" t="s">
        <v>508</v>
      </c>
      <c r="C6" s="966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419</v>
      </c>
    </row>
    <row r="8" spans="1:18" ht="17.45" customHeight="1" thickTop="1" thickBot="1" x14ac:dyDescent="0.25">
      <c r="A8" s="400"/>
      <c r="B8" s="961" t="s">
        <v>509</v>
      </c>
      <c r="C8" s="968" t="s">
        <v>510</v>
      </c>
      <c r="D8" s="968" t="s">
        <v>405</v>
      </c>
      <c r="E8" s="968" t="s">
        <v>600</v>
      </c>
      <c r="F8" s="961" t="s">
        <v>131</v>
      </c>
      <c r="G8" s="961"/>
      <c r="H8" s="961"/>
      <c r="I8" s="961"/>
      <c r="J8" s="961" t="s">
        <v>132</v>
      </c>
      <c r="K8" s="961"/>
      <c r="L8" s="961"/>
      <c r="M8" s="961"/>
      <c r="N8" s="961" t="s">
        <v>404</v>
      </c>
      <c r="O8" s="961"/>
      <c r="P8" s="961"/>
      <c r="Q8" s="961"/>
    </row>
    <row r="9" spans="1:18" ht="28.5" customHeight="1" thickTop="1" thickBot="1" x14ac:dyDescent="0.25">
      <c r="A9" s="401"/>
      <c r="B9" s="961"/>
      <c r="C9" s="945"/>
      <c r="D9" s="945"/>
      <c r="E9" s="969"/>
      <c r="F9" s="956" t="s">
        <v>401</v>
      </c>
      <c r="G9" s="956" t="s">
        <v>402</v>
      </c>
      <c r="H9" s="957"/>
      <c r="I9" s="956" t="s">
        <v>403</v>
      </c>
      <c r="J9" s="956" t="s">
        <v>401</v>
      </c>
      <c r="K9" s="956" t="s">
        <v>402</v>
      </c>
      <c r="L9" s="957"/>
      <c r="M9" s="956" t="s">
        <v>403</v>
      </c>
      <c r="N9" s="956" t="s">
        <v>401</v>
      </c>
      <c r="O9" s="956" t="s">
        <v>402</v>
      </c>
      <c r="P9" s="957"/>
      <c r="Q9" s="956" t="s">
        <v>403</v>
      </c>
    </row>
    <row r="10" spans="1:18" ht="65.25" customHeight="1" thickTop="1" thickBot="1" x14ac:dyDescent="0.25">
      <c r="A10" s="71"/>
      <c r="B10" s="961"/>
      <c r="C10" s="945"/>
      <c r="D10" s="945"/>
      <c r="E10" s="945"/>
      <c r="F10" s="956"/>
      <c r="G10" s="404" t="s">
        <v>399</v>
      </c>
      <c r="H10" s="404" t="s">
        <v>400</v>
      </c>
      <c r="I10" s="956"/>
      <c r="J10" s="956"/>
      <c r="K10" s="404" t="s">
        <v>399</v>
      </c>
      <c r="L10" s="404" t="s">
        <v>400</v>
      </c>
      <c r="M10" s="956"/>
      <c r="N10" s="956"/>
      <c r="O10" s="404" t="s">
        <v>399</v>
      </c>
      <c r="P10" s="404" t="s">
        <v>400</v>
      </c>
      <c r="Q10" s="956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838" t="s">
        <v>22</v>
      </c>
      <c r="C12" s="838"/>
      <c r="D12" s="838"/>
      <c r="E12" s="839" t="s">
        <v>23</v>
      </c>
      <c r="F12" s="840">
        <f>F13</f>
        <v>500000</v>
      </c>
      <c r="G12" s="840">
        <f t="shared" ref="G12:Q12" si="0">G13</f>
        <v>150000</v>
      </c>
      <c r="H12" s="840">
        <f t="shared" si="0"/>
        <v>0</v>
      </c>
      <c r="I12" s="841">
        <f>I13</f>
        <v>650000</v>
      </c>
      <c r="J12" s="840">
        <f t="shared" si="0"/>
        <v>0</v>
      </c>
      <c r="K12" s="840">
        <f t="shared" si="0"/>
        <v>-150000</v>
      </c>
      <c r="L12" s="840">
        <f t="shared" si="0"/>
        <v>0</v>
      </c>
      <c r="M12" s="841">
        <f>M13</f>
        <v>-150000</v>
      </c>
      <c r="N12" s="840">
        <f t="shared" si="0"/>
        <v>500000</v>
      </c>
      <c r="O12" s="840">
        <f t="shared" si="0"/>
        <v>0</v>
      </c>
      <c r="P12" s="840">
        <f t="shared" si="0"/>
        <v>0</v>
      </c>
      <c r="Q12" s="841">
        <f t="shared" si="0"/>
        <v>500000</v>
      </c>
      <c r="R12" s="110"/>
    </row>
    <row r="13" spans="1:18" ht="44.25" thickTop="1" thickBot="1" x14ac:dyDescent="0.25">
      <c r="B13" s="842" t="s">
        <v>21</v>
      </c>
      <c r="C13" s="842"/>
      <c r="D13" s="842"/>
      <c r="E13" s="843" t="s">
        <v>37</v>
      </c>
      <c r="F13" s="844">
        <f t="shared" ref="F13:Q13" si="1">F18+F17+F19</f>
        <v>500000</v>
      </c>
      <c r="G13" s="844">
        <f t="shared" si="1"/>
        <v>150000</v>
      </c>
      <c r="H13" s="844">
        <f t="shared" si="1"/>
        <v>0</v>
      </c>
      <c r="I13" s="844">
        <f t="shared" si="1"/>
        <v>650000</v>
      </c>
      <c r="J13" s="844">
        <f t="shared" si="1"/>
        <v>0</v>
      </c>
      <c r="K13" s="844">
        <f t="shared" si="1"/>
        <v>-150000</v>
      </c>
      <c r="L13" s="844">
        <f t="shared" si="1"/>
        <v>0</v>
      </c>
      <c r="M13" s="844">
        <f t="shared" si="1"/>
        <v>-150000</v>
      </c>
      <c r="N13" s="845">
        <f t="shared" si="1"/>
        <v>500000</v>
      </c>
      <c r="O13" s="845">
        <f t="shared" si="1"/>
        <v>0</v>
      </c>
      <c r="P13" s="845">
        <f t="shared" si="1"/>
        <v>0</v>
      </c>
      <c r="Q13" s="844">
        <f t="shared" si="1"/>
        <v>500000</v>
      </c>
    </row>
    <row r="14" spans="1:18" s="150" customFormat="1" ht="15.75" thickTop="1" thickBot="1" x14ac:dyDescent="0.25">
      <c r="A14" s="7"/>
      <c r="B14" s="584" t="s">
        <v>897</v>
      </c>
      <c r="C14" s="584" t="s">
        <v>739</v>
      </c>
      <c r="D14" s="584"/>
      <c r="E14" s="585" t="s">
        <v>898</v>
      </c>
      <c r="F14" s="586">
        <f>F15</f>
        <v>500000</v>
      </c>
      <c r="G14" s="586">
        <f t="shared" ref="G14:Q15" si="2">G15</f>
        <v>150000</v>
      </c>
      <c r="H14" s="586">
        <f t="shared" si="2"/>
        <v>0</v>
      </c>
      <c r="I14" s="586">
        <f t="shared" si="2"/>
        <v>650000</v>
      </c>
      <c r="J14" s="586">
        <f t="shared" si="2"/>
        <v>0</v>
      </c>
      <c r="K14" s="586">
        <f t="shared" si="2"/>
        <v>-150000</v>
      </c>
      <c r="L14" s="586">
        <f t="shared" si="2"/>
        <v>0</v>
      </c>
      <c r="M14" s="586">
        <f t="shared" si="2"/>
        <v>-150000</v>
      </c>
      <c r="N14" s="586">
        <f t="shared" si="2"/>
        <v>500000</v>
      </c>
      <c r="O14" s="586">
        <f t="shared" si="2"/>
        <v>0</v>
      </c>
      <c r="P14" s="586">
        <f t="shared" si="2"/>
        <v>0</v>
      </c>
      <c r="Q14" s="586">
        <f t="shared" si="2"/>
        <v>500000</v>
      </c>
      <c r="R14" s="109"/>
    </row>
    <row r="15" spans="1:18" s="150" customFormat="1" ht="16.5" thickTop="1" thickBot="1" x14ac:dyDescent="0.25">
      <c r="A15" s="7"/>
      <c r="B15" s="581" t="s">
        <v>899</v>
      </c>
      <c r="C15" s="581" t="s">
        <v>900</v>
      </c>
      <c r="D15" s="581"/>
      <c r="E15" s="582" t="s">
        <v>901</v>
      </c>
      <c r="F15" s="583">
        <f>F16</f>
        <v>500000</v>
      </c>
      <c r="G15" s="583">
        <f t="shared" si="2"/>
        <v>150000</v>
      </c>
      <c r="H15" s="583">
        <f t="shared" si="2"/>
        <v>0</v>
      </c>
      <c r="I15" s="583">
        <f t="shared" si="2"/>
        <v>650000</v>
      </c>
      <c r="J15" s="583">
        <f t="shared" si="2"/>
        <v>0</v>
      </c>
      <c r="K15" s="583">
        <f t="shared" si="2"/>
        <v>-150000</v>
      </c>
      <c r="L15" s="583">
        <f t="shared" si="2"/>
        <v>0</v>
      </c>
      <c r="M15" s="583">
        <f t="shared" si="2"/>
        <v>-150000</v>
      </c>
      <c r="N15" s="583">
        <f t="shared" si="2"/>
        <v>500000</v>
      </c>
      <c r="O15" s="583">
        <f t="shared" si="2"/>
        <v>0</v>
      </c>
      <c r="P15" s="583">
        <f t="shared" si="2"/>
        <v>0</v>
      </c>
      <c r="Q15" s="583">
        <f t="shared" si="2"/>
        <v>500000</v>
      </c>
      <c r="R15" s="109"/>
    </row>
    <row r="16" spans="1:18" s="150" customFormat="1" ht="76.5" thickTop="1" thickBot="1" x14ac:dyDescent="0.25">
      <c r="A16" s="7"/>
      <c r="B16" s="579" t="s">
        <v>902</v>
      </c>
      <c r="C16" s="587" t="s">
        <v>903</v>
      </c>
      <c r="D16" s="587"/>
      <c r="E16" s="588" t="s">
        <v>928</v>
      </c>
      <c r="F16" s="589">
        <f>SUM(F17:F18)</f>
        <v>500000</v>
      </c>
      <c r="G16" s="589">
        <f t="shared" ref="G16:Q16" si="3">SUM(G17:G18)</f>
        <v>150000</v>
      </c>
      <c r="H16" s="589">
        <f t="shared" si="3"/>
        <v>0</v>
      </c>
      <c r="I16" s="589">
        <f t="shared" si="3"/>
        <v>650000</v>
      </c>
      <c r="J16" s="589">
        <f t="shared" si="3"/>
        <v>0</v>
      </c>
      <c r="K16" s="589">
        <f t="shared" si="3"/>
        <v>-150000</v>
      </c>
      <c r="L16" s="589">
        <f t="shared" si="3"/>
        <v>0</v>
      </c>
      <c r="M16" s="589">
        <f t="shared" si="3"/>
        <v>-150000</v>
      </c>
      <c r="N16" s="589">
        <f t="shared" si="3"/>
        <v>500000</v>
      </c>
      <c r="O16" s="589">
        <f t="shared" si="3"/>
        <v>0</v>
      </c>
      <c r="P16" s="589">
        <f t="shared" si="3"/>
        <v>0</v>
      </c>
      <c r="Q16" s="589">
        <f t="shared" si="3"/>
        <v>500000</v>
      </c>
      <c r="R16" s="109"/>
    </row>
    <row r="17" spans="1:18" ht="76.5" thickTop="1" thickBot="1" x14ac:dyDescent="0.25">
      <c r="B17" s="579" t="s">
        <v>475</v>
      </c>
      <c r="C17" s="579" t="s">
        <v>477</v>
      </c>
      <c r="D17" s="579" t="s">
        <v>52</v>
      </c>
      <c r="E17" s="131" t="s">
        <v>930</v>
      </c>
      <c r="F17" s="580">
        <v>500000</v>
      </c>
      <c r="G17" s="580">
        <v>150000</v>
      </c>
      <c r="H17" s="580">
        <v>0</v>
      </c>
      <c r="I17" s="580">
        <f>F17+G17</f>
        <v>650000</v>
      </c>
      <c r="J17" s="580">
        <v>0</v>
      </c>
      <c r="K17" s="580">
        <v>0</v>
      </c>
      <c r="L17" s="580"/>
      <c r="M17" s="580">
        <f>J17+K17</f>
        <v>0</v>
      </c>
      <c r="N17" s="580">
        <f>F17+J17</f>
        <v>500000</v>
      </c>
      <c r="O17" s="580">
        <f>G17+K17</f>
        <v>150000</v>
      </c>
      <c r="P17" s="580"/>
      <c r="Q17" s="580">
        <f>I17+M17</f>
        <v>650000</v>
      </c>
    </row>
    <row r="18" spans="1:18" ht="76.5" thickTop="1" thickBot="1" x14ac:dyDescent="0.25">
      <c r="B18" s="579" t="s">
        <v>476</v>
      </c>
      <c r="C18" s="579" t="s">
        <v>478</v>
      </c>
      <c r="D18" s="579" t="s">
        <v>52</v>
      </c>
      <c r="E18" s="131" t="s">
        <v>929</v>
      </c>
      <c r="F18" s="580"/>
      <c r="G18" s="580">
        <f>H18+I18</f>
        <v>0</v>
      </c>
      <c r="H18" s="580"/>
      <c r="I18" s="580"/>
      <c r="J18" s="580"/>
      <c r="K18" s="580">
        <v>-150000</v>
      </c>
      <c r="L18" s="580"/>
      <c r="M18" s="580">
        <f>J18+K18</f>
        <v>-150000</v>
      </c>
      <c r="N18" s="580">
        <f>F18+J18</f>
        <v>0</v>
      </c>
      <c r="O18" s="580">
        <f>G18+K18</f>
        <v>-150000</v>
      </c>
      <c r="P18" s="580"/>
      <c r="Q18" s="580">
        <f>I18+M18</f>
        <v>-150000</v>
      </c>
    </row>
    <row r="19" spans="1:18" s="65" customFormat="1" ht="61.5" hidden="1" thickTop="1" thickBot="1" x14ac:dyDescent="0.25">
      <c r="A19" s="7"/>
      <c r="B19" s="579" t="s">
        <v>521</v>
      </c>
      <c r="C19" s="579" t="s">
        <v>522</v>
      </c>
      <c r="D19" s="579" t="s">
        <v>52</v>
      </c>
      <c r="E19" s="131" t="s">
        <v>520</v>
      </c>
      <c r="F19" s="580"/>
      <c r="G19" s="580"/>
      <c r="H19" s="580"/>
      <c r="I19" s="580"/>
      <c r="J19" s="580"/>
      <c r="K19" s="580"/>
      <c r="L19" s="580"/>
      <c r="M19" s="580">
        <f>J19+K19</f>
        <v>0</v>
      </c>
      <c r="N19" s="580"/>
      <c r="O19" s="580">
        <f>G19+K19</f>
        <v>0</v>
      </c>
      <c r="P19" s="580"/>
      <c r="Q19" s="580">
        <f>I19+M19</f>
        <v>0</v>
      </c>
      <c r="R19" s="109"/>
    </row>
    <row r="20" spans="1:18" ht="27.75" customHeight="1" thickTop="1" thickBot="1" x14ac:dyDescent="0.25">
      <c r="B20" s="658" t="s">
        <v>396</v>
      </c>
      <c r="C20" s="658" t="s">
        <v>396</v>
      </c>
      <c r="D20" s="658" t="s">
        <v>396</v>
      </c>
      <c r="E20" s="658" t="s">
        <v>406</v>
      </c>
      <c r="F20" s="659">
        <f t="shared" ref="F20:M20" si="4">F12</f>
        <v>500000</v>
      </c>
      <c r="G20" s="659">
        <f t="shared" si="4"/>
        <v>150000</v>
      </c>
      <c r="H20" s="659">
        <f t="shared" si="4"/>
        <v>0</v>
      </c>
      <c r="I20" s="659">
        <f>I12</f>
        <v>650000</v>
      </c>
      <c r="J20" s="659">
        <f t="shared" si="4"/>
        <v>0</v>
      </c>
      <c r="K20" s="659">
        <f t="shared" si="4"/>
        <v>-150000</v>
      </c>
      <c r="L20" s="659">
        <f t="shared" si="4"/>
        <v>0</v>
      </c>
      <c r="M20" s="659">
        <f t="shared" si="4"/>
        <v>-150000</v>
      </c>
      <c r="N20" s="659">
        <f>N17+N18</f>
        <v>500000</v>
      </c>
      <c r="O20" s="659">
        <f>O17+O18</f>
        <v>0</v>
      </c>
      <c r="P20" s="659">
        <f>P17+P18</f>
        <v>0</v>
      </c>
      <c r="Q20" s="659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1362</v>
      </c>
      <c r="E22" s="92"/>
      <c r="F22" s="92"/>
      <c r="G22" s="196"/>
      <c r="H22" s="93"/>
      <c r="I22" s="94"/>
      <c r="J22" s="93"/>
      <c r="K22" s="93" t="s">
        <v>1363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1398</v>
      </c>
      <c r="E23" s="92"/>
      <c r="F23" s="92"/>
      <c r="G23" s="92"/>
      <c r="H23" s="91"/>
      <c r="I23" s="87"/>
      <c r="J23" s="87"/>
      <c r="K23" s="91" t="s">
        <v>1400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958" t="s">
        <v>547</v>
      </c>
      <c r="E24" s="958"/>
      <c r="F24" s="958"/>
      <c r="G24" s="958"/>
      <c r="H24" s="958"/>
      <c r="I24" s="958"/>
      <c r="J24" s="958"/>
      <c r="K24" s="958"/>
      <c r="L24" s="958"/>
      <c r="M24" s="958"/>
      <c r="N24" s="958"/>
      <c r="O24" s="958"/>
      <c r="P24" s="958"/>
      <c r="Q24" s="36"/>
    </row>
    <row r="25" spans="1:18" ht="15.75" customHeight="1" x14ac:dyDescent="0.25">
      <c r="B25" s="35"/>
      <c r="C25" s="35"/>
      <c r="D25" s="958"/>
      <c r="E25" s="958"/>
      <c r="F25" s="958"/>
      <c r="G25" s="958"/>
      <c r="H25" s="958"/>
      <c r="I25" s="958"/>
      <c r="J25" s="958"/>
      <c r="K25" s="958"/>
      <c r="L25" s="958"/>
      <c r="M25" s="958"/>
      <c r="N25" s="958"/>
      <c r="O25" s="958"/>
      <c r="P25" s="958"/>
      <c r="Q25" s="36"/>
    </row>
    <row r="26" spans="1:18" ht="15" x14ac:dyDescent="0.25">
      <c r="D26" s="958"/>
      <c r="E26" s="958"/>
      <c r="F26" s="958"/>
      <c r="G26" s="958"/>
      <c r="H26" s="958"/>
      <c r="I26" s="958"/>
      <c r="J26" s="958"/>
      <c r="K26" s="958"/>
      <c r="L26" s="958"/>
      <c r="M26" s="958"/>
      <c r="N26" s="958"/>
      <c r="O26" s="958"/>
      <c r="P26" s="958"/>
    </row>
    <row r="27" spans="1:18" ht="15" x14ac:dyDescent="0.25">
      <c r="D27" s="958"/>
      <c r="E27" s="958"/>
      <c r="F27" s="958"/>
      <c r="G27" s="958"/>
      <c r="H27" s="958"/>
      <c r="I27" s="958"/>
      <c r="J27" s="958"/>
      <c r="K27" s="958"/>
      <c r="L27" s="958"/>
      <c r="M27" s="958"/>
      <c r="N27" s="958"/>
      <c r="O27" s="958"/>
      <c r="P27" s="958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967"/>
    </row>
    <row r="85" spans="7:7" x14ac:dyDescent="0.2">
      <c r="G85" s="882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1"/>
  <sheetViews>
    <sheetView view="pageBreakPreview" topLeftCell="A73" zoomScale="40" zoomScaleNormal="25" zoomScaleSheetLayoutView="40" zoomScalePageLayoutView="10" workbookViewId="0">
      <selection activeCell="B98" sqref="B98:C98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21"/>
      <c r="C1" s="421"/>
      <c r="D1" s="422" t="s">
        <v>625</v>
      </c>
      <c r="E1" s="406"/>
      <c r="F1" s="406"/>
      <c r="G1" s="406"/>
      <c r="H1" s="406"/>
    </row>
    <row r="2" spans="1:15" ht="84.75" customHeight="1" x14ac:dyDescent="0.35">
      <c r="A2" s="387"/>
      <c r="B2" s="421"/>
      <c r="C2" s="421"/>
      <c r="D2" s="422" t="s">
        <v>1351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992"/>
      <c r="O3" s="992"/>
    </row>
    <row r="4" spans="1:15" ht="45.75" hidden="1" x14ac:dyDescent="0.2">
      <c r="A4" s="387"/>
      <c r="B4" s="387"/>
      <c r="C4" s="387"/>
      <c r="D4" s="388"/>
      <c r="N4" s="992"/>
      <c r="O4" s="993"/>
    </row>
    <row r="5" spans="1:15" ht="45.75" x14ac:dyDescent="0.2">
      <c r="A5" s="937" t="s">
        <v>1222</v>
      </c>
      <c r="B5" s="937"/>
      <c r="C5" s="937"/>
      <c r="D5" s="937"/>
      <c r="N5" s="992"/>
      <c r="O5" s="993"/>
    </row>
    <row r="6" spans="1:15" ht="45.75" x14ac:dyDescent="0.65">
      <c r="A6" s="938">
        <v>22564000000</v>
      </c>
      <c r="B6" s="875"/>
      <c r="C6" s="875"/>
      <c r="D6" s="875"/>
    </row>
    <row r="7" spans="1:15" ht="45.75" x14ac:dyDescent="0.2">
      <c r="A7" s="943" t="s">
        <v>508</v>
      </c>
      <c r="B7" s="875"/>
      <c r="C7" s="875"/>
      <c r="D7" s="875"/>
    </row>
    <row r="8" spans="1:15" ht="45.75" x14ac:dyDescent="0.2">
      <c r="A8" s="423"/>
      <c r="B8" s="374"/>
      <c r="C8" s="374"/>
      <c r="D8" s="374"/>
    </row>
    <row r="9" spans="1:15" ht="53.45" customHeight="1" x14ac:dyDescent="0.2">
      <c r="A9" s="984" t="s">
        <v>1223</v>
      </c>
      <c r="B9" s="985"/>
      <c r="C9" s="985"/>
      <c r="D9" s="985"/>
    </row>
    <row r="10" spans="1:15" ht="53.45" customHeight="1" thickBot="1" x14ac:dyDescent="0.25">
      <c r="A10" s="388"/>
      <c r="B10" s="388"/>
      <c r="C10" s="388"/>
      <c r="D10" s="390" t="s">
        <v>419</v>
      </c>
    </row>
    <row r="11" spans="1:15" ht="140.25" customHeight="1" thickTop="1" thickBot="1" x14ac:dyDescent="0.25">
      <c r="A11" s="391" t="s">
        <v>630</v>
      </c>
      <c r="B11" s="994" t="s">
        <v>629</v>
      </c>
      <c r="C11" s="995"/>
      <c r="D11" s="391" t="s">
        <v>398</v>
      </c>
    </row>
    <row r="12" spans="1:15" s="408" customFormat="1" ht="47.25" thickTop="1" thickBot="1" x14ac:dyDescent="0.25">
      <c r="A12" s="224" t="s">
        <v>2</v>
      </c>
      <c r="B12" s="996" t="s">
        <v>3</v>
      </c>
      <c r="C12" s="997"/>
      <c r="D12" s="224" t="s">
        <v>14</v>
      </c>
    </row>
    <row r="13" spans="1:15" s="408" customFormat="1" ht="66.75" customHeight="1" thickTop="1" thickBot="1" x14ac:dyDescent="0.25">
      <c r="A13" s="971" t="s">
        <v>631</v>
      </c>
      <c r="B13" s="972"/>
      <c r="C13" s="972"/>
      <c r="D13" s="973"/>
    </row>
    <row r="14" spans="1:15" s="408" customFormat="1" ht="46.5" thickTop="1" thickBot="1" x14ac:dyDescent="0.25">
      <c r="A14" s="707" t="s">
        <v>641</v>
      </c>
      <c r="B14" s="998" t="s">
        <v>455</v>
      </c>
      <c r="C14" s="1000"/>
      <c r="D14" s="708">
        <f>SUM(D15:D21)</f>
        <v>646350300</v>
      </c>
    </row>
    <row r="15" spans="1:15" s="408" customFormat="1" ht="47.25" hidden="1" customHeight="1" thickTop="1" thickBot="1" x14ac:dyDescent="0.25">
      <c r="A15" s="476" t="s">
        <v>1058</v>
      </c>
      <c r="B15" s="990" t="s">
        <v>1057</v>
      </c>
      <c r="C15" s="991"/>
      <c r="D15" s="709">
        <v>0</v>
      </c>
    </row>
    <row r="16" spans="1:15" s="408" customFormat="1" ht="47.25" hidden="1" customHeight="1" thickTop="1" thickBot="1" x14ac:dyDescent="0.25">
      <c r="A16" s="476" t="s">
        <v>1179</v>
      </c>
      <c r="B16" s="990" t="s">
        <v>1128</v>
      </c>
      <c r="C16" s="991"/>
      <c r="D16" s="709">
        <v>0</v>
      </c>
    </row>
    <row r="17" spans="1:5" s="408" customFormat="1" ht="47.25" thickTop="1" thickBot="1" x14ac:dyDescent="0.25">
      <c r="A17" s="476" t="s">
        <v>640</v>
      </c>
      <c r="B17" s="990" t="s">
        <v>654</v>
      </c>
      <c r="C17" s="991"/>
      <c r="D17" s="478">
        <f>(718166900)-71816600</f>
        <v>646350300</v>
      </c>
    </row>
    <row r="18" spans="1:5" s="408" customFormat="1" ht="47.25" hidden="1" customHeight="1" thickTop="1" thickBot="1" x14ac:dyDescent="0.25">
      <c r="A18" s="476" t="s">
        <v>1173</v>
      </c>
      <c r="B18" s="990" t="s">
        <v>1129</v>
      </c>
      <c r="C18" s="1001"/>
      <c r="D18" s="478">
        <v>0</v>
      </c>
    </row>
    <row r="19" spans="1:5" s="408" customFormat="1" ht="47.25" hidden="1" customHeight="1" thickTop="1" thickBot="1" x14ac:dyDescent="0.25">
      <c r="A19" s="476" t="s">
        <v>1060</v>
      </c>
      <c r="B19" s="990" t="s">
        <v>1059</v>
      </c>
      <c r="C19" s="991"/>
      <c r="D19" s="478">
        <v>0</v>
      </c>
    </row>
    <row r="20" spans="1:5" s="408" customFormat="1" ht="47.25" hidden="1" customHeight="1" thickTop="1" thickBot="1" x14ac:dyDescent="0.25">
      <c r="A20" s="476" t="s">
        <v>1070</v>
      </c>
      <c r="B20" s="990" t="s">
        <v>1071</v>
      </c>
      <c r="C20" s="991"/>
      <c r="D20" s="478">
        <v>0</v>
      </c>
    </row>
    <row r="21" spans="1:5" s="408" customFormat="1" ht="47.25" hidden="1" customHeight="1" thickTop="1" thickBot="1" x14ac:dyDescent="0.25">
      <c r="A21" s="476" t="s">
        <v>1049</v>
      </c>
      <c r="B21" s="990" t="s">
        <v>1048</v>
      </c>
      <c r="C21" s="991"/>
      <c r="D21" s="478">
        <v>0</v>
      </c>
    </row>
    <row r="22" spans="1:5" s="408" customFormat="1" ht="47.25" thickTop="1" thickBot="1" x14ac:dyDescent="0.25">
      <c r="A22" s="691" t="s">
        <v>931</v>
      </c>
      <c r="B22" s="976" t="s">
        <v>602</v>
      </c>
      <c r="C22" s="977"/>
      <c r="D22" s="462">
        <f>D14</f>
        <v>646350300</v>
      </c>
    </row>
    <row r="23" spans="1:5" s="408" customFormat="1" ht="46.5" thickTop="1" thickBot="1" x14ac:dyDescent="0.25">
      <c r="A23" s="707" t="s">
        <v>646</v>
      </c>
      <c r="B23" s="998" t="s">
        <v>358</v>
      </c>
      <c r="C23" s="999"/>
      <c r="D23" s="708">
        <f>SUM(D24:D25)</f>
        <v>8031675.7599999998</v>
      </c>
    </row>
    <row r="24" spans="1:5" s="408" customFormat="1" ht="192" customHeight="1" thickTop="1" thickBot="1" x14ac:dyDescent="0.25">
      <c r="A24" s="476" t="s">
        <v>647</v>
      </c>
      <c r="B24" s="990" t="s">
        <v>655</v>
      </c>
      <c r="C24" s="991"/>
      <c r="D24" s="709">
        <v>6628199</v>
      </c>
    </row>
    <row r="25" spans="1:5" s="408" customFormat="1" ht="47.25" thickTop="1" thickBot="1" x14ac:dyDescent="0.25">
      <c r="A25" s="476" t="s">
        <v>1392</v>
      </c>
      <c r="B25" s="990" t="s">
        <v>1391</v>
      </c>
      <c r="C25" s="991"/>
      <c r="D25" s="709">
        <v>1403476.76</v>
      </c>
    </row>
    <row r="26" spans="1:5" s="408" customFormat="1" ht="47.25" thickTop="1" thickBot="1" x14ac:dyDescent="0.25">
      <c r="A26" s="731" t="s">
        <v>644</v>
      </c>
      <c r="B26" s="976" t="s">
        <v>645</v>
      </c>
      <c r="C26" s="977"/>
      <c r="D26" s="730">
        <f>SUM(D24:D25)</f>
        <v>8031675.7599999998</v>
      </c>
    </row>
    <row r="27" spans="1:5" s="408" customFormat="1" ht="123.75" customHeight="1" thickTop="1" thickBot="1" x14ac:dyDescent="0.25">
      <c r="A27" s="707" t="s">
        <v>648</v>
      </c>
      <c r="B27" s="998" t="s">
        <v>649</v>
      </c>
      <c r="C27" s="999"/>
      <c r="D27" s="708">
        <f>D44+D46</f>
        <v>15097515</v>
      </c>
      <c r="E27" s="644" t="b">
        <f>D27=D44+D46</f>
        <v>1</v>
      </c>
    </row>
    <row r="28" spans="1:5" s="408" customFormat="1" ht="21" hidden="1" customHeight="1" thickTop="1" thickBot="1" x14ac:dyDescent="0.7">
      <c r="A28" s="1002" t="s">
        <v>1182</v>
      </c>
      <c r="B28" s="986" t="s">
        <v>1180</v>
      </c>
      <c r="C28" s="987"/>
      <c r="D28" s="1003">
        <v>0</v>
      </c>
    </row>
    <row r="29" spans="1:5" s="408" customFormat="1" ht="13.7" hidden="1" customHeight="1" thickBot="1" x14ac:dyDescent="0.25">
      <c r="A29" s="911"/>
      <c r="B29" s="988" t="s">
        <v>1181</v>
      </c>
      <c r="C29" s="989"/>
      <c r="D29" s="911"/>
    </row>
    <row r="30" spans="1:5" s="408" customFormat="1" ht="21" hidden="1" customHeight="1" thickTop="1" thickBot="1" x14ac:dyDescent="0.7">
      <c r="A30" s="1002" t="s">
        <v>1174</v>
      </c>
      <c r="B30" s="986" t="s">
        <v>1175</v>
      </c>
      <c r="C30" s="987"/>
      <c r="D30" s="1003">
        <v>0</v>
      </c>
    </row>
    <row r="31" spans="1:5" s="408" customFormat="1" ht="13.7" hidden="1" customHeight="1" thickBot="1" x14ac:dyDescent="0.25">
      <c r="A31" s="911"/>
      <c r="B31" s="988" t="s">
        <v>1176</v>
      </c>
      <c r="C31" s="989"/>
      <c r="D31" s="911"/>
    </row>
    <row r="32" spans="1:5" s="408" customFormat="1" ht="21" hidden="1" customHeight="1" thickTop="1" thickBot="1" x14ac:dyDescent="0.7">
      <c r="A32" s="1002">
        <v>41050600</v>
      </c>
      <c r="B32" s="986" t="s">
        <v>1177</v>
      </c>
      <c r="C32" s="987"/>
      <c r="D32" s="1003">
        <v>0</v>
      </c>
    </row>
    <row r="33" spans="1:5" s="408" customFormat="1" ht="13.7" hidden="1" customHeight="1" thickBot="1" x14ac:dyDescent="0.25">
      <c r="A33" s="911"/>
      <c r="B33" s="988" t="s">
        <v>1178</v>
      </c>
      <c r="C33" s="989"/>
      <c r="D33" s="911"/>
    </row>
    <row r="34" spans="1:5" s="408" customFormat="1" ht="47.25" hidden="1" customHeight="1" thickTop="1" thickBot="1" x14ac:dyDescent="0.25">
      <c r="A34" s="476">
        <v>41050900</v>
      </c>
      <c r="B34" s="990" t="s">
        <v>1183</v>
      </c>
      <c r="C34" s="991"/>
      <c r="D34" s="478">
        <v>0</v>
      </c>
    </row>
    <row r="35" spans="1:5" s="408" customFormat="1" ht="142.5" customHeight="1" thickTop="1" thickBot="1" x14ac:dyDescent="0.25">
      <c r="A35" s="476" t="s">
        <v>650</v>
      </c>
      <c r="B35" s="990" t="s">
        <v>651</v>
      </c>
      <c r="C35" s="991"/>
      <c r="D35" s="478">
        <f>(4189832+5214100)-1030613</f>
        <v>8373319</v>
      </c>
    </row>
    <row r="36" spans="1:5" s="408" customFormat="1" ht="136.5" customHeight="1" thickTop="1" thickBot="1" x14ac:dyDescent="0.25">
      <c r="A36" s="476" t="s">
        <v>652</v>
      </c>
      <c r="B36" s="990" t="s">
        <v>1303</v>
      </c>
      <c r="C36" s="991"/>
      <c r="D36" s="709">
        <f>(5189600+1300044)-649172</f>
        <v>5840472</v>
      </c>
    </row>
    <row r="37" spans="1:5" s="408" customFormat="1" ht="47.25" hidden="1" customHeight="1" thickTop="1" thickBot="1" x14ac:dyDescent="0.25">
      <c r="A37" s="476" t="s">
        <v>1061</v>
      </c>
      <c r="B37" s="990" t="s">
        <v>1062</v>
      </c>
      <c r="C37" s="991"/>
      <c r="D37" s="709">
        <v>0</v>
      </c>
    </row>
    <row r="38" spans="1:5" s="408" customFormat="1" ht="47.25" hidden="1" customHeight="1" thickTop="1" thickBot="1" x14ac:dyDescent="0.25">
      <c r="A38" s="476" t="s">
        <v>1010</v>
      </c>
      <c r="B38" s="990" t="s">
        <v>1011</v>
      </c>
      <c r="C38" s="991"/>
      <c r="D38" s="709">
        <v>0</v>
      </c>
    </row>
    <row r="39" spans="1:5" s="408" customFormat="1" ht="47.25" thickTop="1" thickBot="1" x14ac:dyDescent="0.25">
      <c r="A39" s="476">
        <v>41053900</v>
      </c>
      <c r="B39" s="990" t="s">
        <v>378</v>
      </c>
      <c r="C39" s="991"/>
      <c r="D39" s="709">
        <v>883724</v>
      </c>
    </row>
    <row r="40" spans="1:5" s="408" customFormat="1" ht="21" hidden="1" customHeight="1" thickTop="1" thickBot="1" x14ac:dyDescent="0.7">
      <c r="A40" s="1002" t="s">
        <v>1184</v>
      </c>
      <c r="B40" s="986" t="s">
        <v>1185</v>
      </c>
      <c r="C40" s="987"/>
      <c r="D40" s="1003">
        <v>0</v>
      </c>
    </row>
    <row r="41" spans="1:5" s="408" customFormat="1" ht="13.7" hidden="1" customHeight="1" thickBot="1" x14ac:dyDescent="0.25">
      <c r="A41" s="911"/>
      <c r="B41" s="988" t="s">
        <v>1186</v>
      </c>
      <c r="C41" s="989"/>
      <c r="D41" s="911"/>
    </row>
    <row r="42" spans="1:5" s="408" customFormat="1" ht="47.25" hidden="1" customHeight="1" thickTop="1" thickBot="1" x14ac:dyDescent="0.25">
      <c r="A42" s="476" t="s">
        <v>653</v>
      </c>
      <c r="B42" s="990" t="s">
        <v>656</v>
      </c>
      <c r="C42" s="991"/>
      <c r="D42" s="709">
        <v>0</v>
      </c>
    </row>
    <row r="43" spans="1:5" s="408" customFormat="1" ht="47.25" hidden="1" customHeight="1" thickTop="1" thickBot="1" x14ac:dyDescent="0.25">
      <c r="A43" s="476" t="s">
        <v>1104</v>
      </c>
      <c r="B43" s="990" t="s">
        <v>1105</v>
      </c>
      <c r="C43" s="991"/>
      <c r="D43" s="689">
        <f>10623233.82-10623233.82</f>
        <v>0</v>
      </c>
    </row>
    <row r="44" spans="1:5" s="408" customFormat="1" ht="66.75" customHeight="1" thickTop="1" thickBot="1" x14ac:dyDescent="0.55000000000000004">
      <c r="A44" s="691" t="s">
        <v>644</v>
      </c>
      <c r="B44" s="976" t="s">
        <v>645</v>
      </c>
      <c r="C44" s="977"/>
      <c r="D44" s="689">
        <f>SUM(D28:D42)</f>
        <v>15097515</v>
      </c>
      <c r="E44" s="418"/>
    </row>
    <row r="45" spans="1:5" s="408" customFormat="1" ht="47.25" hidden="1" customHeight="1" thickTop="1" thickBot="1" x14ac:dyDescent="0.25">
      <c r="A45" s="411" t="s">
        <v>1208</v>
      </c>
      <c r="B45" s="980" t="s">
        <v>1209</v>
      </c>
      <c r="C45" s="981"/>
      <c r="D45" s="412">
        <v>0</v>
      </c>
    </row>
    <row r="46" spans="1:5" s="408" customFormat="1" ht="47.25" hidden="1" customHeight="1" thickTop="1" thickBot="1" x14ac:dyDescent="0.25">
      <c r="A46" s="414" t="s">
        <v>604</v>
      </c>
      <c r="B46" s="982" t="s">
        <v>605</v>
      </c>
      <c r="C46" s="983"/>
      <c r="D46" s="416">
        <f>D45</f>
        <v>0</v>
      </c>
    </row>
    <row r="47" spans="1:5" ht="61.5" customHeight="1" thickTop="1" thickBot="1" x14ac:dyDescent="0.25">
      <c r="A47" s="971" t="s">
        <v>632</v>
      </c>
      <c r="B47" s="972"/>
      <c r="C47" s="972"/>
      <c r="D47" s="973"/>
    </row>
    <row r="48" spans="1:5" ht="61.5" hidden="1" customHeight="1" thickTop="1" thickBot="1" x14ac:dyDescent="0.25">
      <c r="A48" s="409" t="s">
        <v>641</v>
      </c>
      <c r="B48" s="974" t="s">
        <v>455</v>
      </c>
      <c r="C48" s="1004"/>
      <c r="D48" s="410">
        <f>D49</f>
        <v>0</v>
      </c>
    </row>
    <row r="49" spans="1:5" ht="153.75" hidden="1" customHeight="1" thickTop="1" thickBot="1" x14ac:dyDescent="0.25">
      <c r="A49" s="411" t="s">
        <v>1173</v>
      </c>
      <c r="B49" s="980" t="s">
        <v>1129</v>
      </c>
      <c r="C49" s="981"/>
      <c r="D49" s="412">
        <v>0</v>
      </c>
    </row>
    <row r="50" spans="1:5" ht="47.25" hidden="1" thickTop="1" thickBot="1" x14ac:dyDescent="0.25">
      <c r="A50" s="414" t="s">
        <v>931</v>
      </c>
      <c r="B50" s="982" t="s">
        <v>602</v>
      </c>
      <c r="C50" s="983"/>
      <c r="D50" s="415">
        <f>D48</f>
        <v>0</v>
      </c>
    </row>
    <row r="51" spans="1:5" ht="121.7" hidden="1" customHeight="1" thickTop="1" thickBot="1" x14ac:dyDescent="0.25">
      <c r="A51" s="409" t="s">
        <v>648</v>
      </c>
      <c r="B51" s="974" t="s">
        <v>649</v>
      </c>
      <c r="C51" s="975"/>
      <c r="D51" s="410">
        <f>D54+D56</f>
        <v>0</v>
      </c>
      <c r="E51" s="417" t="b">
        <f>D51=D52+D53+D55</f>
        <v>1</v>
      </c>
    </row>
    <row r="52" spans="1:5" ht="165.75" hidden="1" customHeight="1" thickTop="1" thickBot="1" x14ac:dyDescent="0.25">
      <c r="A52" s="411" t="s">
        <v>1012</v>
      </c>
      <c r="B52" s="980" t="s">
        <v>1015</v>
      </c>
      <c r="C52" s="981"/>
      <c r="D52" s="412">
        <v>0</v>
      </c>
    </row>
    <row r="53" spans="1:5" ht="147.75" hidden="1" customHeight="1" thickTop="1" thickBot="1" x14ac:dyDescent="0.25">
      <c r="A53" s="411">
        <v>41053900</v>
      </c>
      <c r="B53" s="980" t="s">
        <v>1016</v>
      </c>
      <c r="C53" s="981"/>
      <c r="D53" s="412">
        <v>0</v>
      </c>
    </row>
    <row r="54" spans="1:5" ht="47.25" hidden="1" thickTop="1" thickBot="1" x14ac:dyDescent="0.25">
      <c r="A54" s="414" t="s">
        <v>644</v>
      </c>
      <c r="B54" s="982" t="s">
        <v>645</v>
      </c>
      <c r="C54" s="983"/>
      <c r="D54" s="416">
        <f>D53+D52</f>
        <v>0</v>
      </c>
    </row>
    <row r="55" spans="1:5" ht="131.25" hidden="1" customHeight="1" thickTop="1" thickBot="1" x14ac:dyDescent="0.25">
      <c r="A55" s="411">
        <v>41053900</v>
      </c>
      <c r="B55" s="980" t="s">
        <v>1207</v>
      </c>
      <c r="C55" s="981"/>
      <c r="D55" s="412">
        <v>0</v>
      </c>
    </row>
    <row r="56" spans="1:5" ht="47.25" hidden="1" thickTop="1" thickBot="1" x14ac:dyDescent="0.25">
      <c r="A56" s="414" t="s">
        <v>604</v>
      </c>
      <c r="B56" s="982" t="s">
        <v>605</v>
      </c>
      <c r="C56" s="983"/>
      <c r="D56" s="416">
        <f>D55</f>
        <v>0</v>
      </c>
    </row>
    <row r="57" spans="1:5" ht="81" customHeight="1" thickTop="1" thickBot="1" x14ac:dyDescent="0.25">
      <c r="A57" s="846" t="s">
        <v>396</v>
      </c>
      <c r="B57" s="978" t="s">
        <v>633</v>
      </c>
      <c r="C57" s="979"/>
      <c r="D57" s="847">
        <f>D58+D59</f>
        <v>669479490.75999999</v>
      </c>
      <c r="E57" s="641" t="b">
        <f>D57='d1'!C105</f>
        <v>1</v>
      </c>
    </row>
    <row r="58" spans="1:5" ht="47.25" thickTop="1" thickBot="1" x14ac:dyDescent="0.25">
      <c r="A58" s="224" t="s">
        <v>396</v>
      </c>
      <c r="B58" s="976" t="s">
        <v>401</v>
      </c>
      <c r="C58" s="977"/>
      <c r="D58" s="689">
        <f>D44+D22+D26+D46</f>
        <v>669479490.75999999</v>
      </c>
      <c r="E58" s="641" t="b">
        <f>D58='d1'!D105</f>
        <v>1</v>
      </c>
    </row>
    <row r="59" spans="1:5" ht="47.25" thickTop="1" thickBot="1" x14ac:dyDescent="0.25">
      <c r="A59" s="224" t="s">
        <v>396</v>
      </c>
      <c r="B59" s="976" t="s">
        <v>402</v>
      </c>
      <c r="C59" s="977"/>
      <c r="D59" s="689">
        <f>D54+D50+D56</f>
        <v>0</v>
      </c>
      <c r="E59" s="641" t="b">
        <f>D59='d1'!E105</f>
        <v>1</v>
      </c>
    </row>
    <row r="60" spans="1:5" ht="31.7" customHeight="1" thickTop="1" x14ac:dyDescent="0.2">
      <c r="A60" s="185"/>
      <c r="B60" s="186"/>
      <c r="C60" s="186"/>
      <c r="D60" s="186"/>
    </row>
    <row r="61" spans="1:5" ht="31.7" customHeight="1" x14ac:dyDescent="0.2">
      <c r="A61" s="185"/>
      <c r="B61" s="186"/>
      <c r="C61" s="186"/>
      <c r="D61" s="186"/>
    </row>
    <row r="62" spans="1:5" ht="60" customHeight="1" x14ac:dyDescent="0.2">
      <c r="A62" s="984" t="s">
        <v>1224</v>
      </c>
      <c r="B62" s="985"/>
      <c r="C62" s="985"/>
      <c r="D62" s="985"/>
    </row>
    <row r="63" spans="1:5" ht="54" customHeight="1" thickBot="1" x14ac:dyDescent="0.25">
      <c r="A63" s="185"/>
      <c r="B63" s="186"/>
      <c r="C63" s="186"/>
      <c r="D63" s="390" t="s">
        <v>419</v>
      </c>
    </row>
    <row r="64" spans="1:5" ht="325.5" customHeight="1" thickTop="1" thickBot="1" x14ac:dyDescent="0.25">
      <c r="A64" s="391" t="s">
        <v>634</v>
      </c>
      <c r="B64" s="425" t="s">
        <v>510</v>
      </c>
      <c r="C64" s="391" t="s">
        <v>635</v>
      </c>
      <c r="D64" s="391" t="s">
        <v>398</v>
      </c>
    </row>
    <row r="65" spans="1:9" ht="50.25" customHeight="1" thickTop="1" thickBot="1" x14ac:dyDescent="0.25">
      <c r="A65" s="224" t="s">
        <v>2</v>
      </c>
      <c r="B65" s="224" t="s">
        <v>3</v>
      </c>
      <c r="C65" s="224" t="s">
        <v>14</v>
      </c>
      <c r="D65" s="224" t="s">
        <v>5</v>
      </c>
    </row>
    <row r="66" spans="1:9" ht="65.25" customHeight="1" thickTop="1" thickBot="1" x14ac:dyDescent="0.25">
      <c r="A66" s="971" t="s">
        <v>636</v>
      </c>
      <c r="B66" s="972"/>
      <c r="C66" s="972"/>
      <c r="D66" s="973"/>
    </row>
    <row r="67" spans="1:9" ht="184.5" thickTop="1" thickBot="1" x14ac:dyDescent="0.25">
      <c r="A67" s="476" t="s">
        <v>257</v>
      </c>
      <c r="B67" s="476" t="s">
        <v>258</v>
      </c>
      <c r="C67" s="477" t="s">
        <v>460</v>
      </c>
      <c r="D67" s="478">
        <f>SUM(D68:D69)</f>
        <v>600600</v>
      </c>
      <c r="E67" s="641" t="b">
        <f>D67='d3'!E40</f>
        <v>1</v>
      </c>
      <c r="F67" s="642"/>
      <c r="G67" s="643"/>
      <c r="H67" s="643"/>
      <c r="I67" s="643"/>
    </row>
    <row r="68" spans="1:9" ht="93" thickTop="1" thickBot="1" x14ac:dyDescent="0.25">
      <c r="A68" s="447" t="s">
        <v>601</v>
      </c>
      <c r="B68" s="447"/>
      <c r="C68" s="479" t="s">
        <v>606</v>
      </c>
      <c r="D68" s="462">
        <v>300300</v>
      </c>
      <c r="E68" s="642"/>
      <c r="F68" s="642"/>
      <c r="G68" s="643"/>
      <c r="H68" s="643"/>
      <c r="I68" s="643"/>
    </row>
    <row r="69" spans="1:9" ht="93" thickTop="1" thickBot="1" x14ac:dyDescent="0.25">
      <c r="A69" s="447" t="s">
        <v>607</v>
      </c>
      <c r="B69" s="447"/>
      <c r="C69" s="479" t="s">
        <v>608</v>
      </c>
      <c r="D69" s="462">
        <v>300300</v>
      </c>
      <c r="E69" s="642"/>
      <c r="F69" s="642"/>
      <c r="G69" s="643"/>
      <c r="H69" s="643"/>
      <c r="I69" s="643"/>
    </row>
    <row r="70" spans="1:9" ht="47.25" thickTop="1" thickBot="1" x14ac:dyDescent="0.25">
      <c r="A70" s="476" t="s">
        <v>603</v>
      </c>
      <c r="B70" s="476" t="s">
        <v>377</v>
      </c>
      <c r="C70" s="477" t="s">
        <v>378</v>
      </c>
      <c r="D70" s="478">
        <f>SUM(D71)</f>
        <v>132100</v>
      </c>
      <c r="E70" s="641" t="b">
        <f>D70='d3'!E41</f>
        <v>1</v>
      </c>
      <c r="F70" s="642"/>
      <c r="G70" s="643"/>
      <c r="H70" s="643"/>
      <c r="I70" s="643"/>
    </row>
    <row r="71" spans="1:9" ht="47.25" thickTop="1" thickBot="1" x14ac:dyDescent="0.25">
      <c r="A71" s="447" t="s">
        <v>604</v>
      </c>
      <c r="B71" s="447"/>
      <c r="C71" s="479" t="s">
        <v>605</v>
      </c>
      <c r="D71" s="462">
        <v>132100</v>
      </c>
      <c r="E71" s="642"/>
      <c r="F71" s="642"/>
      <c r="G71" s="643"/>
      <c r="H71" s="643"/>
      <c r="I71" s="643"/>
    </row>
    <row r="72" spans="1:9" ht="138.75" thickTop="1" thickBot="1" x14ac:dyDescent="0.25">
      <c r="A72" s="476" t="s">
        <v>531</v>
      </c>
      <c r="B72" s="476" t="s">
        <v>532</v>
      </c>
      <c r="C72" s="477" t="s">
        <v>533</v>
      </c>
      <c r="D72" s="478">
        <f>D73</f>
        <v>13701000</v>
      </c>
      <c r="E72" s="641" t="b">
        <f>D72='d3'!E42</f>
        <v>1</v>
      </c>
      <c r="F72" s="642"/>
      <c r="G72" s="643"/>
      <c r="H72" s="643"/>
      <c r="I72" s="643"/>
    </row>
    <row r="73" spans="1:9" ht="47.25" thickTop="1" thickBot="1" x14ac:dyDescent="0.25">
      <c r="A73" s="780" t="s">
        <v>931</v>
      </c>
      <c r="B73" s="780"/>
      <c r="C73" s="479" t="s">
        <v>602</v>
      </c>
      <c r="D73" s="462">
        <f>((((1906000+1800000+6065000+450000)+870000)+970000)+500000+160000)+750000-150000+380000</f>
        <v>13701000</v>
      </c>
      <c r="E73" s="642"/>
      <c r="F73" s="642"/>
      <c r="G73" s="643"/>
      <c r="H73" s="643"/>
      <c r="I73" s="643"/>
    </row>
    <row r="74" spans="1:9" ht="47.25" hidden="1" thickTop="1" thickBot="1" x14ac:dyDescent="0.25">
      <c r="A74" s="411" t="s">
        <v>618</v>
      </c>
      <c r="B74" s="411" t="s">
        <v>377</v>
      </c>
      <c r="C74" s="419" t="s">
        <v>378</v>
      </c>
      <c r="D74" s="413">
        <f>SUM(D75)</f>
        <v>0</v>
      </c>
      <c r="E74" s="641" t="b">
        <f>D74='d3'!E197</f>
        <v>1</v>
      </c>
      <c r="F74" s="642"/>
      <c r="G74" s="643"/>
      <c r="H74" s="643"/>
      <c r="I74" s="643"/>
    </row>
    <row r="75" spans="1:9" ht="93" hidden="1" thickTop="1" thickBot="1" x14ac:dyDescent="0.25">
      <c r="A75" s="414" t="s">
        <v>609</v>
      </c>
      <c r="B75" s="414"/>
      <c r="C75" s="420" t="s">
        <v>610</v>
      </c>
      <c r="D75" s="415">
        <v>0</v>
      </c>
      <c r="E75" s="642"/>
      <c r="F75" s="642"/>
      <c r="G75" s="643"/>
      <c r="H75" s="643"/>
      <c r="I75" s="643"/>
    </row>
    <row r="76" spans="1:9" ht="47.25" hidden="1" thickTop="1" thickBot="1" x14ac:dyDescent="0.25">
      <c r="A76" s="411" t="s">
        <v>1214</v>
      </c>
      <c r="B76" s="411" t="s">
        <v>377</v>
      </c>
      <c r="C76" s="419" t="s">
        <v>378</v>
      </c>
      <c r="D76" s="413">
        <v>0</v>
      </c>
      <c r="E76" s="641" t="b">
        <f>D76='d3'!E230</f>
        <v>1</v>
      </c>
      <c r="F76" s="642"/>
      <c r="G76" s="643"/>
      <c r="H76" s="643"/>
      <c r="I76" s="643"/>
    </row>
    <row r="77" spans="1:9" ht="47.25" hidden="1" thickTop="1" thickBot="1" x14ac:dyDescent="0.25">
      <c r="A77" s="411" t="s">
        <v>963</v>
      </c>
      <c r="B77" s="411" t="s">
        <v>377</v>
      </c>
      <c r="C77" s="419" t="s">
        <v>378</v>
      </c>
      <c r="D77" s="413">
        <v>0</v>
      </c>
      <c r="E77" s="641" t="b">
        <f>D77='d3'!E344</f>
        <v>1</v>
      </c>
      <c r="F77" s="642"/>
      <c r="G77" s="643"/>
      <c r="H77" s="643"/>
      <c r="I77" s="643"/>
    </row>
    <row r="78" spans="1:9" ht="47.25" hidden="1" thickTop="1" thickBot="1" x14ac:dyDescent="0.25">
      <c r="A78" s="414" t="s">
        <v>644</v>
      </c>
      <c r="B78" s="414"/>
      <c r="C78" s="420" t="s">
        <v>645</v>
      </c>
      <c r="D78" s="415">
        <f>SUM(D76:D77)</f>
        <v>0</v>
      </c>
      <c r="E78" s="642"/>
      <c r="F78" s="642"/>
      <c r="G78" s="643"/>
      <c r="H78" s="643"/>
      <c r="I78" s="643"/>
    </row>
    <row r="79" spans="1:9" ht="47.25" thickTop="1" thickBot="1" x14ac:dyDescent="0.25">
      <c r="A79" s="476" t="s">
        <v>638</v>
      </c>
      <c r="B79" s="476" t="s">
        <v>639</v>
      </c>
      <c r="C79" s="477" t="s">
        <v>469</v>
      </c>
      <c r="D79" s="478">
        <f>SUM(D80)</f>
        <v>91712900</v>
      </c>
      <c r="E79" s="641" t="b">
        <f>D79='d3'!E379</f>
        <v>1</v>
      </c>
      <c r="F79" s="642"/>
      <c r="G79" s="643"/>
      <c r="H79" s="643"/>
      <c r="I79" s="643"/>
    </row>
    <row r="80" spans="1:9" ht="47.25" thickTop="1" thickBot="1" x14ac:dyDescent="0.25">
      <c r="A80" s="531" t="s">
        <v>931</v>
      </c>
      <c r="B80" s="531"/>
      <c r="C80" s="479" t="s">
        <v>602</v>
      </c>
      <c r="D80" s="462">
        <v>91712900</v>
      </c>
      <c r="E80" s="642"/>
      <c r="F80" s="642"/>
      <c r="G80" s="643"/>
      <c r="H80" s="643"/>
      <c r="I80" s="643"/>
    </row>
    <row r="81" spans="1:12" ht="77.25" customHeight="1" thickTop="1" thickBot="1" x14ac:dyDescent="0.25">
      <c r="A81" s="971" t="s">
        <v>637</v>
      </c>
      <c r="B81" s="972"/>
      <c r="C81" s="972"/>
      <c r="D81" s="973"/>
      <c r="E81" s="642"/>
      <c r="F81" s="642"/>
      <c r="G81" s="643"/>
      <c r="H81" s="643"/>
      <c r="I81" s="643"/>
    </row>
    <row r="82" spans="1:12" ht="138.75" thickTop="1" thickBot="1" x14ac:dyDescent="0.25">
      <c r="A82" s="476" t="s">
        <v>531</v>
      </c>
      <c r="B82" s="476" t="s">
        <v>532</v>
      </c>
      <c r="C82" s="477" t="s">
        <v>533</v>
      </c>
      <c r="D82" s="478">
        <f>((((1000000)+74000)+80000)+700000+947711)+140000+500000</f>
        <v>3441711</v>
      </c>
      <c r="E82" s="641" t="b">
        <f>D82='d3'!J42</f>
        <v>1</v>
      </c>
      <c r="F82" s="642"/>
      <c r="G82" s="643"/>
      <c r="H82" s="643"/>
      <c r="I82" s="643"/>
    </row>
    <row r="83" spans="1:12" ht="47.25" thickTop="1" thickBot="1" x14ac:dyDescent="0.25">
      <c r="A83" s="751" t="s">
        <v>931</v>
      </c>
      <c r="B83" s="751"/>
      <c r="C83" s="479" t="s">
        <v>602</v>
      </c>
      <c r="D83" s="462">
        <f>D82</f>
        <v>3441711</v>
      </c>
      <c r="E83" s="642"/>
      <c r="F83" s="642"/>
      <c r="G83" s="643"/>
      <c r="H83" s="643"/>
      <c r="I83" s="643"/>
    </row>
    <row r="84" spans="1:12" ht="47.25" hidden="1" thickTop="1" thickBot="1" x14ac:dyDescent="0.25">
      <c r="A84" s="411" t="s">
        <v>1112</v>
      </c>
      <c r="B84" s="411" t="s">
        <v>377</v>
      </c>
      <c r="C84" s="419" t="s">
        <v>378</v>
      </c>
      <c r="D84" s="413">
        <v>0</v>
      </c>
      <c r="E84" s="641" t="b">
        <f>D84='d3'!J90</f>
        <v>1</v>
      </c>
      <c r="F84" s="642"/>
      <c r="G84" s="643"/>
      <c r="H84" s="643"/>
      <c r="I84" s="643"/>
    </row>
    <row r="85" spans="1:12" ht="47.25" hidden="1" thickTop="1" thickBot="1" x14ac:dyDescent="0.25">
      <c r="A85" s="411" t="s">
        <v>1214</v>
      </c>
      <c r="B85" s="411" t="s">
        <v>377</v>
      </c>
      <c r="C85" s="419" t="s">
        <v>378</v>
      </c>
      <c r="D85" s="413">
        <v>0</v>
      </c>
      <c r="E85" s="641" t="b">
        <f>D85='d3'!J230</f>
        <v>1</v>
      </c>
      <c r="F85" s="642"/>
      <c r="G85" s="643"/>
      <c r="H85" s="643"/>
      <c r="I85" s="643"/>
    </row>
    <row r="86" spans="1:12" ht="47.25" hidden="1" thickTop="1" thickBot="1" x14ac:dyDescent="0.25">
      <c r="A86" s="411" t="s">
        <v>963</v>
      </c>
      <c r="B86" s="411" t="s">
        <v>377</v>
      </c>
      <c r="C86" s="419" t="s">
        <v>378</v>
      </c>
      <c r="D86" s="413">
        <v>0</v>
      </c>
      <c r="E86" s="641" t="b">
        <f>D86='d3'!J344</f>
        <v>1</v>
      </c>
      <c r="F86" s="642"/>
      <c r="G86" s="643"/>
      <c r="H86" s="643"/>
      <c r="I86" s="643"/>
    </row>
    <row r="87" spans="1:12" ht="47.25" hidden="1" thickTop="1" thickBot="1" x14ac:dyDescent="0.25">
      <c r="A87" s="414" t="s">
        <v>644</v>
      </c>
      <c r="B87" s="414"/>
      <c r="C87" s="420" t="s">
        <v>645</v>
      </c>
      <c r="D87" s="415">
        <f>SUM(D84:D86)</f>
        <v>0</v>
      </c>
      <c r="E87" s="642"/>
      <c r="F87" s="642"/>
      <c r="G87" s="643"/>
      <c r="H87" s="643"/>
      <c r="I87" s="643"/>
    </row>
    <row r="88" spans="1:12" ht="47.25" thickTop="1" thickBot="1" x14ac:dyDescent="0.25">
      <c r="A88" s="646"/>
      <c r="B88" s="646"/>
      <c r="C88" s="535"/>
      <c r="D88" s="647"/>
      <c r="E88" s="642"/>
      <c r="F88" s="642"/>
      <c r="G88" s="643"/>
      <c r="H88" s="643"/>
      <c r="I88" s="643"/>
    </row>
    <row r="89" spans="1:12" ht="84.75" customHeight="1" thickTop="1" thickBot="1" x14ac:dyDescent="0.25">
      <c r="A89" s="846" t="s">
        <v>396</v>
      </c>
      <c r="B89" s="846" t="s">
        <v>396</v>
      </c>
      <c r="C89" s="848" t="s">
        <v>633</v>
      </c>
      <c r="D89" s="847">
        <f>D68+D69+D71+D73+D75+D78+D80+D83+D87</f>
        <v>109588311</v>
      </c>
      <c r="E89" s="644" t="b">
        <f>D89=D90+D91</f>
        <v>1</v>
      </c>
      <c r="F89" s="644" t="b">
        <f>D89='d7'!G33+'d7'!G34+'d7'!G35+'d7'!G36+'d7'!G37+'d7'!G38+'d7'!G39+'d7'!G40+'d7'!G41+'d7'!G42+'d7'!G77+'d7'!G150+'d7'!G169+'d7'!G253+'d5'!D79</f>
        <v>1</v>
      </c>
      <c r="G89" s="643"/>
      <c r="H89" s="643"/>
      <c r="I89" s="643"/>
    </row>
    <row r="90" spans="1:12" ht="47.25" thickTop="1" thickBot="1" x14ac:dyDescent="0.25">
      <c r="A90" s="532" t="s">
        <v>396</v>
      </c>
      <c r="B90" s="532" t="s">
        <v>396</v>
      </c>
      <c r="C90" s="426" t="s">
        <v>401</v>
      </c>
      <c r="D90" s="530">
        <f>'d3'!E377+'d3'!E342+'d3'!E195+'d3'!E38+'d3'!E90+'d3'!E230</f>
        <v>106146600</v>
      </c>
      <c r="E90" s="644" t="b">
        <f>D90=D67+D70+D74+D77+D79+D72+D76</f>
        <v>1</v>
      </c>
      <c r="F90" s="645"/>
      <c r="G90" s="643"/>
      <c r="H90" s="643"/>
      <c r="I90" s="643"/>
    </row>
    <row r="91" spans="1:12" ht="47.25" thickTop="1" thickBot="1" x14ac:dyDescent="0.25">
      <c r="A91" s="532" t="s">
        <v>396</v>
      </c>
      <c r="B91" s="532" t="s">
        <v>396</v>
      </c>
      <c r="C91" s="426" t="s">
        <v>402</v>
      </c>
      <c r="D91" s="530">
        <f>'d3'!J38+'d3'!J195+'d3'!J342+'d3'!J377+'d3'!J90+'d3'!J230</f>
        <v>3441711</v>
      </c>
      <c r="E91" s="644" t="b">
        <f>D91=D87+D83</f>
        <v>1</v>
      </c>
      <c r="F91" s="645"/>
      <c r="G91" s="643"/>
      <c r="H91" s="643"/>
      <c r="I91" s="643"/>
    </row>
    <row r="92" spans="1:12" ht="31.7" customHeight="1" thickTop="1" x14ac:dyDescent="0.2">
      <c r="A92" s="527"/>
      <c r="B92" s="528"/>
      <c r="C92" s="528"/>
      <c r="D92" s="528"/>
      <c r="E92" s="612"/>
      <c r="F92" s="612"/>
      <c r="G92" s="643"/>
      <c r="H92" s="643"/>
      <c r="I92" s="643"/>
    </row>
    <row r="93" spans="1:12" ht="31.7" customHeight="1" x14ac:dyDescent="0.2">
      <c r="A93" s="527"/>
      <c r="B93" s="528"/>
      <c r="C93" s="528"/>
      <c r="D93" s="528"/>
      <c r="E93" s="612"/>
      <c r="F93" s="612"/>
      <c r="G93" s="643"/>
      <c r="H93" s="643"/>
      <c r="I93" s="643"/>
    </row>
    <row r="94" spans="1:12" ht="31.7" customHeight="1" x14ac:dyDescent="0.2">
      <c r="A94" s="527"/>
      <c r="B94" s="528"/>
      <c r="C94" s="528"/>
      <c r="D94" s="528"/>
      <c r="E94" s="639"/>
      <c r="F94" s="639"/>
    </row>
    <row r="95" spans="1:12" ht="45" customHeight="1" x14ac:dyDescent="0.65">
      <c r="A95" s="527"/>
      <c r="B95" s="439" t="s">
        <v>1362</v>
      </c>
      <c r="C95" s="791"/>
      <c r="D95" s="439" t="s">
        <v>1363</v>
      </c>
      <c r="E95" s="184"/>
      <c r="F95" s="439"/>
      <c r="G95" s="438"/>
      <c r="H95" s="439"/>
      <c r="I95" s="439"/>
      <c r="J95" s="792"/>
      <c r="K95" s="792"/>
      <c r="L95" s="792"/>
    </row>
    <row r="96" spans="1:12" ht="61.5" customHeight="1" x14ac:dyDescent="0.65">
      <c r="A96" s="533"/>
      <c r="B96" s="916"/>
      <c r="C96" s="916"/>
      <c r="D96" s="916"/>
      <c r="E96" s="639"/>
      <c r="F96" s="639"/>
    </row>
    <row r="97" spans="1:6" ht="42" customHeight="1" x14ac:dyDescent="0.65">
      <c r="A97" s="386"/>
      <c r="B97" s="1077" t="s">
        <v>1401</v>
      </c>
      <c r="C97" s="1078"/>
      <c r="D97" s="439"/>
      <c r="E97" s="639"/>
      <c r="F97" s="639"/>
    </row>
    <row r="98" spans="1:6" ht="59.25" customHeight="1" x14ac:dyDescent="0.65">
      <c r="A98" s="386"/>
      <c r="B98" s="1079" t="s">
        <v>1402</v>
      </c>
      <c r="C98" s="1080"/>
      <c r="D98" s="439" t="s">
        <v>1399</v>
      </c>
      <c r="E98" s="639"/>
      <c r="F98" s="639"/>
    </row>
    <row r="99" spans="1:6" ht="45.75" x14ac:dyDescent="0.65">
      <c r="A99" s="386"/>
      <c r="B99" s="916"/>
      <c r="C99" s="916"/>
      <c r="D99" s="916"/>
      <c r="E99" s="639"/>
      <c r="F99" s="639"/>
    </row>
    <row r="102" spans="1:6" x14ac:dyDescent="0.2">
      <c r="A102" s="407"/>
      <c r="B102" s="407"/>
      <c r="C102" s="407"/>
    </row>
    <row r="104" spans="1:6" x14ac:dyDescent="0.2">
      <c r="A104" s="407"/>
      <c r="B104" s="407"/>
      <c r="C104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  <row r="110" spans="1:6" x14ac:dyDescent="0.2">
      <c r="A110" s="407"/>
      <c r="B110" s="407"/>
      <c r="C110" s="407"/>
      <c r="D110" s="407"/>
    </row>
    <row r="111" spans="1:6" x14ac:dyDescent="0.2">
      <c r="A111" s="407"/>
      <c r="B111" s="407"/>
      <c r="C111" s="407"/>
      <c r="D111" s="407"/>
    </row>
  </sheetData>
  <mergeCells count="71">
    <mergeCell ref="B50:C50"/>
    <mergeCell ref="B42:C42"/>
    <mergeCell ref="B53:C53"/>
    <mergeCell ref="A47:D47"/>
    <mergeCell ref="B44:C44"/>
    <mergeCell ref="B45:C45"/>
    <mergeCell ref="B46:C46"/>
    <mergeCell ref="B48:C48"/>
    <mergeCell ref="B49:C49"/>
    <mergeCell ref="A28:A29"/>
    <mergeCell ref="D28:D29"/>
    <mergeCell ref="B34:C34"/>
    <mergeCell ref="B40:C40"/>
    <mergeCell ref="A40:A41"/>
    <mergeCell ref="D40:D41"/>
    <mergeCell ref="B41:C41"/>
    <mergeCell ref="A30:A31"/>
    <mergeCell ref="D30:D31"/>
    <mergeCell ref="A32:A33"/>
    <mergeCell ref="D32:D33"/>
    <mergeCell ref="B36:C36"/>
    <mergeCell ref="B38:C38"/>
    <mergeCell ref="A9:D9"/>
    <mergeCell ref="A13:D13"/>
    <mergeCell ref="B11:C11"/>
    <mergeCell ref="B12:C12"/>
    <mergeCell ref="B27:C27"/>
    <mergeCell ref="B16:C16"/>
    <mergeCell ref="B14:C14"/>
    <mergeCell ref="B23:C23"/>
    <mergeCell ref="B24:C24"/>
    <mergeCell ref="B17:C17"/>
    <mergeCell ref="B21:C21"/>
    <mergeCell ref="B26:C26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30:C30"/>
    <mergeCell ref="B31:C31"/>
    <mergeCell ref="B43:C43"/>
    <mergeCell ref="B35:C35"/>
    <mergeCell ref="B37:C37"/>
    <mergeCell ref="B39:C39"/>
    <mergeCell ref="B28:C28"/>
    <mergeCell ref="B29:C29"/>
    <mergeCell ref="B32:C32"/>
    <mergeCell ref="B33:C33"/>
    <mergeCell ref="B25:C25"/>
    <mergeCell ref="B99:D99"/>
    <mergeCell ref="A66:D66"/>
    <mergeCell ref="A81:D81"/>
    <mergeCell ref="B51:C51"/>
    <mergeCell ref="B58:C58"/>
    <mergeCell ref="B59:C59"/>
    <mergeCell ref="B57:C57"/>
    <mergeCell ref="B52:C52"/>
    <mergeCell ref="B54:C54"/>
    <mergeCell ref="A62:D62"/>
    <mergeCell ref="B55:C55"/>
    <mergeCell ref="B56:C56"/>
    <mergeCell ref="B96:D96"/>
    <mergeCell ref="B97:C97"/>
    <mergeCell ref="B98:C98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1"/>
  <sheetViews>
    <sheetView view="pageBreakPreview" topLeftCell="B1" zoomScale="70" zoomScaleNormal="40" zoomScaleSheetLayoutView="70" workbookViewId="0">
      <pane ySplit="10" topLeftCell="A66" activePane="bottomLeft" state="frozen"/>
      <selection activeCell="F175" sqref="F175"/>
      <selection pane="bottomLeft" activeCell="M73" sqref="M73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1011"/>
      <c r="C1" s="1011"/>
      <c r="D1" s="1011"/>
      <c r="E1" s="1011"/>
      <c r="F1" s="1011"/>
      <c r="G1" s="1011"/>
      <c r="H1" s="1011"/>
      <c r="I1" s="1011"/>
      <c r="J1" s="1011"/>
      <c r="K1" s="1011"/>
    </row>
    <row r="2" spans="1:18" ht="41.25" customHeight="1" x14ac:dyDescent="0.2">
      <c r="G2" s="1012" t="s">
        <v>1352</v>
      </c>
      <c r="H2" s="1012"/>
      <c r="I2" s="1012"/>
      <c r="J2" s="1012"/>
      <c r="K2" s="1012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1013" t="s">
        <v>1225</v>
      </c>
      <c r="C4" s="1014"/>
      <c r="D4" s="1014"/>
      <c r="E4" s="1014"/>
      <c r="F4" s="1014"/>
      <c r="G4" s="1014"/>
      <c r="H4" s="1014"/>
      <c r="I4" s="1014"/>
      <c r="J4" s="1014"/>
      <c r="K4" s="1014"/>
    </row>
    <row r="5" spans="1:18" ht="31.7" customHeight="1" x14ac:dyDescent="0.2">
      <c r="B5" s="1013" t="s">
        <v>1226</v>
      </c>
      <c r="C5" s="1014"/>
      <c r="D5" s="1014"/>
      <c r="E5" s="1014"/>
      <c r="F5" s="1014"/>
      <c r="G5" s="1014"/>
      <c r="H5" s="1014"/>
      <c r="I5" s="1014"/>
      <c r="J5" s="1014"/>
      <c r="K5" s="1014"/>
    </row>
    <row r="6" spans="1:18" ht="24.75" customHeight="1" x14ac:dyDescent="0.2">
      <c r="B6" s="1013" t="s">
        <v>1227</v>
      </c>
      <c r="C6" s="1014"/>
      <c r="D6" s="1014"/>
      <c r="E6" s="1014"/>
      <c r="F6" s="1014"/>
      <c r="G6" s="1014"/>
      <c r="H6" s="1014"/>
      <c r="I6" s="1014"/>
      <c r="J6" s="1014"/>
      <c r="K6" s="1014"/>
    </row>
    <row r="7" spans="1:18" ht="18.75" x14ac:dyDescent="0.2">
      <c r="B7" s="1015">
        <v>22564000000</v>
      </c>
      <c r="C7" s="1016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1009" t="s">
        <v>508</v>
      </c>
      <c r="C8" s="1010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7"/>
      <c r="B9" s="428" t="s">
        <v>509</v>
      </c>
      <c r="C9" s="428" t="s">
        <v>510</v>
      </c>
      <c r="D9" s="428" t="s">
        <v>405</v>
      </c>
      <c r="E9" s="428" t="s">
        <v>600</v>
      </c>
      <c r="F9" s="131" t="s">
        <v>1228</v>
      </c>
      <c r="G9" s="131" t="s">
        <v>1231</v>
      </c>
      <c r="H9" s="131" t="s">
        <v>1232</v>
      </c>
      <c r="I9" s="131" t="s">
        <v>1233</v>
      </c>
      <c r="J9" s="131" t="s">
        <v>1234</v>
      </c>
      <c r="K9" s="131" t="s">
        <v>1235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7"/>
      <c r="B10" s="428">
        <v>1</v>
      </c>
      <c r="C10" s="428">
        <v>2</v>
      </c>
      <c r="D10" s="428">
        <v>3</v>
      </c>
      <c r="E10" s="428">
        <v>4</v>
      </c>
      <c r="F10" s="428">
        <v>5</v>
      </c>
      <c r="G10" s="428">
        <v>6</v>
      </c>
      <c r="H10" s="428">
        <v>7</v>
      </c>
      <c r="I10" s="428">
        <v>8</v>
      </c>
      <c r="J10" s="428">
        <v>9</v>
      </c>
      <c r="K10" s="428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2" t="s">
        <v>156</v>
      </c>
      <c r="C11" s="492"/>
      <c r="D11" s="492"/>
      <c r="E11" s="493" t="s">
        <v>158</v>
      </c>
      <c r="F11" s="492"/>
      <c r="G11" s="492"/>
      <c r="H11" s="492"/>
      <c r="I11" s="493"/>
      <c r="J11" s="496">
        <f>J12</f>
        <v>0</v>
      </c>
      <c r="K11" s="492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4" t="s">
        <v>157</v>
      </c>
      <c r="C12" s="494"/>
      <c r="D12" s="494"/>
      <c r="E12" s="495" t="s">
        <v>159</v>
      </c>
      <c r="F12" s="494"/>
      <c r="G12" s="494"/>
      <c r="H12" s="494"/>
      <c r="I12" s="495"/>
      <c r="J12" s="497">
        <f>SUM(J13:J18)</f>
        <v>0</v>
      </c>
      <c r="K12" s="494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244</v>
      </c>
      <c r="C13" s="330" t="s">
        <v>245</v>
      </c>
      <c r="D13" s="330" t="s">
        <v>246</v>
      </c>
      <c r="E13" s="330" t="s">
        <v>243</v>
      </c>
      <c r="F13" s="331" t="s">
        <v>538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244</v>
      </c>
      <c r="C14" s="330" t="s">
        <v>245</v>
      </c>
      <c r="D14" s="330" t="s">
        <v>246</v>
      </c>
      <c r="E14" s="330" t="s">
        <v>243</v>
      </c>
      <c r="F14" s="331" t="s">
        <v>1196</v>
      </c>
      <c r="G14" s="335" t="s">
        <v>584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250</v>
      </c>
      <c r="C15" s="330" t="s">
        <v>251</v>
      </c>
      <c r="D15" s="330" t="s">
        <v>252</v>
      </c>
      <c r="E15" s="330" t="s">
        <v>249</v>
      </c>
      <c r="F15" s="331" t="s">
        <v>538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531</v>
      </c>
      <c r="C16" s="330" t="s">
        <v>532</v>
      </c>
      <c r="D16" s="330" t="s">
        <v>45</v>
      </c>
      <c r="E16" s="330" t="s">
        <v>533</v>
      </c>
      <c r="F16" s="331" t="s">
        <v>538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531</v>
      </c>
      <c r="C17" s="330" t="s">
        <v>532</v>
      </c>
      <c r="D17" s="330" t="s">
        <v>45</v>
      </c>
      <c r="E17" s="330" t="s">
        <v>533</v>
      </c>
      <c r="F17" s="331" t="s">
        <v>1211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531</v>
      </c>
      <c r="C18" s="330" t="s">
        <v>532</v>
      </c>
      <c r="D18" s="330" t="s">
        <v>45</v>
      </c>
      <c r="E18" s="330" t="s">
        <v>533</v>
      </c>
      <c r="F18" s="331" t="s">
        <v>996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849" t="s">
        <v>160</v>
      </c>
      <c r="C19" s="849"/>
      <c r="D19" s="849"/>
      <c r="E19" s="850" t="s">
        <v>0</v>
      </c>
      <c r="F19" s="849"/>
      <c r="G19" s="849"/>
      <c r="H19" s="851">
        <f>H20</f>
        <v>7667780</v>
      </c>
      <c r="I19" s="851">
        <f>I20</f>
        <v>3275405.21</v>
      </c>
      <c r="J19" s="851">
        <f>J20</f>
        <v>950161</v>
      </c>
      <c r="K19" s="852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842" t="s">
        <v>161</v>
      </c>
      <c r="C20" s="842"/>
      <c r="D20" s="842"/>
      <c r="E20" s="843" t="s">
        <v>1</v>
      </c>
      <c r="F20" s="842"/>
      <c r="G20" s="842"/>
      <c r="H20" s="845">
        <f>SUM(H21:H22)</f>
        <v>7667780</v>
      </c>
      <c r="I20" s="845">
        <f>SUM(I21:I22)</f>
        <v>3275405.21</v>
      </c>
      <c r="J20" s="845">
        <f>SUM(J21:J22)</f>
        <v>950161</v>
      </c>
      <c r="K20" s="853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499" t="s">
        <v>683</v>
      </c>
      <c r="C21" s="499" t="s">
        <v>684</v>
      </c>
      <c r="D21" s="499" t="s">
        <v>216</v>
      </c>
      <c r="E21" s="499" t="s">
        <v>685</v>
      </c>
      <c r="F21" s="537" t="s">
        <v>1210</v>
      </c>
      <c r="G21" s="538" t="s">
        <v>1265</v>
      </c>
      <c r="H21" s="502">
        <v>3488348</v>
      </c>
      <c r="I21" s="502">
        <f>1950923.21+1261682</f>
        <v>3212605.21</v>
      </c>
      <c r="J21" s="539">
        <v>250161</v>
      </c>
      <c r="K21" s="540">
        <v>1</v>
      </c>
      <c r="L21" s="340"/>
      <c r="M21" s="341"/>
      <c r="N21" s="329"/>
      <c r="O21" s="329"/>
      <c r="P21" s="329"/>
      <c r="Q21" s="329"/>
      <c r="R21" s="329"/>
    </row>
    <row r="22" spans="1:18" ht="61.5" thickTop="1" thickBot="1" x14ac:dyDescent="0.25">
      <c r="B22" s="499" t="s">
        <v>1205</v>
      </c>
      <c r="C22" s="499" t="s">
        <v>324</v>
      </c>
      <c r="D22" s="499" t="s">
        <v>317</v>
      </c>
      <c r="E22" s="499" t="s">
        <v>1206</v>
      </c>
      <c r="F22" s="537" t="s">
        <v>1266</v>
      </c>
      <c r="G22" s="538" t="s">
        <v>1069</v>
      </c>
      <c r="H22" s="541">
        <v>4179432</v>
      </c>
      <c r="I22" s="539">
        <f>(49000)+13800</f>
        <v>62800</v>
      </c>
      <c r="J22" s="539">
        <v>700000</v>
      </c>
      <c r="K22" s="540">
        <f>(J22+I22)/H22</f>
        <v>0.18251283906521268</v>
      </c>
      <c r="L22" s="339"/>
      <c r="M22" s="341"/>
      <c r="N22" s="329"/>
      <c r="O22" s="329"/>
      <c r="P22" s="329"/>
      <c r="Q22" s="329"/>
      <c r="R22" s="329"/>
    </row>
    <row r="23" spans="1:18" ht="46.5" thickTop="1" thickBot="1" x14ac:dyDescent="0.25">
      <c r="B23" s="849" t="s">
        <v>162</v>
      </c>
      <c r="C23" s="849"/>
      <c r="D23" s="849"/>
      <c r="E23" s="850" t="s">
        <v>18</v>
      </c>
      <c r="F23" s="849"/>
      <c r="G23" s="849"/>
      <c r="H23" s="851">
        <f>H24</f>
        <v>24879593</v>
      </c>
      <c r="I23" s="851">
        <f>I24</f>
        <v>6100000</v>
      </c>
      <c r="J23" s="851">
        <f>J24</f>
        <v>5300000</v>
      </c>
      <c r="K23" s="852"/>
      <c r="L23" s="329"/>
      <c r="M23" s="329"/>
      <c r="N23" s="329"/>
      <c r="O23" s="329"/>
      <c r="P23" s="329"/>
      <c r="Q23" s="329"/>
      <c r="R23" s="329"/>
    </row>
    <row r="24" spans="1:18" ht="44.25" thickTop="1" thickBot="1" x14ac:dyDescent="0.25">
      <c r="B24" s="842" t="s">
        <v>163</v>
      </c>
      <c r="C24" s="842"/>
      <c r="D24" s="842"/>
      <c r="E24" s="843" t="s">
        <v>38</v>
      </c>
      <c r="F24" s="842"/>
      <c r="G24" s="842"/>
      <c r="H24" s="845">
        <f>SUM(H25:H27)</f>
        <v>24879593</v>
      </c>
      <c r="I24" s="845">
        <f>SUM(I25:I27)</f>
        <v>6100000</v>
      </c>
      <c r="J24" s="845">
        <f>SUM(J25:J27)</f>
        <v>5300000</v>
      </c>
      <c r="K24" s="853"/>
      <c r="L24" s="329"/>
      <c r="M24" s="329"/>
      <c r="N24" s="329"/>
      <c r="O24" s="329"/>
      <c r="P24" s="329"/>
      <c r="Q24" s="329"/>
      <c r="R24" s="329"/>
    </row>
    <row r="25" spans="1:18" ht="91.5" hidden="1" thickTop="1" thickBot="1" x14ac:dyDescent="0.25">
      <c r="B25" s="330" t="s">
        <v>432</v>
      </c>
      <c r="C25" s="330" t="s">
        <v>248</v>
      </c>
      <c r="D25" s="330" t="s">
        <v>246</v>
      </c>
      <c r="E25" s="330" t="s">
        <v>247</v>
      </c>
      <c r="F25" s="331" t="s">
        <v>1197</v>
      </c>
      <c r="G25" s="335" t="s">
        <v>1198</v>
      </c>
      <c r="H25" s="336"/>
      <c r="I25" s="337"/>
      <c r="J25" s="334"/>
      <c r="K25" s="337"/>
      <c r="L25" s="329"/>
      <c r="M25" s="329"/>
      <c r="N25" s="329"/>
      <c r="O25" s="329"/>
      <c r="P25" s="329"/>
      <c r="Q25" s="329"/>
      <c r="R25" s="329"/>
    </row>
    <row r="26" spans="1:18" ht="91.5" thickTop="1" thickBot="1" x14ac:dyDescent="0.25">
      <c r="B26" s="499" t="s">
        <v>226</v>
      </c>
      <c r="C26" s="499" t="s">
        <v>223</v>
      </c>
      <c r="D26" s="499" t="s">
        <v>227</v>
      </c>
      <c r="E26" s="499" t="s">
        <v>19</v>
      </c>
      <c r="F26" s="500" t="s">
        <v>1240</v>
      </c>
      <c r="G26" s="501" t="s">
        <v>643</v>
      </c>
      <c r="H26" s="502">
        <v>24579593</v>
      </c>
      <c r="I26" s="502">
        <f>600000+5500000</f>
        <v>6100000</v>
      </c>
      <c r="J26" s="504">
        <v>5000000</v>
      </c>
      <c r="K26" s="503">
        <f>(J26+I26)/H26</f>
        <v>0.45159413339350246</v>
      </c>
      <c r="L26" s="329"/>
      <c r="M26" s="329"/>
      <c r="N26" s="329"/>
      <c r="O26" s="329"/>
      <c r="P26" s="329"/>
      <c r="Q26" s="329"/>
      <c r="R26" s="329"/>
    </row>
    <row r="27" spans="1:18" ht="106.5" thickTop="1" thickBot="1" x14ac:dyDescent="0.25">
      <c r="B27" s="499" t="s">
        <v>1332</v>
      </c>
      <c r="C27" s="499" t="s">
        <v>1334</v>
      </c>
      <c r="D27" s="499" t="s">
        <v>317</v>
      </c>
      <c r="E27" s="499" t="s">
        <v>1335</v>
      </c>
      <c r="F27" s="500" t="s">
        <v>1336</v>
      </c>
      <c r="G27" s="501" t="s">
        <v>1269</v>
      </c>
      <c r="H27" s="502">
        <v>300000</v>
      </c>
      <c r="I27" s="502">
        <v>0</v>
      </c>
      <c r="J27" s="504">
        <v>300000</v>
      </c>
      <c r="K27" s="503">
        <f>(J27+I27)/H27</f>
        <v>1</v>
      </c>
      <c r="L27" s="329"/>
      <c r="M27" s="329"/>
      <c r="N27" s="329"/>
      <c r="O27" s="329"/>
      <c r="P27" s="329"/>
      <c r="Q27" s="329"/>
      <c r="R27" s="329"/>
    </row>
    <row r="28" spans="1:18" ht="46.5" hidden="1" thickTop="1" thickBot="1" x14ac:dyDescent="0.25">
      <c r="B28" s="492" t="s">
        <v>164</v>
      </c>
      <c r="C28" s="492"/>
      <c r="D28" s="492"/>
      <c r="E28" s="493" t="s">
        <v>39</v>
      </c>
      <c r="F28" s="492"/>
      <c r="G28" s="492"/>
      <c r="H28" s="496">
        <f>H29</f>
        <v>0</v>
      </c>
      <c r="I28" s="496">
        <f>I29</f>
        <v>0</v>
      </c>
      <c r="J28" s="496">
        <f>J29</f>
        <v>0</v>
      </c>
      <c r="K28" s="542"/>
      <c r="L28" s="329"/>
      <c r="M28" s="329"/>
      <c r="N28" s="329"/>
      <c r="O28" s="329"/>
      <c r="P28" s="329"/>
      <c r="Q28" s="329"/>
      <c r="R28" s="329"/>
    </row>
    <row r="29" spans="1:18" ht="58.5" hidden="1" thickTop="1" thickBot="1" x14ac:dyDescent="0.25">
      <c r="B29" s="494" t="s">
        <v>165</v>
      </c>
      <c r="C29" s="494"/>
      <c r="D29" s="494"/>
      <c r="E29" s="495" t="s">
        <v>40</v>
      </c>
      <c r="F29" s="494"/>
      <c r="G29" s="494"/>
      <c r="H29" s="497">
        <f>SUM(H30:H30)</f>
        <v>0</v>
      </c>
      <c r="I29" s="497">
        <f>SUM(I30:I30)</f>
        <v>0</v>
      </c>
      <c r="J29" s="497">
        <f>SUM(J30:J30)</f>
        <v>0</v>
      </c>
      <c r="K29" s="543"/>
      <c r="L29" s="329"/>
      <c r="M29" s="329"/>
      <c r="N29" s="329"/>
      <c r="O29" s="329"/>
      <c r="P29" s="329"/>
      <c r="Q29" s="329"/>
      <c r="R29" s="329"/>
    </row>
    <row r="30" spans="1:18" ht="46.5" hidden="1" thickTop="1" thickBot="1" x14ac:dyDescent="0.25">
      <c r="B30" s="330" t="s">
        <v>431</v>
      </c>
      <c r="C30" s="330" t="s">
        <v>248</v>
      </c>
      <c r="D30" s="330" t="s">
        <v>246</v>
      </c>
      <c r="E30" s="330" t="s">
        <v>247</v>
      </c>
      <c r="F30" s="343"/>
      <c r="G30" s="335"/>
      <c r="H30" s="336"/>
      <c r="I30" s="335"/>
      <c r="J30" s="336"/>
      <c r="K30" s="336"/>
      <c r="L30" s="329"/>
      <c r="M30" s="329"/>
      <c r="N30" s="329"/>
      <c r="O30" s="329"/>
      <c r="P30" s="329"/>
      <c r="Q30" s="329"/>
      <c r="R30" s="329"/>
    </row>
    <row r="31" spans="1:18" ht="46.5" thickTop="1" thickBot="1" x14ac:dyDescent="0.25">
      <c r="A31" s="130"/>
      <c r="B31" s="849">
        <v>1000000</v>
      </c>
      <c r="C31" s="849"/>
      <c r="D31" s="849"/>
      <c r="E31" s="850" t="s">
        <v>24</v>
      </c>
      <c r="F31" s="849"/>
      <c r="G31" s="849"/>
      <c r="H31" s="851">
        <f>H32</f>
        <v>27064985</v>
      </c>
      <c r="I31" s="851">
        <f>I32</f>
        <v>19955037.289999999</v>
      </c>
      <c r="J31" s="851">
        <f>J32</f>
        <v>4652920</v>
      </c>
      <c r="K31" s="852"/>
      <c r="L31" s="329"/>
      <c r="M31" s="329"/>
      <c r="N31" s="329"/>
      <c r="O31" s="329"/>
      <c r="P31" s="329"/>
      <c r="Q31" s="329"/>
      <c r="R31" s="329"/>
    </row>
    <row r="32" spans="1:18" ht="44.25" thickTop="1" thickBot="1" x14ac:dyDescent="0.25">
      <c r="A32" s="130"/>
      <c r="B32" s="842">
        <v>1010000</v>
      </c>
      <c r="C32" s="842"/>
      <c r="D32" s="842"/>
      <c r="E32" s="843" t="s">
        <v>41</v>
      </c>
      <c r="F32" s="842"/>
      <c r="G32" s="842"/>
      <c r="H32" s="845">
        <f>SUM(H33:H34)</f>
        <v>27064985</v>
      </c>
      <c r="I32" s="845">
        <f>SUM(I33:I34)</f>
        <v>19955037.289999999</v>
      </c>
      <c r="J32" s="845">
        <f>SUM(J33:J34)</f>
        <v>4652920</v>
      </c>
      <c r="K32" s="853"/>
      <c r="L32" s="329"/>
      <c r="M32" s="329"/>
      <c r="N32" s="329"/>
      <c r="O32" s="329"/>
      <c r="P32" s="329"/>
      <c r="Q32" s="329"/>
      <c r="R32" s="329"/>
    </row>
    <row r="33" spans="1:18" ht="61.5" thickTop="1" thickBot="1" x14ac:dyDescent="0.25">
      <c r="A33" s="427"/>
      <c r="B33" s="499" t="s">
        <v>188</v>
      </c>
      <c r="C33" s="499" t="s">
        <v>189</v>
      </c>
      <c r="D33" s="499" t="s">
        <v>186</v>
      </c>
      <c r="E33" s="499" t="s">
        <v>481</v>
      </c>
      <c r="F33" s="537" t="s">
        <v>1001</v>
      </c>
      <c r="G33" s="541" t="s">
        <v>539</v>
      </c>
      <c r="H33" s="541">
        <v>27064985</v>
      </c>
      <c r="I33" s="541">
        <f>1430336+2994769.5+4929931.79+5600000+(3000000)+2000000</f>
        <v>19955037.289999999</v>
      </c>
      <c r="J33" s="541">
        <v>4652920</v>
      </c>
      <c r="K33" s="554">
        <f>(J33+I33)/H33</f>
        <v>0.90921747379501594</v>
      </c>
      <c r="L33" s="329"/>
      <c r="M33" s="329"/>
      <c r="N33" s="329"/>
      <c r="O33" s="329"/>
      <c r="P33" s="329"/>
      <c r="Q33" s="329"/>
      <c r="R33" s="329"/>
    </row>
    <row r="34" spans="1:18" ht="121.5" hidden="1" thickTop="1" thickBot="1" x14ac:dyDescent="0.25">
      <c r="A34" s="130"/>
      <c r="B34" s="330" t="s">
        <v>975</v>
      </c>
      <c r="C34" s="330" t="s">
        <v>209</v>
      </c>
      <c r="D34" s="330" t="s">
        <v>178</v>
      </c>
      <c r="E34" s="330" t="s">
        <v>36</v>
      </c>
      <c r="F34" s="343" t="s">
        <v>1009</v>
      </c>
      <c r="G34" s="335" t="s">
        <v>584</v>
      </c>
      <c r="H34" s="336"/>
      <c r="I34" s="337"/>
      <c r="J34" s="336"/>
      <c r="K34" s="337"/>
      <c r="L34" s="329"/>
      <c r="M34" s="329"/>
      <c r="N34" s="329"/>
      <c r="O34" s="329"/>
      <c r="P34" s="329"/>
      <c r="Q34" s="329"/>
      <c r="R34" s="329"/>
    </row>
    <row r="35" spans="1:18" ht="46.5" thickTop="1" thickBot="1" x14ac:dyDescent="0.25">
      <c r="B35" s="849" t="s">
        <v>22</v>
      </c>
      <c r="C35" s="849"/>
      <c r="D35" s="849"/>
      <c r="E35" s="850" t="s">
        <v>23</v>
      </c>
      <c r="F35" s="849"/>
      <c r="G35" s="849"/>
      <c r="H35" s="851">
        <f>H36</f>
        <v>22187664</v>
      </c>
      <c r="I35" s="851">
        <f>I36</f>
        <v>6649999</v>
      </c>
      <c r="J35" s="851">
        <f>J36</f>
        <v>5000000</v>
      </c>
      <c r="K35" s="852"/>
      <c r="L35" s="329"/>
      <c r="M35" s="329"/>
      <c r="N35" s="329"/>
      <c r="O35" s="329"/>
      <c r="P35" s="329"/>
      <c r="Q35" s="329"/>
      <c r="R35" s="329"/>
    </row>
    <row r="36" spans="1:18" ht="44.25" thickTop="1" thickBot="1" x14ac:dyDescent="0.25">
      <c r="B36" s="842" t="s">
        <v>21</v>
      </c>
      <c r="C36" s="842"/>
      <c r="D36" s="842"/>
      <c r="E36" s="843" t="s">
        <v>37</v>
      </c>
      <c r="F36" s="842"/>
      <c r="G36" s="842"/>
      <c r="H36" s="845">
        <f>SUM(H37:H37)</f>
        <v>22187664</v>
      </c>
      <c r="I36" s="845">
        <f>SUM(I37:I37)</f>
        <v>6649999</v>
      </c>
      <c r="J36" s="845">
        <f>SUM(J37:J37)</f>
        <v>5000000</v>
      </c>
      <c r="K36" s="853"/>
      <c r="L36" s="329"/>
      <c r="M36" s="329"/>
      <c r="N36" s="329"/>
      <c r="O36" s="329"/>
      <c r="P36" s="329"/>
      <c r="Q36" s="329"/>
      <c r="R36" s="329"/>
    </row>
    <row r="37" spans="1:18" s="32" customFormat="1" ht="76.5" thickTop="1" thickBot="1" x14ac:dyDescent="0.25">
      <c r="B37" s="499" t="s">
        <v>28</v>
      </c>
      <c r="C37" s="499" t="s">
        <v>204</v>
      </c>
      <c r="D37" s="499" t="s">
        <v>207</v>
      </c>
      <c r="E37" s="499" t="s">
        <v>50</v>
      </c>
      <c r="F37" s="573" t="s">
        <v>1297</v>
      </c>
      <c r="G37" s="538" t="s">
        <v>1069</v>
      </c>
      <c r="H37" s="541">
        <v>22187664</v>
      </c>
      <c r="I37" s="539">
        <f>3000000+(((405800-255801)+500000)+3000000)</f>
        <v>6649999</v>
      </c>
      <c r="J37" s="539">
        <v>5000000</v>
      </c>
      <c r="K37" s="540">
        <f>(J37+I37)/H37</f>
        <v>0.525066496409897</v>
      </c>
      <c r="L37" s="345"/>
      <c r="M37" s="345"/>
      <c r="N37" s="345"/>
      <c r="O37" s="345"/>
      <c r="P37" s="345"/>
      <c r="Q37" s="345"/>
      <c r="R37" s="345"/>
    </row>
    <row r="38" spans="1:18" s="32" customFormat="1" ht="46.5" thickTop="1" thickBot="1" x14ac:dyDescent="0.25">
      <c r="B38" s="849" t="s">
        <v>166</v>
      </c>
      <c r="C38" s="849"/>
      <c r="D38" s="849"/>
      <c r="E38" s="850" t="s">
        <v>587</v>
      </c>
      <c r="F38" s="849"/>
      <c r="G38" s="849"/>
      <c r="H38" s="851">
        <f t="shared" ref="H38:J39" si="0">H39</f>
        <v>4177606</v>
      </c>
      <c r="I38" s="851">
        <f t="shared" si="0"/>
        <v>0</v>
      </c>
      <c r="J38" s="851">
        <f t="shared" si="0"/>
        <v>38726</v>
      </c>
      <c r="K38" s="852"/>
      <c r="L38" s="346"/>
      <c r="M38" s="345"/>
      <c r="N38" s="345"/>
      <c r="O38" s="345"/>
      <c r="P38" s="345"/>
      <c r="Q38" s="345"/>
      <c r="R38" s="345"/>
    </row>
    <row r="39" spans="1:18" s="32" customFormat="1" ht="44.25" thickTop="1" thickBot="1" x14ac:dyDescent="0.25">
      <c r="B39" s="842" t="s">
        <v>167</v>
      </c>
      <c r="C39" s="842"/>
      <c r="D39" s="842"/>
      <c r="E39" s="843" t="s">
        <v>588</v>
      </c>
      <c r="F39" s="842"/>
      <c r="G39" s="842"/>
      <c r="H39" s="845">
        <f>H40</f>
        <v>4177606</v>
      </c>
      <c r="I39" s="845">
        <f t="shared" si="0"/>
        <v>0</v>
      </c>
      <c r="J39" s="845">
        <f t="shared" si="0"/>
        <v>38726</v>
      </c>
      <c r="K39" s="853"/>
      <c r="L39" s="346"/>
      <c r="M39" s="345"/>
      <c r="N39" s="345"/>
      <c r="O39" s="345"/>
      <c r="P39" s="345"/>
      <c r="Q39" s="345"/>
      <c r="R39" s="345"/>
    </row>
    <row r="40" spans="1:18" s="32" customFormat="1" ht="46.5" thickTop="1" thickBot="1" x14ac:dyDescent="0.25">
      <c r="B40" s="499" t="s">
        <v>1286</v>
      </c>
      <c r="C40" s="499" t="s">
        <v>318</v>
      </c>
      <c r="D40" s="499" t="s">
        <v>317</v>
      </c>
      <c r="E40" s="499" t="s">
        <v>1294</v>
      </c>
      <c r="F40" s="573" t="s">
        <v>1295</v>
      </c>
      <c r="G40" s="541" t="s">
        <v>1269</v>
      </c>
      <c r="H40" s="541">
        <v>4177606</v>
      </c>
      <c r="I40" s="541">
        <v>0</v>
      </c>
      <c r="J40" s="539">
        <f>(1968726)-1930000</f>
        <v>38726</v>
      </c>
      <c r="K40" s="509">
        <f>(I40+J40)/H40</f>
        <v>9.269902427371083E-3</v>
      </c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849" t="s">
        <v>566</v>
      </c>
      <c r="C41" s="849"/>
      <c r="D41" s="849"/>
      <c r="E41" s="850" t="s">
        <v>585</v>
      </c>
      <c r="F41" s="849"/>
      <c r="G41" s="849"/>
      <c r="H41" s="851">
        <f>H42</f>
        <v>192913179</v>
      </c>
      <c r="I41" s="851">
        <f>I42</f>
        <v>94089161.769999996</v>
      </c>
      <c r="J41" s="851">
        <f>J42</f>
        <v>15426993.59</v>
      </c>
      <c r="K41" s="852"/>
      <c r="L41" s="346"/>
      <c r="M41" s="345"/>
      <c r="N41" s="345"/>
      <c r="O41" s="345"/>
      <c r="P41" s="345"/>
      <c r="Q41" s="345"/>
      <c r="R41" s="345"/>
    </row>
    <row r="42" spans="1:18" s="32" customFormat="1" ht="44.25" thickTop="1" thickBot="1" x14ac:dyDescent="0.25">
      <c r="B42" s="842" t="s">
        <v>567</v>
      </c>
      <c r="C42" s="842"/>
      <c r="D42" s="842"/>
      <c r="E42" s="843" t="s">
        <v>586</v>
      </c>
      <c r="F42" s="842"/>
      <c r="G42" s="842"/>
      <c r="H42" s="845">
        <f>SUM(H43:H57)</f>
        <v>192913179</v>
      </c>
      <c r="I42" s="845">
        <f>SUM(I43:I57)</f>
        <v>94089161.769999996</v>
      </c>
      <c r="J42" s="845">
        <f>SUM(J43:J57)</f>
        <v>15426993.59</v>
      </c>
      <c r="K42" s="853"/>
      <c r="L42" s="346"/>
      <c r="M42" s="345"/>
      <c r="N42" s="345"/>
      <c r="O42" s="345"/>
      <c r="P42" s="345"/>
      <c r="Q42" s="345"/>
      <c r="R42" s="345"/>
    </row>
    <row r="43" spans="1:18" s="32" customFormat="1" ht="61.5" hidden="1" thickTop="1" thickBot="1" x14ac:dyDescent="0.25">
      <c r="A43" s="125"/>
      <c r="B43" s="555" t="s">
        <v>574</v>
      </c>
      <c r="C43" s="555" t="s">
        <v>318</v>
      </c>
      <c r="D43" s="555" t="s">
        <v>317</v>
      </c>
      <c r="E43" s="555" t="s">
        <v>487</v>
      </c>
      <c r="F43" s="557" t="s">
        <v>1267</v>
      </c>
      <c r="G43" s="502" t="s">
        <v>1069</v>
      </c>
      <c r="H43" s="502">
        <v>10423167</v>
      </c>
      <c r="I43" s="502">
        <v>2000000</v>
      </c>
      <c r="J43" s="502">
        <f>(2000000)-2000000</f>
        <v>0</v>
      </c>
      <c r="K43" s="509">
        <f t="shared" ref="K43:K57" si="1">(I43+J43)/H43</f>
        <v>0.19188026057723148</v>
      </c>
      <c r="L43" s="346"/>
      <c r="M43" s="345"/>
      <c r="N43" s="345"/>
      <c r="O43" s="345"/>
      <c r="P43" s="345"/>
      <c r="Q43" s="345"/>
      <c r="R43" s="345"/>
    </row>
    <row r="44" spans="1:18" s="32" customFormat="1" ht="46.5" hidden="1" thickTop="1" thickBot="1" x14ac:dyDescent="0.25">
      <c r="A44" s="125"/>
      <c r="B44" s="555" t="s">
        <v>574</v>
      </c>
      <c r="C44" s="555" t="s">
        <v>318</v>
      </c>
      <c r="D44" s="555" t="s">
        <v>317</v>
      </c>
      <c r="E44" s="555" t="s">
        <v>487</v>
      </c>
      <c r="F44" s="557" t="s">
        <v>1268</v>
      </c>
      <c r="G44" s="502" t="s">
        <v>540</v>
      </c>
      <c r="H44" s="502">
        <v>19973126</v>
      </c>
      <c r="I44" s="502">
        <v>3000000</v>
      </c>
      <c r="J44" s="502">
        <f>(2000000)-2000000</f>
        <v>0</v>
      </c>
      <c r="K44" s="509">
        <f t="shared" si="1"/>
        <v>0.15020182619385669</v>
      </c>
      <c r="L44" s="346"/>
      <c r="M44" s="345"/>
      <c r="N44" s="345"/>
      <c r="O44" s="345"/>
      <c r="P44" s="345"/>
      <c r="Q44" s="345"/>
      <c r="R44" s="345"/>
    </row>
    <row r="45" spans="1:18" s="32" customFormat="1" ht="61.5" thickTop="1" thickBot="1" x14ac:dyDescent="0.25">
      <c r="A45" s="125"/>
      <c r="B45" s="555" t="s">
        <v>574</v>
      </c>
      <c r="C45" s="555" t="s">
        <v>318</v>
      </c>
      <c r="D45" s="555" t="s">
        <v>317</v>
      </c>
      <c r="E45" s="555" t="s">
        <v>487</v>
      </c>
      <c r="F45" s="557" t="s">
        <v>1323</v>
      </c>
      <c r="G45" s="502" t="s">
        <v>1269</v>
      </c>
      <c r="H45" s="502">
        <v>7326277</v>
      </c>
      <c r="I45" s="502">
        <v>0</v>
      </c>
      <c r="J45" s="502">
        <v>500000</v>
      </c>
      <c r="K45" s="509">
        <f t="shared" si="1"/>
        <v>6.8247487775851226E-2</v>
      </c>
      <c r="L45" s="346"/>
      <c r="M45" s="345"/>
      <c r="N45" s="345"/>
      <c r="O45" s="345"/>
      <c r="P45" s="345"/>
      <c r="Q45" s="345"/>
      <c r="R45" s="345"/>
    </row>
    <row r="46" spans="1:18" s="32" customFormat="1" ht="46.5" thickTop="1" thickBot="1" x14ac:dyDescent="0.25">
      <c r="A46" s="125"/>
      <c r="B46" s="555" t="s">
        <v>574</v>
      </c>
      <c r="C46" s="555" t="s">
        <v>318</v>
      </c>
      <c r="D46" s="555" t="s">
        <v>317</v>
      </c>
      <c r="E46" s="555" t="s">
        <v>487</v>
      </c>
      <c r="F46" s="557" t="s">
        <v>1277</v>
      </c>
      <c r="G46" s="502" t="s">
        <v>1269</v>
      </c>
      <c r="H46" s="502">
        <v>8650378</v>
      </c>
      <c r="I46" s="502">
        <v>0</v>
      </c>
      <c r="J46" s="502">
        <v>100000</v>
      </c>
      <c r="K46" s="509">
        <f t="shared" si="1"/>
        <v>1.1560188468064633E-2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thickTop="1" thickBot="1" x14ac:dyDescent="0.25">
      <c r="A47" s="125"/>
      <c r="B47" s="555" t="s">
        <v>574</v>
      </c>
      <c r="C47" s="555" t="s">
        <v>318</v>
      </c>
      <c r="D47" s="555" t="s">
        <v>317</v>
      </c>
      <c r="E47" s="555" t="s">
        <v>487</v>
      </c>
      <c r="F47" s="557" t="s">
        <v>1278</v>
      </c>
      <c r="G47" s="502" t="s">
        <v>539</v>
      </c>
      <c r="H47" s="502">
        <v>68621716</v>
      </c>
      <c r="I47" s="502">
        <v>65923472</v>
      </c>
      <c r="J47" s="502">
        <v>100000</v>
      </c>
      <c r="K47" s="509">
        <f t="shared" si="1"/>
        <v>0.9621367090266294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5" t="s">
        <v>574</v>
      </c>
      <c r="C48" s="555" t="s">
        <v>318</v>
      </c>
      <c r="D48" s="555" t="s">
        <v>317</v>
      </c>
      <c r="E48" s="555" t="s">
        <v>487</v>
      </c>
      <c r="F48" s="557" t="s">
        <v>1307</v>
      </c>
      <c r="G48" s="502" t="s">
        <v>539</v>
      </c>
      <c r="H48" s="502">
        <v>18370999</v>
      </c>
      <c r="I48" s="502">
        <f>(300000+171778.77+2000000+2000000)</f>
        <v>4471778.7699999996</v>
      </c>
      <c r="J48" s="502">
        <v>1000000</v>
      </c>
      <c r="K48" s="509">
        <f>(I48+J48)/H48</f>
        <v>0.29784873266826695</v>
      </c>
      <c r="L48" s="346"/>
      <c r="M48" s="345"/>
      <c r="N48" s="345"/>
      <c r="O48" s="345"/>
      <c r="P48" s="345"/>
      <c r="Q48" s="345"/>
      <c r="R48" s="345"/>
    </row>
    <row r="49" spans="1:18" s="32" customFormat="1" ht="76.5" thickTop="1" thickBot="1" x14ac:dyDescent="0.25">
      <c r="A49" s="125"/>
      <c r="B49" s="555" t="s">
        <v>576</v>
      </c>
      <c r="C49" s="555" t="s">
        <v>224</v>
      </c>
      <c r="D49" s="555" t="s">
        <v>225</v>
      </c>
      <c r="E49" s="555" t="s">
        <v>43</v>
      </c>
      <c r="F49" s="558" t="s">
        <v>1270</v>
      </c>
      <c r="G49" s="501" t="s">
        <v>1276</v>
      </c>
      <c r="H49" s="556">
        <v>30859243</v>
      </c>
      <c r="I49" s="502">
        <v>16538911</v>
      </c>
      <c r="J49" s="502">
        <f>(12560000)+736993.59</f>
        <v>13296993.59</v>
      </c>
      <c r="K49" s="509">
        <f t="shared" si="1"/>
        <v>0.9668385122084816</v>
      </c>
      <c r="L49" s="346"/>
      <c r="M49" s="345"/>
      <c r="N49" s="345"/>
      <c r="O49" s="345"/>
      <c r="P49" s="345"/>
      <c r="Q49" s="345"/>
      <c r="R49" s="345"/>
    </row>
    <row r="50" spans="1:18" s="32" customFormat="1" ht="91.5" thickTop="1" thickBot="1" x14ac:dyDescent="0.25">
      <c r="A50" s="125"/>
      <c r="B50" s="555" t="s">
        <v>577</v>
      </c>
      <c r="C50" s="555" t="s">
        <v>209</v>
      </c>
      <c r="D50" s="555" t="s">
        <v>178</v>
      </c>
      <c r="E50" s="555" t="s">
        <v>36</v>
      </c>
      <c r="F50" s="558" t="s">
        <v>1271</v>
      </c>
      <c r="G50" s="501" t="s">
        <v>1265</v>
      </c>
      <c r="H50" s="502">
        <v>4730960</v>
      </c>
      <c r="I50" s="502">
        <f>5000</f>
        <v>5000</v>
      </c>
      <c r="J50" s="502">
        <v>100000</v>
      </c>
      <c r="K50" s="509">
        <f t="shared" si="1"/>
        <v>2.2194226964506146E-2</v>
      </c>
      <c r="L50" s="346"/>
      <c r="M50" s="345"/>
      <c r="N50" s="345"/>
      <c r="O50" s="345"/>
      <c r="P50" s="345"/>
      <c r="Q50" s="345"/>
      <c r="R50" s="345"/>
    </row>
    <row r="51" spans="1:18" s="32" customFormat="1" ht="61.5" hidden="1" thickTop="1" thickBot="1" x14ac:dyDescent="0.25">
      <c r="A51" s="125"/>
      <c r="B51" s="555" t="s">
        <v>577</v>
      </c>
      <c r="C51" s="555" t="s">
        <v>209</v>
      </c>
      <c r="D51" s="555" t="s">
        <v>178</v>
      </c>
      <c r="E51" s="555" t="s">
        <v>36</v>
      </c>
      <c r="F51" s="500" t="s">
        <v>1279</v>
      </c>
      <c r="G51" s="501" t="s">
        <v>1069</v>
      </c>
      <c r="H51" s="502">
        <v>3936902</v>
      </c>
      <c r="I51" s="502">
        <v>2000000</v>
      </c>
      <c r="J51" s="502">
        <f>(1600000)-1600000</f>
        <v>0</v>
      </c>
      <c r="K51" s="509">
        <f t="shared" si="1"/>
        <v>0.50801366150338512</v>
      </c>
      <c r="L51" s="346"/>
      <c r="M51" s="345"/>
      <c r="N51" s="345"/>
      <c r="O51" s="345"/>
      <c r="P51" s="345"/>
      <c r="Q51" s="345"/>
      <c r="R51" s="345"/>
    </row>
    <row r="52" spans="1:18" s="32" customFormat="1" ht="61.5" hidden="1" thickTop="1" thickBot="1" x14ac:dyDescent="0.25">
      <c r="A52" s="125"/>
      <c r="B52" s="555" t="s">
        <v>577</v>
      </c>
      <c r="C52" s="555" t="s">
        <v>209</v>
      </c>
      <c r="D52" s="555" t="s">
        <v>178</v>
      </c>
      <c r="E52" s="555" t="s">
        <v>36</v>
      </c>
      <c r="F52" s="558" t="s">
        <v>1272</v>
      </c>
      <c r="G52" s="501" t="s">
        <v>1269</v>
      </c>
      <c r="H52" s="502">
        <v>4607893</v>
      </c>
      <c r="I52" s="502">
        <v>0</v>
      </c>
      <c r="J52" s="502">
        <f>(500000)-500000</f>
        <v>0</v>
      </c>
      <c r="K52" s="509">
        <f t="shared" si="1"/>
        <v>0</v>
      </c>
      <c r="L52" s="346"/>
      <c r="M52" s="345"/>
      <c r="N52" s="345"/>
      <c r="O52" s="345"/>
      <c r="P52" s="345"/>
      <c r="Q52" s="345"/>
      <c r="R52" s="345"/>
    </row>
    <row r="53" spans="1:18" s="32" customFormat="1" ht="76.5" thickTop="1" thickBot="1" x14ac:dyDescent="0.25">
      <c r="A53" s="125"/>
      <c r="B53" s="555" t="s">
        <v>577</v>
      </c>
      <c r="C53" s="555" t="s">
        <v>209</v>
      </c>
      <c r="D53" s="555" t="s">
        <v>178</v>
      </c>
      <c r="E53" s="555" t="s">
        <v>36</v>
      </c>
      <c r="F53" s="500" t="s">
        <v>1273</v>
      </c>
      <c r="G53" s="502" t="s">
        <v>1069</v>
      </c>
      <c r="H53" s="502">
        <v>2163176</v>
      </c>
      <c r="I53" s="502">
        <v>50000</v>
      </c>
      <c r="J53" s="502">
        <f>(1000000)-670000</f>
        <v>330000</v>
      </c>
      <c r="K53" s="509">
        <f t="shared" si="1"/>
        <v>0.17566762944855158</v>
      </c>
      <c r="L53" s="346"/>
      <c r="M53" s="345"/>
      <c r="N53" s="345"/>
      <c r="O53" s="345"/>
      <c r="P53" s="345"/>
      <c r="Q53" s="345"/>
      <c r="R53" s="345"/>
    </row>
    <row r="54" spans="1:18" s="32" customFormat="1" ht="91.5" hidden="1" thickTop="1" thickBot="1" x14ac:dyDescent="0.25">
      <c r="A54" s="125"/>
      <c r="B54" s="555" t="s">
        <v>577</v>
      </c>
      <c r="C54" s="555" t="s">
        <v>209</v>
      </c>
      <c r="D54" s="555" t="s">
        <v>178</v>
      </c>
      <c r="E54" s="555" t="s">
        <v>36</v>
      </c>
      <c r="F54" s="500" t="s">
        <v>1280</v>
      </c>
      <c r="G54" s="502" t="s">
        <v>1269</v>
      </c>
      <c r="H54" s="502">
        <v>3387286</v>
      </c>
      <c r="I54" s="502">
        <v>0</v>
      </c>
      <c r="J54" s="502">
        <f>(500000)-500000</f>
        <v>0</v>
      </c>
      <c r="K54" s="509">
        <f t="shared" si="1"/>
        <v>0</v>
      </c>
      <c r="L54" s="346"/>
      <c r="M54" s="345"/>
      <c r="N54" s="345"/>
      <c r="O54" s="345"/>
      <c r="P54" s="345"/>
      <c r="Q54" s="345"/>
      <c r="R54" s="345"/>
    </row>
    <row r="55" spans="1:18" s="32" customFormat="1" ht="91.5" hidden="1" thickTop="1" thickBot="1" x14ac:dyDescent="0.25">
      <c r="A55" s="125"/>
      <c r="B55" s="555" t="s">
        <v>577</v>
      </c>
      <c r="C55" s="555" t="s">
        <v>209</v>
      </c>
      <c r="D55" s="555" t="s">
        <v>178</v>
      </c>
      <c r="E55" s="555" t="s">
        <v>36</v>
      </c>
      <c r="F55" s="500" t="s">
        <v>1274</v>
      </c>
      <c r="G55" s="502" t="s">
        <v>1269</v>
      </c>
      <c r="H55" s="502">
        <v>5891152</v>
      </c>
      <c r="I55" s="502">
        <v>0</v>
      </c>
      <c r="J55" s="502">
        <f>(1000000)-1000000</f>
        <v>0</v>
      </c>
      <c r="K55" s="509">
        <f t="shared" si="1"/>
        <v>0</v>
      </c>
      <c r="L55" s="346"/>
      <c r="M55" s="345"/>
      <c r="N55" s="345"/>
      <c r="O55" s="345"/>
      <c r="P55" s="345"/>
      <c r="Q55" s="345"/>
      <c r="R55" s="345"/>
    </row>
    <row r="56" spans="1:18" s="32" customFormat="1" ht="74.25" hidden="1" customHeight="1" thickTop="1" thickBot="1" x14ac:dyDescent="0.25">
      <c r="A56" s="125"/>
      <c r="B56" s="555" t="s">
        <v>577</v>
      </c>
      <c r="C56" s="555" t="s">
        <v>209</v>
      </c>
      <c r="D56" s="555" t="s">
        <v>178</v>
      </c>
      <c r="E56" s="555" t="s">
        <v>36</v>
      </c>
      <c r="F56" s="500" t="s">
        <v>1275</v>
      </c>
      <c r="G56" s="502" t="s">
        <v>1269</v>
      </c>
      <c r="H56" s="502">
        <v>1046827</v>
      </c>
      <c r="I56" s="502">
        <v>0</v>
      </c>
      <c r="J56" s="502">
        <f>(500000)-500000</f>
        <v>0</v>
      </c>
      <c r="K56" s="509">
        <f t="shared" si="1"/>
        <v>0</v>
      </c>
      <c r="L56" s="346"/>
      <c r="M56" s="345"/>
      <c r="N56" s="345"/>
      <c r="O56" s="345"/>
      <c r="P56" s="345"/>
      <c r="Q56" s="345"/>
      <c r="R56" s="345"/>
    </row>
    <row r="57" spans="1:18" s="32" customFormat="1" ht="76.5" hidden="1" thickTop="1" thickBot="1" x14ac:dyDescent="0.25">
      <c r="A57" s="125"/>
      <c r="B57" s="555" t="s">
        <v>577</v>
      </c>
      <c r="C57" s="555" t="s">
        <v>209</v>
      </c>
      <c r="D57" s="555" t="s">
        <v>178</v>
      </c>
      <c r="E57" s="555" t="s">
        <v>36</v>
      </c>
      <c r="F57" s="500" t="s">
        <v>960</v>
      </c>
      <c r="G57" s="501" t="s">
        <v>1069</v>
      </c>
      <c r="H57" s="502">
        <v>2924077</v>
      </c>
      <c r="I57" s="502">
        <v>100000</v>
      </c>
      <c r="J57" s="502">
        <f>(500000)-500000</f>
        <v>0</v>
      </c>
      <c r="K57" s="509">
        <f t="shared" si="1"/>
        <v>3.4198825817514385E-2</v>
      </c>
      <c r="L57" s="346"/>
      <c r="M57" s="345"/>
      <c r="N57" s="345"/>
      <c r="O57" s="345"/>
      <c r="P57" s="345"/>
      <c r="Q57" s="345"/>
      <c r="R57" s="345"/>
    </row>
    <row r="58" spans="1:18" ht="63" customHeight="1" thickTop="1" thickBot="1" x14ac:dyDescent="0.25">
      <c r="B58" s="849" t="s">
        <v>25</v>
      </c>
      <c r="C58" s="849"/>
      <c r="D58" s="849"/>
      <c r="E58" s="850" t="s">
        <v>944</v>
      </c>
      <c r="F58" s="849"/>
      <c r="G58" s="849"/>
      <c r="H58" s="851">
        <f>H59</f>
        <v>1246806307</v>
      </c>
      <c r="I58" s="851">
        <f>I59</f>
        <v>407127048</v>
      </c>
      <c r="J58" s="851">
        <f>J59</f>
        <v>30166464</v>
      </c>
      <c r="K58" s="852"/>
      <c r="L58" s="347"/>
      <c r="M58" s="329"/>
      <c r="N58" s="329"/>
      <c r="O58" s="329"/>
      <c r="P58" s="329"/>
      <c r="Q58" s="329"/>
      <c r="R58" s="329"/>
    </row>
    <row r="59" spans="1:18" ht="63" customHeight="1" thickTop="1" thickBot="1" x14ac:dyDescent="0.25">
      <c r="B59" s="842" t="s">
        <v>26</v>
      </c>
      <c r="C59" s="842"/>
      <c r="D59" s="842"/>
      <c r="E59" s="843" t="s">
        <v>945</v>
      </c>
      <c r="F59" s="842"/>
      <c r="G59" s="842"/>
      <c r="H59" s="845">
        <f>SUM(H60:H75)</f>
        <v>1246806307</v>
      </c>
      <c r="I59" s="845">
        <f>SUM(I60:I75)</f>
        <v>407127048</v>
      </c>
      <c r="J59" s="845">
        <f>SUM(J60:J75)</f>
        <v>30166464</v>
      </c>
      <c r="K59" s="853"/>
      <c r="L59" s="347"/>
      <c r="M59" s="329"/>
      <c r="N59" s="329"/>
      <c r="O59" s="329"/>
      <c r="P59" s="329"/>
      <c r="Q59" s="329"/>
      <c r="R59" s="329"/>
    </row>
    <row r="60" spans="1:18" ht="91.5" thickTop="1" thickBot="1" x14ac:dyDescent="0.25">
      <c r="B60" s="507" t="s">
        <v>449</v>
      </c>
      <c r="C60" s="507" t="s">
        <v>450</v>
      </c>
      <c r="D60" s="507" t="s">
        <v>207</v>
      </c>
      <c r="E60" s="507" t="s">
        <v>1330</v>
      </c>
      <c r="F60" s="508" t="s">
        <v>1241</v>
      </c>
      <c r="G60" s="502" t="s">
        <v>453</v>
      </c>
      <c r="H60" s="502">
        <v>448128773</v>
      </c>
      <c r="I60" s="502">
        <f>122740174+164955840</f>
        <v>287696014</v>
      </c>
      <c r="J60" s="502">
        <v>20000000</v>
      </c>
      <c r="K60" s="509">
        <f>(I60+J60)/H60</f>
        <v>0.68662409677496872</v>
      </c>
      <c r="L60" s="347"/>
      <c r="M60" s="329"/>
      <c r="N60" s="329"/>
      <c r="O60" s="329"/>
      <c r="P60" s="329"/>
      <c r="Q60" s="329"/>
      <c r="R60" s="329"/>
    </row>
    <row r="61" spans="1:18" ht="61.5" thickTop="1" thickBot="1" x14ac:dyDescent="0.25">
      <c r="B61" s="507" t="s">
        <v>987</v>
      </c>
      <c r="C61" s="507" t="s">
        <v>318</v>
      </c>
      <c r="D61" s="507" t="s">
        <v>317</v>
      </c>
      <c r="E61" s="507" t="s">
        <v>487</v>
      </c>
      <c r="F61" s="510" t="s">
        <v>1242</v>
      </c>
      <c r="G61" s="502" t="s">
        <v>1109</v>
      </c>
      <c r="H61" s="502">
        <v>2388852</v>
      </c>
      <c r="I61" s="502">
        <f>1602164+80575</f>
        <v>1682739</v>
      </c>
      <c r="J61" s="502">
        <v>706113</v>
      </c>
      <c r="K61" s="509">
        <f t="shared" ref="K61:K75" si="2">(I61+J61)/H61</f>
        <v>1</v>
      </c>
      <c r="L61" s="347"/>
      <c r="M61" s="329"/>
      <c r="N61" s="329"/>
      <c r="O61" s="329"/>
      <c r="P61" s="329"/>
      <c r="Q61" s="329"/>
      <c r="R61" s="329"/>
    </row>
    <row r="62" spans="1:18" ht="55.5" customHeight="1" thickTop="1" thickBot="1" x14ac:dyDescent="0.25">
      <c r="B62" s="507" t="s">
        <v>323</v>
      </c>
      <c r="C62" s="507" t="s">
        <v>324</v>
      </c>
      <c r="D62" s="507" t="s">
        <v>317</v>
      </c>
      <c r="E62" s="507" t="s">
        <v>322</v>
      </c>
      <c r="F62" s="510" t="s">
        <v>1031</v>
      </c>
      <c r="G62" s="502" t="s">
        <v>981</v>
      </c>
      <c r="H62" s="502">
        <v>56437448</v>
      </c>
      <c r="I62" s="502">
        <f>28071676+15122869+2857360+1500000+1458181</f>
        <v>49010086</v>
      </c>
      <c r="J62" s="502">
        <v>341819</v>
      </c>
      <c r="K62" s="509">
        <f t="shared" si="2"/>
        <v>0.87445316450169752</v>
      </c>
      <c r="L62" s="347"/>
      <c r="M62" s="329"/>
      <c r="N62" s="329"/>
      <c r="O62" s="329"/>
      <c r="P62" s="329"/>
      <c r="Q62" s="329"/>
      <c r="R62" s="329"/>
    </row>
    <row r="63" spans="1:18" ht="76.5" thickTop="1" thickBot="1" x14ac:dyDescent="0.25">
      <c r="B63" s="507" t="s">
        <v>323</v>
      </c>
      <c r="C63" s="507" t="s">
        <v>324</v>
      </c>
      <c r="D63" s="507" t="s">
        <v>317</v>
      </c>
      <c r="E63" s="507" t="s">
        <v>322</v>
      </c>
      <c r="F63" s="510" t="s">
        <v>1002</v>
      </c>
      <c r="G63" s="502" t="s">
        <v>565</v>
      </c>
      <c r="H63" s="502">
        <f>9300000+10829899</f>
        <v>20129899</v>
      </c>
      <c r="I63" s="502">
        <f>6879598+693307</f>
        <v>7572905</v>
      </c>
      <c r="J63" s="502">
        <v>300000</v>
      </c>
      <c r="K63" s="509">
        <f t="shared" si="2"/>
        <v>0.39110504230547805</v>
      </c>
      <c r="L63" s="347"/>
      <c r="M63" s="329"/>
      <c r="N63" s="329"/>
      <c r="O63" s="329"/>
      <c r="P63" s="329"/>
      <c r="Q63" s="329"/>
      <c r="R63" s="329"/>
    </row>
    <row r="64" spans="1:18" ht="82.5" customHeight="1" thickTop="1" thickBot="1" x14ac:dyDescent="0.25">
      <c r="B64" s="507" t="s">
        <v>323</v>
      </c>
      <c r="C64" s="507" t="s">
        <v>324</v>
      </c>
      <c r="D64" s="507" t="s">
        <v>317</v>
      </c>
      <c r="E64" s="507" t="s">
        <v>322</v>
      </c>
      <c r="F64" s="510" t="s">
        <v>1243</v>
      </c>
      <c r="G64" s="502" t="s">
        <v>453</v>
      </c>
      <c r="H64" s="502">
        <v>34056704</v>
      </c>
      <c r="I64" s="502">
        <f>13051785+7748088+1427600+2095030-176100</f>
        <v>24146403</v>
      </c>
      <c r="J64" s="502">
        <v>575500</v>
      </c>
      <c r="K64" s="509">
        <f t="shared" si="2"/>
        <v>0.72590415678510756</v>
      </c>
      <c r="L64" s="347"/>
      <c r="M64" s="329"/>
      <c r="N64" s="329"/>
      <c r="O64" s="329"/>
      <c r="P64" s="329"/>
      <c r="Q64" s="329"/>
      <c r="R64" s="329"/>
    </row>
    <row r="65" spans="2:18" ht="61.5" thickTop="1" thickBot="1" x14ac:dyDescent="0.25">
      <c r="B65" s="507" t="s">
        <v>323</v>
      </c>
      <c r="C65" s="507" t="s">
        <v>324</v>
      </c>
      <c r="D65" s="507" t="s">
        <v>317</v>
      </c>
      <c r="E65" s="507" t="s">
        <v>322</v>
      </c>
      <c r="F65" s="510" t="s">
        <v>1244</v>
      </c>
      <c r="G65" s="541" t="s">
        <v>1004</v>
      </c>
      <c r="H65" s="502">
        <v>10648092</v>
      </c>
      <c r="I65" s="502">
        <f>438941+50000</f>
        <v>488941</v>
      </c>
      <c r="J65" s="502">
        <v>200000</v>
      </c>
      <c r="K65" s="509">
        <f t="shared" si="2"/>
        <v>6.4700887257548106E-2</v>
      </c>
      <c r="L65" s="347"/>
      <c r="M65" s="329"/>
      <c r="N65" s="329"/>
      <c r="O65" s="329"/>
      <c r="P65" s="329"/>
      <c r="Q65" s="329"/>
      <c r="R65" s="329"/>
    </row>
    <row r="66" spans="2:18" ht="61.5" thickTop="1" thickBot="1" x14ac:dyDescent="0.25">
      <c r="B66" s="507" t="s">
        <v>534</v>
      </c>
      <c r="C66" s="507" t="s">
        <v>535</v>
      </c>
      <c r="D66" s="507" t="s">
        <v>317</v>
      </c>
      <c r="E66" s="507" t="s">
        <v>770</v>
      </c>
      <c r="F66" s="510" t="s">
        <v>541</v>
      </c>
      <c r="G66" s="502" t="s">
        <v>1004</v>
      </c>
      <c r="H66" s="502">
        <v>21098584</v>
      </c>
      <c r="I66" s="502">
        <f>529041+200000</f>
        <v>729041</v>
      </c>
      <c r="J66" s="502">
        <v>1248491</v>
      </c>
      <c r="K66" s="509">
        <f t="shared" si="2"/>
        <v>9.372818573985818E-2</v>
      </c>
      <c r="L66" s="347"/>
      <c r="M66" s="329"/>
      <c r="N66" s="329"/>
      <c r="O66" s="329"/>
      <c r="P66" s="329"/>
      <c r="Q66" s="329"/>
      <c r="R66" s="329"/>
    </row>
    <row r="67" spans="2:18" ht="76.5" thickTop="1" thickBot="1" x14ac:dyDescent="0.25">
      <c r="B67" s="507" t="s">
        <v>325</v>
      </c>
      <c r="C67" s="507" t="s">
        <v>326</v>
      </c>
      <c r="D67" s="507" t="s">
        <v>317</v>
      </c>
      <c r="E67" s="507" t="s">
        <v>1245</v>
      </c>
      <c r="F67" s="510" t="s">
        <v>1246</v>
      </c>
      <c r="G67" s="502" t="s">
        <v>1247</v>
      </c>
      <c r="H67" s="502">
        <v>114917587</v>
      </c>
      <c r="I67" s="502">
        <f>778735</f>
        <v>778735</v>
      </c>
      <c r="J67" s="502">
        <v>1000000</v>
      </c>
      <c r="K67" s="509">
        <f t="shared" si="2"/>
        <v>1.5478353195842861E-2</v>
      </c>
      <c r="L67" s="347"/>
      <c r="M67" s="329"/>
      <c r="N67" s="329"/>
      <c r="O67" s="329"/>
      <c r="P67" s="329"/>
      <c r="Q67" s="329"/>
      <c r="R67" s="329"/>
    </row>
    <row r="68" spans="2:18" ht="46.5" thickTop="1" thickBot="1" x14ac:dyDescent="0.25">
      <c r="B68" s="507" t="s">
        <v>325</v>
      </c>
      <c r="C68" s="507" t="s">
        <v>326</v>
      </c>
      <c r="D68" s="507" t="s">
        <v>317</v>
      </c>
      <c r="E68" s="507" t="s">
        <v>1245</v>
      </c>
      <c r="F68" s="510" t="s">
        <v>1248</v>
      </c>
      <c r="G68" s="502" t="s">
        <v>1249</v>
      </c>
      <c r="H68" s="502">
        <v>291782434</v>
      </c>
      <c r="I68" s="502">
        <f>921939</f>
        <v>921939</v>
      </c>
      <c r="J68" s="502">
        <v>300000</v>
      </c>
      <c r="K68" s="509">
        <f t="shared" si="2"/>
        <v>4.187842918604209E-3</v>
      </c>
      <c r="L68" s="347"/>
      <c r="M68" s="329"/>
      <c r="N68" s="329"/>
      <c r="O68" s="329"/>
      <c r="P68" s="329"/>
      <c r="Q68" s="329"/>
      <c r="R68" s="329"/>
    </row>
    <row r="69" spans="2:18" ht="61.5" thickTop="1" thickBot="1" x14ac:dyDescent="0.25">
      <c r="B69" s="507" t="s">
        <v>327</v>
      </c>
      <c r="C69" s="507" t="s">
        <v>328</v>
      </c>
      <c r="D69" s="507" t="s">
        <v>317</v>
      </c>
      <c r="E69" s="507" t="s">
        <v>480</v>
      </c>
      <c r="F69" s="511" t="s">
        <v>1250</v>
      </c>
      <c r="G69" s="502" t="s">
        <v>1005</v>
      </c>
      <c r="H69" s="502">
        <v>15423995</v>
      </c>
      <c r="I69" s="502">
        <f>111262+100000</f>
        <v>211262</v>
      </c>
      <c r="J69" s="502">
        <v>450782</v>
      </c>
      <c r="K69" s="509">
        <f t="shared" si="2"/>
        <v>4.2922991092774601E-2</v>
      </c>
      <c r="L69" s="347"/>
      <c r="M69" s="329"/>
      <c r="N69" s="329"/>
      <c r="O69" s="329"/>
      <c r="P69" s="329"/>
      <c r="Q69" s="329"/>
      <c r="R69" s="329"/>
    </row>
    <row r="70" spans="2:18" ht="104.25" customHeight="1" thickTop="1" thickBot="1" x14ac:dyDescent="0.25">
      <c r="B70" s="507" t="s">
        <v>327</v>
      </c>
      <c r="C70" s="507" t="s">
        <v>328</v>
      </c>
      <c r="D70" s="507" t="s">
        <v>317</v>
      </c>
      <c r="E70" s="507" t="s">
        <v>480</v>
      </c>
      <c r="F70" s="511" t="s">
        <v>1251</v>
      </c>
      <c r="G70" s="502" t="s">
        <v>453</v>
      </c>
      <c r="H70" s="502">
        <v>10111121</v>
      </c>
      <c r="I70" s="502">
        <f>7825155+425816</f>
        <v>8250971</v>
      </c>
      <c r="J70" s="502">
        <v>1724087</v>
      </c>
      <c r="K70" s="509">
        <f t="shared" si="2"/>
        <v>0.98654323294123369</v>
      </c>
      <c r="L70" s="347"/>
      <c r="M70" s="329"/>
      <c r="N70" s="329"/>
      <c r="O70" s="329"/>
      <c r="P70" s="329"/>
      <c r="Q70" s="329"/>
      <c r="R70" s="329"/>
    </row>
    <row r="71" spans="2:18" ht="46.5" thickTop="1" thickBot="1" x14ac:dyDescent="0.25">
      <c r="B71" s="507" t="s">
        <v>327</v>
      </c>
      <c r="C71" s="507" t="s">
        <v>328</v>
      </c>
      <c r="D71" s="507" t="s">
        <v>317</v>
      </c>
      <c r="E71" s="507" t="s">
        <v>480</v>
      </c>
      <c r="F71" s="511" t="s">
        <v>1252</v>
      </c>
      <c r="G71" s="502" t="s">
        <v>1003</v>
      </c>
      <c r="H71" s="502">
        <v>53314687</v>
      </c>
      <c r="I71" s="502">
        <f>1368674+50000+200000</f>
        <v>1618674</v>
      </c>
      <c r="J71" s="502">
        <v>319672</v>
      </c>
      <c r="K71" s="509">
        <f t="shared" si="2"/>
        <v>3.6356698483477917E-2</v>
      </c>
      <c r="L71" s="347"/>
      <c r="M71" s="329"/>
      <c r="N71" s="329"/>
      <c r="O71" s="329"/>
      <c r="P71" s="329"/>
      <c r="Q71" s="329"/>
      <c r="R71" s="329"/>
    </row>
    <row r="72" spans="2:18" ht="46.5" thickTop="1" thickBot="1" x14ac:dyDescent="0.25">
      <c r="B72" s="507" t="s">
        <v>327</v>
      </c>
      <c r="C72" s="507" t="s">
        <v>328</v>
      </c>
      <c r="D72" s="507" t="s">
        <v>317</v>
      </c>
      <c r="E72" s="507" t="s">
        <v>480</v>
      </c>
      <c r="F72" s="512" t="s">
        <v>1253</v>
      </c>
      <c r="G72" s="502" t="s">
        <v>542</v>
      </c>
      <c r="H72" s="502">
        <v>65017720</v>
      </c>
      <c r="I72" s="502">
        <f>4855726+17628058</f>
        <v>22483784</v>
      </c>
      <c r="J72" s="502">
        <v>1000000</v>
      </c>
      <c r="K72" s="509">
        <f t="shared" si="2"/>
        <v>0.36119051852325795</v>
      </c>
      <c r="L72" s="347"/>
      <c r="M72" s="329"/>
      <c r="N72" s="329"/>
      <c r="O72" s="329"/>
      <c r="P72" s="329"/>
      <c r="Q72" s="329"/>
      <c r="R72" s="329"/>
    </row>
    <row r="73" spans="2:18" ht="61.5" thickTop="1" thickBot="1" x14ac:dyDescent="0.25">
      <c r="B73" s="507" t="s">
        <v>327</v>
      </c>
      <c r="C73" s="507" t="s">
        <v>328</v>
      </c>
      <c r="D73" s="507" t="s">
        <v>317</v>
      </c>
      <c r="E73" s="507" t="s">
        <v>480</v>
      </c>
      <c r="F73" s="512" t="s">
        <v>1254</v>
      </c>
      <c r="G73" s="502" t="s">
        <v>1068</v>
      </c>
      <c r="H73" s="502">
        <v>25748963</v>
      </c>
      <c r="I73" s="502">
        <f>551682+120000</f>
        <v>671682</v>
      </c>
      <c r="J73" s="502">
        <v>100000</v>
      </c>
      <c r="K73" s="509">
        <f t="shared" si="2"/>
        <v>2.9969439934338326E-2</v>
      </c>
      <c r="L73" s="347"/>
      <c r="M73" s="329"/>
      <c r="N73" s="329"/>
      <c r="O73" s="329"/>
      <c r="P73" s="329"/>
      <c r="Q73" s="329"/>
      <c r="R73" s="329"/>
    </row>
    <row r="74" spans="2:18" ht="102" customHeight="1" thickTop="1" thickBot="1" x14ac:dyDescent="0.25">
      <c r="B74" s="507" t="s">
        <v>327</v>
      </c>
      <c r="C74" s="507" t="s">
        <v>328</v>
      </c>
      <c r="D74" s="507" t="s">
        <v>317</v>
      </c>
      <c r="E74" s="507" t="s">
        <v>480</v>
      </c>
      <c r="F74" s="512" t="s">
        <v>1255</v>
      </c>
      <c r="G74" s="541" t="s">
        <v>1293</v>
      </c>
      <c r="H74" s="502">
        <v>1739798</v>
      </c>
      <c r="I74" s="502">
        <f>89803+12991</f>
        <v>102794</v>
      </c>
      <c r="J74" s="502">
        <f>1000000-100000</f>
        <v>900000</v>
      </c>
      <c r="K74" s="509">
        <f t="shared" si="2"/>
        <v>0.57638530450086733</v>
      </c>
      <c r="L74" s="347"/>
      <c r="M74" s="329"/>
      <c r="N74" s="329"/>
      <c r="O74" s="329"/>
      <c r="P74" s="329"/>
      <c r="Q74" s="329"/>
      <c r="R74" s="329"/>
    </row>
    <row r="75" spans="2:18" ht="76.5" thickTop="1" thickBot="1" x14ac:dyDescent="0.25">
      <c r="B75" s="507" t="s">
        <v>327</v>
      </c>
      <c r="C75" s="507" t="s">
        <v>328</v>
      </c>
      <c r="D75" s="507" t="s">
        <v>317</v>
      </c>
      <c r="E75" s="507" t="s">
        <v>480</v>
      </c>
      <c r="F75" s="512" t="s">
        <v>1256</v>
      </c>
      <c r="G75" s="541" t="s">
        <v>1004</v>
      </c>
      <c r="H75" s="502">
        <v>75861650</v>
      </c>
      <c r="I75" s="502">
        <f>4088+756990</f>
        <v>761078</v>
      </c>
      <c r="J75" s="502">
        <v>1000000</v>
      </c>
      <c r="K75" s="509">
        <f t="shared" si="2"/>
        <v>2.321433820645873E-2</v>
      </c>
      <c r="L75" s="347"/>
      <c r="M75" s="329"/>
      <c r="N75" s="329"/>
      <c r="O75" s="329"/>
      <c r="P75" s="329"/>
      <c r="Q75" s="329"/>
      <c r="R75" s="329"/>
    </row>
    <row r="76" spans="2:18" ht="46.5" hidden="1" thickTop="1" thickBot="1" x14ac:dyDescent="0.25">
      <c r="B76" s="492" t="s">
        <v>168</v>
      </c>
      <c r="C76" s="492"/>
      <c r="D76" s="492"/>
      <c r="E76" s="493" t="s">
        <v>946</v>
      </c>
      <c r="F76" s="492"/>
      <c r="G76" s="492"/>
      <c r="H76" s="492"/>
      <c r="I76" s="493"/>
      <c r="J76" s="496">
        <f>J77</f>
        <v>0</v>
      </c>
      <c r="K76" s="492"/>
      <c r="L76" s="338"/>
      <c r="M76" s="329"/>
      <c r="N76" s="329"/>
      <c r="O76" s="329"/>
      <c r="P76" s="329"/>
      <c r="Q76" s="329"/>
      <c r="R76" s="329"/>
    </row>
    <row r="77" spans="2:18" ht="44.25" hidden="1" thickTop="1" thickBot="1" x14ac:dyDescent="0.25">
      <c r="B77" s="494" t="s">
        <v>169</v>
      </c>
      <c r="C77" s="494"/>
      <c r="D77" s="494"/>
      <c r="E77" s="495" t="s">
        <v>952</v>
      </c>
      <c r="F77" s="494"/>
      <c r="G77" s="494"/>
      <c r="H77" s="494"/>
      <c r="I77" s="495"/>
      <c r="J77" s="497">
        <f>SUM(J78:J81)</f>
        <v>0</v>
      </c>
      <c r="K77" s="494"/>
      <c r="L77" s="338"/>
      <c r="M77" s="329"/>
      <c r="N77" s="329"/>
      <c r="O77" s="329"/>
      <c r="P77" s="329"/>
      <c r="Q77" s="329"/>
      <c r="R77" s="329"/>
    </row>
    <row r="78" spans="2:18" ht="46.5" hidden="1" thickTop="1" thickBot="1" x14ac:dyDescent="0.25">
      <c r="B78" s="330" t="s">
        <v>435</v>
      </c>
      <c r="C78" s="330" t="s">
        <v>248</v>
      </c>
      <c r="D78" s="330" t="s">
        <v>246</v>
      </c>
      <c r="E78" s="330" t="s">
        <v>247</v>
      </c>
      <c r="F78" s="331" t="s">
        <v>538</v>
      </c>
      <c r="G78" s="336"/>
      <c r="H78" s="336"/>
      <c r="I78" s="344"/>
      <c r="J78" s="336"/>
      <c r="K78" s="344"/>
      <c r="L78" s="338"/>
      <c r="M78" s="329"/>
      <c r="N78" s="329"/>
      <c r="O78" s="329"/>
      <c r="P78" s="329"/>
      <c r="Q78" s="329"/>
      <c r="R78" s="329"/>
    </row>
    <row r="79" spans="2:18" ht="76.5" hidden="1" thickTop="1" thickBot="1" x14ac:dyDescent="0.25">
      <c r="B79" s="330" t="s">
        <v>967</v>
      </c>
      <c r="C79" s="330" t="s">
        <v>968</v>
      </c>
      <c r="D79" s="330" t="s">
        <v>317</v>
      </c>
      <c r="E79" s="330" t="s">
        <v>969</v>
      </c>
      <c r="F79" s="331" t="s">
        <v>970</v>
      </c>
      <c r="G79" s="336" t="s">
        <v>584</v>
      </c>
      <c r="H79" s="336"/>
      <c r="I79" s="344"/>
      <c r="J79" s="336"/>
      <c r="K79" s="344">
        <v>1</v>
      </c>
      <c r="L79" s="338"/>
      <c r="M79" s="329"/>
      <c r="N79" s="329"/>
      <c r="O79" s="329"/>
      <c r="P79" s="329"/>
      <c r="Q79" s="329"/>
      <c r="R79" s="329"/>
    </row>
    <row r="80" spans="2:18" ht="61.5" hidden="1" thickTop="1" thickBot="1" x14ac:dyDescent="0.25">
      <c r="B80" s="330" t="s">
        <v>967</v>
      </c>
      <c r="C80" s="330" t="s">
        <v>968</v>
      </c>
      <c r="D80" s="330" t="s">
        <v>317</v>
      </c>
      <c r="E80" s="330" t="s">
        <v>969</v>
      </c>
      <c r="F80" s="349" t="s">
        <v>971</v>
      </c>
      <c r="G80" s="336" t="s">
        <v>584</v>
      </c>
      <c r="H80" s="336"/>
      <c r="I80" s="344"/>
      <c r="J80" s="350"/>
      <c r="K80" s="344">
        <v>1</v>
      </c>
      <c r="L80" s="338"/>
      <c r="M80" s="329"/>
      <c r="N80" s="329"/>
      <c r="O80" s="329"/>
      <c r="P80" s="329"/>
      <c r="Q80" s="329"/>
      <c r="R80" s="329"/>
    </row>
    <row r="81" spans="1:18" ht="61.5" hidden="1" thickTop="1" thickBot="1" x14ac:dyDescent="0.25">
      <c r="B81" s="330" t="s">
        <v>967</v>
      </c>
      <c r="C81" s="330" t="s">
        <v>968</v>
      </c>
      <c r="D81" s="330" t="s">
        <v>317</v>
      </c>
      <c r="E81" s="330" t="s">
        <v>969</v>
      </c>
      <c r="F81" s="351" t="s">
        <v>1050</v>
      </c>
      <c r="G81" s="336" t="s">
        <v>584</v>
      </c>
      <c r="H81" s="336"/>
      <c r="I81" s="344"/>
      <c r="J81" s="342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46.5" hidden="1" thickTop="1" thickBot="1" x14ac:dyDescent="0.25">
      <c r="B82" s="492" t="s">
        <v>461</v>
      </c>
      <c r="C82" s="492"/>
      <c r="D82" s="492"/>
      <c r="E82" s="493" t="s">
        <v>463</v>
      </c>
      <c r="F82" s="492"/>
      <c r="G82" s="492"/>
      <c r="H82" s="492"/>
      <c r="I82" s="493"/>
      <c r="J82" s="496">
        <f>J83</f>
        <v>0</v>
      </c>
      <c r="K82" s="492"/>
      <c r="L82" s="329"/>
      <c r="M82" s="329"/>
      <c r="N82" s="329"/>
      <c r="O82" s="329"/>
      <c r="P82" s="329"/>
      <c r="Q82" s="329"/>
      <c r="R82" s="329"/>
    </row>
    <row r="83" spans="1:18" ht="44.25" hidden="1" thickTop="1" thickBot="1" x14ac:dyDescent="0.25">
      <c r="B83" s="494" t="s">
        <v>462</v>
      </c>
      <c r="C83" s="494"/>
      <c r="D83" s="494"/>
      <c r="E83" s="495" t="s">
        <v>464</v>
      </c>
      <c r="F83" s="494"/>
      <c r="G83" s="494"/>
      <c r="H83" s="494"/>
      <c r="I83" s="495"/>
      <c r="J83" s="497">
        <f>J84</f>
        <v>0</v>
      </c>
      <c r="K83" s="494"/>
      <c r="L83" s="329"/>
      <c r="M83" s="329"/>
      <c r="N83" s="329"/>
      <c r="O83" s="329"/>
      <c r="P83" s="329"/>
      <c r="Q83" s="329"/>
      <c r="R83" s="329"/>
    </row>
    <row r="84" spans="1:18" ht="46.5" hidden="1" thickTop="1" thickBot="1" x14ac:dyDescent="0.25">
      <c r="B84" s="330" t="s">
        <v>465</v>
      </c>
      <c r="C84" s="330" t="s">
        <v>248</v>
      </c>
      <c r="D84" s="330" t="s">
        <v>246</v>
      </c>
      <c r="E84" s="330" t="s">
        <v>247</v>
      </c>
      <c r="F84" s="331" t="s">
        <v>538</v>
      </c>
      <c r="G84" s="332"/>
      <c r="H84" s="333"/>
      <c r="I84" s="332"/>
      <c r="J84" s="334"/>
      <c r="K84" s="334"/>
      <c r="L84" s="329"/>
      <c r="M84" s="329"/>
      <c r="N84" s="329"/>
      <c r="O84" s="329"/>
      <c r="P84" s="329"/>
      <c r="Q84" s="329"/>
      <c r="R84" s="329"/>
    </row>
    <row r="85" spans="1:18" ht="31.5" hidden="1" thickTop="1" thickBot="1" x14ac:dyDescent="0.25">
      <c r="A85" s="177"/>
      <c r="B85" s="492" t="s">
        <v>174</v>
      </c>
      <c r="C85" s="492"/>
      <c r="D85" s="492"/>
      <c r="E85" s="493" t="s">
        <v>368</v>
      </c>
      <c r="F85" s="492"/>
      <c r="G85" s="492"/>
      <c r="H85" s="492"/>
      <c r="I85" s="493"/>
      <c r="J85" s="496">
        <f>J86</f>
        <v>0</v>
      </c>
      <c r="K85" s="492"/>
      <c r="L85" s="329"/>
      <c r="M85" s="329"/>
      <c r="N85" s="329"/>
      <c r="O85" s="329"/>
      <c r="P85" s="329"/>
      <c r="Q85" s="329"/>
      <c r="R85" s="329"/>
    </row>
    <row r="86" spans="1:18" ht="44.25" hidden="1" thickTop="1" thickBot="1" x14ac:dyDescent="0.25">
      <c r="A86" s="177"/>
      <c r="B86" s="494" t="s">
        <v>175</v>
      </c>
      <c r="C86" s="494"/>
      <c r="D86" s="494"/>
      <c r="E86" s="495" t="s">
        <v>369</v>
      </c>
      <c r="F86" s="494"/>
      <c r="G86" s="494"/>
      <c r="H86" s="494"/>
      <c r="I86" s="495"/>
      <c r="J86" s="497">
        <f>SUM(J87:J88)</f>
        <v>0</v>
      </c>
      <c r="K86" s="494"/>
      <c r="L86" s="329"/>
      <c r="M86" s="329"/>
      <c r="N86" s="329"/>
      <c r="O86" s="329"/>
      <c r="P86" s="329"/>
      <c r="Q86" s="329"/>
      <c r="R86" s="329"/>
    </row>
    <row r="87" spans="1:18" ht="31.5" hidden="1" thickTop="1" thickBot="1" x14ac:dyDescent="0.25">
      <c r="B87" s="330" t="s">
        <v>268</v>
      </c>
      <c r="C87" s="330" t="s">
        <v>269</v>
      </c>
      <c r="D87" s="330" t="s">
        <v>178</v>
      </c>
      <c r="E87" s="330" t="s">
        <v>267</v>
      </c>
      <c r="F87" s="335" t="s">
        <v>58</v>
      </c>
      <c r="G87" s="335"/>
      <c r="H87" s="336"/>
      <c r="I87" s="335"/>
      <c r="J87" s="336"/>
      <c r="K87" s="336"/>
      <c r="L87" s="329"/>
      <c r="M87" s="329"/>
      <c r="N87" s="329"/>
      <c r="O87" s="329"/>
      <c r="P87" s="329"/>
      <c r="Q87" s="329"/>
      <c r="R87" s="329"/>
    </row>
    <row r="88" spans="1:18" ht="76.5" hidden="1" thickTop="1" thickBot="1" x14ac:dyDescent="0.25">
      <c r="B88" s="330" t="s">
        <v>963</v>
      </c>
      <c r="C88" s="330" t="s">
        <v>377</v>
      </c>
      <c r="D88" s="330" t="s">
        <v>45</v>
      </c>
      <c r="E88" s="330" t="s">
        <v>378</v>
      </c>
      <c r="F88" s="331" t="s">
        <v>964</v>
      </c>
      <c r="G88" s="335"/>
      <c r="H88" s="336"/>
      <c r="I88" s="335"/>
      <c r="J88" s="336"/>
      <c r="K88" s="336"/>
      <c r="L88" s="329"/>
      <c r="M88" s="329"/>
      <c r="N88" s="329"/>
      <c r="O88" s="329"/>
      <c r="P88" s="329"/>
      <c r="Q88" s="329"/>
      <c r="R88" s="329"/>
    </row>
    <row r="89" spans="1:18" ht="61.5" hidden="1" thickTop="1" thickBot="1" x14ac:dyDescent="0.25">
      <c r="B89" s="492" t="s">
        <v>172</v>
      </c>
      <c r="C89" s="492"/>
      <c r="D89" s="492"/>
      <c r="E89" s="493" t="s">
        <v>939</v>
      </c>
      <c r="F89" s="492"/>
      <c r="G89" s="492"/>
      <c r="H89" s="492"/>
      <c r="I89" s="493"/>
      <c r="J89" s="496">
        <f>J90</f>
        <v>0</v>
      </c>
      <c r="K89" s="492"/>
      <c r="L89" s="329"/>
      <c r="M89" s="329"/>
      <c r="N89" s="329"/>
      <c r="O89" s="329"/>
      <c r="P89" s="329"/>
      <c r="Q89" s="329"/>
      <c r="R89" s="329"/>
    </row>
    <row r="90" spans="1:18" ht="58.5" hidden="1" thickTop="1" thickBot="1" x14ac:dyDescent="0.25">
      <c r="B90" s="494" t="s">
        <v>173</v>
      </c>
      <c r="C90" s="494"/>
      <c r="D90" s="494"/>
      <c r="E90" s="495" t="s">
        <v>940</v>
      </c>
      <c r="F90" s="494"/>
      <c r="G90" s="494"/>
      <c r="H90" s="494"/>
      <c r="I90" s="495"/>
      <c r="J90" s="497">
        <f>J91</f>
        <v>0</v>
      </c>
      <c r="K90" s="494"/>
      <c r="L90" s="329"/>
      <c r="M90" s="329"/>
      <c r="N90" s="329"/>
      <c r="O90" s="329"/>
      <c r="P90" s="329"/>
      <c r="Q90" s="329"/>
      <c r="R90" s="329"/>
    </row>
    <row r="91" spans="1:18" ht="46.5" hidden="1" thickTop="1" thickBot="1" x14ac:dyDescent="0.25">
      <c r="B91" s="330" t="s">
        <v>438</v>
      </c>
      <c r="C91" s="330" t="s">
        <v>248</v>
      </c>
      <c r="D91" s="330" t="s">
        <v>246</v>
      </c>
      <c r="E91" s="330" t="s">
        <v>247</v>
      </c>
      <c r="F91" s="331" t="s">
        <v>538</v>
      </c>
      <c r="G91" s="335"/>
      <c r="H91" s="336"/>
      <c r="I91" s="335"/>
      <c r="J91" s="334"/>
      <c r="K91" s="336"/>
      <c r="L91" s="329"/>
      <c r="M91" s="329"/>
      <c r="N91" s="329"/>
      <c r="O91" s="329"/>
      <c r="P91" s="329"/>
      <c r="Q91" s="329"/>
      <c r="R91" s="329"/>
    </row>
    <row r="92" spans="1:18" ht="46.5" hidden="1" thickTop="1" thickBot="1" x14ac:dyDescent="0.25">
      <c r="B92" s="492" t="s">
        <v>170</v>
      </c>
      <c r="C92" s="492"/>
      <c r="D92" s="492"/>
      <c r="E92" s="493" t="s">
        <v>948</v>
      </c>
      <c r="F92" s="492"/>
      <c r="G92" s="492"/>
      <c r="H92" s="492"/>
      <c r="I92" s="493"/>
      <c r="J92" s="496">
        <f>J93</f>
        <v>0</v>
      </c>
      <c r="K92" s="492"/>
      <c r="L92" s="329"/>
      <c r="M92" s="329"/>
      <c r="N92" s="329"/>
      <c r="O92" s="329"/>
      <c r="P92" s="329"/>
      <c r="Q92" s="329"/>
      <c r="R92" s="329"/>
    </row>
    <row r="93" spans="1:18" ht="44.25" hidden="1" thickTop="1" thickBot="1" x14ac:dyDescent="0.25">
      <c r="B93" s="494" t="s">
        <v>171</v>
      </c>
      <c r="C93" s="494"/>
      <c r="D93" s="494"/>
      <c r="E93" s="495" t="s">
        <v>949</v>
      </c>
      <c r="F93" s="494"/>
      <c r="G93" s="494"/>
      <c r="H93" s="494"/>
      <c r="I93" s="495"/>
      <c r="J93" s="497">
        <f>SUM(J94:J97)</f>
        <v>0</v>
      </c>
      <c r="K93" s="494"/>
      <c r="L93" s="329"/>
      <c r="M93" s="329"/>
      <c r="N93" s="329"/>
      <c r="O93" s="329"/>
      <c r="P93" s="329"/>
      <c r="Q93" s="329"/>
      <c r="R93" s="329"/>
    </row>
    <row r="94" spans="1:18" ht="46.5" hidden="1" thickTop="1" thickBot="1" x14ac:dyDescent="0.25">
      <c r="B94" s="330" t="s">
        <v>434</v>
      </c>
      <c r="C94" s="330" t="s">
        <v>248</v>
      </c>
      <c r="D94" s="330" t="s">
        <v>246</v>
      </c>
      <c r="E94" s="330" t="s">
        <v>247</v>
      </c>
      <c r="F94" s="331" t="s">
        <v>538</v>
      </c>
      <c r="G94" s="335"/>
      <c r="H94" s="336"/>
      <c r="I94" s="335"/>
      <c r="J94" s="334"/>
      <c r="K94" s="336"/>
      <c r="L94" s="329"/>
      <c r="M94" s="329"/>
      <c r="N94" s="329"/>
      <c r="O94" s="329"/>
      <c r="P94" s="329"/>
      <c r="Q94" s="329"/>
      <c r="R94" s="329"/>
    </row>
    <row r="95" spans="1:18" ht="31.5" hidden="1" thickTop="1" thickBot="1" x14ac:dyDescent="0.25">
      <c r="B95" s="330" t="s">
        <v>319</v>
      </c>
      <c r="C95" s="330" t="s">
        <v>320</v>
      </c>
      <c r="D95" s="330" t="s">
        <v>321</v>
      </c>
      <c r="E95" s="330" t="s">
        <v>479</v>
      </c>
      <c r="F95" s="348" t="s">
        <v>34</v>
      </c>
      <c r="G95" s="335"/>
      <c r="H95" s="336"/>
      <c r="I95" s="335"/>
      <c r="J95" s="334"/>
      <c r="K95" s="336"/>
      <c r="L95" s="329"/>
      <c r="M95" s="329"/>
      <c r="N95" s="329"/>
      <c r="O95" s="329"/>
      <c r="P95" s="329"/>
      <c r="Q95" s="329"/>
      <c r="R95" s="329"/>
    </row>
    <row r="96" spans="1:18" ht="31.5" hidden="1" thickTop="1" thickBot="1" x14ac:dyDescent="0.25">
      <c r="B96" s="330" t="s">
        <v>319</v>
      </c>
      <c r="C96" s="330" t="s">
        <v>320</v>
      </c>
      <c r="D96" s="330" t="s">
        <v>321</v>
      </c>
      <c r="E96" s="330" t="s">
        <v>479</v>
      </c>
      <c r="F96" s="348" t="s">
        <v>35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46.5" hidden="1" thickTop="1" thickBot="1" x14ac:dyDescent="0.25">
      <c r="B97" s="330" t="s">
        <v>382</v>
      </c>
      <c r="C97" s="330" t="s">
        <v>383</v>
      </c>
      <c r="D97" s="330" t="s">
        <v>178</v>
      </c>
      <c r="E97" s="330" t="s">
        <v>384</v>
      </c>
      <c r="F97" s="348" t="s">
        <v>332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31.5" hidden="1" thickTop="1" thickBot="1" x14ac:dyDescent="0.25">
      <c r="B98" s="492" t="s">
        <v>176</v>
      </c>
      <c r="C98" s="492"/>
      <c r="D98" s="492"/>
      <c r="E98" s="493" t="s">
        <v>27</v>
      </c>
      <c r="F98" s="492"/>
      <c r="G98" s="492"/>
      <c r="H98" s="492"/>
      <c r="I98" s="493"/>
      <c r="J98" s="496">
        <f>J99</f>
        <v>0</v>
      </c>
      <c r="K98" s="492"/>
      <c r="L98" s="329"/>
      <c r="M98" s="329"/>
      <c r="N98" s="329"/>
      <c r="O98" s="329"/>
      <c r="P98" s="329"/>
      <c r="Q98" s="329"/>
      <c r="R98" s="329"/>
    </row>
    <row r="99" spans="1:18" ht="44.25" hidden="1" thickTop="1" thickBot="1" x14ac:dyDescent="0.25">
      <c r="B99" s="494" t="s">
        <v>177</v>
      </c>
      <c r="C99" s="494"/>
      <c r="D99" s="494"/>
      <c r="E99" s="495" t="s">
        <v>42</v>
      </c>
      <c r="F99" s="494"/>
      <c r="G99" s="494"/>
      <c r="H99" s="494"/>
      <c r="I99" s="495"/>
      <c r="J99" s="497">
        <f>J100</f>
        <v>0</v>
      </c>
      <c r="K99" s="494"/>
      <c r="L99" s="329"/>
      <c r="M99" s="329"/>
      <c r="N99" s="329"/>
      <c r="O99" s="329"/>
      <c r="P99" s="329"/>
      <c r="Q99" s="329"/>
      <c r="R99" s="329"/>
    </row>
    <row r="100" spans="1:18" ht="46.5" hidden="1" thickTop="1" thickBot="1" x14ac:dyDescent="0.25">
      <c r="B100" s="330" t="s">
        <v>436</v>
      </c>
      <c r="C100" s="330" t="s">
        <v>248</v>
      </c>
      <c r="D100" s="330" t="s">
        <v>246</v>
      </c>
      <c r="E100" s="330" t="s">
        <v>247</v>
      </c>
      <c r="F100" s="331" t="s">
        <v>538</v>
      </c>
      <c r="G100" s="335"/>
      <c r="H100" s="336"/>
      <c r="I100" s="335"/>
      <c r="J100" s="334"/>
      <c r="K100" s="336"/>
      <c r="L100" s="329"/>
      <c r="M100" s="329"/>
      <c r="N100" s="329"/>
      <c r="O100" s="329"/>
      <c r="P100" s="329"/>
      <c r="Q100" s="329"/>
      <c r="R100" s="329"/>
    </row>
    <row r="101" spans="1:18" ht="21.75" thickTop="1" thickBot="1" x14ac:dyDescent="0.25">
      <c r="A101" s="176"/>
      <c r="B101" s="610" t="s">
        <v>396</v>
      </c>
      <c r="C101" s="610" t="s">
        <v>396</v>
      </c>
      <c r="D101" s="610" t="s">
        <v>396</v>
      </c>
      <c r="E101" s="610" t="s">
        <v>398</v>
      </c>
      <c r="F101" s="610" t="s">
        <v>396</v>
      </c>
      <c r="G101" s="610" t="s">
        <v>396</v>
      </c>
      <c r="H101" s="610">
        <f>H58+H41+H38+H35+H31+H23+H19</f>
        <v>1525697114</v>
      </c>
      <c r="I101" s="610">
        <f>I58+I41+I38+I35+I31+I23+I19</f>
        <v>537196651.26999998</v>
      </c>
      <c r="J101" s="610">
        <f>J58+J41+J38+J35+J31+J23+J19</f>
        <v>61535264.590000004</v>
      </c>
      <c r="K101" s="610" t="s">
        <v>396</v>
      </c>
      <c r="L101" s="640" t="b">
        <f>H101=H75+H74+H73+H72+H71+H70+H69+H68+H67+H66+H65+H64+H63+H62+H61+H60+H57+H56+H55+H54+H53+H52+H51+H50+H49+H47+H46+H45+H44+H43+H40+H37+H33+H26+H22+H21+H48+H27</f>
        <v>1</v>
      </c>
      <c r="M101" s="640" t="b">
        <f>I101=I75+I74+I73+I72+I71+I70+I69+I68+I67+I66+I65+I64+I63+I62+I61+I60+I57+I56+I55+I54+I53+I52+I51+I50+I49+I47+I46+I45+I44+I43+I40+I37+I33+I26+I22+I21+I48+I27</f>
        <v>1</v>
      </c>
      <c r="N101" s="640" t="b">
        <f>J101=J75+J74+J73+J72+J71+J70+J69+J68+J67+J66+J65+J64+J63+J62+J61+J60+J57+J56+J55+J54+J53+J52+J51+J50+J49+J47+J46+J45+J44+J43+J40+J37+J33+J26+J22+J21+J48+J27</f>
        <v>1</v>
      </c>
      <c r="O101" s="329"/>
      <c r="P101" s="329"/>
      <c r="Q101" s="329"/>
      <c r="R101" s="329"/>
    </row>
    <row r="102" spans="1:18" ht="16.5" thickTop="1" x14ac:dyDescent="0.2">
      <c r="B102" s="1005" t="s">
        <v>1230</v>
      </c>
      <c r="C102" s="1006"/>
      <c r="D102" s="1006"/>
      <c r="E102" s="1006"/>
      <c r="F102" s="1006"/>
      <c r="G102" s="1006"/>
      <c r="H102" s="1006"/>
      <c r="I102" s="1006"/>
      <c r="J102" s="1006"/>
      <c r="K102" s="1006"/>
      <c r="L102" s="1007"/>
      <c r="M102" s="1007"/>
      <c r="N102" s="1007"/>
      <c r="O102" s="1007"/>
      <c r="P102" s="1007"/>
      <c r="Q102" s="1007"/>
      <c r="R102" s="1007"/>
    </row>
    <row r="103" spans="1:18" ht="9" customHeight="1" x14ac:dyDescent="0.2">
      <c r="B103" s="1008"/>
      <c r="C103" s="1008"/>
      <c r="D103" s="1008"/>
      <c r="E103" s="1008"/>
      <c r="F103" s="1008"/>
      <c r="G103" s="1008"/>
      <c r="H103" s="1008"/>
      <c r="I103" s="1008"/>
      <c r="J103" s="1008"/>
      <c r="K103" s="1008"/>
    </row>
    <row r="104" spans="1:18" ht="26.45" hidden="1" customHeight="1" x14ac:dyDescent="0.2">
      <c r="B104" s="195"/>
      <c r="C104" s="195"/>
      <c r="D104" s="195" t="s">
        <v>548</v>
      </c>
      <c r="E104" s="195"/>
      <c r="F104" s="195"/>
      <c r="G104" s="195"/>
      <c r="H104" s="195"/>
      <c r="I104" s="195"/>
      <c r="J104" s="195" t="s">
        <v>543</v>
      </c>
      <c r="K104" s="195"/>
    </row>
    <row r="105" spans="1:18" ht="15" customHeight="1" x14ac:dyDescent="0.25">
      <c r="D105" s="93" t="s">
        <v>1362</v>
      </c>
      <c r="E105" s="92"/>
      <c r="F105" s="93"/>
      <c r="G105" s="93" t="s">
        <v>1363</v>
      </c>
      <c r="H105" s="206"/>
      <c r="I105" s="94"/>
      <c r="J105" s="94"/>
      <c r="K105" s="93"/>
    </row>
    <row r="106" spans="1:18" ht="15" x14ac:dyDescent="0.25">
      <c r="D106" s="91"/>
      <c r="E106" s="206"/>
      <c r="F106" s="188"/>
      <c r="G106" s="206"/>
      <c r="H106" s="206"/>
      <c r="I106" s="206"/>
      <c r="J106" s="178"/>
      <c r="K106" s="178"/>
    </row>
    <row r="107" spans="1:18" ht="15" x14ac:dyDescent="0.25">
      <c r="D107" s="91" t="s">
        <v>1398</v>
      </c>
      <c r="E107" s="206"/>
      <c r="F107" s="188"/>
      <c r="G107" s="93" t="s">
        <v>1399</v>
      </c>
      <c r="H107" s="93"/>
      <c r="I107" s="94"/>
      <c r="J107" s="94"/>
      <c r="K107" s="93"/>
    </row>
    <row r="119" spans="7:11" ht="46.5" x14ac:dyDescent="0.2">
      <c r="K119" s="66"/>
    </row>
    <row r="122" spans="7:11" ht="46.5" x14ac:dyDescent="0.2">
      <c r="G122" s="66"/>
      <c r="K122" s="66"/>
    </row>
    <row r="141" spans="12:12" ht="90" x14ac:dyDescent="1.1499999999999999">
      <c r="L141" s="55"/>
    </row>
  </sheetData>
  <mergeCells count="9">
    <mergeCell ref="B102:R102"/>
    <mergeCell ref="B103:K103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7"/>
  <sheetViews>
    <sheetView view="pageBreakPreview" zoomScale="25" zoomScaleNormal="25" zoomScaleSheetLayoutView="25" zoomScalePageLayoutView="10" workbookViewId="0">
      <pane ySplit="14" topLeftCell="A264" activePane="bottomLeft" state="frozen"/>
      <selection activeCell="F175" sqref="F175"/>
      <selection pane="bottomLeft" activeCell="K275" sqref="K274:K275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3" customWidth="1"/>
    <col min="12" max="13" width="71.5703125" style="723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024" t="s">
        <v>626</v>
      </c>
      <c r="J1" s="1024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024" t="s">
        <v>1353</v>
      </c>
      <c r="J2" s="1025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024"/>
      <c r="J3" s="1025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937" t="s">
        <v>592</v>
      </c>
      <c r="B5" s="937"/>
      <c r="C5" s="937"/>
      <c r="D5" s="937"/>
      <c r="E5" s="937"/>
      <c r="F5" s="937"/>
      <c r="G5" s="937"/>
      <c r="H5" s="937"/>
      <c r="I5" s="937"/>
      <c r="J5" s="937"/>
    </row>
    <row r="6" spans="1:17" s="98" customFormat="1" ht="45" x14ac:dyDescent="0.2">
      <c r="A6" s="937" t="s">
        <v>1236</v>
      </c>
      <c r="B6" s="937"/>
      <c r="C6" s="937"/>
      <c r="D6" s="937"/>
      <c r="E6" s="937"/>
      <c r="F6" s="937"/>
      <c r="G6" s="937"/>
      <c r="H6" s="937"/>
      <c r="I6" s="937"/>
      <c r="J6" s="937"/>
      <c r="K6" s="723"/>
      <c r="L6" s="723"/>
      <c r="M6" s="723"/>
      <c r="N6" s="105"/>
      <c r="O6" s="105"/>
      <c r="P6" s="105"/>
      <c r="Q6" s="105"/>
    </row>
    <row r="7" spans="1:17" ht="45" x14ac:dyDescent="0.2">
      <c r="A7" s="937" t="s">
        <v>1237</v>
      </c>
      <c r="B7" s="937"/>
      <c r="C7" s="937"/>
      <c r="D7" s="937"/>
      <c r="E7" s="937"/>
      <c r="F7" s="937"/>
      <c r="G7" s="937"/>
      <c r="H7" s="937"/>
      <c r="I7" s="937"/>
      <c r="J7" s="937"/>
    </row>
    <row r="8" spans="1:17" ht="45" x14ac:dyDescent="0.2">
      <c r="A8" s="937"/>
      <c r="B8" s="937"/>
      <c r="C8" s="937"/>
      <c r="D8" s="937"/>
      <c r="E8" s="937"/>
      <c r="F8" s="937"/>
      <c r="G8" s="937"/>
      <c r="H8" s="937"/>
      <c r="I8" s="937"/>
      <c r="J8" s="937"/>
    </row>
    <row r="9" spans="1:17" ht="45.75" x14ac:dyDescent="0.65">
      <c r="A9" s="938">
        <v>22564000000</v>
      </c>
      <c r="B9" s="939"/>
      <c r="C9" s="875"/>
      <c r="D9" s="875"/>
      <c r="E9" s="875"/>
      <c r="F9" s="875"/>
      <c r="G9" s="875"/>
      <c r="H9" s="875"/>
      <c r="I9" s="875"/>
      <c r="J9" s="875"/>
      <c r="K9" s="621"/>
      <c r="L9" s="621"/>
      <c r="M9" s="621"/>
    </row>
    <row r="10" spans="1:17" ht="45.75" x14ac:dyDescent="0.2">
      <c r="A10" s="943" t="s">
        <v>508</v>
      </c>
      <c r="B10" s="944"/>
      <c r="C10" s="875"/>
      <c r="D10" s="875"/>
      <c r="E10" s="875"/>
      <c r="F10" s="875"/>
      <c r="G10" s="875"/>
      <c r="H10" s="875"/>
      <c r="I10" s="875"/>
      <c r="J10" s="875"/>
      <c r="K10" s="621"/>
      <c r="L10" s="621"/>
      <c r="M10" s="621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419</v>
      </c>
      <c r="K11" s="621"/>
      <c r="L11" s="621"/>
      <c r="M11" s="621"/>
    </row>
    <row r="12" spans="1:17" ht="104.25" customHeight="1" thickTop="1" thickBot="1" x14ac:dyDescent="0.25">
      <c r="A12" s="1022" t="s">
        <v>509</v>
      </c>
      <c r="B12" s="1022" t="s">
        <v>510</v>
      </c>
      <c r="C12" s="1022" t="s">
        <v>405</v>
      </c>
      <c r="D12" s="1022" t="s">
        <v>593</v>
      </c>
      <c r="E12" s="1022" t="s">
        <v>513</v>
      </c>
      <c r="F12" s="1022" t="s">
        <v>514</v>
      </c>
      <c r="G12" s="1022" t="s">
        <v>398</v>
      </c>
      <c r="H12" s="1022" t="s">
        <v>12</v>
      </c>
      <c r="I12" s="1023" t="s">
        <v>54</v>
      </c>
      <c r="J12" s="941"/>
      <c r="K12" s="621"/>
      <c r="L12" s="621"/>
      <c r="M12" s="621"/>
    </row>
    <row r="13" spans="1:17" ht="406.5" customHeight="1" thickTop="1" thickBot="1" x14ac:dyDescent="0.25">
      <c r="A13" s="1023"/>
      <c r="B13" s="941"/>
      <c r="C13" s="941"/>
      <c r="D13" s="1023"/>
      <c r="E13" s="1023"/>
      <c r="F13" s="1023"/>
      <c r="G13" s="1023"/>
      <c r="H13" s="1023"/>
      <c r="I13" s="424" t="s">
        <v>399</v>
      </c>
      <c r="J13" s="424" t="s">
        <v>400</v>
      </c>
      <c r="K13" s="621"/>
      <c r="L13" s="621"/>
      <c r="M13" s="621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407</v>
      </c>
      <c r="F14" s="224" t="s">
        <v>408</v>
      </c>
      <c r="G14" s="224" t="s">
        <v>409</v>
      </c>
      <c r="H14" s="224" t="s">
        <v>410</v>
      </c>
      <c r="I14" s="224" t="s">
        <v>411</v>
      </c>
      <c r="J14" s="224" t="s">
        <v>412</v>
      </c>
      <c r="K14" s="618"/>
      <c r="L14" s="618"/>
      <c r="M14" s="618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827" t="s">
        <v>156</v>
      </c>
      <c r="B15" s="827"/>
      <c r="C15" s="827"/>
      <c r="D15" s="828" t="s">
        <v>158</v>
      </c>
      <c r="E15" s="827"/>
      <c r="F15" s="827"/>
      <c r="G15" s="830">
        <f>G16</f>
        <v>56564333.370000005</v>
      </c>
      <c r="H15" s="830">
        <f t="shared" ref="H15:J15" si="0">H16</f>
        <v>44912680</v>
      </c>
      <c r="I15" s="830">
        <f>I16</f>
        <v>11651653.370000001</v>
      </c>
      <c r="J15" s="830">
        <f t="shared" si="0"/>
        <v>5637311</v>
      </c>
      <c r="K15" s="710" t="b">
        <f>H16='d3'!F16-'d3'!F18-'d3'!F19+'d7'!H17+'d7'!H19</f>
        <v>1</v>
      </c>
      <c r="L15" s="710" t="b">
        <f>I16='d3'!J16-'d3'!J18-'d3'!J19+'d7'!I17+'d7'!I19+I18+I20</f>
        <v>1</v>
      </c>
      <c r="M15" s="710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831" t="s">
        <v>157</v>
      </c>
      <c r="B16" s="831"/>
      <c r="C16" s="831"/>
      <c r="D16" s="832" t="s">
        <v>159</v>
      </c>
      <c r="E16" s="833"/>
      <c r="F16" s="833"/>
      <c r="G16" s="833">
        <f>SUM(G17:G42)</f>
        <v>56564333.370000005</v>
      </c>
      <c r="H16" s="833">
        <f>SUM(H17:H42)</f>
        <v>44912680</v>
      </c>
      <c r="I16" s="833">
        <f>SUM(I17:I42)</f>
        <v>11651653.370000001</v>
      </c>
      <c r="J16" s="833">
        <f>SUM(J17:J42)</f>
        <v>5637311</v>
      </c>
      <c r="K16" s="618"/>
      <c r="L16" s="618"/>
      <c r="M16" s="618"/>
      <c r="N16" s="106"/>
      <c r="O16" s="106"/>
      <c r="P16" s="106"/>
      <c r="Q16" s="106"/>
    </row>
    <row r="17" spans="1:17" ht="276" thickTop="1" thickBot="1" x14ac:dyDescent="0.25">
      <c r="A17" s="447" t="s">
        <v>244</v>
      </c>
      <c r="B17" s="447" t="s">
        <v>245</v>
      </c>
      <c r="C17" s="447" t="s">
        <v>246</v>
      </c>
      <c r="D17" s="447" t="s">
        <v>243</v>
      </c>
      <c r="E17" s="450" t="s">
        <v>1122</v>
      </c>
      <c r="F17" s="451" t="s">
        <v>904</v>
      </c>
      <c r="G17" s="462">
        <f t="shared" ref="G17:G27" si="1">H17+I17</f>
        <v>373000</v>
      </c>
      <c r="H17" s="463">
        <v>173000</v>
      </c>
      <c r="I17" s="462">
        <v>200000</v>
      </c>
      <c r="J17" s="462">
        <v>200000</v>
      </c>
      <c r="K17" s="710"/>
      <c r="L17" s="710" t="b">
        <f>I17+I19+I18+I20='d3'!J18</f>
        <v>1</v>
      </c>
      <c r="M17" s="710" t="b">
        <f>J17+J19+J18+J20='d3'!K18</f>
        <v>1</v>
      </c>
    </row>
    <row r="18" spans="1:17" s="218" customFormat="1" ht="367.5" hidden="1" thickTop="1" thickBot="1" x14ac:dyDescent="0.25">
      <c r="A18" s="264" t="s">
        <v>244</v>
      </c>
      <c r="B18" s="264" t="s">
        <v>245</v>
      </c>
      <c r="C18" s="264" t="s">
        <v>246</v>
      </c>
      <c r="D18" s="264" t="s">
        <v>243</v>
      </c>
      <c r="E18" s="328" t="s">
        <v>997</v>
      </c>
      <c r="F18" s="328" t="s">
        <v>906</v>
      </c>
      <c r="G18" s="327">
        <f t="shared" si="1"/>
        <v>0</v>
      </c>
      <c r="H18" s="353"/>
      <c r="I18" s="327"/>
      <c r="J18" s="327"/>
      <c r="K18" s="711"/>
      <c r="L18" s="711"/>
      <c r="M18" s="711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244</v>
      </c>
      <c r="B19" s="264" t="s">
        <v>245</v>
      </c>
      <c r="C19" s="264" t="s">
        <v>246</v>
      </c>
      <c r="D19" s="264" t="s">
        <v>243</v>
      </c>
      <c r="E19" s="352" t="s">
        <v>922</v>
      </c>
      <c r="F19" s="328" t="s">
        <v>923</v>
      </c>
      <c r="G19" s="327">
        <f t="shared" si="1"/>
        <v>0</v>
      </c>
      <c r="H19" s="353"/>
      <c r="I19" s="327"/>
      <c r="J19" s="327"/>
      <c r="K19" s="712"/>
      <c r="L19" s="628"/>
      <c r="M19" s="621"/>
      <c r="N19" s="105"/>
      <c r="O19" s="105"/>
      <c r="P19" s="105"/>
      <c r="Q19" s="105"/>
    </row>
    <row r="20" spans="1:17" s="429" customFormat="1" ht="276" thickTop="1" thickBot="1" x14ac:dyDescent="0.25">
      <c r="A20" s="472" t="s">
        <v>244</v>
      </c>
      <c r="B20" s="472" t="s">
        <v>245</v>
      </c>
      <c r="C20" s="472" t="s">
        <v>246</v>
      </c>
      <c r="D20" s="472" t="s">
        <v>243</v>
      </c>
      <c r="E20" s="450" t="s">
        <v>1292</v>
      </c>
      <c r="F20" s="485" t="s">
        <v>1291</v>
      </c>
      <c r="G20" s="462">
        <f t="shared" si="1"/>
        <v>300000</v>
      </c>
      <c r="H20" s="463"/>
      <c r="I20" s="462">
        <v>300000</v>
      </c>
      <c r="J20" s="462">
        <v>300000</v>
      </c>
      <c r="K20" s="712"/>
      <c r="L20" s="628"/>
      <c r="M20" s="621"/>
      <c r="N20" s="436"/>
      <c r="O20" s="436"/>
      <c r="P20" s="436"/>
      <c r="Q20" s="436"/>
    </row>
    <row r="21" spans="1:17" s="137" customFormat="1" ht="367.5" thickTop="1" thickBot="1" x14ac:dyDescent="0.25">
      <c r="A21" s="447" t="s">
        <v>661</v>
      </c>
      <c r="B21" s="447" t="s">
        <v>376</v>
      </c>
      <c r="C21" s="447" t="s">
        <v>662</v>
      </c>
      <c r="D21" s="447" t="s">
        <v>663</v>
      </c>
      <c r="E21" s="450" t="s">
        <v>1327</v>
      </c>
      <c r="F21" s="750" t="s">
        <v>1328</v>
      </c>
      <c r="G21" s="462">
        <f t="shared" si="1"/>
        <v>49000</v>
      </c>
      <c r="H21" s="463">
        <f>'d3'!E20</f>
        <v>49000</v>
      </c>
      <c r="I21" s="462"/>
      <c r="J21" s="462"/>
      <c r="K21" s="712"/>
      <c r="L21" s="628"/>
      <c r="M21" s="621"/>
      <c r="N21" s="138"/>
      <c r="O21" s="138"/>
      <c r="P21" s="138"/>
      <c r="Q21" s="138"/>
    </row>
    <row r="22" spans="1:17" ht="138.75" thickTop="1" thickBot="1" x14ac:dyDescent="0.25">
      <c r="A22" s="447" t="s">
        <v>259</v>
      </c>
      <c r="B22" s="447" t="s">
        <v>45</v>
      </c>
      <c r="C22" s="447" t="s">
        <v>44</v>
      </c>
      <c r="D22" s="447" t="s">
        <v>260</v>
      </c>
      <c r="E22" s="450" t="s">
        <v>1313</v>
      </c>
      <c r="F22" s="734" t="s">
        <v>1312</v>
      </c>
      <c r="G22" s="462">
        <f t="shared" si="1"/>
        <v>1380600</v>
      </c>
      <c r="H22" s="463">
        <v>1380600</v>
      </c>
      <c r="I22" s="462"/>
      <c r="J22" s="462"/>
      <c r="K22" s="1020" t="b">
        <f>H22+H23='d3'!E21</f>
        <v>1</v>
      </c>
      <c r="L22" s="1020"/>
      <c r="M22" s="1020"/>
    </row>
    <row r="23" spans="1:17" ht="184.7" customHeight="1" thickTop="1" thickBot="1" x14ac:dyDescent="0.25">
      <c r="A23" s="447" t="s">
        <v>259</v>
      </c>
      <c r="B23" s="447" t="s">
        <v>45</v>
      </c>
      <c r="C23" s="447" t="s">
        <v>44</v>
      </c>
      <c r="D23" s="447" t="s">
        <v>260</v>
      </c>
      <c r="E23" s="450" t="s">
        <v>1308</v>
      </c>
      <c r="F23" s="734" t="s">
        <v>1309</v>
      </c>
      <c r="G23" s="462">
        <f t="shared" si="1"/>
        <v>1918680</v>
      </c>
      <c r="H23" s="463">
        <f>90000+1828680</f>
        <v>1918680</v>
      </c>
      <c r="I23" s="462"/>
      <c r="J23" s="462"/>
      <c r="K23" s="1021"/>
      <c r="L23" s="1021"/>
      <c r="M23" s="1021"/>
    </row>
    <row r="24" spans="1:17" ht="138.75" thickTop="1" thickBot="1" x14ac:dyDescent="0.25">
      <c r="A24" s="447" t="s">
        <v>250</v>
      </c>
      <c r="B24" s="447" t="s">
        <v>251</v>
      </c>
      <c r="C24" s="447" t="s">
        <v>252</v>
      </c>
      <c r="D24" s="447" t="s">
        <v>249</v>
      </c>
      <c r="E24" s="450" t="s">
        <v>1122</v>
      </c>
      <c r="F24" s="451" t="s">
        <v>904</v>
      </c>
      <c r="G24" s="462">
        <f t="shared" si="1"/>
        <v>5612300</v>
      </c>
      <c r="H24" s="462">
        <f>'d3'!E24</f>
        <v>4612300</v>
      </c>
      <c r="I24" s="462">
        <f>'d3'!J24</f>
        <v>1000000</v>
      </c>
      <c r="J24" s="462">
        <f>'d3'!K24</f>
        <v>1000000</v>
      </c>
      <c r="K24" s="710" t="b">
        <f>H24='d3'!E24</f>
        <v>1</v>
      </c>
      <c r="L24" s="713" t="b">
        <f>I24='d3'!J24</f>
        <v>1</v>
      </c>
      <c r="M24" s="724" t="b">
        <f>J24='d3'!K24</f>
        <v>1</v>
      </c>
    </row>
    <row r="25" spans="1:17" s="198" customFormat="1" ht="184.5" hidden="1" thickTop="1" thickBot="1" x14ac:dyDescent="0.25">
      <c r="A25" s="264" t="s">
        <v>1051</v>
      </c>
      <c r="B25" s="264" t="s">
        <v>1052</v>
      </c>
      <c r="C25" s="264" t="s">
        <v>252</v>
      </c>
      <c r="D25" s="264" t="s">
        <v>1053</v>
      </c>
      <c r="E25" s="352" t="s">
        <v>1122</v>
      </c>
      <c r="F25" s="328" t="s">
        <v>904</v>
      </c>
      <c r="G25" s="327">
        <f t="shared" si="1"/>
        <v>0</v>
      </c>
      <c r="H25" s="327">
        <f>'d3'!E25</f>
        <v>0</v>
      </c>
      <c r="I25" s="327">
        <f>'d3'!J25</f>
        <v>0</v>
      </c>
      <c r="J25" s="327">
        <f>'d3'!K25</f>
        <v>0</v>
      </c>
      <c r="K25" s="710" t="b">
        <f>H25='d3'!E25</f>
        <v>1</v>
      </c>
      <c r="L25" s="713" t="b">
        <f>I25='d3'!J25</f>
        <v>1</v>
      </c>
      <c r="M25" s="724" t="b">
        <f>J25='d3'!K25</f>
        <v>1</v>
      </c>
      <c r="N25" s="199"/>
      <c r="O25" s="199"/>
      <c r="P25" s="199"/>
      <c r="Q25" s="199"/>
    </row>
    <row r="26" spans="1:17" ht="138.75" thickTop="1" thickBot="1" x14ac:dyDescent="0.25">
      <c r="A26" s="447" t="s">
        <v>312</v>
      </c>
      <c r="B26" s="447" t="s">
        <v>313</v>
      </c>
      <c r="C26" s="447" t="s">
        <v>178</v>
      </c>
      <c r="D26" s="447" t="s">
        <v>459</v>
      </c>
      <c r="E26" s="450" t="s">
        <v>1308</v>
      </c>
      <c r="F26" s="734" t="s">
        <v>1309</v>
      </c>
      <c r="G26" s="462">
        <f t="shared" si="1"/>
        <v>380000</v>
      </c>
      <c r="H26" s="462">
        <f>'d3'!E27</f>
        <v>380000</v>
      </c>
      <c r="I26" s="462">
        <f>'d3'!J27</f>
        <v>0</v>
      </c>
      <c r="J26" s="462">
        <f>'d3'!K27</f>
        <v>0</v>
      </c>
      <c r="K26" s="710" t="b">
        <f>H26='d3'!E27</f>
        <v>1</v>
      </c>
      <c r="L26" s="713" t="b">
        <f>I26='d3'!J27</f>
        <v>1</v>
      </c>
      <c r="M26" s="724" t="b">
        <f>J26='d3'!K27</f>
        <v>1</v>
      </c>
    </row>
    <row r="27" spans="1:17" ht="364.7" customHeight="1" thickTop="1" thickBot="1" x14ac:dyDescent="0.7">
      <c r="A27" s="925" t="s">
        <v>353</v>
      </c>
      <c r="B27" s="925" t="s">
        <v>352</v>
      </c>
      <c r="C27" s="925" t="s">
        <v>178</v>
      </c>
      <c r="D27" s="473" t="s">
        <v>457</v>
      </c>
      <c r="E27" s="925" t="s">
        <v>1308</v>
      </c>
      <c r="F27" s="925" t="s">
        <v>1309</v>
      </c>
      <c r="G27" s="923">
        <f t="shared" si="1"/>
        <v>6014342.3700000001</v>
      </c>
      <c r="H27" s="923">
        <f>'d3'!E29</f>
        <v>0</v>
      </c>
      <c r="I27" s="923">
        <f>'d3'!J29</f>
        <v>6014342.3700000001</v>
      </c>
      <c r="J27" s="923">
        <f>'d3'!K29</f>
        <v>0</v>
      </c>
      <c r="K27" s="710" t="b">
        <f>H27='d3'!E29</f>
        <v>1</v>
      </c>
      <c r="L27" s="713" t="b">
        <f>I27='d3'!J29</f>
        <v>1</v>
      </c>
      <c r="M27" s="724" t="b">
        <f>J27='d3'!K29</f>
        <v>1</v>
      </c>
    </row>
    <row r="28" spans="1:17" ht="138.75" thickTop="1" thickBot="1" x14ac:dyDescent="0.25">
      <c r="A28" s="926"/>
      <c r="B28" s="926"/>
      <c r="C28" s="926"/>
      <c r="D28" s="475" t="s">
        <v>458</v>
      </c>
      <c r="E28" s="926"/>
      <c r="F28" s="926"/>
      <c r="G28" s="1026"/>
      <c r="H28" s="1026"/>
      <c r="I28" s="1026"/>
      <c r="J28" s="1026"/>
      <c r="K28" s="621"/>
      <c r="L28" s="621"/>
      <c r="M28" s="621"/>
    </row>
    <row r="29" spans="1:17" s="161" customFormat="1" ht="184.5" thickTop="1" thickBot="1" x14ac:dyDescent="0.25">
      <c r="A29" s="224" t="s">
        <v>972</v>
      </c>
      <c r="B29" s="224" t="s">
        <v>269</v>
      </c>
      <c r="C29" s="224" t="s">
        <v>178</v>
      </c>
      <c r="D29" s="224" t="s">
        <v>267</v>
      </c>
      <c r="E29" s="689" t="s">
        <v>1322</v>
      </c>
      <c r="F29" s="561" t="s">
        <v>1321</v>
      </c>
      <c r="G29" s="462">
        <f t="shared" ref="G29:G34" si="2">H29+I29</f>
        <v>2178890</v>
      </c>
      <c r="H29" s="462">
        <f>'d3'!E31</f>
        <v>2178890</v>
      </c>
      <c r="I29" s="462">
        <f>'d3'!J31</f>
        <v>0</v>
      </c>
      <c r="J29" s="462">
        <f>'d3'!K31</f>
        <v>0</v>
      </c>
      <c r="K29" s="621"/>
      <c r="L29" s="621"/>
      <c r="M29" s="621"/>
      <c r="N29" s="162"/>
      <c r="O29" s="162"/>
      <c r="P29" s="162"/>
      <c r="Q29" s="162"/>
    </row>
    <row r="30" spans="1:17" s="856" customFormat="1" ht="367.5" thickTop="1" thickBot="1" x14ac:dyDescent="0.25">
      <c r="A30" s="859" t="s">
        <v>1385</v>
      </c>
      <c r="B30" s="859" t="s">
        <v>1386</v>
      </c>
      <c r="C30" s="859" t="s">
        <v>1342</v>
      </c>
      <c r="D30" s="859" t="s">
        <v>1387</v>
      </c>
      <c r="E30" s="858" t="s">
        <v>1383</v>
      </c>
      <c r="F30" s="858" t="s">
        <v>906</v>
      </c>
      <c r="G30" s="462">
        <f t="shared" si="2"/>
        <v>600000</v>
      </c>
      <c r="H30" s="462">
        <f>'d3'!E34</f>
        <v>600000</v>
      </c>
      <c r="I30" s="462">
        <f>'d3'!J34</f>
        <v>0</v>
      </c>
      <c r="J30" s="462">
        <f>'d3'!K34</f>
        <v>0</v>
      </c>
      <c r="K30" s="621"/>
      <c r="L30" s="621"/>
      <c r="M30" s="621"/>
      <c r="N30" s="863"/>
      <c r="O30" s="863"/>
      <c r="P30" s="863"/>
      <c r="Q30" s="863"/>
    </row>
    <row r="31" spans="1:17" s="753" customFormat="1" ht="184.5" thickTop="1" thickBot="1" x14ac:dyDescent="0.25">
      <c r="A31" s="758" t="s">
        <v>1343</v>
      </c>
      <c r="B31" s="758" t="s">
        <v>1344</v>
      </c>
      <c r="C31" s="758" t="s">
        <v>1342</v>
      </c>
      <c r="D31" s="758" t="s">
        <v>1341</v>
      </c>
      <c r="E31" s="758" t="s">
        <v>1359</v>
      </c>
      <c r="F31" s="561" t="s">
        <v>1356</v>
      </c>
      <c r="G31" s="462">
        <f t="shared" si="2"/>
        <v>12568915</v>
      </c>
      <c r="H31" s="462">
        <f>'d3'!E35</f>
        <v>11873315</v>
      </c>
      <c r="I31" s="462">
        <f>'d3'!J35</f>
        <v>695600</v>
      </c>
      <c r="J31" s="462">
        <f>'d3'!K35</f>
        <v>695600</v>
      </c>
      <c r="K31" s="621"/>
      <c r="L31" s="621"/>
      <c r="M31" s="621"/>
      <c r="N31" s="763"/>
      <c r="O31" s="763"/>
      <c r="P31" s="763"/>
      <c r="Q31" s="763"/>
    </row>
    <row r="32" spans="1:17" ht="255.75" customHeight="1" thickTop="1" thickBot="1" x14ac:dyDescent="0.25">
      <c r="A32" s="447" t="s">
        <v>253</v>
      </c>
      <c r="B32" s="447" t="s">
        <v>254</v>
      </c>
      <c r="C32" s="447" t="s">
        <v>255</v>
      </c>
      <c r="D32" s="447" t="s">
        <v>256</v>
      </c>
      <c r="E32" s="462" t="s">
        <v>941</v>
      </c>
      <c r="F32" s="451" t="s">
        <v>942</v>
      </c>
      <c r="G32" s="462">
        <f t="shared" si="2"/>
        <v>7313195</v>
      </c>
      <c r="H32" s="462">
        <f>'d3'!E37</f>
        <v>7313195</v>
      </c>
      <c r="I32" s="462">
        <f>'d3'!J37</f>
        <v>0</v>
      </c>
      <c r="J32" s="462">
        <f>'d3'!K37</f>
        <v>0</v>
      </c>
      <c r="K32" s="710" t="b">
        <f>H32='d3'!E37</f>
        <v>1</v>
      </c>
      <c r="L32" s="713" t="b">
        <f>I32='d3'!J37</f>
        <v>1</v>
      </c>
      <c r="M32" s="724" t="b">
        <f>J32='d3'!K37</f>
        <v>1</v>
      </c>
    </row>
    <row r="33" spans="1:17" ht="230.25" thickTop="1" thickBot="1" x14ac:dyDescent="0.25">
      <c r="A33" s="224" t="s">
        <v>257</v>
      </c>
      <c r="B33" s="224" t="s">
        <v>258</v>
      </c>
      <c r="C33" s="224" t="s">
        <v>45</v>
      </c>
      <c r="D33" s="224" t="s">
        <v>460</v>
      </c>
      <c r="E33" s="450" t="s">
        <v>1308</v>
      </c>
      <c r="F33" s="734" t="s">
        <v>1309</v>
      </c>
      <c r="G33" s="451">
        <f t="shared" si="2"/>
        <v>600600</v>
      </c>
      <c r="H33" s="456">
        <f>'d3'!E40</f>
        <v>600600</v>
      </c>
      <c r="I33" s="451">
        <f>'d3'!J40</f>
        <v>0</v>
      </c>
      <c r="J33" s="451">
        <f>'d3'!K40</f>
        <v>0</v>
      </c>
      <c r="K33" s="710" t="b">
        <f>H33='d3'!E40</f>
        <v>1</v>
      </c>
      <c r="L33" s="713" t="b">
        <f>I33='d3'!J40</f>
        <v>1</v>
      </c>
      <c r="M33" s="713" t="b">
        <f>J33='d3'!K40</f>
        <v>1</v>
      </c>
    </row>
    <row r="34" spans="1:17" s="104" customFormat="1" ht="138.75" thickTop="1" thickBot="1" x14ac:dyDescent="0.25">
      <c r="A34" s="224" t="s">
        <v>603</v>
      </c>
      <c r="B34" s="224" t="s">
        <v>377</v>
      </c>
      <c r="C34" s="224" t="s">
        <v>45</v>
      </c>
      <c r="D34" s="224" t="s">
        <v>378</v>
      </c>
      <c r="E34" s="450" t="s">
        <v>1308</v>
      </c>
      <c r="F34" s="734" t="s">
        <v>1309</v>
      </c>
      <c r="G34" s="451">
        <f t="shared" si="2"/>
        <v>132100</v>
      </c>
      <c r="H34" s="456">
        <f>'d3'!E41</f>
        <v>132100</v>
      </c>
      <c r="I34" s="451">
        <f>'d3'!J41</f>
        <v>0</v>
      </c>
      <c r="J34" s="451">
        <f>'d3'!K41</f>
        <v>0</v>
      </c>
      <c r="K34" s="710" t="b">
        <f>H34='d3'!E41</f>
        <v>1</v>
      </c>
      <c r="L34" s="713" t="b">
        <f>I34='d3'!J41</f>
        <v>1</v>
      </c>
      <c r="M34" s="713" t="b">
        <f>J34='d3'!K41</f>
        <v>1</v>
      </c>
      <c r="N34" s="112"/>
      <c r="O34" s="112"/>
      <c r="P34" s="112"/>
      <c r="Q34" s="112"/>
    </row>
    <row r="35" spans="1:17" ht="276" thickTop="1" thickBot="1" x14ac:dyDescent="0.25">
      <c r="A35" s="752" t="s">
        <v>531</v>
      </c>
      <c r="B35" s="752" t="s">
        <v>532</v>
      </c>
      <c r="C35" s="752" t="s">
        <v>45</v>
      </c>
      <c r="D35" s="752" t="s">
        <v>533</v>
      </c>
      <c r="E35" s="750" t="s">
        <v>1358</v>
      </c>
      <c r="F35" s="561" t="s">
        <v>1357</v>
      </c>
      <c r="G35" s="750">
        <f t="shared" ref="G35:G42" si="3">H35+I35</f>
        <v>12515000</v>
      </c>
      <c r="H35" s="750">
        <f>(((((((0)+1906000)+6065000+450000)+870000)+970000)+500000)+750000)-150000</f>
        <v>11361000</v>
      </c>
      <c r="I35" s="750">
        <f>((1000000)+74000)+80000</f>
        <v>1154000</v>
      </c>
      <c r="J35" s="773">
        <f>((1000000)+74000)+80000</f>
        <v>1154000</v>
      </c>
      <c r="K35" s="710" t="b">
        <f>H35+H36+H37+H38+H39+H40+H42+H41='d3'!E42</f>
        <v>1</v>
      </c>
      <c r="L35" s="713" t="b">
        <f>I35+I36+I37+I38+I39+I40+I42='d3'!J42</f>
        <v>1</v>
      </c>
      <c r="M35" s="713" t="b">
        <f>J35+J36+J37+J38+J39+J40+J42='d3'!K42</f>
        <v>1</v>
      </c>
    </row>
    <row r="36" spans="1:17" s="171" customFormat="1" ht="367.5" thickTop="1" thickBot="1" x14ac:dyDescent="0.25">
      <c r="A36" s="785" t="s">
        <v>531</v>
      </c>
      <c r="B36" s="785" t="s">
        <v>532</v>
      </c>
      <c r="C36" s="785" t="s">
        <v>45</v>
      </c>
      <c r="D36" s="785" t="s">
        <v>533</v>
      </c>
      <c r="E36" s="787" t="s">
        <v>1383</v>
      </c>
      <c r="F36" s="787" t="s">
        <v>906</v>
      </c>
      <c r="G36" s="787">
        <f t="shared" si="3"/>
        <v>1347711</v>
      </c>
      <c r="H36" s="787">
        <v>400000</v>
      </c>
      <c r="I36" s="787">
        <f>(0)+947711</f>
        <v>947711</v>
      </c>
      <c r="J36" s="858">
        <f>(0)+947711</f>
        <v>947711</v>
      </c>
      <c r="K36" s="710"/>
      <c r="L36" s="713"/>
      <c r="M36" s="724"/>
      <c r="N36" s="172"/>
      <c r="O36" s="172"/>
      <c r="P36" s="172"/>
      <c r="Q36" s="172"/>
    </row>
    <row r="37" spans="1:17" s="171" customFormat="1" ht="276" thickTop="1" thickBot="1" x14ac:dyDescent="0.25">
      <c r="A37" s="805" t="s">
        <v>531</v>
      </c>
      <c r="B37" s="805" t="s">
        <v>532</v>
      </c>
      <c r="C37" s="805" t="s">
        <v>45</v>
      </c>
      <c r="D37" s="805" t="s">
        <v>533</v>
      </c>
      <c r="E37" s="807" t="s">
        <v>1127</v>
      </c>
      <c r="F37" s="807" t="s">
        <v>998</v>
      </c>
      <c r="G37" s="807">
        <f t="shared" si="3"/>
        <v>1940000</v>
      </c>
      <c r="H37" s="807">
        <f>600000+500000</f>
        <v>1100000</v>
      </c>
      <c r="I37" s="807">
        <f>((0)+700000)+140000</f>
        <v>840000</v>
      </c>
      <c r="J37" s="868">
        <f>((0)+700000)+140000</f>
        <v>840000</v>
      </c>
      <c r="K37" s="710"/>
      <c r="L37" s="713"/>
      <c r="M37" s="724"/>
      <c r="N37" s="172"/>
      <c r="O37" s="172"/>
      <c r="P37" s="172"/>
      <c r="Q37" s="172"/>
    </row>
    <row r="38" spans="1:17" s="171" customFormat="1" ht="184.5" thickTop="1" thickBot="1" x14ac:dyDescent="0.25">
      <c r="A38" s="866" t="s">
        <v>531</v>
      </c>
      <c r="B38" s="866" t="s">
        <v>532</v>
      </c>
      <c r="C38" s="866" t="s">
        <v>45</v>
      </c>
      <c r="D38" s="866" t="s">
        <v>533</v>
      </c>
      <c r="E38" s="868" t="s">
        <v>1389</v>
      </c>
      <c r="F38" s="868" t="s">
        <v>1017</v>
      </c>
      <c r="G38" s="868">
        <f t="shared" si="3"/>
        <v>880000</v>
      </c>
      <c r="H38" s="868">
        <v>380000</v>
      </c>
      <c r="I38" s="868">
        <v>500000</v>
      </c>
      <c r="J38" s="868">
        <v>500000</v>
      </c>
      <c r="K38" s="710"/>
      <c r="L38" s="713"/>
      <c r="M38" s="724"/>
      <c r="N38" s="172"/>
      <c r="O38" s="172"/>
      <c r="P38" s="172"/>
      <c r="Q38" s="172"/>
    </row>
    <row r="39" spans="1:17" s="171" customFormat="1" ht="367.5" thickTop="1" thickBot="1" x14ac:dyDescent="0.25">
      <c r="A39" s="813" t="s">
        <v>531</v>
      </c>
      <c r="B39" s="813" t="s">
        <v>532</v>
      </c>
      <c r="C39" s="813" t="s">
        <v>45</v>
      </c>
      <c r="D39" s="813" t="s">
        <v>533</v>
      </c>
      <c r="E39" s="812" t="s">
        <v>1374</v>
      </c>
      <c r="F39" s="812" t="s">
        <v>1018</v>
      </c>
      <c r="G39" s="812">
        <f t="shared" si="3"/>
        <v>300000</v>
      </c>
      <c r="H39" s="812">
        <v>300000</v>
      </c>
      <c r="I39" s="812">
        <v>0</v>
      </c>
      <c r="J39" s="812">
        <v>0</v>
      </c>
      <c r="K39" s="710"/>
      <c r="L39" s="713"/>
      <c r="M39" s="724"/>
      <c r="N39" s="172"/>
      <c r="O39" s="172"/>
      <c r="P39" s="172"/>
      <c r="Q39" s="172"/>
    </row>
    <row r="40" spans="1:17" s="171" customFormat="1" ht="276" thickTop="1" thickBot="1" x14ac:dyDescent="0.25">
      <c r="A40" s="861" t="s">
        <v>531</v>
      </c>
      <c r="B40" s="861" t="s">
        <v>532</v>
      </c>
      <c r="C40" s="861" t="s">
        <v>45</v>
      </c>
      <c r="D40" s="861" t="s">
        <v>533</v>
      </c>
      <c r="E40" s="858" t="s">
        <v>1384</v>
      </c>
      <c r="F40" s="858" t="s">
        <v>1019</v>
      </c>
      <c r="G40" s="858">
        <f>H40+I40</f>
        <v>160000</v>
      </c>
      <c r="H40" s="858">
        <v>160000</v>
      </c>
      <c r="I40" s="858">
        <v>0</v>
      </c>
      <c r="J40" s="858">
        <v>0</v>
      </c>
      <c r="K40" s="710"/>
      <c r="L40" s="713"/>
      <c r="M40" s="724"/>
      <c r="N40" s="172"/>
      <c r="O40" s="172"/>
      <c r="P40" s="172"/>
      <c r="Q40" s="172"/>
    </row>
    <row r="41" spans="1:17" s="202" customFormat="1" ht="321.75" hidden="1" thickTop="1" thickBot="1" x14ac:dyDescent="0.25">
      <c r="A41" s="259" t="s">
        <v>531</v>
      </c>
      <c r="B41" s="259" t="s">
        <v>532</v>
      </c>
      <c r="C41" s="259" t="s">
        <v>45</v>
      </c>
      <c r="D41" s="259" t="s">
        <v>533</v>
      </c>
      <c r="E41" s="328" t="s">
        <v>1121</v>
      </c>
      <c r="F41" s="328" t="s">
        <v>1123</v>
      </c>
      <c r="G41" s="328">
        <f t="shared" si="3"/>
        <v>0</v>
      </c>
      <c r="H41" s="328"/>
      <c r="I41" s="328"/>
      <c r="J41" s="328"/>
      <c r="K41" s="710"/>
      <c r="L41" s="713"/>
      <c r="M41" s="724"/>
      <c r="N41" s="203"/>
      <c r="O41" s="203"/>
      <c r="P41" s="203"/>
      <c r="Q41" s="203"/>
    </row>
    <row r="42" spans="1:17" s="171" customFormat="1" ht="184.5" hidden="1" thickTop="1" thickBot="1" x14ac:dyDescent="0.25">
      <c r="A42" s="259" t="s">
        <v>531</v>
      </c>
      <c r="B42" s="259" t="s">
        <v>532</v>
      </c>
      <c r="C42" s="259" t="s">
        <v>45</v>
      </c>
      <c r="D42" s="259" t="s">
        <v>533</v>
      </c>
      <c r="E42" s="328" t="s">
        <v>1020</v>
      </c>
      <c r="F42" s="328" t="s">
        <v>1021</v>
      </c>
      <c r="G42" s="328">
        <f t="shared" si="3"/>
        <v>0</v>
      </c>
      <c r="H42" s="328"/>
      <c r="I42" s="328"/>
      <c r="J42" s="328"/>
      <c r="K42" s="710"/>
      <c r="L42" s="713"/>
      <c r="M42" s="724"/>
      <c r="N42" s="172"/>
      <c r="O42" s="172"/>
      <c r="P42" s="172"/>
      <c r="Q42" s="172"/>
    </row>
    <row r="43" spans="1:17" ht="136.5" thickTop="1" thickBot="1" x14ac:dyDescent="0.25">
      <c r="A43" s="827" t="s">
        <v>160</v>
      </c>
      <c r="B43" s="827"/>
      <c r="C43" s="827"/>
      <c r="D43" s="828" t="s">
        <v>0</v>
      </c>
      <c r="E43" s="827"/>
      <c r="F43" s="827"/>
      <c r="G43" s="830">
        <f>G44</f>
        <v>2038787574.02</v>
      </c>
      <c r="H43" s="830">
        <f t="shared" ref="H43:J43" si="4">H44</f>
        <v>1803163704.02</v>
      </c>
      <c r="I43" s="830">
        <f t="shared" si="4"/>
        <v>235623870</v>
      </c>
      <c r="J43" s="830">
        <f t="shared" si="4"/>
        <v>72278320</v>
      </c>
      <c r="K43" s="710" t="b">
        <f>H43='d3'!E44</f>
        <v>1</v>
      </c>
      <c r="L43" s="713" t="b">
        <f>I43='d3'!J44</f>
        <v>1</v>
      </c>
      <c r="M43" s="724" t="b">
        <f>J43='d3'!K43</f>
        <v>1</v>
      </c>
    </row>
    <row r="44" spans="1:17" ht="172.5" customHeight="1" thickTop="1" thickBot="1" x14ac:dyDescent="0.25">
      <c r="A44" s="831" t="s">
        <v>161</v>
      </c>
      <c r="B44" s="831"/>
      <c r="C44" s="831"/>
      <c r="D44" s="832" t="s">
        <v>1</v>
      </c>
      <c r="E44" s="833"/>
      <c r="F44" s="833"/>
      <c r="G44" s="833">
        <f>SUM(G45:G77)</f>
        <v>2038787574.02</v>
      </c>
      <c r="H44" s="833">
        <f>SUM(H45:H77)</f>
        <v>1803163704.02</v>
      </c>
      <c r="I44" s="833">
        <f>SUM(I45:I77)</f>
        <v>235623870</v>
      </c>
      <c r="J44" s="833">
        <f>SUM(J45:J77)</f>
        <v>72278320</v>
      </c>
      <c r="K44" s="621"/>
      <c r="L44" s="621"/>
      <c r="M44" s="621"/>
    </row>
    <row r="45" spans="1:17" ht="138.75" thickTop="1" thickBot="1" x14ac:dyDescent="0.25">
      <c r="A45" s="482" t="s">
        <v>210</v>
      </c>
      <c r="B45" s="482" t="s">
        <v>211</v>
      </c>
      <c r="C45" s="482" t="s">
        <v>213</v>
      </c>
      <c r="D45" s="482" t="s">
        <v>214</v>
      </c>
      <c r="E45" s="452" t="s">
        <v>1317</v>
      </c>
      <c r="F45" s="734" t="s">
        <v>1318</v>
      </c>
      <c r="G45" s="485">
        <f t="shared" ref="G45:G58" si="5">H45+I45</f>
        <v>613390609.66999996</v>
      </c>
      <c r="H45" s="485">
        <f>'d3'!E46-H46</f>
        <v>541035595.66999996</v>
      </c>
      <c r="I45" s="485">
        <f>'d3'!J46-I46</f>
        <v>72355014</v>
      </c>
      <c r="J45" s="485">
        <f>'d3'!K46-J46</f>
        <v>1517164</v>
      </c>
      <c r="K45" s="710" t="b">
        <f>H45+H46='d3'!E46</f>
        <v>1</v>
      </c>
      <c r="L45" s="713" t="b">
        <f>I45+I46='d3'!J46</f>
        <v>1</v>
      </c>
      <c r="M45" s="713" t="b">
        <f>J45+J46='d3'!K46</f>
        <v>1</v>
      </c>
    </row>
    <row r="46" spans="1:17" s="123" customFormat="1" ht="184.5" hidden="1" thickTop="1" thickBot="1" x14ac:dyDescent="0.25">
      <c r="A46" s="259" t="s">
        <v>210</v>
      </c>
      <c r="B46" s="259" t="s">
        <v>211</v>
      </c>
      <c r="C46" s="259" t="s">
        <v>213</v>
      </c>
      <c r="D46" s="259" t="s">
        <v>214</v>
      </c>
      <c r="E46" s="355" t="s">
        <v>467</v>
      </c>
      <c r="F46" s="296" t="s">
        <v>468</v>
      </c>
      <c r="G46" s="328">
        <f>H46+I46</f>
        <v>0</v>
      </c>
      <c r="H46" s="328">
        <v>0</v>
      </c>
      <c r="I46" s="328">
        <f>(30333+15000)-45333</f>
        <v>0</v>
      </c>
      <c r="J46" s="328">
        <f>(30333+15000)-45333</f>
        <v>0</v>
      </c>
      <c r="K46" s="621"/>
      <c r="L46" s="621"/>
      <c r="M46" s="621"/>
      <c r="N46" s="124"/>
      <c r="O46" s="124"/>
      <c r="P46" s="124"/>
      <c r="Q46" s="124"/>
    </row>
    <row r="47" spans="1:17" ht="138.75" thickTop="1" thickBot="1" x14ac:dyDescent="0.25">
      <c r="A47" s="482" t="s">
        <v>683</v>
      </c>
      <c r="B47" s="482" t="s">
        <v>684</v>
      </c>
      <c r="C47" s="482" t="s">
        <v>216</v>
      </c>
      <c r="D47" s="482" t="s">
        <v>685</v>
      </c>
      <c r="E47" s="452" t="s">
        <v>1317</v>
      </c>
      <c r="F47" s="734" t="s">
        <v>1318</v>
      </c>
      <c r="G47" s="485">
        <f t="shared" si="5"/>
        <v>428717212.95000005</v>
      </c>
      <c r="H47" s="485">
        <f>'d3'!E48-H48-H49</f>
        <v>353865597.95000005</v>
      </c>
      <c r="I47" s="485">
        <f>'d3'!J48-I48-I49</f>
        <v>74851615</v>
      </c>
      <c r="J47" s="485">
        <f>'d3'!K48-J48-J49</f>
        <v>11189615</v>
      </c>
      <c r="K47" s="710" t="b">
        <f>H47+H48+H49='d3'!E48</f>
        <v>1</v>
      </c>
      <c r="L47" s="713" t="b">
        <f>I47+I48+I49='d3'!J48</f>
        <v>1</v>
      </c>
      <c r="M47" s="713" t="b">
        <f>J47+J48+J49='d3'!K48</f>
        <v>1</v>
      </c>
    </row>
    <row r="48" spans="1:17" ht="138.75" hidden="1" thickTop="1" thickBot="1" x14ac:dyDescent="0.25">
      <c r="A48" s="259" t="s">
        <v>683</v>
      </c>
      <c r="B48" s="259" t="s">
        <v>684</v>
      </c>
      <c r="C48" s="259" t="s">
        <v>216</v>
      </c>
      <c r="D48" s="259" t="s">
        <v>685</v>
      </c>
      <c r="E48" s="452" t="s">
        <v>1317</v>
      </c>
      <c r="F48" s="734" t="s">
        <v>1318</v>
      </c>
      <c r="G48" s="328">
        <f t="shared" si="5"/>
        <v>0</v>
      </c>
      <c r="H48" s="328"/>
      <c r="I48" s="328">
        <v>0</v>
      </c>
      <c r="J48" s="328">
        <v>0</v>
      </c>
      <c r="K48" s="714" t="s">
        <v>589</v>
      </c>
      <c r="L48" s="621"/>
      <c r="M48" s="621"/>
    </row>
    <row r="49" spans="1:17" ht="138.75" hidden="1" thickTop="1" thickBot="1" x14ac:dyDescent="0.25">
      <c r="A49" s="259" t="s">
        <v>683</v>
      </c>
      <c r="B49" s="259" t="s">
        <v>684</v>
      </c>
      <c r="C49" s="259" t="s">
        <v>216</v>
      </c>
      <c r="D49" s="259" t="s">
        <v>685</v>
      </c>
      <c r="E49" s="452" t="s">
        <v>1317</v>
      </c>
      <c r="F49" s="734" t="s">
        <v>1318</v>
      </c>
      <c r="G49" s="328">
        <f>H49+I49</f>
        <v>0</v>
      </c>
      <c r="H49" s="328">
        <v>0</v>
      </c>
      <c r="I49" s="328">
        <v>0</v>
      </c>
      <c r="J49" s="328">
        <v>0</v>
      </c>
      <c r="K49" s="621"/>
      <c r="L49" s="621"/>
      <c r="M49" s="621"/>
    </row>
    <row r="50" spans="1:17" ht="230.25" thickTop="1" thickBot="1" x14ac:dyDescent="0.25">
      <c r="A50" s="482" t="s">
        <v>693</v>
      </c>
      <c r="B50" s="482" t="s">
        <v>694</v>
      </c>
      <c r="C50" s="482" t="s">
        <v>219</v>
      </c>
      <c r="D50" s="482" t="s">
        <v>515</v>
      </c>
      <c r="E50" s="452" t="s">
        <v>1317</v>
      </c>
      <c r="F50" s="734" t="s">
        <v>1318</v>
      </c>
      <c r="G50" s="485">
        <f t="shared" si="5"/>
        <v>24975795.399999999</v>
      </c>
      <c r="H50" s="485">
        <f>'d3'!E49-H51</f>
        <v>24885295.399999999</v>
      </c>
      <c r="I50" s="485">
        <f>'d3'!J49-I51</f>
        <v>90500</v>
      </c>
      <c r="J50" s="485">
        <f>'d3'!K49-J51</f>
        <v>0</v>
      </c>
      <c r="K50" s="710" t="b">
        <f>H50+H51='d3'!E49</f>
        <v>1</v>
      </c>
      <c r="L50" s="710" t="b">
        <f>I50+I51='d3'!J49</f>
        <v>1</v>
      </c>
      <c r="M50" s="710" t="b">
        <f>J50+J51='d3'!K49</f>
        <v>1</v>
      </c>
    </row>
    <row r="51" spans="1:17" ht="230.25" hidden="1" thickTop="1" thickBot="1" x14ac:dyDescent="0.25">
      <c r="A51" s="259" t="s">
        <v>693</v>
      </c>
      <c r="B51" s="259" t="s">
        <v>694</v>
      </c>
      <c r="C51" s="259" t="s">
        <v>219</v>
      </c>
      <c r="D51" s="259" t="s">
        <v>515</v>
      </c>
      <c r="E51" s="355" t="s">
        <v>612</v>
      </c>
      <c r="F51" s="328" t="s">
        <v>423</v>
      </c>
      <c r="G51" s="328">
        <f t="shared" si="5"/>
        <v>0</v>
      </c>
      <c r="H51" s="328">
        <v>0</v>
      </c>
      <c r="I51" s="328"/>
      <c r="J51" s="328"/>
      <c r="K51" s="714" t="s">
        <v>590</v>
      </c>
      <c r="L51" s="621"/>
      <c r="M51" s="621"/>
    </row>
    <row r="52" spans="1:17" s="200" customFormat="1" ht="138.75" thickTop="1" thickBot="1" x14ac:dyDescent="0.25">
      <c r="A52" s="482" t="s">
        <v>1072</v>
      </c>
      <c r="B52" s="482" t="s">
        <v>1073</v>
      </c>
      <c r="C52" s="482" t="s">
        <v>219</v>
      </c>
      <c r="D52" s="482" t="s">
        <v>1074</v>
      </c>
      <c r="E52" s="452" t="s">
        <v>1317</v>
      </c>
      <c r="F52" s="734" t="s">
        <v>1318</v>
      </c>
      <c r="G52" s="485">
        <f t="shared" si="5"/>
        <v>18547010</v>
      </c>
      <c r="H52" s="485">
        <f>'d3'!E50</f>
        <v>18547010</v>
      </c>
      <c r="I52" s="485">
        <f>'d3'!J50</f>
        <v>0</v>
      </c>
      <c r="J52" s="485">
        <f>'d3'!K50</f>
        <v>0</v>
      </c>
      <c r="K52" s="715"/>
      <c r="L52" s="621"/>
      <c r="M52" s="621"/>
      <c r="N52" s="201"/>
      <c r="O52" s="201"/>
      <c r="P52" s="201"/>
      <c r="Q52" s="201"/>
    </row>
    <row r="53" spans="1:17" s="145" customFormat="1" ht="138.75" thickTop="1" thickBot="1" x14ac:dyDescent="0.25">
      <c r="A53" s="482" t="s">
        <v>702</v>
      </c>
      <c r="B53" s="482" t="s">
        <v>703</v>
      </c>
      <c r="C53" s="482" t="s">
        <v>216</v>
      </c>
      <c r="D53" s="482" t="s">
        <v>685</v>
      </c>
      <c r="E53" s="452" t="s">
        <v>1317</v>
      </c>
      <c r="F53" s="734" t="s">
        <v>1318</v>
      </c>
      <c r="G53" s="485">
        <f t="shared" si="5"/>
        <v>628868833</v>
      </c>
      <c r="H53" s="485">
        <f>'d3'!E52</f>
        <v>628868833</v>
      </c>
      <c r="I53" s="485">
        <f>'d3'!J52</f>
        <v>0</v>
      </c>
      <c r="J53" s="485">
        <f>'d3'!K52</f>
        <v>0</v>
      </c>
      <c r="K53" s="715"/>
      <c r="L53" s="621"/>
      <c r="M53" s="621"/>
      <c r="N53" s="146"/>
      <c r="O53" s="146"/>
      <c r="P53" s="146"/>
      <c r="Q53" s="146"/>
    </row>
    <row r="54" spans="1:17" s="429" customFormat="1" ht="138.75" thickTop="1" thickBot="1" x14ac:dyDescent="0.25">
      <c r="A54" s="482" t="s">
        <v>1262</v>
      </c>
      <c r="B54" s="482" t="s">
        <v>1263</v>
      </c>
      <c r="C54" s="482" t="s">
        <v>219</v>
      </c>
      <c r="D54" s="482" t="s">
        <v>1264</v>
      </c>
      <c r="E54" s="452" t="s">
        <v>1317</v>
      </c>
      <c r="F54" s="734" t="s">
        <v>1318</v>
      </c>
      <c r="G54" s="485">
        <f t="shared" ref="G54" si="6">H54+I54</f>
        <v>3835000</v>
      </c>
      <c r="H54" s="485">
        <f>'d3'!E53</f>
        <v>3835000</v>
      </c>
      <c r="I54" s="485">
        <f>'d3'!J53</f>
        <v>0</v>
      </c>
      <c r="J54" s="485">
        <f>'d3'!K53</f>
        <v>0</v>
      </c>
      <c r="K54" s="715"/>
      <c r="L54" s="621"/>
      <c r="M54" s="621"/>
      <c r="N54" s="436"/>
      <c r="O54" s="436"/>
      <c r="P54" s="436"/>
      <c r="Q54" s="436"/>
    </row>
    <row r="55" spans="1:17" s="169" customFormat="1" ht="138.75" hidden="1" thickTop="1" thickBot="1" x14ac:dyDescent="0.25">
      <c r="A55" s="482" t="s">
        <v>991</v>
      </c>
      <c r="B55" s="482" t="s">
        <v>992</v>
      </c>
      <c r="C55" s="482" t="s">
        <v>216</v>
      </c>
      <c r="D55" s="482" t="s">
        <v>995</v>
      </c>
      <c r="E55" s="453" t="s">
        <v>1304</v>
      </c>
      <c r="F55" s="454"/>
      <c r="G55" s="485">
        <f t="shared" si="5"/>
        <v>0</v>
      </c>
      <c r="H55" s="485">
        <f>'d3'!E56</f>
        <v>0</v>
      </c>
      <c r="I55" s="485">
        <f>'d3'!J56</f>
        <v>0</v>
      </c>
      <c r="J55" s="485">
        <f>'d3'!K56</f>
        <v>0</v>
      </c>
      <c r="K55" s="716"/>
      <c r="L55" s="621"/>
      <c r="M55" s="621"/>
      <c r="N55" s="170"/>
      <c r="O55" s="170"/>
      <c r="P55" s="170"/>
      <c r="Q55" s="170"/>
    </row>
    <row r="56" spans="1:17" ht="138.75" thickTop="1" thickBot="1" x14ac:dyDescent="0.25">
      <c r="A56" s="482" t="s">
        <v>704</v>
      </c>
      <c r="B56" s="482" t="s">
        <v>218</v>
      </c>
      <c r="C56" s="482" t="s">
        <v>193</v>
      </c>
      <c r="D56" s="482" t="s">
        <v>517</v>
      </c>
      <c r="E56" s="452" t="s">
        <v>1317</v>
      </c>
      <c r="F56" s="734" t="s">
        <v>1318</v>
      </c>
      <c r="G56" s="485">
        <f t="shared" si="5"/>
        <v>35507950</v>
      </c>
      <c r="H56" s="485">
        <f>'d3'!E57</f>
        <v>33649580</v>
      </c>
      <c r="I56" s="485">
        <f>'d3'!J57</f>
        <v>1858370</v>
      </c>
      <c r="J56" s="485">
        <f>'d3'!K57</f>
        <v>1000000</v>
      </c>
      <c r="K56" s="621"/>
      <c r="L56" s="621"/>
      <c r="M56" s="621"/>
    </row>
    <row r="57" spans="1:17" s="147" customFormat="1" ht="184.5" thickTop="1" thickBot="1" x14ac:dyDescent="0.25">
      <c r="A57" s="482" t="s">
        <v>705</v>
      </c>
      <c r="B57" s="482" t="s">
        <v>706</v>
      </c>
      <c r="C57" s="482" t="s">
        <v>221</v>
      </c>
      <c r="D57" s="482" t="s">
        <v>707</v>
      </c>
      <c r="E57" s="452" t="s">
        <v>1317</v>
      </c>
      <c r="F57" s="734" t="s">
        <v>1318</v>
      </c>
      <c r="G57" s="485">
        <f t="shared" si="5"/>
        <v>167171460</v>
      </c>
      <c r="H57" s="485">
        <f>'d3'!E59</f>
        <v>137467895</v>
      </c>
      <c r="I57" s="485">
        <f>'d3'!J59</f>
        <v>29703565</v>
      </c>
      <c r="J57" s="485">
        <f>'d3'!K59</f>
        <v>2182625</v>
      </c>
      <c r="K57" s="621"/>
      <c r="L57" s="621"/>
      <c r="M57" s="621"/>
      <c r="N57" s="148"/>
      <c r="O57" s="148"/>
      <c r="P57" s="148"/>
      <c r="Q57" s="148"/>
    </row>
    <row r="58" spans="1:17" s="147" customFormat="1" ht="184.5" thickTop="1" thickBot="1" x14ac:dyDescent="0.25">
      <c r="A58" s="482" t="s">
        <v>709</v>
      </c>
      <c r="B58" s="482" t="s">
        <v>708</v>
      </c>
      <c r="C58" s="482" t="s">
        <v>221</v>
      </c>
      <c r="D58" s="482" t="s">
        <v>710</v>
      </c>
      <c r="E58" s="452" t="s">
        <v>1317</v>
      </c>
      <c r="F58" s="734" t="s">
        <v>1318</v>
      </c>
      <c r="G58" s="485">
        <f t="shared" si="5"/>
        <v>17417316</v>
      </c>
      <c r="H58" s="485">
        <f>'d3'!E60</f>
        <v>17417316</v>
      </c>
      <c r="I58" s="485">
        <f>'d3'!J60</f>
        <v>0</v>
      </c>
      <c r="J58" s="485">
        <f>'d3'!K60</f>
        <v>0</v>
      </c>
      <c r="K58" s="621"/>
      <c r="L58" s="621"/>
      <c r="M58" s="621"/>
      <c r="N58" s="148"/>
      <c r="O58" s="148"/>
      <c r="P58" s="148"/>
      <c r="Q58" s="148"/>
    </row>
    <row r="59" spans="1:17" s="147" customFormat="1" ht="138.75" thickTop="1" thickBot="1" x14ac:dyDescent="0.25">
      <c r="A59" s="482" t="s">
        <v>714</v>
      </c>
      <c r="B59" s="482" t="s">
        <v>715</v>
      </c>
      <c r="C59" s="482" t="s">
        <v>222</v>
      </c>
      <c r="D59" s="482" t="s">
        <v>519</v>
      </c>
      <c r="E59" s="452" t="s">
        <v>1317</v>
      </c>
      <c r="F59" s="734" t="s">
        <v>1318</v>
      </c>
      <c r="G59" s="485">
        <f t="shared" ref="G59" si="7">H59+I59</f>
        <v>31620765</v>
      </c>
      <c r="H59" s="485">
        <f>'d3'!E62</f>
        <v>30284875</v>
      </c>
      <c r="I59" s="485">
        <f>'d3'!J62</f>
        <v>1335890</v>
      </c>
      <c r="J59" s="485">
        <f>'d3'!K62</f>
        <v>960000</v>
      </c>
      <c r="K59" s="621"/>
      <c r="L59" s="621"/>
      <c r="M59" s="621"/>
      <c r="N59" s="148"/>
      <c r="O59" s="148"/>
      <c r="P59" s="148"/>
      <c r="Q59" s="148"/>
    </row>
    <row r="60" spans="1:17" s="147" customFormat="1" ht="138.75" thickTop="1" thickBot="1" x14ac:dyDescent="0.25">
      <c r="A60" s="482" t="s">
        <v>716</v>
      </c>
      <c r="B60" s="482" t="s">
        <v>717</v>
      </c>
      <c r="C60" s="482" t="s">
        <v>222</v>
      </c>
      <c r="D60" s="482" t="s">
        <v>351</v>
      </c>
      <c r="E60" s="452" t="s">
        <v>1317</v>
      </c>
      <c r="F60" s="734" t="s">
        <v>1318</v>
      </c>
      <c r="G60" s="485">
        <f>H60+I60</f>
        <v>218010</v>
      </c>
      <c r="H60" s="485">
        <f>'d3'!E63-H61</f>
        <v>218010</v>
      </c>
      <c r="I60" s="485">
        <f>'d3'!J63-I61</f>
        <v>0</v>
      </c>
      <c r="J60" s="485">
        <f>'d3'!K63-J61</f>
        <v>0</v>
      </c>
      <c r="K60" s="717" t="b">
        <f>H60+H61='d3'!E63</f>
        <v>1</v>
      </c>
      <c r="L60" s="718" t="b">
        <f>I60+I61='d3'!J63</f>
        <v>1</v>
      </c>
      <c r="M60" s="718" t="b">
        <f>J60+J61='d3'!K63</f>
        <v>1</v>
      </c>
      <c r="N60" s="148"/>
      <c r="O60" s="148"/>
      <c r="P60" s="148"/>
      <c r="Q60" s="148"/>
    </row>
    <row r="61" spans="1:17" s="147" customFormat="1" ht="230.25" hidden="1" customHeight="1" thickTop="1" thickBot="1" x14ac:dyDescent="0.25">
      <c r="A61" s="259" t="s">
        <v>716</v>
      </c>
      <c r="B61" s="259" t="s">
        <v>717</v>
      </c>
      <c r="C61" s="259" t="s">
        <v>222</v>
      </c>
      <c r="D61" s="259" t="s">
        <v>351</v>
      </c>
      <c r="E61" s="452" t="s">
        <v>1317</v>
      </c>
      <c r="F61" s="734" t="s">
        <v>1318</v>
      </c>
      <c r="G61" s="328">
        <f>H61+I61</f>
        <v>0</v>
      </c>
      <c r="H61" s="328"/>
      <c r="I61" s="328"/>
      <c r="J61" s="328"/>
      <c r="K61" s="714" t="s">
        <v>591</v>
      </c>
      <c r="L61" s="621"/>
      <c r="M61" s="621"/>
      <c r="N61" s="148"/>
      <c r="O61" s="148"/>
      <c r="P61" s="148"/>
      <c r="Q61" s="148"/>
    </row>
    <row r="62" spans="1:17" s="147" customFormat="1" ht="138.75" thickTop="1" thickBot="1" x14ac:dyDescent="0.25">
      <c r="A62" s="482" t="s">
        <v>720</v>
      </c>
      <c r="B62" s="482" t="s">
        <v>721</v>
      </c>
      <c r="C62" s="482" t="s">
        <v>222</v>
      </c>
      <c r="D62" s="482" t="s">
        <v>722</v>
      </c>
      <c r="E62" s="452" t="s">
        <v>1317</v>
      </c>
      <c r="F62" s="734" t="s">
        <v>1318</v>
      </c>
      <c r="G62" s="485">
        <f t="shared" ref="G62:G63" si="8">H62+I62</f>
        <v>1120505</v>
      </c>
      <c r="H62" s="485">
        <f>'d3'!E65</f>
        <v>1120505</v>
      </c>
      <c r="I62" s="485">
        <f>'d3'!J65</f>
        <v>0</v>
      </c>
      <c r="J62" s="485">
        <f>'d3'!K65</f>
        <v>0</v>
      </c>
      <c r="K62" s="621"/>
      <c r="L62" s="621"/>
      <c r="M62" s="621"/>
      <c r="N62" s="148"/>
      <c r="O62" s="148"/>
      <c r="P62" s="148"/>
      <c r="Q62" s="148"/>
    </row>
    <row r="63" spans="1:17" s="147" customFormat="1" ht="138.75" thickTop="1" thickBot="1" x14ac:dyDescent="0.25">
      <c r="A63" s="687" t="s">
        <v>723</v>
      </c>
      <c r="B63" s="687" t="s">
        <v>724</v>
      </c>
      <c r="C63" s="687" t="s">
        <v>222</v>
      </c>
      <c r="D63" s="687" t="s">
        <v>725</v>
      </c>
      <c r="E63" s="452" t="s">
        <v>1317</v>
      </c>
      <c r="F63" s="734" t="s">
        <v>1318</v>
      </c>
      <c r="G63" s="689">
        <f t="shared" si="8"/>
        <v>4602470</v>
      </c>
      <c r="H63" s="689">
        <f>'d3'!E66</f>
        <v>4602470</v>
      </c>
      <c r="I63" s="689">
        <f>'d3'!J66</f>
        <v>0</v>
      </c>
      <c r="J63" s="689">
        <f>'d3'!K66</f>
        <v>0</v>
      </c>
      <c r="K63" s="621"/>
      <c r="L63" s="621"/>
      <c r="M63" s="621"/>
      <c r="N63" s="148"/>
      <c r="O63" s="148"/>
      <c r="P63" s="148"/>
      <c r="Q63" s="148"/>
    </row>
    <row r="64" spans="1:17" s="143" customFormat="1" ht="138.75" thickTop="1" thickBot="1" x14ac:dyDescent="0.25">
      <c r="A64" s="482" t="s">
        <v>690</v>
      </c>
      <c r="B64" s="482" t="s">
        <v>691</v>
      </c>
      <c r="C64" s="482" t="s">
        <v>222</v>
      </c>
      <c r="D64" s="482" t="s">
        <v>692</v>
      </c>
      <c r="E64" s="452" t="s">
        <v>1317</v>
      </c>
      <c r="F64" s="734" t="s">
        <v>1318</v>
      </c>
      <c r="G64" s="485">
        <f t="shared" ref="G64:G65" si="9">H64+I64</f>
        <v>3056165</v>
      </c>
      <c r="H64" s="485">
        <f>'d3'!E67</f>
        <v>3056165</v>
      </c>
      <c r="I64" s="485">
        <f>'d3'!J67</f>
        <v>0</v>
      </c>
      <c r="J64" s="485">
        <f>'d3'!K67</f>
        <v>0</v>
      </c>
      <c r="K64" s="621"/>
      <c r="L64" s="621"/>
      <c r="M64" s="621"/>
      <c r="N64" s="144"/>
      <c r="O64" s="144"/>
      <c r="P64" s="144"/>
      <c r="Q64" s="144"/>
    </row>
    <row r="65" spans="1:17" s="58" customFormat="1" ht="367.5" hidden="1" customHeight="1" thickTop="1" thickBot="1" x14ac:dyDescent="0.25">
      <c r="A65" s="259" t="s">
        <v>698</v>
      </c>
      <c r="B65" s="259" t="s">
        <v>699</v>
      </c>
      <c r="C65" s="259" t="s">
        <v>222</v>
      </c>
      <c r="D65" s="259" t="s">
        <v>700</v>
      </c>
      <c r="E65" s="452" t="s">
        <v>1317</v>
      </c>
      <c r="F65" s="734" t="s">
        <v>1318</v>
      </c>
      <c r="G65" s="328">
        <f t="shared" si="9"/>
        <v>0</v>
      </c>
      <c r="H65" s="328">
        <f>'d3'!E69</f>
        <v>0</v>
      </c>
      <c r="I65" s="328">
        <f>'d3'!J69</f>
        <v>0</v>
      </c>
      <c r="J65" s="328">
        <f>'d3'!K69</f>
        <v>0</v>
      </c>
      <c r="K65" s="621"/>
      <c r="L65" s="621"/>
      <c r="M65" s="621"/>
      <c r="N65" s="149"/>
      <c r="O65" s="149"/>
      <c r="P65" s="149"/>
      <c r="Q65" s="149"/>
    </row>
    <row r="66" spans="1:17" s="58" customFormat="1" ht="321.75" hidden="1" customHeight="1" thickTop="1" thickBot="1" x14ac:dyDescent="0.25">
      <c r="A66" s="259" t="s">
        <v>1054</v>
      </c>
      <c r="B66" s="259" t="s">
        <v>1055</v>
      </c>
      <c r="C66" s="259" t="s">
        <v>222</v>
      </c>
      <c r="D66" s="259" t="s">
        <v>1056</v>
      </c>
      <c r="E66" s="452" t="s">
        <v>1317</v>
      </c>
      <c r="F66" s="734" t="s">
        <v>1318</v>
      </c>
      <c r="G66" s="328">
        <f t="shared" ref="G66" si="10">H66+I66</f>
        <v>0</v>
      </c>
      <c r="H66" s="328">
        <f>'d3'!E70</f>
        <v>0</v>
      </c>
      <c r="I66" s="328">
        <f>'d3'!J70</f>
        <v>0</v>
      </c>
      <c r="J66" s="328">
        <f>'d3'!K70</f>
        <v>0</v>
      </c>
      <c r="K66" s="621"/>
      <c r="L66" s="621"/>
      <c r="M66" s="621"/>
      <c r="N66" s="199"/>
      <c r="O66" s="199"/>
      <c r="P66" s="199"/>
      <c r="Q66" s="199"/>
    </row>
    <row r="67" spans="1:17" s="58" customFormat="1" ht="409.6" hidden="1" customHeight="1" thickTop="1" thickBot="1" x14ac:dyDescent="0.25">
      <c r="A67" s="259" t="s">
        <v>1076</v>
      </c>
      <c r="B67" s="259" t="s">
        <v>1078</v>
      </c>
      <c r="C67" s="259" t="s">
        <v>222</v>
      </c>
      <c r="D67" s="259" t="s">
        <v>1080</v>
      </c>
      <c r="E67" s="452" t="s">
        <v>1317</v>
      </c>
      <c r="F67" s="734" t="s">
        <v>1318</v>
      </c>
      <c r="G67" s="328">
        <f>H67+I67</f>
        <v>0</v>
      </c>
      <c r="H67" s="328">
        <f>'d3'!E72</f>
        <v>0</v>
      </c>
      <c r="I67" s="328">
        <f>'d3'!J72</f>
        <v>0</v>
      </c>
      <c r="J67" s="328">
        <f>'d3'!K72</f>
        <v>0</v>
      </c>
      <c r="K67" s="621"/>
      <c r="L67" s="621"/>
      <c r="M67" s="621"/>
      <c r="N67" s="201"/>
      <c r="O67" s="201"/>
      <c r="P67" s="201"/>
      <c r="Q67" s="201"/>
    </row>
    <row r="68" spans="1:17" s="58" customFormat="1" ht="409.6" hidden="1" customHeight="1" thickTop="1" x14ac:dyDescent="0.2">
      <c r="A68" s="906" t="s">
        <v>1096</v>
      </c>
      <c r="B68" s="906" t="s">
        <v>1097</v>
      </c>
      <c r="C68" s="906" t="s">
        <v>222</v>
      </c>
      <c r="D68" s="906" t="s">
        <v>1098</v>
      </c>
      <c r="E68" s="452" t="s">
        <v>1317</v>
      </c>
      <c r="F68" s="734" t="s">
        <v>1318</v>
      </c>
      <c r="G68" s="1027">
        <f>H68+I68</f>
        <v>0</v>
      </c>
      <c r="H68" s="1027">
        <f>'d3'!E73</f>
        <v>0</v>
      </c>
      <c r="I68" s="1027">
        <f>'d3'!J73</f>
        <v>0</v>
      </c>
      <c r="J68" s="1027">
        <f>'d3'!K73</f>
        <v>0</v>
      </c>
      <c r="K68" s="621"/>
      <c r="L68" s="621"/>
      <c r="M68" s="621"/>
      <c r="N68" s="203"/>
      <c r="O68" s="203"/>
      <c r="P68" s="203"/>
      <c r="Q68" s="203"/>
    </row>
    <row r="69" spans="1:17" s="58" customFormat="1" ht="122.25" hidden="1" customHeight="1" thickBot="1" x14ac:dyDescent="0.25">
      <c r="A69" s="900"/>
      <c r="B69" s="900"/>
      <c r="C69" s="900"/>
      <c r="D69" s="900"/>
      <c r="E69" s="452" t="s">
        <v>1317</v>
      </c>
      <c r="F69" s="734" t="s">
        <v>1318</v>
      </c>
      <c r="G69" s="900"/>
      <c r="H69" s="900"/>
      <c r="I69" s="900">
        <f>'d3'!J74</f>
        <v>0</v>
      </c>
      <c r="J69" s="900">
        <f>'d3'!K74</f>
        <v>0</v>
      </c>
      <c r="K69" s="621"/>
      <c r="L69" s="621"/>
      <c r="M69" s="621"/>
      <c r="N69" s="203"/>
      <c r="O69" s="203"/>
      <c r="P69" s="203"/>
      <c r="Q69" s="203"/>
    </row>
    <row r="70" spans="1:17" s="143" customFormat="1" ht="230.25" thickTop="1" thickBot="1" x14ac:dyDescent="0.25">
      <c r="A70" s="732" t="s">
        <v>687</v>
      </c>
      <c r="B70" s="732" t="s">
        <v>688</v>
      </c>
      <c r="C70" s="732" t="s">
        <v>222</v>
      </c>
      <c r="D70" s="732" t="s">
        <v>689</v>
      </c>
      <c r="E70" s="452" t="s">
        <v>1317</v>
      </c>
      <c r="F70" s="734" t="s">
        <v>1318</v>
      </c>
      <c r="G70" s="730">
        <f t="shared" ref="G70:G77" si="11">H70+I70</f>
        <v>5840472</v>
      </c>
      <c r="H70" s="730">
        <f>'d3'!E75</f>
        <v>4309556</v>
      </c>
      <c r="I70" s="730">
        <f>'d3'!J75</f>
        <v>1530916</v>
      </c>
      <c r="J70" s="730">
        <f>'d3'!K75</f>
        <v>1530916</v>
      </c>
      <c r="K70" s="621"/>
      <c r="L70" s="621"/>
      <c r="M70" s="621"/>
      <c r="N70" s="144"/>
      <c r="O70" s="144"/>
      <c r="P70" s="144"/>
      <c r="Q70" s="144"/>
    </row>
    <row r="71" spans="1:17" s="181" customFormat="1" ht="230.25" hidden="1" thickTop="1" thickBot="1" x14ac:dyDescent="0.25">
      <c r="A71" s="259" t="s">
        <v>1006</v>
      </c>
      <c r="B71" s="259" t="s">
        <v>1007</v>
      </c>
      <c r="C71" s="259" t="s">
        <v>222</v>
      </c>
      <c r="D71" s="259" t="s">
        <v>1008</v>
      </c>
      <c r="E71" s="355" t="s">
        <v>611</v>
      </c>
      <c r="F71" s="328" t="s">
        <v>427</v>
      </c>
      <c r="G71" s="328">
        <f t="shared" si="11"/>
        <v>0</v>
      </c>
      <c r="H71" s="328">
        <f>'d3'!E76</f>
        <v>0</v>
      </c>
      <c r="I71" s="328">
        <f>'d3'!J76</f>
        <v>0</v>
      </c>
      <c r="J71" s="328">
        <f>'d3'!K76</f>
        <v>0</v>
      </c>
      <c r="K71" s="621"/>
      <c r="L71" s="621"/>
      <c r="M71" s="621"/>
      <c r="N71" s="182"/>
      <c r="O71" s="182"/>
      <c r="P71" s="182"/>
      <c r="Q71" s="182"/>
    </row>
    <row r="72" spans="1:17" s="200" customFormat="1" ht="276" hidden="1" thickTop="1" thickBot="1" x14ac:dyDescent="0.25">
      <c r="A72" s="259" t="s">
        <v>1082</v>
      </c>
      <c r="B72" s="259" t="s">
        <v>1084</v>
      </c>
      <c r="C72" s="259" t="s">
        <v>222</v>
      </c>
      <c r="D72" s="259" t="s">
        <v>1086</v>
      </c>
      <c r="E72" s="355" t="s">
        <v>611</v>
      </c>
      <c r="F72" s="328" t="s">
        <v>427</v>
      </c>
      <c r="G72" s="328">
        <f t="shared" si="11"/>
        <v>0</v>
      </c>
      <c r="H72" s="328">
        <f>'d3'!E80</f>
        <v>0</v>
      </c>
      <c r="I72" s="328">
        <f>'d3'!J80</f>
        <v>0</v>
      </c>
      <c r="J72" s="328">
        <f>'d3'!K80</f>
        <v>0</v>
      </c>
      <c r="K72" s="621"/>
      <c r="L72" s="621"/>
      <c r="M72" s="621"/>
      <c r="N72" s="201"/>
      <c r="O72" s="201"/>
      <c r="P72" s="201"/>
      <c r="Q72" s="201"/>
    </row>
    <row r="73" spans="1:17" s="214" customFormat="1" ht="230.25" hidden="1" thickTop="1" thickBot="1" x14ac:dyDescent="0.25">
      <c r="A73" s="259" t="s">
        <v>1137</v>
      </c>
      <c r="B73" s="259" t="s">
        <v>1138</v>
      </c>
      <c r="C73" s="259" t="s">
        <v>222</v>
      </c>
      <c r="D73" s="259" t="s">
        <v>1136</v>
      </c>
      <c r="E73" s="355" t="s">
        <v>611</v>
      </c>
      <c r="F73" s="328" t="s">
        <v>427</v>
      </c>
      <c r="G73" s="328">
        <f t="shared" si="11"/>
        <v>0</v>
      </c>
      <c r="H73" s="328">
        <f>'d3'!E81</f>
        <v>0</v>
      </c>
      <c r="I73" s="328">
        <f>'d3'!J81</f>
        <v>0</v>
      </c>
      <c r="J73" s="328">
        <f>'d3'!K81</f>
        <v>0</v>
      </c>
      <c r="K73" s="621"/>
      <c r="L73" s="621"/>
      <c r="M73" s="621"/>
      <c r="N73" s="215"/>
      <c r="O73" s="215"/>
      <c r="P73" s="215"/>
      <c r="Q73" s="215"/>
    </row>
    <row r="74" spans="1:17" ht="230.25" hidden="1" thickTop="1" thickBot="1" x14ac:dyDescent="0.25">
      <c r="A74" s="259" t="s">
        <v>447</v>
      </c>
      <c r="B74" s="259" t="s">
        <v>448</v>
      </c>
      <c r="C74" s="259" t="s">
        <v>197</v>
      </c>
      <c r="D74" s="259" t="s">
        <v>446</v>
      </c>
      <c r="E74" s="355" t="s">
        <v>612</v>
      </c>
      <c r="F74" s="328" t="s">
        <v>423</v>
      </c>
      <c r="G74" s="328">
        <f t="shared" si="11"/>
        <v>0</v>
      </c>
      <c r="H74" s="328">
        <f>'d3'!E78</f>
        <v>0</v>
      </c>
      <c r="I74" s="328">
        <f>'d3'!J78</f>
        <v>0</v>
      </c>
      <c r="J74" s="328">
        <f>'d3'!K78</f>
        <v>0</v>
      </c>
      <c r="K74" s="621"/>
      <c r="L74" s="621"/>
      <c r="M74" s="621"/>
    </row>
    <row r="75" spans="1:17" s="218" customFormat="1" ht="138.75" thickTop="1" thickBot="1" x14ac:dyDescent="0.25">
      <c r="A75" s="482" t="s">
        <v>1205</v>
      </c>
      <c r="B75" s="482" t="s">
        <v>324</v>
      </c>
      <c r="C75" s="482" t="s">
        <v>317</v>
      </c>
      <c r="D75" s="482" t="s">
        <v>665</v>
      </c>
      <c r="E75" s="452" t="s">
        <v>1317</v>
      </c>
      <c r="F75" s="734" t="s">
        <v>1318</v>
      </c>
      <c r="G75" s="485">
        <f t="shared" si="11"/>
        <v>3068000</v>
      </c>
      <c r="H75" s="485">
        <f>'d3'!E85</f>
        <v>0</v>
      </c>
      <c r="I75" s="485">
        <f>'d3'!J85</f>
        <v>3068000</v>
      </c>
      <c r="J75" s="485">
        <f>'d3'!K85</f>
        <v>3068000</v>
      </c>
      <c r="K75" s="621"/>
      <c r="L75" s="621"/>
      <c r="M75" s="621"/>
      <c r="N75" s="219"/>
      <c r="O75" s="219"/>
      <c r="P75" s="219"/>
      <c r="Q75" s="219"/>
    </row>
    <row r="76" spans="1:17" s="218" customFormat="1" ht="138.75" thickTop="1" thickBot="1" x14ac:dyDescent="0.25">
      <c r="A76" s="482" t="s">
        <v>1195</v>
      </c>
      <c r="B76" s="482" t="s">
        <v>224</v>
      </c>
      <c r="C76" s="482" t="s">
        <v>225</v>
      </c>
      <c r="D76" s="482" t="s">
        <v>43</v>
      </c>
      <c r="E76" s="452" t="s">
        <v>1317</v>
      </c>
      <c r="F76" s="734" t="s">
        <v>1318</v>
      </c>
      <c r="G76" s="485">
        <f t="shared" si="11"/>
        <v>50830000</v>
      </c>
      <c r="H76" s="485">
        <f>'d3'!E87</f>
        <v>0</v>
      </c>
      <c r="I76" s="485">
        <f>'d3'!J87</f>
        <v>50830000</v>
      </c>
      <c r="J76" s="485">
        <f>'d3'!K87</f>
        <v>50830000</v>
      </c>
      <c r="K76" s="621"/>
      <c r="L76" s="621"/>
      <c r="M76" s="621"/>
      <c r="N76" s="219"/>
      <c r="O76" s="219"/>
      <c r="P76" s="219"/>
      <c r="Q76" s="219"/>
    </row>
    <row r="77" spans="1:17" s="209" customFormat="1" ht="138.75" hidden="1" thickTop="1" thickBot="1" x14ac:dyDescent="0.25">
      <c r="A77" s="259" t="s">
        <v>1112</v>
      </c>
      <c r="B77" s="259" t="s">
        <v>377</v>
      </c>
      <c r="C77" s="259" t="s">
        <v>45</v>
      </c>
      <c r="D77" s="259" t="s">
        <v>378</v>
      </c>
      <c r="E77" s="355" t="s">
        <v>611</v>
      </c>
      <c r="F77" s="328" t="s">
        <v>427</v>
      </c>
      <c r="G77" s="328">
        <f t="shared" si="11"/>
        <v>0</v>
      </c>
      <c r="H77" s="328">
        <f>'d3'!E90</f>
        <v>0</v>
      </c>
      <c r="I77" s="328">
        <f>'d3'!J90</f>
        <v>0</v>
      </c>
      <c r="J77" s="328">
        <f>'d3'!K90</f>
        <v>0</v>
      </c>
      <c r="K77" s="621"/>
      <c r="L77" s="621"/>
      <c r="M77" s="621"/>
      <c r="N77" s="210"/>
      <c r="O77" s="210"/>
      <c r="P77" s="210"/>
      <c r="Q77" s="210"/>
    </row>
    <row r="78" spans="1:17" ht="136.5" thickTop="1" thickBot="1" x14ac:dyDescent="0.25">
      <c r="A78" s="827" t="s">
        <v>162</v>
      </c>
      <c r="B78" s="827"/>
      <c r="C78" s="827"/>
      <c r="D78" s="828" t="s">
        <v>18</v>
      </c>
      <c r="E78" s="827"/>
      <c r="F78" s="827"/>
      <c r="G78" s="830">
        <f>G79</f>
        <v>111541126</v>
      </c>
      <c r="H78" s="830">
        <f t="shared" ref="H78:J78" si="12">H79</f>
        <v>100820270</v>
      </c>
      <c r="I78" s="830">
        <f t="shared" si="12"/>
        <v>10720856</v>
      </c>
      <c r="J78" s="830">
        <f t="shared" si="12"/>
        <v>10720856</v>
      </c>
      <c r="K78" s="710" t="b">
        <f>H78='d3'!E91-'d3'!F94</f>
        <v>1</v>
      </c>
      <c r="L78" s="713" t="b">
        <f>I78='d3'!J91-'d3'!J94</f>
        <v>1</v>
      </c>
      <c r="M78" s="713" t="b">
        <f>J78='d3'!K91-'d3'!K94</f>
        <v>1</v>
      </c>
    </row>
    <row r="79" spans="1:17" ht="172.5" customHeight="1" thickTop="1" thickBot="1" x14ac:dyDescent="0.25">
      <c r="A79" s="831" t="s">
        <v>163</v>
      </c>
      <c r="B79" s="831"/>
      <c r="C79" s="831"/>
      <c r="D79" s="832" t="s">
        <v>38</v>
      </c>
      <c r="E79" s="833"/>
      <c r="F79" s="833"/>
      <c r="G79" s="833">
        <f>SUM(G80:G96)</f>
        <v>111541126</v>
      </c>
      <c r="H79" s="833">
        <f>SUM(H80:H96)</f>
        <v>100820270</v>
      </c>
      <c r="I79" s="833">
        <f>SUM(I80:I96)</f>
        <v>10720856</v>
      </c>
      <c r="J79" s="833">
        <f>SUM(J80:J96)</f>
        <v>10720856</v>
      </c>
      <c r="K79" s="621"/>
      <c r="L79" s="621"/>
      <c r="M79" s="621"/>
    </row>
    <row r="80" spans="1:17" ht="386.25" thickTop="1" thickBot="1" x14ac:dyDescent="0.25">
      <c r="A80" s="224" t="s">
        <v>226</v>
      </c>
      <c r="B80" s="224" t="s">
        <v>223</v>
      </c>
      <c r="C80" s="224" t="s">
        <v>227</v>
      </c>
      <c r="D80" s="224" t="s">
        <v>19</v>
      </c>
      <c r="E80" s="505" t="s">
        <v>1372</v>
      </c>
      <c r="F80" s="451" t="s">
        <v>921</v>
      </c>
      <c r="G80" s="506">
        <f>H80+I80</f>
        <v>42467561</v>
      </c>
      <c r="H80" s="506">
        <f>'d3'!E96</f>
        <v>35402605</v>
      </c>
      <c r="I80" s="506">
        <f>'d3'!J96</f>
        <v>7064956</v>
      </c>
      <c r="J80" s="506">
        <f>'d3'!K96</f>
        <v>7064956</v>
      </c>
      <c r="K80" s="621"/>
      <c r="L80" s="621"/>
      <c r="M80" s="621"/>
    </row>
    <row r="81" spans="1:17" ht="386.25" thickTop="1" thickBot="1" x14ac:dyDescent="0.25">
      <c r="A81" s="224" t="s">
        <v>523</v>
      </c>
      <c r="B81" s="224" t="s">
        <v>526</v>
      </c>
      <c r="C81" s="224" t="s">
        <v>525</v>
      </c>
      <c r="D81" s="224" t="s">
        <v>524</v>
      </c>
      <c r="E81" s="505" t="s">
        <v>1372</v>
      </c>
      <c r="F81" s="451" t="s">
        <v>921</v>
      </c>
      <c r="G81" s="506">
        <f>H81+I81</f>
        <v>15747350</v>
      </c>
      <c r="H81" s="506">
        <f>'d3'!E97</f>
        <v>13091450</v>
      </c>
      <c r="I81" s="506">
        <f>'d3'!J97</f>
        <v>2655900</v>
      </c>
      <c r="J81" s="506">
        <f>'d3'!K97</f>
        <v>2655900</v>
      </c>
      <c r="K81" s="621"/>
      <c r="L81" s="621"/>
      <c r="M81" s="621"/>
    </row>
    <row r="82" spans="1:17" ht="386.25" thickTop="1" thickBot="1" x14ac:dyDescent="0.25">
      <c r="A82" s="224" t="s">
        <v>228</v>
      </c>
      <c r="B82" s="224" t="s">
        <v>229</v>
      </c>
      <c r="C82" s="224" t="s">
        <v>230</v>
      </c>
      <c r="D82" s="224" t="s">
        <v>231</v>
      </c>
      <c r="E82" s="505" t="s">
        <v>1372</v>
      </c>
      <c r="F82" s="451" t="s">
        <v>921</v>
      </c>
      <c r="G82" s="506">
        <f t="shared" ref="G82:G88" si="13">H82+I82</f>
        <v>9629950</v>
      </c>
      <c r="H82" s="506">
        <f>'d3'!E98</f>
        <v>9129950</v>
      </c>
      <c r="I82" s="506">
        <f>'d3'!J98</f>
        <v>500000</v>
      </c>
      <c r="J82" s="506">
        <f>'d3'!K98</f>
        <v>500000</v>
      </c>
      <c r="K82" s="621"/>
      <c r="L82" s="621"/>
      <c r="M82" s="621"/>
    </row>
    <row r="83" spans="1:17" ht="386.25" thickTop="1" thickBot="1" x14ac:dyDescent="0.25">
      <c r="A83" s="224" t="s">
        <v>232</v>
      </c>
      <c r="B83" s="224" t="s">
        <v>233</v>
      </c>
      <c r="C83" s="224" t="s">
        <v>234</v>
      </c>
      <c r="D83" s="224" t="s">
        <v>359</v>
      </c>
      <c r="E83" s="505" t="s">
        <v>1372</v>
      </c>
      <c r="F83" s="451" t="s">
        <v>921</v>
      </c>
      <c r="G83" s="506">
        <f t="shared" si="13"/>
        <v>13726470</v>
      </c>
      <c r="H83" s="506">
        <f>'d3'!E99</f>
        <v>13726470</v>
      </c>
      <c r="I83" s="506">
        <f>'d3'!J99</f>
        <v>0</v>
      </c>
      <c r="J83" s="506">
        <f>'d3'!K99</f>
        <v>0</v>
      </c>
      <c r="K83" s="621"/>
      <c r="L83" s="621"/>
      <c r="M83" s="621"/>
    </row>
    <row r="84" spans="1:17" ht="409.6" customHeight="1" thickTop="1" thickBot="1" x14ac:dyDescent="0.25">
      <c r="A84" s="224" t="s">
        <v>235</v>
      </c>
      <c r="B84" s="224" t="s">
        <v>236</v>
      </c>
      <c r="C84" s="224" t="s">
        <v>237</v>
      </c>
      <c r="D84" s="224" t="s">
        <v>238</v>
      </c>
      <c r="E84" s="505" t="s">
        <v>1372</v>
      </c>
      <c r="F84" s="451" t="s">
        <v>921</v>
      </c>
      <c r="G84" s="506">
        <f t="shared" si="13"/>
        <v>6468700</v>
      </c>
      <c r="H84" s="506">
        <f>'d3'!E100-H85</f>
        <v>6268700</v>
      </c>
      <c r="I84" s="506">
        <f>'d3'!J100-I85</f>
        <v>200000</v>
      </c>
      <c r="J84" s="506">
        <f>'d3'!K100-J85</f>
        <v>200000</v>
      </c>
      <c r="K84" s="621"/>
      <c r="L84" s="621"/>
      <c r="M84" s="621"/>
    </row>
    <row r="85" spans="1:17" ht="184.5" thickTop="1" thickBot="1" x14ac:dyDescent="0.25">
      <c r="A85" s="224" t="s">
        <v>235</v>
      </c>
      <c r="B85" s="224" t="s">
        <v>236</v>
      </c>
      <c r="C85" s="224" t="s">
        <v>237</v>
      </c>
      <c r="D85" s="224" t="s">
        <v>238</v>
      </c>
      <c r="E85" s="452" t="s">
        <v>1329</v>
      </c>
      <c r="F85" s="451" t="s">
        <v>917</v>
      </c>
      <c r="G85" s="451">
        <f t="shared" si="13"/>
        <v>1287600</v>
      </c>
      <c r="H85" s="451">
        <v>1287600</v>
      </c>
      <c r="I85" s="451"/>
      <c r="J85" s="451"/>
      <c r="K85" s="621"/>
      <c r="L85" s="621"/>
      <c r="M85" s="621"/>
    </row>
    <row r="86" spans="1:17" ht="386.25" thickTop="1" thickBot="1" x14ac:dyDescent="0.25">
      <c r="A86" s="224" t="s">
        <v>239</v>
      </c>
      <c r="B86" s="224" t="s">
        <v>240</v>
      </c>
      <c r="C86" s="224" t="s">
        <v>360</v>
      </c>
      <c r="D86" s="224" t="s">
        <v>241</v>
      </c>
      <c r="E86" s="505" t="s">
        <v>1372</v>
      </c>
      <c r="F86" s="451" t="s">
        <v>921</v>
      </c>
      <c r="G86" s="506">
        <f t="shared" si="13"/>
        <v>14204885</v>
      </c>
      <c r="H86" s="506">
        <f>'d3'!E102</f>
        <v>14204885</v>
      </c>
      <c r="I86" s="506">
        <f>'d3'!J102</f>
        <v>0</v>
      </c>
      <c r="J86" s="506">
        <f>'d3'!K102</f>
        <v>0</v>
      </c>
      <c r="K86" s="621"/>
      <c r="L86" s="621"/>
      <c r="M86" s="621"/>
    </row>
    <row r="87" spans="1:17" ht="386.25" hidden="1" thickTop="1" thickBot="1" x14ac:dyDescent="0.25">
      <c r="A87" s="259" t="s">
        <v>493</v>
      </c>
      <c r="B87" s="259" t="s">
        <v>494</v>
      </c>
      <c r="C87" s="259" t="s">
        <v>242</v>
      </c>
      <c r="D87" s="259" t="s">
        <v>495</v>
      </c>
      <c r="E87" s="356" t="s">
        <v>920</v>
      </c>
      <c r="F87" s="328" t="s">
        <v>921</v>
      </c>
      <c r="G87" s="359">
        <f t="shared" si="13"/>
        <v>0</v>
      </c>
      <c r="H87" s="359">
        <f>'d3'!E104</f>
        <v>0</v>
      </c>
      <c r="I87" s="359">
        <f>'d3'!J104</f>
        <v>0</v>
      </c>
      <c r="J87" s="359">
        <f>'d3'!K104</f>
        <v>0</v>
      </c>
      <c r="K87" s="621"/>
      <c r="L87" s="621"/>
      <c r="M87" s="621"/>
    </row>
    <row r="88" spans="1:17" s="24" customFormat="1" ht="409.6" customHeight="1" thickTop="1" thickBot="1" x14ac:dyDescent="0.25">
      <c r="A88" s="224" t="s">
        <v>335</v>
      </c>
      <c r="B88" s="224" t="s">
        <v>337</v>
      </c>
      <c r="C88" s="224" t="s">
        <v>242</v>
      </c>
      <c r="D88" s="498" t="s">
        <v>333</v>
      </c>
      <c r="E88" s="505" t="s">
        <v>1372</v>
      </c>
      <c r="F88" s="451" t="s">
        <v>921</v>
      </c>
      <c r="G88" s="506">
        <f t="shared" si="13"/>
        <v>3474610</v>
      </c>
      <c r="H88" s="506">
        <f>'d3'!E106</f>
        <v>3474610</v>
      </c>
      <c r="I88" s="506">
        <f>'d3'!J106</f>
        <v>0</v>
      </c>
      <c r="J88" s="506">
        <f>'d3'!K106</f>
        <v>0</v>
      </c>
      <c r="K88" s="620"/>
      <c r="L88" s="620"/>
      <c r="M88" s="620"/>
      <c r="N88" s="107"/>
      <c r="O88" s="107"/>
      <c r="P88" s="107"/>
      <c r="Q88" s="107"/>
    </row>
    <row r="89" spans="1:17" s="24" customFormat="1" ht="386.25" thickTop="1" thickBot="1" x14ac:dyDescent="0.25">
      <c r="A89" s="224" t="s">
        <v>336</v>
      </c>
      <c r="B89" s="224" t="s">
        <v>338</v>
      </c>
      <c r="C89" s="224" t="s">
        <v>242</v>
      </c>
      <c r="D89" s="498" t="s">
        <v>334</v>
      </c>
      <c r="E89" s="505" t="s">
        <v>1372</v>
      </c>
      <c r="F89" s="451" t="s">
        <v>921</v>
      </c>
      <c r="G89" s="762">
        <f>H89+I89</f>
        <v>4134000</v>
      </c>
      <c r="H89" s="762">
        <f>'d3'!E107</f>
        <v>4134000</v>
      </c>
      <c r="I89" s="762">
        <f>'d3'!J107</f>
        <v>0</v>
      </c>
      <c r="J89" s="762">
        <f>'d3'!K107</f>
        <v>0</v>
      </c>
      <c r="K89" s="620"/>
      <c r="L89" s="620"/>
      <c r="M89" s="620"/>
      <c r="N89" s="107"/>
      <c r="O89" s="107"/>
      <c r="P89" s="107"/>
      <c r="Q89" s="107"/>
    </row>
    <row r="90" spans="1:17" s="24" customFormat="1" ht="386.25" thickTop="1" thickBot="1" x14ac:dyDescent="0.25">
      <c r="A90" s="805" t="s">
        <v>1369</v>
      </c>
      <c r="B90" s="805" t="s">
        <v>1370</v>
      </c>
      <c r="C90" s="805" t="s">
        <v>218</v>
      </c>
      <c r="D90" s="498" t="s">
        <v>1371</v>
      </c>
      <c r="E90" s="505" t="s">
        <v>1372</v>
      </c>
      <c r="F90" s="807" t="s">
        <v>921</v>
      </c>
      <c r="G90" s="810">
        <f>H90+I90</f>
        <v>100000</v>
      </c>
      <c r="H90" s="810">
        <f>'d3'!E109</f>
        <v>100000</v>
      </c>
      <c r="I90" s="810">
        <f>'d3'!J109</f>
        <v>0</v>
      </c>
      <c r="J90" s="810">
        <f>'d3'!K109</f>
        <v>0</v>
      </c>
      <c r="K90" s="620"/>
      <c r="L90" s="620"/>
      <c r="M90" s="620"/>
      <c r="N90" s="107"/>
      <c r="O90" s="107"/>
      <c r="P90" s="107"/>
      <c r="Q90" s="107"/>
    </row>
    <row r="91" spans="1:17" s="24" customFormat="1" ht="386.25" thickTop="1" thickBot="1" x14ac:dyDescent="0.25">
      <c r="A91" s="754" t="s">
        <v>1332</v>
      </c>
      <c r="B91" s="754" t="s">
        <v>1334</v>
      </c>
      <c r="C91" s="754" t="s">
        <v>317</v>
      </c>
      <c r="D91" s="754" t="s">
        <v>1331</v>
      </c>
      <c r="E91" s="505" t="s">
        <v>1372</v>
      </c>
      <c r="F91" s="756" t="s">
        <v>921</v>
      </c>
      <c r="G91" s="762">
        <f>H91+I91</f>
        <v>300000</v>
      </c>
      <c r="H91" s="762">
        <f>'d3'!E113</f>
        <v>0</v>
      </c>
      <c r="I91" s="762">
        <f>'d3'!J113</f>
        <v>300000</v>
      </c>
      <c r="J91" s="762">
        <f>'d3'!K113</f>
        <v>300000</v>
      </c>
      <c r="K91" s="620"/>
      <c r="L91" s="620"/>
      <c r="M91" s="620"/>
      <c r="N91" s="107"/>
      <c r="O91" s="107"/>
      <c r="P91" s="107"/>
      <c r="Q91" s="107"/>
    </row>
    <row r="92" spans="1:17" s="24" customFormat="1" ht="386.25" hidden="1" thickTop="1" thickBot="1" x14ac:dyDescent="0.25">
      <c r="A92" s="259" t="s">
        <v>1143</v>
      </c>
      <c r="B92" s="259" t="s">
        <v>1144</v>
      </c>
      <c r="C92" s="259" t="s">
        <v>178</v>
      </c>
      <c r="D92" s="259" t="s">
        <v>1145</v>
      </c>
      <c r="E92" s="356" t="s">
        <v>920</v>
      </c>
      <c r="F92" s="328" t="s">
        <v>921</v>
      </c>
      <c r="G92" s="357">
        <f>H92+I92</f>
        <v>0</v>
      </c>
      <c r="H92" s="357">
        <f>'d3'!E115</f>
        <v>0</v>
      </c>
      <c r="I92" s="357">
        <f>'d3'!J115</f>
        <v>0</v>
      </c>
      <c r="J92" s="357">
        <f>'d3'!K115</f>
        <v>0</v>
      </c>
      <c r="K92" s="620"/>
      <c r="L92" s="620"/>
      <c r="M92" s="620"/>
      <c r="N92" s="107"/>
      <c r="O92" s="107"/>
      <c r="P92" s="107"/>
      <c r="Q92" s="107"/>
    </row>
    <row r="93" spans="1:17" s="24" customFormat="1" ht="138.75" hidden="1" thickTop="1" thickBot="1" x14ac:dyDescent="0.25">
      <c r="A93" s="259" t="s">
        <v>451</v>
      </c>
      <c r="B93" s="259" t="s">
        <v>209</v>
      </c>
      <c r="C93" s="259" t="s">
        <v>178</v>
      </c>
      <c r="D93" s="259" t="s">
        <v>36</v>
      </c>
      <c r="E93" s="328" t="s">
        <v>452</v>
      </c>
      <c r="F93" s="328" t="s">
        <v>426</v>
      </c>
      <c r="G93" s="1027">
        <f>H93+I93</f>
        <v>0</v>
      </c>
      <c r="H93" s="1027">
        <v>0</v>
      </c>
      <c r="I93" s="1027">
        <f>'d3'!J117-I95</f>
        <v>0</v>
      </c>
      <c r="J93" s="1027">
        <f>'d3'!K117-J95</f>
        <v>0</v>
      </c>
      <c r="K93" s="620"/>
      <c r="L93" s="620"/>
      <c r="M93" s="620"/>
      <c r="N93" s="107"/>
      <c r="O93" s="107"/>
      <c r="P93" s="107"/>
      <c r="Q93" s="107"/>
    </row>
    <row r="94" spans="1:17" s="24" customFormat="1" ht="386.25" hidden="1" thickTop="1" thickBot="1" x14ac:dyDescent="0.25">
      <c r="A94" s="259" t="s">
        <v>451</v>
      </c>
      <c r="B94" s="259" t="s">
        <v>209</v>
      </c>
      <c r="C94" s="259" t="s">
        <v>178</v>
      </c>
      <c r="D94" s="259" t="s">
        <v>36</v>
      </c>
      <c r="E94" s="356" t="s">
        <v>920</v>
      </c>
      <c r="F94" s="328" t="s">
        <v>921</v>
      </c>
      <c r="G94" s="1028"/>
      <c r="H94" s="1028"/>
      <c r="I94" s="1028"/>
      <c r="J94" s="1028"/>
      <c r="K94" s="620"/>
      <c r="L94" s="620"/>
      <c r="M94" s="620"/>
      <c r="N94" s="107"/>
      <c r="O94" s="107"/>
      <c r="P94" s="107"/>
      <c r="Q94" s="107"/>
    </row>
    <row r="95" spans="1:17" s="24" customFormat="1" ht="184.5" hidden="1" thickTop="1" thickBot="1" x14ac:dyDescent="0.25">
      <c r="A95" s="259" t="s">
        <v>451</v>
      </c>
      <c r="B95" s="259" t="s">
        <v>209</v>
      </c>
      <c r="C95" s="259" t="s">
        <v>178</v>
      </c>
      <c r="D95" s="259" t="s">
        <v>36</v>
      </c>
      <c r="E95" s="355" t="s">
        <v>467</v>
      </c>
      <c r="F95" s="296" t="s">
        <v>468</v>
      </c>
      <c r="G95" s="328">
        <f>H95+I95</f>
        <v>0</v>
      </c>
      <c r="H95" s="328">
        <v>0</v>
      </c>
      <c r="I95" s="328"/>
      <c r="J95" s="328"/>
      <c r="K95" s="620"/>
      <c r="L95" s="620"/>
      <c r="M95" s="620"/>
      <c r="N95" s="107"/>
      <c r="O95" s="107"/>
      <c r="P95" s="107"/>
      <c r="Q95" s="107"/>
    </row>
    <row r="96" spans="1:17" s="24" customFormat="1" ht="138.75" hidden="1" thickTop="1" thickBot="1" x14ac:dyDescent="0.25">
      <c r="A96" s="287" t="s">
        <v>527</v>
      </c>
      <c r="B96" s="287" t="s">
        <v>377</v>
      </c>
      <c r="C96" s="287" t="s">
        <v>45</v>
      </c>
      <c r="D96" s="287" t="s">
        <v>378</v>
      </c>
      <c r="E96" s="358" t="s">
        <v>452</v>
      </c>
      <c r="F96" s="358" t="s">
        <v>426</v>
      </c>
      <c r="G96" s="358">
        <f>H96+I96</f>
        <v>0</v>
      </c>
      <c r="H96" s="358">
        <f>'d3'!F118</f>
        <v>0</v>
      </c>
      <c r="I96" s="358">
        <f>'d3'!J118</f>
        <v>0</v>
      </c>
      <c r="J96" s="358">
        <f>'d3'!K118</f>
        <v>0</v>
      </c>
      <c r="K96" s="620"/>
      <c r="L96" s="620"/>
      <c r="M96" s="620"/>
      <c r="N96" s="107"/>
      <c r="O96" s="107"/>
      <c r="P96" s="107"/>
      <c r="Q96" s="107"/>
    </row>
    <row r="97" spans="1:17" ht="241.5" customHeight="1" thickTop="1" thickBot="1" x14ac:dyDescent="0.25">
      <c r="A97" s="827" t="s">
        <v>164</v>
      </c>
      <c r="B97" s="827"/>
      <c r="C97" s="827"/>
      <c r="D97" s="828" t="s">
        <v>39</v>
      </c>
      <c r="E97" s="827"/>
      <c r="F97" s="827"/>
      <c r="G97" s="830">
        <f>G98</f>
        <v>180210488.03999999</v>
      </c>
      <c r="H97" s="830">
        <f t="shared" ref="H97:J97" si="14">H98</f>
        <v>161234256.03999999</v>
      </c>
      <c r="I97" s="830">
        <f t="shared" si="14"/>
        <v>18976232</v>
      </c>
      <c r="J97" s="830">
        <f t="shared" si="14"/>
        <v>11930528</v>
      </c>
      <c r="K97" s="710" t="b">
        <f>H97='d3'!E120-'d3'!E122+H99+H100</f>
        <v>1</v>
      </c>
      <c r="L97" s="713" t="b">
        <f>I97='d3'!J120-'d3'!J122-'d3'!J147+'d7'!I99+I100</f>
        <v>1</v>
      </c>
      <c r="M97" s="713" t="b">
        <f>J97='d3'!K120-'d3'!K122-'d3'!K147+'d7'!J99+J100</f>
        <v>1</v>
      </c>
    </row>
    <row r="98" spans="1:17" ht="181.5" thickTop="1" thickBot="1" x14ac:dyDescent="0.25">
      <c r="A98" s="831" t="s">
        <v>165</v>
      </c>
      <c r="B98" s="831"/>
      <c r="C98" s="831"/>
      <c r="D98" s="832" t="s">
        <v>40</v>
      </c>
      <c r="E98" s="833"/>
      <c r="F98" s="833"/>
      <c r="G98" s="833">
        <f>SUM(G99:G131)</f>
        <v>180210488.03999999</v>
      </c>
      <c r="H98" s="833">
        <f>SUM(H99:H131)</f>
        <v>161234256.03999999</v>
      </c>
      <c r="I98" s="833">
        <f>SUM(I99:I131)</f>
        <v>18976232</v>
      </c>
      <c r="J98" s="833">
        <f>SUM(J99:J131)</f>
        <v>11930528</v>
      </c>
      <c r="K98" s="621"/>
      <c r="L98" s="627"/>
      <c r="M98" s="621"/>
    </row>
    <row r="99" spans="1:17" ht="184.5" thickTop="1" thickBot="1" x14ac:dyDescent="0.25">
      <c r="A99" s="224" t="s">
        <v>431</v>
      </c>
      <c r="B99" s="224" t="s">
        <v>248</v>
      </c>
      <c r="C99" s="224" t="s">
        <v>246</v>
      </c>
      <c r="D99" s="224" t="s">
        <v>247</v>
      </c>
      <c r="E99" s="450" t="s">
        <v>1122</v>
      </c>
      <c r="F99" s="451" t="s">
        <v>904</v>
      </c>
      <c r="G99" s="451">
        <f t="shared" ref="G99:G129" si="15">H99+I99</f>
        <v>299300</v>
      </c>
      <c r="H99" s="451">
        <v>0</v>
      </c>
      <c r="I99" s="451">
        <v>299300</v>
      </c>
      <c r="J99" s="451">
        <v>299300</v>
      </c>
      <c r="K99" s="621"/>
      <c r="L99" s="627"/>
      <c r="M99" s="621"/>
    </row>
    <row r="100" spans="1:17" s="169" customFormat="1" ht="184.5" hidden="1" thickTop="1" thickBot="1" x14ac:dyDescent="0.25">
      <c r="A100" s="259" t="s">
        <v>431</v>
      </c>
      <c r="B100" s="259" t="s">
        <v>248</v>
      </c>
      <c r="C100" s="259" t="s">
        <v>246</v>
      </c>
      <c r="D100" s="259" t="s">
        <v>247</v>
      </c>
      <c r="E100" s="355" t="s">
        <v>612</v>
      </c>
      <c r="F100" s="328" t="s">
        <v>423</v>
      </c>
      <c r="G100" s="328">
        <f t="shared" si="15"/>
        <v>0</v>
      </c>
      <c r="H100" s="328"/>
      <c r="I100" s="328"/>
      <c r="J100" s="328"/>
      <c r="K100" s="621"/>
      <c r="L100" s="627"/>
      <c r="M100" s="621"/>
      <c r="N100" s="170"/>
      <c r="O100" s="170"/>
      <c r="P100" s="170"/>
      <c r="Q100" s="170"/>
    </row>
    <row r="101" spans="1:17" s="141" customFormat="1" ht="367.5" thickTop="1" thickBot="1" x14ac:dyDescent="0.25">
      <c r="A101" s="224" t="s">
        <v>670</v>
      </c>
      <c r="B101" s="224" t="s">
        <v>376</v>
      </c>
      <c r="C101" s="224" t="s">
        <v>662</v>
      </c>
      <c r="D101" s="224" t="s">
        <v>663</v>
      </c>
      <c r="E101" s="450" t="s">
        <v>1327</v>
      </c>
      <c r="F101" s="750" t="s">
        <v>1328</v>
      </c>
      <c r="G101" s="451">
        <f t="shared" si="15"/>
        <v>50000</v>
      </c>
      <c r="H101" s="451">
        <f>'d3'!E123</f>
        <v>50000</v>
      </c>
      <c r="I101" s="451">
        <f>'d3'!J123</f>
        <v>0</v>
      </c>
      <c r="J101" s="451">
        <f>'d3'!K123</f>
        <v>0</v>
      </c>
      <c r="K101" s="621"/>
      <c r="L101" s="627"/>
      <c r="M101" s="621"/>
      <c r="N101" s="142"/>
      <c r="O101" s="142"/>
      <c r="P101" s="142"/>
      <c r="Q101" s="142"/>
    </row>
    <row r="102" spans="1:17" s="167" customFormat="1" ht="138.75" thickTop="1" thickBot="1" x14ac:dyDescent="0.25">
      <c r="A102" s="531" t="s">
        <v>977</v>
      </c>
      <c r="B102" s="531" t="s">
        <v>45</v>
      </c>
      <c r="C102" s="531" t="s">
        <v>44</v>
      </c>
      <c r="D102" s="531" t="s">
        <v>260</v>
      </c>
      <c r="E102" s="450" t="s">
        <v>1027</v>
      </c>
      <c r="F102" s="530" t="s">
        <v>1022</v>
      </c>
      <c r="G102" s="530">
        <f t="shared" si="15"/>
        <v>30000</v>
      </c>
      <c r="H102" s="530">
        <f>'d3'!E124</f>
        <v>30000</v>
      </c>
      <c r="I102" s="530">
        <f>'d3'!J124</f>
        <v>0</v>
      </c>
      <c r="J102" s="530">
        <f>'d3'!K124</f>
        <v>0</v>
      </c>
      <c r="K102" s="621"/>
      <c r="L102" s="627"/>
      <c r="M102" s="621"/>
      <c r="N102" s="168"/>
      <c r="O102" s="168"/>
      <c r="P102" s="168"/>
      <c r="Q102" s="168"/>
    </row>
    <row r="103" spans="1:17" s="24" customFormat="1" ht="138.75" thickTop="1" thickBot="1" x14ac:dyDescent="0.25">
      <c r="A103" s="532" t="s">
        <v>281</v>
      </c>
      <c r="B103" s="532" t="s">
        <v>282</v>
      </c>
      <c r="C103" s="532" t="s">
        <v>217</v>
      </c>
      <c r="D103" s="561" t="s">
        <v>283</v>
      </c>
      <c r="E103" s="452" t="s">
        <v>1360</v>
      </c>
      <c r="F103" s="734" t="s">
        <v>1316</v>
      </c>
      <c r="G103" s="530">
        <f t="shared" si="15"/>
        <v>420000</v>
      </c>
      <c r="H103" s="530">
        <f>'d3'!E127</f>
        <v>270000</v>
      </c>
      <c r="I103" s="530">
        <f>'d3'!J127</f>
        <v>150000</v>
      </c>
      <c r="J103" s="530">
        <f>'d3'!K127</f>
        <v>150000</v>
      </c>
      <c r="K103" s="620"/>
      <c r="L103" s="620"/>
      <c r="M103" s="620"/>
      <c r="N103" s="107"/>
      <c r="O103" s="107"/>
      <c r="P103" s="107"/>
      <c r="Q103" s="107"/>
    </row>
    <row r="104" spans="1:17" s="24" customFormat="1" ht="138.75" thickTop="1" thickBot="1" x14ac:dyDescent="0.25">
      <c r="A104" s="532" t="s">
        <v>284</v>
      </c>
      <c r="B104" s="532" t="s">
        <v>285</v>
      </c>
      <c r="C104" s="532" t="s">
        <v>218</v>
      </c>
      <c r="D104" s="532" t="s">
        <v>6</v>
      </c>
      <c r="E104" s="452" t="s">
        <v>1360</v>
      </c>
      <c r="F104" s="734" t="s">
        <v>1316</v>
      </c>
      <c r="G104" s="530">
        <f t="shared" si="15"/>
        <v>900000</v>
      </c>
      <c r="H104" s="530">
        <f>'d3'!E128</f>
        <v>900000</v>
      </c>
      <c r="I104" s="530">
        <f>'d3'!J128</f>
        <v>0</v>
      </c>
      <c r="J104" s="530">
        <f>'d3'!K128</f>
        <v>0</v>
      </c>
      <c r="K104" s="620"/>
      <c r="L104" s="620"/>
      <c r="M104" s="620"/>
      <c r="N104" s="107"/>
      <c r="O104" s="107"/>
      <c r="P104" s="107"/>
      <c r="Q104" s="107"/>
    </row>
    <row r="105" spans="1:17" s="24" customFormat="1" ht="138.75" thickTop="1" thickBot="1" x14ac:dyDescent="0.25">
      <c r="A105" s="532" t="s">
        <v>287</v>
      </c>
      <c r="B105" s="532" t="s">
        <v>288</v>
      </c>
      <c r="C105" s="532" t="s">
        <v>218</v>
      </c>
      <c r="D105" s="532" t="s">
        <v>7</v>
      </c>
      <c r="E105" s="452" t="s">
        <v>1360</v>
      </c>
      <c r="F105" s="734" t="s">
        <v>1316</v>
      </c>
      <c r="G105" s="530">
        <f t="shared" si="15"/>
        <v>15600000</v>
      </c>
      <c r="H105" s="530">
        <f>'d3'!E129</f>
        <v>15600000</v>
      </c>
      <c r="I105" s="530">
        <f>'d3'!J129</f>
        <v>0</v>
      </c>
      <c r="J105" s="530">
        <f>'d3'!K129</f>
        <v>0</v>
      </c>
      <c r="K105" s="620"/>
      <c r="L105" s="620"/>
      <c r="M105" s="620"/>
      <c r="N105" s="107"/>
      <c r="O105" s="107"/>
      <c r="P105" s="107"/>
      <c r="Q105" s="107"/>
    </row>
    <row r="106" spans="1:17" s="24" customFormat="1" ht="138.75" thickTop="1" thickBot="1" x14ac:dyDescent="0.25">
      <c r="A106" s="532" t="s">
        <v>289</v>
      </c>
      <c r="B106" s="532" t="s">
        <v>286</v>
      </c>
      <c r="C106" s="532" t="s">
        <v>218</v>
      </c>
      <c r="D106" s="532" t="s">
        <v>8</v>
      </c>
      <c r="E106" s="452" t="s">
        <v>1360</v>
      </c>
      <c r="F106" s="734" t="s">
        <v>1316</v>
      </c>
      <c r="G106" s="530">
        <f t="shared" si="15"/>
        <v>900000</v>
      </c>
      <c r="H106" s="530">
        <f>'d3'!E130</f>
        <v>900000</v>
      </c>
      <c r="I106" s="530">
        <f>'d3'!J130</f>
        <v>0</v>
      </c>
      <c r="J106" s="530">
        <f>'d3'!K130</f>
        <v>0</v>
      </c>
      <c r="K106" s="620"/>
      <c r="L106" s="620"/>
      <c r="M106" s="620"/>
      <c r="N106" s="107"/>
      <c r="O106" s="107"/>
      <c r="P106" s="107"/>
      <c r="Q106" s="107"/>
    </row>
    <row r="107" spans="1:17" s="24" customFormat="1" ht="138.75" thickTop="1" thickBot="1" x14ac:dyDescent="0.25">
      <c r="A107" s="532" t="s">
        <v>290</v>
      </c>
      <c r="B107" s="532" t="s">
        <v>291</v>
      </c>
      <c r="C107" s="532" t="s">
        <v>218</v>
      </c>
      <c r="D107" s="532" t="s">
        <v>9</v>
      </c>
      <c r="E107" s="452" t="s">
        <v>1360</v>
      </c>
      <c r="F107" s="734" t="s">
        <v>1316</v>
      </c>
      <c r="G107" s="530">
        <f t="shared" si="15"/>
        <v>46868000</v>
      </c>
      <c r="H107" s="530">
        <f>'d3'!E131</f>
        <v>46868000</v>
      </c>
      <c r="I107" s="530">
        <f>'d3'!J131</f>
        <v>0</v>
      </c>
      <c r="J107" s="530">
        <f>'d3'!K131</f>
        <v>0</v>
      </c>
      <c r="K107" s="620"/>
      <c r="L107" s="620"/>
      <c r="M107" s="620"/>
      <c r="N107" s="107"/>
      <c r="O107" s="107"/>
      <c r="P107" s="107"/>
      <c r="Q107" s="107"/>
    </row>
    <row r="108" spans="1:17" s="24" customFormat="1" ht="138.75" thickTop="1" thickBot="1" x14ac:dyDescent="0.25">
      <c r="A108" s="665" t="s">
        <v>496</v>
      </c>
      <c r="B108" s="665" t="s">
        <v>497</v>
      </c>
      <c r="C108" s="665" t="s">
        <v>218</v>
      </c>
      <c r="D108" s="665" t="s">
        <v>498</v>
      </c>
      <c r="E108" s="452" t="s">
        <v>1360</v>
      </c>
      <c r="F108" s="734" t="s">
        <v>1316</v>
      </c>
      <c r="G108" s="664">
        <f t="shared" si="15"/>
        <v>226297</v>
      </c>
      <c r="H108" s="664">
        <f>'d3'!E132</f>
        <v>226297</v>
      </c>
      <c r="I108" s="664">
        <f>'d3'!J132</f>
        <v>0</v>
      </c>
      <c r="J108" s="664">
        <f>'d3'!K132</f>
        <v>0</v>
      </c>
      <c r="K108" s="620"/>
      <c r="L108" s="620"/>
      <c r="M108" s="620"/>
      <c r="N108" s="107"/>
      <c r="O108" s="107"/>
      <c r="P108" s="107"/>
      <c r="Q108" s="107"/>
    </row>
    <row r="109" spans="1:17" s="24" customFormat="1" ht="138.75" thickTop="1" thickBot="1" x14ac:dyDescent="0.25">
      <c r="A109" s="532" t="s">
        <v>978</v>
      </c>
      <c r="B109" s="532" t="s">
        <v>979</v>
      </c>
      <c r="C109" s="532" t="s">
        <v>218</v>
      </c>
      <c r="D109" s="532" t="s">
        <v>980</v>
      </c>
      <c r="E109" s="452" t="s">
        <v>1360</v>
      </c>
      <c r="F109" s="734" t="s">
        <v>1316</v>
      </c>
      <c r="G109" s="530">
        <f t="shared" ref="G109" si="16">H109+I109</f>
        <v>179985</v>
      </c>
      <c r="H109" s="530">
        <f>'d3'!E133</f>
        <v>179985</v>
      </c>
      <c r="I109" s="530">
        <f>'d3'!J133</f>
        <v>0</v>
      </c>
      <c r="J109" s="530">
        <f>'d3'!K133</f>
        <v>0</v>
      </c>
      <c r="K109" s="620"/>
      <c r="L109" s="620"/>
      <c r="M109" s="620"/>
      <c r="N109" s="107"/>
      <c r="O109" s="107"/>
      <c r="P109" s="107"/>
      <c r="Q109" s="107"/>
    </row>
    <row r="110" spans="1:17" s="24" customFormat="1" ht="138.75" thickTop="1" thickBot="1" x14ac:dyDescent="0.25">
      <c r="A110" s="665" t="s">
        <v>499</v>
      </c>
      <c r="B110" s="665" t="s">
        <v>500</v>
      </c>
      <c r="C110" s="665" t="s">
        <v>217</v>
      </c>
      <c r="D110" s="665" t="s">
        <v>501</v>
      </c>
      <c r="E110" s="452" t="s">
        <v>1360</v>
      </c>
      <c r="F110" s="734" t="s">
        <v>1316</v>
      </c>
      <c r="G110" s="664">
        <f t="shared" si="15"/>
        <v>498130</v>
      </c>
      <c r="H110" s="664">
        <f>'d3'!E134</f>
        <v>498130</v>
      </c>
      <c r="I110" s="664">
        <f>'d3'!J134</f>
        <v>0</v>
      </c>
      <c r="J110" s="664">
        <f>'d3'!K134</f>
        <v>0</v>
      </c>
      <c r="K110" s="620"/>
      <c r="L110" s="620"/>
      <c r="M110" s="620"/>
      <c r="N110" s="107"/>
      <c r="O110" s="107"/>
      <c r="P110" s="107"/>
      <c r="Q110" s="107"/>
    </row>
    <row r="111" spans="1:17" ht="184.5" thickTop="1" thickBot="1" x14ac:dyDescent="0.25">
      <c r="A111" s="532" t="s">
        <v>279</v>
      </c>
      <c r="B111" s="532" t="s">
        <v>277</v>
      </c>
      <c r="C111" s="532" t="s">
        <v>212</v>
      </c>
      <c r="D111" s="532" t="s">
        <v>17</v>
      </c>
      <c r="E111" s="452" t="s">
        <v>1360</v>
      </c>
      <c r="F111" s="734" t="s">
        <v>1316</v>
      </c>
      <c r="G111" s="530">
        <f t="shared" si="15"/>
        <v>36266924.149999999</v>
      </c>
      <c r="H111" s="530">
        <f>'d3'!E136</f>
        <v>35716924.149999999</v>
      </c>
      <c r="I111" s="530">
        <f>'d3'!J136</f>
        <v>550000</v>
      </c>
      <c r="J111" s="530">
        <f>'d3'!K136</f>
        <v>0</v>
      </c>
      <c r="K111" s="621"/>
      <c r="L111" s="621"/>
      <c r="M111" s="621"/>
    </row>
    <row r="112" spans="1:17" ht="138.75" thickTop="1" thickBot="1" x14ac:dyDescent="0.25">
      <c r="A112" s="532" t="s">
        <v>280</v>
      </c>
      <c r="B112" s="532" t="s">
        <v>278</v>
      </c>
      <c r="C112" s="532" t="s">
        <v>211</v>
      </c>
      <c r="D112" s="532" t="s">
        <v>473</v>
      </c>
      <c r="E112" s="452" t="s">
        <v>1360</v>
      </c>
      <c r="F112" s="734" t="s">
        <v>1316</v>
      </c>
      <c r="G112" s="530">
        <f t="shared" si="15"/>
        <v>8582880.2899999991</v>
      </c>
      <c r="H112" s="530">
        <f>'d3'!E137</f>
        <v>8552380.2899999991</v>
      </c>
      <c r="I112" s="530">
        <f>'d3'!J137</f>
        <v>30500</v>
      </c>
      <c r="J112" s="530">
        <f>'d3'!K137</f>
        <v>30500</v>
      </c>
      <c r="K112" s="621"/>
      <c r="L112" s="621"/>
      <c r="M112" s="621"/>
    </row>
    <row r="113" spans="1:17" s="856" customFormat="1" ht="138.75" thickTop="1" thickBot="1" x14ac:dyDescent="0.25">
      <c r="A113" s="861" t="s">
        <v>1388</v>
      </c>
      <c r="B113" s="861" t="s">
        <v>196</v>
      </c>
      <c r="C113" s="861" t="s">
        <v>197</v>
      </c>
      <c r="D113" s="861" t="s">
        <v>680</v>
      </c>
      <c r="E113" s="452" t="s">
        <v>1360</v>
      </c>
      <c r="F113" s="858" t="s">
        <v>1316</v>
      </c>
      <c r="G113" s="858">
        <f>H113+I113</f>
        <v>6040461</v>
      </c>
      <c r="H113" s="858">
        <f>'d3'!E139</f>
        <v>6040461</v>
      </c>
      <c r="I113" s="858">
        <f>'d3'!J139</f>
        <v>0</v>
      </c>
      <c r="J113" s="858">
        <f>'d3'!K139</f>
        <v>0</v>
      </c>
      <c r="K113" s="621"/>
      <c r="L113" s="621"/>
      <c r="M113" s="621"/>
      <c r="N113" s="863"/>
      <c r="O113" s="863"/>
      <c r="P113" s="863"/>
      <c r="Q113" s="863"/>
    </row>
    <row r="114" spans="1:17" s="202" customFormat="1" ht="230.25" hidden="1" thickTop="1" thickBot="1" x14ac:dyDescent="0.25">
      <c r="A114" s="259" t="s">
        <v>1100</v>
      </c>
      <c r="B114" s="259" t="s">
        <v>1101</v>
      </c>
      <c r="C114" s="259" t="s">
        <v>197</v>
      </c>
      <c r="D114" s="259" t="s">
        <v>1102</v>
      </c>
      <c r="E114" s="355" t="s">
        <v>612</v>
      </c>
      <c r="F114" s="328" t="s">
        <v>423</v>
      </c>
      <c r="G114" s="328">
        <f t="shared" si="15"/>
        <v>0</v>
      </c>
      <c r="H114" s="328"/>
      <c r="I114" s="328"/>
      <c r="J114" s="328"/>
      <c r="K114" s="621"/>
      <c r="L114" s="621"/>
      <c r="M114" s="621"/>
      <c r="N114" s="203"/>
      <c r="O114" s="203"/>
      <c r="P114" s="203"/>
      <c r="Q114" s="203"/>
    </row>
    <row r="115" spans="1:17" ht="321.75" thickTop="1" thickBot="1" x14ac:dyDescent="0.25">
      <c r="A115" s="532" t="s">
        <v>275</v>
      </c>
      <c r="B115" s="532" t="s">
        <v>276</v>
      </c>
      <c r="C115" s="532" t="s">
        <v>211</v>
      </c>
      <c r="D115" s="532" t="s">
        <v>471</v>
      </c>
      <c r="E115" s="452" t="s">
        <v>1360</v>
      </c>
      <c r="F115" s="734" t="s">
        <v>1316</v>
      </c>
      <c r="G115" s="530">
        <f t="shared" si="15"/>
        <v>3283295</v>
      </c>
      <c r="H115" s="530">
        <f>'d3'!E140</f>
        <v>3283295</v>
      </c>
      <c r="I115" s="530">
        <f>'d3'!J140</f>
        <v>0</v>
      </c>
      <c r="J115" s="530">
        <f>'d3'!K140</f>
        <v>0</v>
      </c>
      <c r="K115" s="621"/>
      <c r="L115" s="621"/>
      <c r="M115" s="621"/>
    </row>
    <row r="116" spans="1:17" ht="230.25" thickTop="1" thickBot="1" x14ac:dyDescent="0.25">
      <c r="A116" s="665" t="s">
        <v>502</v>
      </c>
      <c r="B116" s="665" t="s">
        <v>503</v>
      </c>
      <c r="C116" s="665" t="s">
        <v>211</v>
      </c>
      <c r="D116" s="665" t="s">
        <v>504</v>
      </c>
      <c r="E116" s="452" t="s">
        <v>1360</v>
      </c>
      <c r="F116" s="734" t="s">
        <v>1316</v>
      </c>
      <c r="G116" s="664">
        <f t="shared" si="15"/>
        <v>159297</v>
      </c>
      <c r="H116" s="664">
        <f>'d3'!E142</f>
        <v>159297</v>
      </c>
      <c r="I116" s="664">
        <f>'d3'!J142</f>
        <v>0</v>
      </c>
      <c r="J116" s="664">
        <f>'d3'!K142</f>
        <v>0</v>
      </c>
      <c r="K116" s="621"/>
      <c r="L116" s="621"/>
      <c r="M116" s="621"/>
    </row>
    <row r="117" spans="1:17" ht="276" thickTop="1" thickBot="1" x14ac:dyDescent="0.25">
      <c r="A117" s="532" t="s">
        <v>362</v>
      </c>
      <c r="B117" s="532" t="s">
        <v>361</v>
      </c>
      <c r="C117" s="532" t="s">
        <v>52</v>
      </c>
      <c r="D117" s="532" t="s">
        <v>472</v>
      </c>
      <c r="E117" s="452" t="s">
        <v>1360</v>
      </c>
      <c r="F117" s="734" t="s">
        <v>1316</v>
      </c>
      <c r="G117" s="530">
        <f t="shared" si="15"/>
        <v>1145980</v>
      </c>
      <c r="H117" s="530">
        <f>'d3'!E143-H118</f>
        <v>1145980</v>
      </c>
      <c r="I117" s="530">
        <f>'d3'!J143-I118</f>
        <v>0</v>
      </c>
      <c r="J117" s="530">
        <f>'d3'!K143-J118</f>
        <v>0</v>
      </c>
      <c r="K117" s="621"/>
      <c r="L117" s="621"/>
      <c r="M117" s="621"/>
    </row>
    <row r="118" spans="1:17" ht="276" thickTop="1" thickBot="1" x14ac:dyDescent="0.25">
      <c r="A118" s="532" t="s">
        <v>362</v>
      </c>
      <c r="B118" s="532" t="s">
        <v>361</v>
      </c>
      <c r="C118" s="532" t="s">
        <v>52</v>
      </c>
      <c r="D118" s="532" t="s">
        <v>472</v>
      </c>
      <c r="E118" s="452" t="s">
        <v>1329</v>
      </c>
      <c r="F118" s="530" t="s">
        <v>917</v>
      </c>
      <c r="G118" s="530">
        <f t="shared" si="15"/>
        <v>1696520</v>
      </c>
      <c r="H118" s="530">
        <f>1363850+332670</f>
        <v>1696520</v>
      </c>
      <c r="I118" s="530">
        <v>0</v>
      </c>
      <c r="J118" s="530">
        <v>0</v>
      </c>
      <c r="K118" s="621"/>
      <c r="L118" s="621"/>
      <c r="M118" s="621"/>
    </row>
    <row r="119" spans="1:17" ht="184.5" thickTop="1" thickBot="1" x14ac:dyDescent="0.25">
      <c r="A119" s="532" t="s">
        <v>339</v>
      </c>
      <c r="B119" s="532" t="s">
        <v>340</v>
      </c>
      <c r="C119" s="532" t="s">
        <v>217</v>
      </c>
      <c r="D119" s="532" t="s">
        <v>677</v>
      </c>
      <c r="E119" s="452" t="s">
        <v>1360</v>
      </c>
      <c r="F119" s="734" t="s">
        <v>1316</v>
      </c>
      <c r="G119" s="530">
        <f t="shared" si="15"/>
        <v>758000</v>
      </c>
      <c r="H119" s="530">
        <f>'d3'!E145</f>
        <v>758000</v>
      </c>
      <c r="I119" s="530">
        <f>'d3'!J145</f>
        <v>0</v>
      </c>
      <c r="J119" s="530">
        <f>'d3'!K145</f>
        <v>0</v>
      </c>
      <c r="K119" s="621"/>
      <c r="L119" s="621"/>
      <c r="M119" s="621"/>
    </row>
    <row r="120" spans="1:17" ht="138.75" thickTop="1" thickBot="1" x14ac:dyDescent="0.25">
      <c r="A120" s="532" t="s">
        <v>444</v>
      </c>
      <c r="B120" s="532" t="s">
        <v>386</v>
      </c>
      <c r="C120" s="532" t="s">
        <v>387</v>
      </c>
      <c r="D120" s="532" t="s">
        <v>385</v>
      </c>
      <c r="E120" s="452" t="s">
        <v>1296</v>
      </c>
      <c r="F120" s="530" t="s">
        <v>1023</v>
      </c>
      <c r="G120" s="530">
        <f t="shared" si="15"/>
        <v>107000</v>
      </c>
      <c r="H120" s="530">
        <f>'d3'!E146</f>
        <v>107000</v>
      </c>
      <c r="I120" s="530">
        <f>'d3'!J146</f>
        <v>0</v>
      </c>
      <c r="J120" s="530">
        <f>'d3'!K146</f>
        <v>0</v>
      </c>
      <c r="K120" s="621"/>
      <c r="L120" s="621"/>
      <c r="M120" s="621"/>
    </row>
    <row r="121" spans="1:17" s="803" customFormat="1" ht="184.5" thickTop="1" thickBot="1" x14ac:dyDescent="0.25">
      <c r="A121" s="805" t="s">
        <v>1373</v>
      </c>
      <c r="B121" s="805" t="s">
        <v>1370</v>
      </c>
      <c r="C121" s="805" t="s">
        <v>218</v>
      </c>
      <c r="D121" s="498" t="s">
        <v>1371</v>
      </c>
      <c r="E121" s="452" t="s">
        <v>1360</v>
      </c>
      <c r="F121" s="807" t="s">
        <v>1316</v>
      </c>
      <c r="G121" s="807">
        <f t="shared" ref="G121" si="17">H121+I121</f>
        <v>1312428</v>
      </c>
      <c r="H121" s="809">
        <f>'d3'!E161</f>
        <v>1184000</v>
      </c>
      <c r="I121" s="807">
        <f>'d3'!J161</f>
        <v>128428</v>
      </c>
      <c r="J121" s="807">
        <f>'d3'!K161</f>
        <v>128428</v>
      </c>
      <c r="K121" s="621"/>
      <c r="L121" s="621"/>
      <c r="M121" s="621"/>
      <c r="N121" s="811"/>
      <c r="O121" s="811"/>
      <c r="P121" s="811"/>
      <c r="Q121" s="811"/>
    </row>
    <row r="122" spans="1:17" ht="138.75" thickTop="1" thickBot="1" x14ac:dyDescent="0.25">
      <c r="A122" s="532" t="s">
        <v>341</v>
      </c>
      <c r="B122" s="532" t="s">
        <v>343</v>
      </c>
      <c r="C122" s="532" t="s">
        <v>203</v>
      </c>
      <c r="D122" s="498" t="s">
        <v>345</v>
      </c>
      <c r="E122" s="452" t="s">
        <v>1360</v>
      </c>
      <c r="F122" s="734" t="s">
        <v>1316</v>
      </c>
      <c r="G122" s="530">
        <f t="shared" si="15"/>
        <v>21338523.600000001</v>
      </c>
      <c r="H122" s="566">
        <f>'d3'!E163-H123</f>
        <v>12747819.6</v>
      </c>
      <c r="I122" s="530">
        <f>'d3'!J163-I123</f>
        <v>8590704</v>
      </c>
      <c r="J122" s="530">
        <f>'d3'!K163-J123</f>
        <v>2560000</v>
      </c>
      <c r="K122" s="621"/>
      <c r="L122" s="621"/>
      <c r="M122" s="621"/>
    </row>
    <row r="123" spans="1:17" ht="184.5" hidden="1" thickTop="1" thickBot="1" x14ac:dyDescent="0.25">
      <c r="A123" s="259" t="s">
        <v>341</v>
      </c>
      <c r="B123" s="259" t="s">
        <v>343</v>
      </c>
      <c r="C123" s="259" t="s">
        <v>203</v>
      </c>
      <c r="D123" s="285" t="s">
        <v>345</v>
      </c>
      <c r="E123" s="355" t="s">
        <v>467</v>
      </c>
      <c r="F123" s="296" t="s">
        <v>468</v>
      </c>
      <c r="G123" s="328">
        <f>H123+I123</f>
        <v>0</v>
      </c>
      <c r="H123" s="354">
        <v>0</v>
      </c>
      <c r="I123" s="328">
        <v>0</v>
      </c>
      <c r="J123" s="328">
        <v>0</v>
      </c>
      <c r="K123" s="621"/>
      <c r="L123" s="621"/>
      <c r="M123" s="621"/>
    </row>
    <row r="124" spans="1:17" ht="138.75" thickTop="1" thickBot="1" x14ac:dyDescent="0.25">
      <c r="A124" s="532" t="s">
        <v>342</v>
      </c>
      <c r="B124" s="532" t="s">
        <v>344</v>
      </c>
      <c r="C124" s="532" t="s">
        <v>203</v>
      </c>
      <c r="D124" s="498" t="s">
        <v>346</v>
      </c>
      <c r="E124" s="452" t="s">
        <v>1360</v>
      </c>
      <c r="F124" s="734" t="s">
        <v>1316</v>
      </c>
      <c r="G124" s="530">
        <f t="shared" si="15"/>
        <v>19663167</v>
      </c>
      <c r="H124" s="530">
        <f>'d3'!E164-H125-H126</f>
        <v>19513167</v>
      </c>
      <c r="I124" s="530">
        <f>'d3'!J164-I125-I126</f>
        <v>150000</v>
      </c>
      <c r="J124" s="530">
        <f>'d3'!K164-J125-J126</f>
        <v>150000</v>
      </c>
      <c r="K124" s="621"/>
      <c r="L124" s="621"/>
      <c r="M124" s="621"/>
    </row>
    <row r="125" spans="1:17" ht="138.75" thickTop="1" thickBot="1" x14ac:dyDescent="0.25">
      <c r="A125" s="532" t="s">
        <v>342</v>
      </c>
      <c r="B125" s="532" t="s">
        <v>344</v>
      </c>
      <c r="C125" s="532" t="s">
        <v>203</v>
      </c>
      <c r="D125" s="498" t="s">
        <v>346</v>
      </c>
      <c r="E125" s="530" t="s">
        <v>915</v>
      </c>
      <c r="F125" s="530" t="s">
        <v>916</v>
      </c>
      <c r="G125" s="530">
        <f t="shared" si="15"/>
        <v>716000</v>
      </c>
      <c r="H125" s="530">
        <f>200000+500000+16000</f>
        <v>716000</v>
      </c>
      <c r="I125" s="530">
        <v>0</v>
      </c>
      <c r="J125" s="530">
        <v>0</v>
      </c>
      <c r="K125" s="621"/>
      <c r="L125" s="621"/>
      <c r="M125" s="621"/>
    </row>
    <row r="126" spans="1:17" ht="184.5" thickTop="1" thickBot="1" x14ac:dyDescent="0.25">
      <c r="A126" s="532" t="s">
        <v>342</v>
      </c>
      <c r="B126" s="532" t="s">
        <v>344</v>
      </c>
      <c r="C126" s="532" t="s">
        <v>203</v>
      </c>
      <c r="D126" s="498" t="s">
        <v>346</v>
      </c>
      <c r="E126" s="452" t="s">
        <v>1329</v>
      </c>
      <c r="F126" s="530" t="s">
        <v>917</v>
      </c>
      <c r="G126" s="530">
        <f t="shared" si="15"/>
        <v>4406900</v>
      </c>
      <c r="H126" s="530">
        <f>3000000+531000+500000+60000</f>
        <v>4091000</v>
      </c>
      <c r="I126" s="530">
        <v>315900</v>
      </c>
      <c r="J126" s="530">
        <v>315900</v>
      </c>
      <c r="K126" s="725"/>
      <c r="L126" s="621"/>
      <c r="M126" s="621"/>
    </row>
    <row r="127" spans="1:17" ht="184.5" thickTop="1" thickBot="1" x14ac:dyDescent="0.25">
      <c r="A127" s="532" t="s">
        <v>381</v>
      </c>
      <c r="B127" s="532" t="s">
        <v>379</v>
      </c>
      <c r="C127" s="532" t="s">
        <v>354</v>
      </c>
      <c r="D127" s="498" t="s">
        <v>380</v>
      </c>
      <c r="E127" s="452" t="s">
        <v>1329</v>
      </c>
      <c r="F127" s="530" t="s">
        <v>917</v>
      </c>
      <c r="G127" s="530">
        <f t="shared" si="15"/>
        <v>6000000</v>
      </c>
      <c r="H127" s="530">
        <f>'d3'!E167</f>
        <v>0</v>
      </c>
      <c r="I127" s="530">
        <f>'d3'!J167</f>
        <v>6000000</v>
      </c>
      <c r="J127" s="530">
        <f>'d3'!K167</f>
        <v>6000000</v>
      </c>
      <c r="K127" s="621"/>
      <c r="L127" s="621"/>
      <c r="M127" s="621"/>
    </row>
    <row r="128" spans="1:17" s="216" customFormat="1" ht="321.75" hidden="1" thickTop="1" thickBot="1" x14ac:dyDescent="0.25">
      <c r="A128" s="259" t="s">
        <v>1170</v>
      </c>
      <c r="B128" s="259" t="s">
        <v>1171</v>
      </c>
      <c r="C128" s="259" t="s">
        <v>354</v>
      </c>
      <c r="D128" s="285" t="s">
        <v>1172</v>
      </c>
      <c r="E128" s="328" t="s">
        <v>915</v>
      </c>
      <c r="F128" s="328" t="s">
        <v>916</v>
      </c>
      <c r="G128" s="328">
        <f t="shared" si="15"/>
        <v>0</v>
      </c>
      <c r="H128" s="359">
        <f>'d3'!E168</f>
        <v>0</v>
      </c>
      <c r="I128" s="359">
        <f>'d3'!J168</f>
        <v>0</v>
      </c>
      <c r="J128" s="359">
        <f>'d3'!K168</f>
        <v>0</v>
      </c>
      <c r="K128" s="621"/>
      <c r="L128" s="621"/>
      <c r="M128" s="621"/>
      <c r="N128" s="217"/>
      <c r="O128" s="217"/>
      <c r="P128" s="217"/>
      <c r="Q128" s="217"/>
    </row>
    <row r="129" spans="1:17" s="169" customFormat="1" ht="138.75" thickTop="1" thickBot="1" x14ac:dyDescent="0.25">
      <c r="A129" s="532" t="s">
        <v>983</v>
      </c>
      <c r="B129" s="532" t="s">
        <v>984</v>
      </c>
      <c r="C129" s="532" t="s">
        <v>317</v>
      </c>
      <c r="D129" s="532" t="s">
        <v>985</v>
      </c>
      <c r="E129" s="452" t="s">
        <v>1360</v>
      </c>
      <c r="F129" s="734" t="s">
        <v>1316</v>
      </c>
      <c r="G129" s="530">
        <f t="shared" si="15"/>
        <v>2296400</v>
      </c>
      <c r="H129" s="536">
        <f>'d3'!E172</f>
        <v>0</v>
      </c>
      <c r="I129" s="536">
        <f>'d3'!J172</f>
        <v>2296400</v>
      </c>
      <c r="J129" s="536">
        <f>'d3'!K172</f>
        <v>2296400</v>
      </c>
      <c r="K129" s="621"/>
      <c r="L129" s="621"/>
      <c r="M129" s="621"/>
      <c r="N129" s="170"/>
      <c r="O129" s="170"/>
      <c r="P129" s="170"/>
      <c r="Q129" s="170"/>
    </row>
    <row r="130" spans="1:17" ht="321.75" thickTop="1" thickBot="1" x14ac:dyDescent="0.7">
      <c r="A130" s="915" t="s">
        <v>439</v>
      </c>
      <c r="B130" s="915" t="s">
        <v>352</v>
      </c>
      <c r="C130" s="915" t="s">
        <v>178</v>
      </c>
      <c r="D130" s="483" t="s">
        <v>457</v>
      </c>
      <c r="E130" s="915" t="s">
        <v>1308</v>
      </c>
      <c r="F130" s="915" t="s">
        <v>1309</v>
      </c>
      <c r="G130" s="1029">
        <f>H130+I130</f>
        <v>465000</v>
      </c>
      <c r="H130" s="1029">
        <f>'d3'!E175</f>
        <v>0</v>
      </c>
      <c r="I130" s="1029">
        <f>'d3'!J175</f>
        <v>465000</v>
      </c>
      <c r="J130" s="1029">
        <f>'d3'!K175</f>
        <v>0</v>
      </c>
      <c r="K130" s="621"/>
      <c r="L130" s="621"/>
      <c r="M130" s="621"/>
    </row>
    <row r="131" spans="1:17" ht="138.75" thickTop="1" thickBot="1" x14ac:dyDescent="0.25">
      <c r="A131" s="929"/>
      <c r="B131" s="929"/>
      <c r="C131" s="929"/>
      <c r="D131" s="487" t="s">
        <v>458</v>
      </c>
      <c r="E131" s="929"/>
      <c r="F131" s="929"/>
      <c r="G131" s="1030"/>
      <c r="H131" s="1031"/>
      <c r="I131" s="1030"/>
      <c r="J131" s="1030"/>
      <c r="K131" s="710"/>
      <c r="L131" s="713"/>
      <c r="M131" s="713"/>
    </row>
    <row r="132" spans="1:17" ht="136.5" thickTop="1" thickBot="1" x14ac:dyDescent="0.25">
      <c r="A132" s="827">
        <v>1000000</v>
      </c>
      <c r="B132" s="827"/>
      <c r="C132" s="827"/>
      <c r="D132" s="828" t="s">
        <v>24</v>
      </c>
      <c r="E132" s="827"/>
      <c r="F132" s="827"/>
      <c r="G132" s="830">
        <f>G133</f>
        <v>160112665</v>
      </c>
      <c r="H132" s="830">
        <f t="shared" ref="H132:J132" si="18">H133</f>
        <v>145732895</v>
      </c>
      <c r="I132" s="830">
        <f t="shared" si="18"/>
        <v>14379770</v>
      </c>
      <c r="J132" s="830">
        <f t="shared" si="18"/>
        <v>4666920</v>
      </c>
      <c r="K132" s="710" t="b">
        <f>H132='d3'!E178</f>
        <v>1</v>
      </c>
      <c r="L132" s="713" t="b">
        <f>I132='d3'!J178</f>
        <v>1</v>
      </c>
      <c r="M132" s="713" t="b">
        <f>J132='d3'!K178</f>
        <v>1</v>
      </c>
    </row>
    <row r="133" spans="1:17" ht="136.5" thickTop="1" thickBot="1" x14ac:dyDescent="0.25">
      <c r="A133" s="831">
        <v>1010000</v>
      </c>
      <c r="B133" s="831"/>
      <c r="C133" s="831"/>
      <c r="D133" s="832" t="s">
        <v>41</v>
      </c>
      <c r="E133" s="833"/>
      <c r="F133" s="833"/>
      <c r="G133" s="833">
        <f>SUM(G134:G150)</f>
        <v>160112665</v>
      </c>
      <c r="H133" s="833">
        <f>SUM(H134:H150)</f>
        <v>145732895</v>
      </c>
      <c r="I133" s="833">
        <f>SUM(I134:I150)</f>
        <v>14379770</v>
      </c>
      <c r="J133" s="833">
        <f>SUM(J134:J150)</f>
        <v>4666920</v>
      </c>
      <c r="K133" s="621"/>
      <c r="L133" s="621"/>
      <c r="M133" s="621"/>
    </row>
    <row r="134" spans="1:17" ht="184.5" thickTop="1" thickBot="1" x14ac:dyDescent="0.25">
      <c r="A134" s="482" t="s">
        <v>678</v>
      </c>
      <c r="B134" s="482" t="s">
        <v>679</v>
      </c>
      <c r="C134" s="482" t="s">
        <v>193</v>
      </c>
      <c r="D134" s="482" t="s">
        <v>1239</v>
      </c>
      <c r="E134" s="485" t="s">
        <v>913</v>
      </c>
      <c r="F134" s="485" t="s">
        <v>914</v>
      </c>
      <c r="G134" s="485">
        <f>H134+I134</f>
        <v>87119890</v>
      </c>
      <c r="H134" s="485">
        <f>'d3'!E180</f>
        <v>78240350</v>
      </c>
      <c r="I134" s="485">
        <f>'d3'!J180</f>
        <v>8879540</v>
      </c>
      <c r="J134" s="485">
        <f>'d3'!K180</f>
        <v>0</v>
      </c>
      <c r="K134" s="621"/>
      <c r="L134" s="621"/>
      <c r="M134" s="621"/>
    </row>
    <row r="135" spans="1:17" ht="243" customHeight="1" thickTop="1" thickBot="1" x14ac:dyDescent="0.25">
      <c r="A135" s="482" t="s">
        <v>179</v>
      </c>
      <c r="B135" s="482" t="s">
        <v>180</v>
      </c>
      <c r="C135" s="482" t="s">
        <v>182</v>
      </c>
      <c r="D135" s="482" t="s">
        <v>183</v>
      </c>
      <c r="E135" s="485" t="s">
        <v>913</v>
      </c>
      <c r="F135" s="485" t="s">
        <v>914</v>
      </c>
      <c r="G135" s="485">
        <f t="shared" ref="G135:G150" si="19">H135+I135</f>
        <v>1100800</v>
      </c>
      <c r="H135" s="485">
        <f>'d3'!E182</f>
        <v>1100800</v>
      </c>
      <c r="I135" s="485">
        <f>'d3'!J182</f>
        <v>0</v>
      </c>
      <c r="J135" s="485">
        <f>'d3'!K182</f>
        <v>0</v>
      </c>
      <c r="K135" s="621"/>
      <c r="L135" s="621"/>
      <c r="M135" s="621"/>
    </row>
    <row r="136" spans="1:17" ht="184.5" thickTop="1" thickBot="1" x14ac:dyDescent="0.25">
      <c r="A136" s="482" t="s">
        <v>184</v>
      </c>
      <c r="B136" s="482" t="s">
        <v>185</v>
      </c>
      <c r="C136" s="482" t="s">
        <v>186</v>
      </c>
      <c r="D136" s="482" t="s">
        <v>187</v>
      </c>
      <c r="E136" s="485" t="s">
        <v>913</v>
      </c>
      <c r="F136" s="485" t="s">
        <v>914</v>
      </c>
      <c r="G136" s="485">
        <f t="shared" si="19"/>
        <v>15393555</v>
      </c>
      <c r="H136" s="485">
        <f>'d3'!E183-H137-H138</f>
        <v>15273555</v>
      </c>
      <c r="I136" s="485">
        <f>'d3'!J183-I137-I138</f>
        <v>120000</v>
      </c>
      <c r="J136" s="485">
        <f>'d3'!K183-J137-J138</f>
        <v>0</v>
      </c>
      <c r="K136" s="621"/>
      <c r="L136" s="621"/>
      <c r="M136" s="621"/>
    </row>
    <row r="137" spans="1:17" ht="184.5" hidden="1" thickTop="1" thickBot="1" x14ac:dyDescent="0.25">
      <c r="A137" s="259" t="s">
        <v>184</v>
      </c>
      <c r="B137" s="259" t="s">
        <v>185</v>
      </c>
      <c r="C137" s="259" t="s">
        <v>186</v>
      </c>
      <c r="D137" s="259" t="s">
        <v>187</v>
      </c>
      <c r="E137" s="355" t="s">
        <v>467</v>
      </c>
      <c r="F137" s="296" t="s">
        <v>468</v>
      </c>
      <c r="G137" s="328">
        <f>H137+I137</f>
        <v>0</v>
      </c>
      <c r="H137" s="354">
        <v>0</v>
      </c>
      <c r="I137" s="328">
        <v>0</v>
      </c>
      <c r="J137" s="328">
        <v>0</v>
      </c>
      <c r="K137" s="621"/>
      <c r="L137" s="621"/>
      <c r="M137" s="621"/>
    </row>
    <row r="138" spans="1:17" s="163" customFormat="1" ht="184.5" hidden="1" thickTop="1" thickBot="1" x14ac:dyDescent="0.25">
      <c r="A138" s="259" t="s">
        <v>184</v>
      </c>
      <c r="B138" s="259" t="s">
        <v>185</v>
      </c>
      <c r="C138" s="259" t="s">
        <v>186</v>
      </c>
      <c r="D138" s="259" t="s">
        <v>187</v>
      </c>
      <c r="E138" s="328" t="s">
        <v>911</v>
      </c>
      <c r="F138" s="328" t="s">
        <v>912</v>
      </c>
      <c r="G138" s="328">
        <f>H138+I138</f>
        <v>0</v>
      </c>
      <c r="H138" s="354">
        <v>0</v>
      </c>
      <c r="I138" s="328">
        <v>0</v>
      </c>
      <c r="J138" s="328">
        <v>0</v>
      </c>
      <c r="K138" s="621"/>
      <c r="L138" s="621"/>
      <c r="M138" s="621"/>
      <c r="N138" s="164"/>
      <c r="O138" s="164"/>
      <c r="P138" s="164"/>
      <c r="Q138" s="164"/>
    </row>
    <row r="139" spans="1:17" ht="184.5" thickTop="1" thickBot="1" x14ac:dyDescent="0.25">
      <c r="A139" s="482" t="s">
        <v>188</v>
      </c>
      <c r="B139" s="482" t="s">
        <v>189</v>
      </c>
      <c r="C139" s="482" t="s">
        <v>186</v>
      </c>
      <c r="D139" s="482" t="s">
        <v>481</v>
      </c>
      <c r="E139" s="485" t="s">
        <v>913</v>
      </c>
      <c r="F139" s="485" t="s">
        <v>914</v>
      </c>
      <c r="G139" s="485">
        <f t="shared" si="19"/>
        <v>7013830</v>
      </c>
      <c r="H139" s="485">
        <f>'d3'!E184</f>
        <v>2274910</v>
      </c>
      <c r="I139" s="485">
        <f>'d3'!J184</f>
        <v>4738920</v>
      </c>
      <c r="J139" s="485">
        <f>'d3'!K184</f>
        <v>4652920</v>
      </c>
      <c r="K139" s="621"/>
      <c r="L139" s="621"/>
      <c r="M139" s="621"/>
    </row>
    <row r="140" spans="1:17" ht="184.5" thickTop="1" thickBot="1" x14ac:dyDescent="0.25">
      <c r="A140" s="482" t="s">
        <v>190</v>
      </c>
      <c r="B140" s="482" t="s">
        <v>181</v>
      </c>
      <c r="C140" s="482" t="s">
        <v>191</v>
      </c>
      <c r="D140" s="482" t="s">
        <v>192</v>
      </c>
      <c r="E140" s="485" t="s">
        <v>913</v>
      </c>
      <c r="F140" s="485" t="s">
        <v>914</v>
      </c>
      <c r="G140" s="485">
        <f t="shared" si="19"/>
        <v>17225955</v>
      </c>
      <c r="H140" s="485">
        <f>'d3'!E185-H141</f>
        <v>16744655</v>
      </c>
      <c r="I140" s="485">
        <f>'d3'!J185-I141</f>
        <v>481300</v>
      </c>
      <c r="J140" s="485">
        <f>'d3'!K185-J141</f>
        <v>0</v>
      </c>
      <c r="K140" s="621"/>
      <c r="L140" s="621"/>
      <c r="M140" s="621"/>
    </row>
    <row r="141" spans="1:17" ht="184.5" hidden="1" thickTop="1" thickBot="1" x14ac:dyDescent="0.25">
      <c r="A141" s="259" t="s">
        <v>190</v>
      </c>
      <c r="B141" s="259" t="s">
        <v>181</v>
      </c>
      <c r="C141" s="259" t="s">
        <v>191</v>
      </c>
      <c r="D141" s="259" t="s">
        <v>192</v>
      </c>
      <c r="E141" s="355" t="s">
        <v>467</v>
      </c>
      <c r="F141" s="296" t="s">
        <v>468</v>
      </c>
      <c r="G141" s="328">
        <f>H141+I141</f>
        <v>0</v>
      </c>
      <c r="H141" s="354">
        <v>0</v>
      </c>
      <c r="I141" s="328">
        <v>0</v>
      </c>
      <c r="J141" s="328">
        <v>0</v>
      </c>
      <c r="K141" s="621"/>
      <c r="L141" s="621"/>
      <c r="M141" s="621"/>
    </row>
    <row r="142" spans="1:17" s="783" customFormat="1" ht="138.75" thickTop="1" thickBot="1" x14ac:dyDescent="0.25">
      <c r="A142" s="785" t="s">
        <v>1364</v>
      </c>
      <c r="B142" s="785" t="s">
        <v>1365</v>
      </c>
      <c r="C142" s="785" t="s">
        <v>1367</v>
      </c>
      <c r="D142" s="785" t="s">
        <v>1366</v>
      </c>
      <c r="E142" s="450" t="s">
        <v>1308</v>
      </c>
      <c r="F142" s="787" t="s">
        <v>1309</v>
      </c>
      <c r="G142" s="787">
        <f>H142+I142</f>
        <v>334365</v>
      </c>
      <c r="H142" s="789">
        <v>334365</v>
      </c>
      <c r="I142" s="787">
        <v>0</v>
      </c>
      <c r="J142" s="787">
        <v>0</v>
      </c>
      <c r="K142" s="621"/>
      <c r="L142" s="621"/>
      <c r="M142" s="621"/>
      <c r="N142" s="790"/>
      <c r="O142" s="790"/>
      <c r="P142" s="790"/>
      <c r="Q142" s="790"/>
    </row>
    <row r="143" spans="1:17" ht="184.5" thickTop="1" thickBot="1" x14ac:dyDescent="0.25">
      <c r="A143" s="482" t="s">
        <v>347</v>
      </c>
      <c r="B143" s="482" t="s">
        <v>348</v>
      </c>
      <c r="C143" s="482" t="s">
        <v>194</v>
      </c>
      <c r="D143" s="482" t="s">
        <v>482</v>
      </c>
      <c r="E143" s="485" t="s">
        <v>913</v>
      </c>
      <c r="F143" s="485" t="s">
        <v>914</v>
      </c>
      <c r="G143" s="485">
        <f t="shared" si="19"/>
        <v>23272955</v>
      </c>
      <c r="H143" s="485">
        <f>'d3'!E188-H144</f>
        <v>23126945</v>
      </c>
      <c r="I143" s="485">
        <f>'d3'!J188-I144</f>
        <v>146010</v>
      </c>
      <c r="J143" s="485">
        <f>'d3'!K188-J144</f>
        <v>0</v>
      </c>
      <c r="K143" s="621"/>
      <c r="L143" s="621"/>
      <c r="M143" s="621"/>
    </row>
    <row r="144" spans="1:17" ht="199.5" customHeight="1" thickTop="1" thickBot="1" x14ac:dyDescent="0.25">
      <c r="A144" s="482" t="s">
        <v>347</v>
      </c>
      <c r="B144" s="482" t="s">
        <v>348</v>
      </c>
      <c r="C144" s="482" t="s">
        <v>194</v>
      </c>
      <c r="D144" s="482" t="s">
        <v>482</v>
      </c>
      <c r="E144" s="485" t="s">
        <v>619</v>
      </c>
      <c r="F144" s="485" t="s">
        <v>422</v>
      </c>
      <c r="G144" s="485">
        <f t="shared" si="19"/>
        <v>861000</v>
      </c>
      <c r="H144" s="485">
        <v>861000</v>
      </c>
      <c r="I144" s="485">
        <v>0</v>
      </c>
      <c r="J144" s="485">
        <v>0</v>
      </c>
      <c r="K144" s="621"/>
      <c r="L144" s="621"/>
      <c r="M144" s="621"/>
    </row>
    <row r="145" spans="1:17" ht="246" customHeight="1" thickTop="1" thickBot="1" x14ac:dyDescent="0.25">
      <c r="A145" s="482" t="s">
        <v>349</v>
      </c>
      <c r="B145" s="482" t="s">
        <v>350</v>
      </c>
      <c r="C145" s="482" t="s">
        <v>194</v>
      </c>
      <c r="D145" s="482" t="s">
        <v>483</v>
      </c>
      <c r="E145" s="485" t="s">
        <v>913</v>
      </c>
      <c r="F145" s="485" t="s">
        <v>914</v>
      </c>
      <c r="G145" s="485">
        <f t="shared" si="19"/>
        <v>6253335</v>
      </c>
      <c r="H145" s="485">
        <f>'d3'!E189-H146-H147</f>
        <v>6253335</v>
      </c>
      <c r="I145" s="485">
        <f>'d3'!J189-I146-I147</f>
        <v>0</v>
      </c>
      <c r="J145" s="485">
        <f>'d3'!K189-J146-J147</f>
        <v>0</v>
      </c>
      <c r="K145" s="621"/>
      <c r="L145" s="621"/>
      <c r="M145" s="621"/>
    </row>
    <row r="146" spans="1:17" ht="178.5" customHeight="1" thickTop="1" thickBot="1" x14ac:dyDescent="0.25">
      <c r="A146" s="482" t="s">
        <v>349</v>
      </c>
      <c r="B146" s="482" t="s">
        <v>350</v>
      </c>
      <c r="C146" s="482" t="s">
        <v>194</v>
      </c>
      <c r="D146" s="482" t="s">
        <v>483</v>
      </c>
      <c r="E146" s="485" t="s">
        <v>619</v>
      </c>
      <c r="F146" s="485" t="s">
        <v>422</v>
      </c>
      <c r="G146" s="485">
        <f t="shared" si="19"/>
        <v>330120</v>
      </c>
      <c r="H146" s="485">
        <v>330120</v>
      </c>
      <c r="I146" s="485">
        <v>0</v>
      </c>
      <c r="J146" s="485">
        <v>0</v>
      </c>
      <c r="K146" s="621"/>
      <c r="L146" s="621"/>
      <c r="M146" s="621"/>
    </row>
    <row r="147" spans="1:17" ht="310.7" customHeight="1" thickTop="1" thickBot="1" x14ac:dyDescent="0.25">
      <c r="A147" s="482" t="s">
        <v>349</v>
      </c>
      <c r="B147" s="482" t="s">
        <v>350</v>
      </c>
      <c r="C147" s="482" t="s">
        <v>194</v>
      </c>
      <c r="D147" s="482" t="s">
        <v>483</v>
      </c>
      <c r="E147" s="485" t="s">
        <v>911</v>
      </c>
      <c r="F147" s="485" t="s">
        <v>912</v>
      </c>
      <c r="G147" s="485">
        <f t="shared" si="19"/>
        <v>173000</v>
      </c>
      <c r="H147" s="485">
        <v>173000</v>
      </c>
      <c r="I147" s="485">
        <v>0</v>
      </c>
      <c r="J147" s="485">
        <v>0</v>
      </c>
      <c r="K147" s="621"/>
      <c r="L147" s="621"/>
      <c r="M147" s="621"/>
    </row>
    <row r="148" spans="1:17" s="209" customFormat="1" ht="138.75" thickTop="1" thickBot="1" x14ac:dyDescent="0.25">
      <c r="A148" s="482" t="s">
        <v>1117</v>
      </c>
      <c r="B148" s="482" t="s">
        <v>1118</v>
      </c>
      <c r="C148" s="482" t="s">
        <v>225</v>
      </c>
      <c r="D148" s="482" t="s">
        <v>1116</v>
      </c>
      <c r="E148" s="485" t="s">
        <v>1120</v>
      </c>
      <c r="F148" s="485" t="s">
        <v>1119</v>
      </c>
      <c r="G148" s="485">
        <f t="shared" si="19"/>
        <v>1019860</v>
      </c>
      <c r="H148" s="485">
        <f>'d3'!E193</f>
        <v>1019860</v>
      </c>
      <c r="I148" s="485">
        <f>'d3'!J193</f>
        <v>0</v>
      </c>
      <c r="J148" s="485">
        <f>'d3'!K193</f>
        <v>0</v>
      </c>
      <c r="K148" s="719"/>
      <c r="L148" s="719"/>
      <c r="M148" s="621"/>
      <c r="N148" s="210"/>
      <c r="O148" s="210"/>
      <c r="P148" s="210"/>
      <c r="Q148" s="210"/>
    </row>
    <row r="149" spans="1:17" s="163" customFormat="1" ht="310.7" customHeight="1" thickTop="1" thickBot="1" x14ac:dyDescent="0.25">
      <c r="A149" s="482" t="s">
        <v>975</v>
      </c>
      <c r="B149" s="482" t="s">
        <v>209</v>
      </c>
      <c r="C149" s="482" t="s">
        <v>178</v>
      </c>
      <c r="D149" s="482" t="s">
        <v>36</v>
      </c>
      <c r="E149" s="485" t="s">
        <v>913</v>
      </c>
      <c r="F149" s="485" t="s">
        <v>914</v>
      </c>
      <c r="G149" s="485">
        <f t="shared" si="19"/>
        <v>14000</v>
      </c>
      <c r="H149" s="485">
        <f>'d3'!E194</f>
        <v>0</v>
      </c>
      <c r="I149" s="485">
        <f>'d3'!J194</f>
        <v>14000</v>
      </c>
      <c r="J149" s="485">
        <f>'d3'!K194</f>
        <v>14000</v>
      </c>
      <c r="K149" s="719"/>
      <c r="L149" s="719"/>
      <c r="M149" s="621"/>
      <c r="N149" s="164"/>
      <c r="O149" s="164"/>
      <c r="P149" s="164"/>
      <c r="Q149" s="164"/>
    </row>
    <row r="150" spans="1:17" s="126" customFormat="1" ht="138.75" hidden="1" thickTop="1" thickBot="1" x14ac:dyDescent="0.25">
      <c r="A150" s="259" t="s">
        <v>618</v>
      </c>
      <c r="B150" s="259" t="s">
        <v>377</v>
      </c>
      <c r="C150" s="259" t="s">
        <v>45</v>
      </c>
      <c r="D150" s="259" t="s">
        <v>378</v>
      </c>
      <c r="E150" s="352" t="s">
        <v>907</v>
      </c>
      <c r="F150" s="328" t="s">
        <v>908</v>
      </c>
      <c r="G150" s="328">
        <f t="shared" si="19"/>
        <v>0</v>
      </c>
      <c r="H150" s="328">
        <f>'d3'!E197</f>
        <v>0</v>
      </c>
      <c r="I150" s="328">
        <f>'d3'!J197</f>
        <v>0</v>
      </c>
      <c r="J150" s="328">
        <f>'d3'!K197</f>
        <v>0</v>
      </c>
      <c r="K150" s="719"/>
      <c r="L150" s="719"/>
      <c r="M150" s="621"/>
      <c r="N150" s="127"/>
      <c r="O150" s="127"/>
      <c r="P150" s="127"/>
      <c r="Q150" s="127"/>
    </row>
    <row r="151" spans="1:17" ht="163.5" customHeight="1" thickTop="1" thickBot="1" x14ac:dyDescent="0.25">
      <c r="A151" s="827" t="s">
        <v>22</v>
      </c>
      <c r="B151" s="827"/>
      <c r="C151" s="827"/>
      <c r="D151" s="828" t="s">
        <v>23</v>
      </c>
      <c r="E151" s="827"/>
      <c r="F151" s="827"/>
      <c r="G151" s="830">
        <f>G152</f>
        <v>116408919</v>
      </c>
      <c r="H151" s="830">
        <f t="shared" ref="H151:J151" si="20">H152</f>
        <v>107028463</v>
      </c>
      <c r="I151" s="830">
        <f t="shared" si="20"/>
        <v>9380456</v>
      </c>
      <c r="J151" s="830">
        <f t="shared" si="20"/>
        <v>7097437</v>
      </c>
      <c r="K151" s="710" t="b">
        <f>H151='d3'!E199+'d4'!F12</f>
        <v>1</v>
      </c>
      <c r="L151" s="713" t="b">
        <f>I151='d3'!J198+'d4'!G12</f>
        <v>1</v>
      </c>
      <c r="M151" s="713" t="b">
        <f>J151='d3'!K198+'d4'!H12</f>
        <v>1</v>
      </c>
    </row>
    <row r="152" spans="1:17" ht="175.7" customHeight="1" thickTop="1" thickBot="1" x14ac:dyDescent="0.25">
      <c r="A152" s="831" t="s">
        <v>21</v>
      </c>
      <c r="B152" s="831"/>
      <c r="C152" s="831"/>
      <c r="D152" s="832" t="s">
        <v>37</v>
      </c>
      <c r="E152" s="833"/>
      <c r="F152" s="833"/>
      <c r="G152" s="833">
        <f>SUM(G153:G169)</f>
        <v>116408919</v>
      </c>
      <c r="H152" s="833">
        <f t="shared" ref="H152:J152" si="21">SUM(H153:H169)</f>
        <v>107028463</v>
      </c>
      <c r="I152" s="833">
        <f t="shared" si="21"/>
        <v>9380456</v>
      </c>
      <c r="J152" s="833">
        <f t="shared" si="21"/>
        <v>7097437</v>
      </c>
      <c r="K152" s="621"/>
      <c r="L152" s="621"/>
      <c r="M152" s="621"/>
    </row>
    <row r="153" spans="1:17" ht="184.5" hidden="1" thickTop="1" thickBot="1" x14ac:dyDescent="0.25">
      <c r="A153" s="532" t="s">
        <v>195</v>
      </c>
      <c r="B153" s="532" t="s">
        <v>196</v>
      </c>
      <c r="C153" s="532" t="s">
        <v>197</v>
      </c>
      <c r="D153" s="532" t="s">
        <v>680</v>
      </c>
      <c r="E153" s="452" t="s">
        <v>1314</v>
      </c>
      <c r="F153" s="734" t="s">
        <v>1315</v>
      </c>
      <c r="G153" s="530">
        <f t="shared" ref="G153:G154" si="22">H153+I153</f>
        <v>0</v>
      </c>
      <c r="H153" s="566">
        <f>'d3'!E202</f>
        <v>0</v>
      </c>
      <c r="I153" s="567">
        <f>'d3'!J202</f>
        <v>0</v>
      </c>
      <c r="J153" s="530">
        <f>'d3'!K202</f>
        <v>0</v>
      </c>
      <c r="K153" s="621"/>
      <c r="L153" s="621"/>
      <c r="M153" s="621"/>
    </row>
    <row r="154" spans="1:17" ht="184.5" thickTop="1" thickBot="1" x14ac:dyDescent="0.25">
      <c r="A154" s="532" t="s">
        <v>201</v>
      </c>
      <c r="B154" s="532" t="s">
        <v>202</v>
      </c>
      <c r="C154" s="532" t="s">
        <v>197</v>
      </c>
      <c r="D154" s="532" t="s">
        <v>10</v>
      </c>
      <c r="E154" s="452" t="s">
        <v>1314</v>
      </c>
      <c r="F154" s="734" t="s">
        <v>1315</v>
      </c>
      <c r="G154" s="530">
        <f t="shared" si="22"/>
        <v>5824322</v>
      </c>
      <c r="H154" s="566">
        <f>'d3'!E204</f>
        <v>4920329</v>
      </c>
      <c r="I154" s="567">
        <f>'d3'!J204</f>
        <v>903993</v>
      </c>
      <c r="J154" s="530">
        <f>'d3'!K204</f>
        <v>537693</v>
      </c>
      <c r="K154" s="621"/>
      <c r="L154" s="621"/>
      <c r="M154" s="621"/>
    </row>
    <row r="155" spans="1:17" ht="184.5" thickTop="1" thickBot="1" x14ac:dyDescent="0.25">
      <c r="A155" s="532" t="s">
        <v>365</v>
      </c>
      <c r="B155" s="532" t="s">
        <v>366</v>
      </c>
      <c r="C155" s="532" t="s">
        <v>197</v>
      </c>
      <c r="D155" s="532" t="s">
        <v>367</v>
      </c>
      <c r="E155" s="452" t="s">
        <v>1314</v>
      </c>
      <c r="F155" s="734" t="s">
        <v>1315</v>
      </c>
      <c r="G155" s="530">
        <f t="shared" ref="G155:G159" si="23">H155+I155</f>
        <v>8080990</v>
      </c>
      <c r="H155" s="566">
        <f>'d3'!E205</f>
        <v>8080990</v>
      </c>
      <c r="I155" s="567">
        <f>'d3'!J205</f>
        <v>0</v>
      </c>
      <c r="J155" s="530">
        <f>'d3'!K205</f>
        <v>0</v>
      </c>
      <c r="K155" s="621"/>
      <c r="L155" s="621"/>
      <c r="M155" s="621"/>
    </row>
    <row r="156" spans="1:17" ht="184.5" thickTop="1" thickBot="1" x14ac:dyDescent="0.25">
      <c r="A156" s="532" t="s">
        <v>46</v>
      </c>
      <c r="B156" s="532" t="s">
        <v>198</v>
      </c>
      <c r="C156" s="532" t="s">
        <v>207</v>
      </c>
      <c r="D156" s="532" t="s">
        <v>47</v>
      </c>
      <c r="E156" s="452" t="s">
        <v>1314</v>
      </c>
      <c r="F156" s="734" t="s">
        <v>1315</v>
      </c>
      <c r="G156" s="530">
        <f t="shared" si="23"/>
        <v>22258032</v>
      </c>
      <c r="H156" s="530">
        <f>'d3'!E208</f>
        <v>22258032</v>
      </c>
      <c r="I156" s="567">
        <f>'d3'!J208</f>
        <v>0</v>
      </c>
      <c r="J156" s="530">
        <f>'d3'!K208</f>
        <v>0</v>
      </c>
      <c r="K156" s="621"/>
      <c r="L156" s="621"/>
      <c r="M156" s="621"/>
    </row>
    <row r="157" spans="1:17" ht="184.5" thickTop="1" thickBot="1" x14ac:dyDescent="0.25">
      <c r="A157" s="532" t="s">
        <v>48</v>
      </c>
      <c r="B157" s="532" t="s">
        <v>199</v>
      </c>
      <c r="C157" s="532" t="s">
        <v>207</v>
      </c>
      <c r="D157" s="532" t="s">
        <v>4</v>
      </c>
      <c r="E157" s="452" t="s">
        <v>1314</v>
      </c>
      <c r="F157" s="734" t="s">
        <v>1315</v>
      </c>
      <c r="G157" s="530">
        <f t="shared" si="23"/>
        <v>3066200</v>
      </c>
      <c r="H157" s="530">
        <f>'d3'!E209</f>
        <v>3066200</v>
      </c>
      <c r="I157" s="567">
        <f>'d3'!J209</f>
        <v>0</v>
      </c>
      <c r="J157" s="530">
        <f>'d3'!K209</f>
        <v>0</v>
      </c>
      <c r="K157" s="621"/>
      <c r="L157" s="621"/>
      <c r="M157" s="621"/>
    </row>
    <row r="158" spans="1:17" ht="184.5" thickTop="1" thickBot="1" x14ac:dyDescent="0.25">
      <c r="A158" s="532" t="s">
        <v>49</v>
      </c>
      <c r="B158" s="532" t="s">
        <v>200</v>
      </c>
      <c r="C158" s="532" t="s">
        <v>207</v>
      </c>
      <c r="D158" s="532" t="s">
        <v>363</v>
      </c>
      <c r="E158" s="452" t="s">
        <v>1314</v>
      </c>
      <c r="F158" s="734" t="s">
        <v>1315</v>
      </c>
      <c r="G158" s="530">
        <f t="shared" si="23"/>
        <v>53300</v>
      </c>
      <c r="H158" s="530">
        <f>'d3'!E211</f>
        <v>53300</v>
      </c>
      <c r="I158" s="567">
        <f>'d3'!J211</f>
        <v>0</v>
      </c>
      <c r="J158" s="530">
        <f>'d3'!K211</f>
        <v>0</v>
      </c>
      <c r="K158" s="621"/>
      <c r="L158" s="621"/>
      <c r="M158" s="621"/>
    </row>
    <row r="159" spans="1:17" ht="184.5" thickTop="1" thickBot="1" x14ac:dyDescent="0.25">
      <c r="A159" s="532" t="s">
        <v>28</v>
      </c>
      <c r="B159" s="532" t="s">
        <v>204</v>
      </c>
      <c r="C159" s="532" t="s">
        <v>207</v>
      </c>
      <c r="D159" s="532" t="s">
        <v>50</v>
      </c>
      <c r="E159" s="452" t="s">
        <v>1314</v>
      </c>
      <c r="F159" s="734" t="s">
        <v>1315</v>
      </c>
      <c r="G159" s="530">
        <f t="shared" si="23"/>
        <v>65361619</v>
      </c>
      <c r="H159" s="530">
        <f>'d3'!E213-H160</f>
        <v>57335156</v>
      </c>
      <c r="I159" s="567">
        <f>'d3'!J213-I160</f>
        <v>8026463</v>
      </c>
      <c r="J159" s="530">
        <f>'d3'!K213-J160</f>
        <v>6259744</v>
      </c>
      <c r="K159" s="621"/>
      <c r="L159" s="621"/>
      <c r="M159" s="621"/>
    </row>
    <row r="160" spans="1:17" ht="184.5" hidden="1" thickTop="1" thickBot="1" x14ac:dyDescent="0.25">
      <c r="A160" s="532" t="s">
        <v>28</v>
      </c>
      <c r="B160" s="532" t="s">
        <v>204</v>
      </c>
      <c r="C160" s="532" t="s">
        <v>207</v>
      </c>
      <c r="D160" s="532" t="s">
        <v>50</v>
      </c>
      <c r="E160" s="452" t="s">
        <v>467</v>
      </c>
      <c r="F160" s="561" t="s">
        <v>468</v>
      </c>
      <c r="G160" s="530">
        <f>H160+I160</f>
        <v>0</v>
      </c>
      <c r="H160" s="566">
        <v>0</v>
      </c>
      <c r="I160" s="530">
        <v>0</v>
      </c>
      <c r="J160" s="530">
        <v>0</v>
      </c>
      <c r="K160" s="621"/>
      <c r="L160" s="621"/>
      <c r="M160" s="621"/>
    </row>
    <row r="161" spans="1:17" ht="184.5" thickTop="1" thickBot="1" x14ac:dyDescent="0.25">
      <c r="A161" s="532" t="s">
        <v>29</v>
      </c>
      <c r="B161" s="532" t="s">
        <v>205</v>
      </c>
      <c r="C161" s="532" t="s">
        <v>207</v>
      </c>
      <c r="D161" s="532" t="s">
        <v>51</v>
      </c>
      <c r="E161" s="452" t="s">
        <v>1314</v>
      </c>
      <c r="F161" s="734" t="s">
        <v>1315</v>
      </c>
      <c r="G161" s="530">
        <f t="shared" ref="G161:G169" si="24">H161+I161</f>
        <v>5513990</v>
      </c>
      <c r="H161" s="530">
        <f>'d3'!E214</f>
        <v>5513990</v>
      </c>
      <c r="I161" s="567">
        <f>'d3'!J214</f>
        <v>0</v>
      </c>
      <c r="J161" s="530">
        <f>'d3'!K214</f>
        <v>0</v>
      </c>
      <c r="K161" s="621"/>
      <c r="L161" s="621"/>
      <c r="M161" s="621"/>
    </row>
    <row r="162" spans="1:17" ht="230.25" thickTop="1" thickBot="1" x14ac:dyDescent="0.25">
      <c r="A162" s="578" t="s">
        <v>30</v>
      </c>
      <c r="B162" s="578" t="s">
        <v>206</v>
      </c>
      <c r="C162" s="578" t="s">
        <v>207</v>
      </c>
      <c r="D162" s="532" t="s">
        <v>31</v>
      </c>
      <c r="E162" s="452" t="s">
        <v>1314</v>
      </c>
      <c r="F162" s="734" t="s">
        <v>1315</v>
      </c>
      <c r="G162" s="530">
        <f t="shared" si="24"/>
        <v>1016620</v>
      </c>
      <c r="H162" s="530">
        <f>'d3'!E216</f>
        <v>1016620</v>
      </c>
      <c r="I162" s="567">
        <f>'d3'!J216</f>
        <v>0</v>
      </c>
      <c r="J162" s="530">
        <f>'d3'!K216</f>
        <v>0</v>
      </c>
      <c r="K162" s="621"/>
      <c r="L162" s="621"/>
      <c r="M162" s="621"/>
    </row>
    <row r="163" spans="1:17" ht="184.5" thickTop="1" thickBot="1" x14ac:dyDescent="0.25">
      <c r="A163" s="578" t="s">
        <v>530</v>
      </c>
      <c r="B163" s="578" t="s">
        <v>528</v>
      </c>
      <c r="C163" s="578" t="s">
        <v>207</v>
      </c>
      <c r="D163" s="532" t="s">
        <v>529</v>
      </c>
      <c r="E163" s="452" t="s">
        <v>1314</v>
      </c>
      <c r="F163" s="734" t="s">
        <v>1315</v>
      </c>
      <c r="G163" s="530">
        <f t="shared" si="24"/>
        <v>2490471</v>
      </c>
      <c r="H163" s="530">
        <f>'d3'!E217</f>
        <v>2490471</v>
      </c>
      <c r="I163" s="567">
        <f>'d3'!J217</f>
        <v>0</v>
      </c>
      <c r="J163" s="567">
        <f>'d3'!K217</f>
        <v>0</v>
      </c>
      <c r="K163" s="621"/>
      <c r="L163" s="621"/>
      <c r="M163" s="621"/>
    </row>
    <row r="164" spans="1:17" ht="184.5" thickTop="1" thickBot="1" x14ac:dyDescent="0.25">
      <c r="A164" s="578" t="s">
        <v>32</v>
      </c>
      <c r="B164" s="578" t="s">
        <v>208</v>
      </c>
      <c r="C164" s="578" t="s">
        <v>207</v>
      </c>
      <c r="D164" s="532" t="s">
        <v>33</v>
      </c>
      <c r="E164" s="452" t="s">
        <v>1314</v>
      </c>
      <c r="F164" s="734" t="s">
        <v>1315</v>
      </c>
      <c r="G164" s="530">
        <f t="shared" si="24"/>
        <v>1754375</v>
      </c>
      <c r="H164" s="530">
        <f>'d3'!E218</f>
        <v>1754375</v>
      </c>
      <c r="I164" s="567">
        <f>'d3'!J218</f>
        <v>0</v>
      </c>
      <c r="J164" s="530">
        <f>'d3'!K218</f>
        <v>0</v>
      </c>
      <c r="K164" s="621"/>
      <c r="L164" s="621"/>
      <c r="M164" s="621"/>
    </row>
    <row r="165" spans="1:17" ht="276" thickTop="1" thickBot="1" x14ac:dyDescent="0.25">
      <c r="A165" s="578" t="s">
        <v>356</v>
      </c>
      <c r="B165" s="578" t="s">
        <v>355</v>
      </c>
      <c r="C165" s="578" t="s">
        <v>354</v>
      </c>
      <c r="D165" s="532" t="s">
        <v>681</v>
      </c>
      <c r="E165" s="452" t="s">
        <v>1314</v>
      </c>
      <c r="F165" s="734" t="s">
        <v>1315</v>
      </c>
      <c r="G165" s="530">
        <f t="shared" si="24"/>
        <v>39000</v>
      </c>
      <c r="H165" s="530">
        <f>'d3'!E221</f>
        <v>39000</v>
      </c>
      <c r="I165" s="567">
        <f>'d3'!J221</f>
        <v>0</v>
      </c>
      <c r="J165" s="567">
        <f>'d3'!K221</f>
        <v>0</v>
      </c>
      <c r="K165" s="621"/>
      <c r="L165" s="621"/>
      <c r="M165" s="621"/>
    </row>
    <row r="166" spans="1:17" s="220" customFormat="1" ht="184.5" hidden="1" thickTop="1" thickBot="1" x14ac:dyDescent="0.25">
      <c r="A166" s="532" t="s">
        <v>1204</v>
      </c>
      <c r="B166" s="532" t="s">
        <v>326</v>
      </c>
      <c r="C166" s="532" t="s">
        <v>317</v>
      </c>
      <c r="D166" s="532" t="s">
        <v>667</v>
      </c>
      <c r="E166" s="452" t="s">
        <v>1314</v>
      </c>
      <c r="F166" s="734" t="s">
        <v>1315</v>
      </c>
      <c r="G166" s="530">
        <f t="shared" si="24"/>
        <v>0</v>
      </c>
      <c r="H166" s="530">
        <f>'d3'!E225</f>
        <v>0</v>
      </c>
      <c r="I166" s="567">
        <f>'d3'!J225</f>
        <v>0</v>
      </c>
      <c r="J166" s="567">
        <f>'d3'!K225</f>
        <v>0</v>
      </c>
      <c r="K166" s="621"/>
      <c r="L166" s="621"/>
      <c r="M166" s="621"/>
      <c r="N166" s="221"/>
      <c r="O166" s="221"/>
      <c r="P166" s="221"/>
      <c r="Q166" s="221"/>
    </row>
    <row r="167" spans="1:17" s="134" customFormat="1" ht="184.5" thickTop="1" thickBot="1" x14ac:dyDescent="0.25">
      <c r="A167" s="532" t="s">
        <v>642</v>
      </c>
      <c r="B167" s="532" t="s">
        <v>209</v>
      </c>
      <c r="C167" s="532" t="s">
        <v>178</v>
      </c>
      <c r="D167" s="532" t="s">
        <v>36</v>
      </c>
      <c r="E167" s="452" t="s">
        <v>1314</v>
      </c>
      <c r="F167" s="734" t="s">
        <v>1315</v>
      </c>
      <c r="G167" s="530">
        <f t="shared" ref="G167" si="25">H167+I167</f>
        <v>300000</v>
      </c>
      <c r="H167" s="530">
        <f>'d3'!E227</f>
        <v>0</v>
      </c>
      <c r="I167" s="567">
        <f>'d3'!J227</f>
        <v>300000</v>
      </c>
      <c r="J167" s="567">
        <f>'d3'!K227</f>
        <v>300000</v>
      </c>
      <c r="K167" s="621"/>
      <c r="L167" s="621"/>
      <c r="M167" s="621"/>
      <c r="N167" s="135"/>
      <c r="O167" s="135"/>
      <c r="P167" s="135"/>
      <c r="Q167" s="135"/>
    </row>
    <row r="168" spans="1:17" ht="184.5" thickTop="1" thickBot="1" x14ac:dyDescent="0.25">
      <c r="A168" s="578" t="s">
        <v>475</v>
      </c>
      <c r="B168" s="578" t="s">
        <v>477</v>
      </c>
      <c r="C168" s="578" t="s">
        <v>52</v>
      </c>
      <c r="D168" s="532" t="s">
        <v>474</v>
      </c>
      <c r="E168" s="452" t="s">
        <v>1314</v>
      </c>
      <c r="F168" s="734" t="s">
        <v>1315</v>
      </c>
      <c r="G168" s="530">
        <f t="shared" si="24"/>
        <v>650000</v>
      </c>
      <c r="H168" s="530">
        <f>'d4'!F17</f>
        <v>500000</v>
      </c>
      <c r="I168" s="567">
        <f>'d4'!G17</f>
        <v>150000</v>
      </c>
      <c r="J168" s="567">
        <f>'d4'!H17</f>
        <v>0</v>
      </c>
      <c r="K168" s="621"/>
      <c r="L168" s="621"/>
      <c r="M168" s="621"/>
    </row>
    <row r="169" spans="1:17" s="222" customFormat="1" ht="276" hidden="1" thickTop="1" thickBot="1" x14ac:dyDescent="0.25">
      <c r="A169" s="259" t="s">
        <v>1214</v>
      </c>
      <c r="B169" s="259" t="s">
        <v>377</v>
      </c>
      <c r="C169" s="259" t="s">
        <v>45</v>
      </c>
      <c r="D169" s="259" t="s">
        <v>378</v>
      </c>
      <c r="E169" s="355" t="s">
        <v>620</v>
      </c>
      <c r="F169" s="328" t="s">
        <v>424</v>
      </c>
      <c r="G169" s="328">
        <f t="shared" si="24"/>
        <v>0</v>
      </c>
      <c r="H169" s="328">
        <f>'d3'!E230</f>
        <v>0</v>
      </c>
      <c r="I169" s="360">
        <f>'d3'!J230</f>
        <v>0</v>
      </c>
      <c r="J169" s="360">
        <f>'d3'!K230</f>
        <v>0</v>
      </c>
      <c r="K169" s="621"/>
      <c r="L169" s="621"/>
      <c r="M169" s="621"/>
      <c r="N169" s="223"/>
      <c r="O169" s="223"/>
      <c r="P169" s="223"/>
      <c r="Q169" s="223"/>
    </row>
    <row r="170" spans="1:17" s="98" customFormat="1" ht="136.5" thickTop="1" thickBot="1" x14ac:dyDescent="0.25">
      <c r="A170" s="827" t="s">
        <v>166</v>
      </c>
      <c r="B170" s="827"/>
      <c r="C170" s="827"/>
      <c r="D170" s="828" t="s">
        <v>587</v>
      </c>
      <c r="E170" s="827"/>
      <c r="F170" s="827"/>
      <c r="G170" s="830">
        <f>G171</f>
        <v>17876601</v>
      </c>
      <c r="H170" s="830">
        <f t="shared" ref="H170:J170" si="26">H171</f>
        <v>10670275</v>
      </c>
      <c r="I170" s="830">
        <f t="shared" si="26"/>
        <v>7206326</v>
      </c>
      <c r="J170" s="830">
        <f t="shared" si="26"/>
        <v>6322326</v>
      </c>
      <c r="K170" s="710" t="b">
        <f>H170='d3'!E231-'d3'!E234+'d7'!H172</f>
        <v>1</v>
      </c>
      <c r="L170" s="710" t="b">
        <f>I170='d3'!J231-'d3'!J234+I172</f>
        <v>1</v>
      </c>
      <c r="M170" s="710" t="b">
        <f>J170='d3'!K231-'d3'!K234+J172</f>
        <v>1</v>
      </c>
      <c r="N170" s="105"/>
      <c r="O170" s="105"/>
      <c r="P170" s="105"/>
      <c r="Q170" s="105"/>
    </row>
    <row r="171" spans="1:17" s="98" customFormat="1" ht="136.5" thickTop="1" thickBot="1" x14ac:dyDescent="0.25">
      <c r="A171" s="831" t="s">
        <v>167</v>
      </c>
      <c r="B171" s="831"/>
      <c r="C171" s="831"/>
      <c r="D171" s="832" t="s">
        <v>588</v>
      </c>
      <c r="E171" s="833"/>
      <c r="F171" s="833"/>
      <c r="G171" s="833">
        <f>SUM(G172:G187)</f>
        <v>17876601</v>
      </c>
      <c r="H171" s="833">
        <f>SUM(H172:H187)</f>
        <v>10670275</v>
      </c>
      <c r="I171" s="833">
        <f>SUM(I172:I187)</f>
        <v>7206326</v>
      </c>
      <c r="J171" s="833">
        <f>SUM(J172:J187)</f>
        <v>6322326</v>
      </c>
      <c r="K171" s="621"/>
      <c r="L171" s="621"/>
      <c r="M171" s="621"/>
      <c r="N171" s="105"/>
      <c r="O171" s="105"/>
      <c r="P171" s="105"/>
      <c r="Q171" s="105"/>
    </row>
    <row r="172" spans="1:17" s="98" customFormat="1" ht="184.5" thickTop="1" thickBot="1" x14ac:dyDescent="0.25">
      <c r="A172" s="224" t="s">
        <v>437</v>
      </c>
      <c r="B172" s="224" t="s">
        <v>248</v>
      </c>
      <c r="C172" s="224" t="s">
        <v>246</v>
      </c>
      <c r="D172" s="224" t="s">
        <v>247</v>
      </c>
      <c r="E172" s="450" t="s">
        <v>1122</v>
      </c>
      <c r="F172" s="451" t="s">
        <v>904</v>
      </c>
      <c r="G172" s="451">
        <f t="shared" ref="G172:G213" si="27">H172+I172</f>
        <v>75000</v>
      </c>
      <c r="H172" s="456"/>
      <c r="I172" s="457">
        <v>75000</v>
      </c>
      <c r="J172" s="457">
        <v>75000</v>
      </c>
      <c r="K172" s="621"/>
      <c r="L172" s="621"/>
      <c r="M172" s="621"/>
      <c r="N172" s="105"/>
      <c r="O172" s="105"/>
      <c r="P172" s="105"/>
      <c r="Q172" s="105"/>
    </row>
    <row r="173" spans="1:17" s="139" customFormat="1" ht="367.5" thickTop="1" thickBot="1" x14ac:dyDescent="0.25">
      <c r="A173" s="447" t="s">
        <v>669</v>
      </c>
      <c r="B173" s="447" t="s">
        <v>376</v>
      </c>
      <c r="C173" s="447" t="s">
        <v>662</v>
      </c>
      <c r="D173" s="447" t="s">
        <v>663</v>
      </c>
      <c r="E173" s="450" t="s">
        <v>1327</v>
      </c>
      <c r="F173" s="750" t="s">
        <v>1328</v>
      </c>
      <c r="G173" s="451">
        <f t="shared" si="27"/>
        <v>12000</v>
      </c>
      <c r="H173" s="456">
        <f>'d3'!E235</f>
        <v>12000</v>
      </c>
      <c r="I173" s="457"/>
      <c r="J173" s="457"/>
      <c r="K173" s="621"/>
      <c r="L173" s="621"/>
      <c r="M173" s="621"/>
      <c r="N173" s="140"/>
      <c r="O173" s="140"/>
      <c r="P173" s="140"/>
      <c r="Q173" s="140"/>
    </row>
    <row r="174" spans="1:17" s="429" customFormat="1" ht="184.5" thickTop="1" thickBot="1" x14ac:dyDescent="0.25">
      <c r="A174" s="472" t="s">
        <v>1281</v>
      </c>
      <c r="B174" s="472" t="s">
        <v>45</v>
      </c>
      <c r="C174" s="472" t="s">
        <v>44</v>
      </c>
      <c r="D174" s="472" t="s">
        <v>260</v>
      </c>
      <c r="E174" s="450" t="s">
        <v>1319</v>
      </c>
      <c r="F174" s="734" t="s">
        <v>1320</v>
      </c>
      <c r="G174" s="485">
        <f t="shared" ref="G174" si="28">H174+I174</f>
        <v>22830</v>
      </c>
      <c r="H174" s="456">
        <f>'d3'!E236</f>
        <v>22830</v>
      </c>
      <c r="I174" s="457"/>
      <c r="J174" s="457"/>
      <c r="K174" s="621"/>
      <c r="L174" s="621"/>
      <c r="M174" s="621"/>
      <c r="N174" s="436"/>
      <c r="O174" s="436"/>
      <c r="P174" s="436"/>
      <c r="Q174" s="436"/>
    </row>
    <row r="175" spans="1:17" s="98" customFormat="1" ht="184.5" thickTop="1" thickBot="1" x14ac:dyDescent="0.25">
      <c r="A175" s="748" t="s">
        <v>292</v>
      </c>
      <c r="B175" s="748" t="s">
        <v>293</v>
      </c>
      <c r="C175" s="748" t="s">
        <v>354</v>
      </c>
      <c r="D175" s="748" t="s">
        <v>294</v>
      </c>
      <c r="E175" s="450" t="s">
        <v>1319</v>
      </c>
      <c r="F175" s="734" t="s">
        <v>1320</v>
      </c>
      <c r="G175" s="749">
        <f t="shared" si="27"/>
        <v>1180600</v>
      </c>
      <c r="H175" s="749">
        <v>500000</v>
      </c>
      <c r="I175" s="749">
        <f>(2680600)-2000000</f>
        <v>680600</v>
      </c>
      <c r="J175" s="749">
        <f>(2680600)-2000000</f>
        <v>680600</v>
      </c>
      <c r="K175" s="710" t="b">
        <f>H175+H176='d3'!E239</f>
        <v>1</v>
      </c>
      <c r="L175" s="713" t="b">
        <f>I175+I176='d3'!J239</f>
        <v>1</v>
      </c>
      <c r="M175" s="713" t="b">
        <f>J175+J176='d3'!K239</f>
        <v>1</v>
      </c>
      <c r="N175" s="105"/>
      <c r="O175" s="105"/>
      <c r="P175" s="105"/>
      <c r="Q175" s="105"/>
    </row>
    <row r="176" spans="1:17" s="98" customFormat="1" ht="276" customHeight="1" thickTop="1" thickBot="1" x14ac:dyDescent="0.25">
      <c r="A176" s="748" t="s">
        <v>292</v>
      </c>
      <c r="B176" s="748" t="s">
        <v>293</v>
      </c>
      <c r="C176" s="748" t="s">
        <v>354</v>
      </c>
      <c r="D176" s="748" t="s">
        <v>294</v>
      </c>
      <c r="E176" s="561" t="s">
        <v>1032</v>
      </c>
      <c r="F176" s="561" t="s">
        <v>616</v>
      </c>
      <c r="G176" s="749">
        <f t="shared" si="27"/>
        <v>41200</v>
      </c>
      <c r="H176" s="745">
        <f>(1000000)-986800</f>
        <v>13200</v>
      </c>
      <c r="I176" s="746">
        <f>((1828000)-1000000)-800000</f>
        <v>28000</v>
      </c>
      <c r="J176" s="746">
        <f>((1828000)-1000000)-800000</f>
        <v>28000</v>
      </c>
      <c r="K176" s="621"/>
      <c r="L176" s="621"/>
      <c r="M176" s="621"/>
      <c r="N176" s="105"/>
      <c r="O176" s="105"/>
      <c r="P176" s="105"/>
      <c r="Q176" s="105"/>
    </row>
    <row r="177" spans="1:17" s="98" customFormat="1" ht="184.5" thickTop="1" thickBot="1" x14ac:dyDescent="0.25">
      <c r="A177" s="482" t="s">
        <v>314</v>
      </c>
      <c r="B177" s="482" t="s">
        <v>315</v>
      </c>
      <c r="C177" s="482" t="s">
        <v>295</v>
      </c>
      <c r="D177" s="482" t="s">
        <v>316</v>
      </c>
      <c r="E177" s="450" t="s">
        <v>1319</v>
      </c>
      <c r="F177" s="734" t="s">
        <v>1320</v>
      </c>
      <c r="G177" s="485">
        <f t="shared" si="27"/>
        <v>3000000</v>
      </c>
      <c r="H177" s="456">
        <f>'d3'!E240</f>
        <v>0</v>
      </c>
      <c r="I177" s="457">
        <f>'d3'!J240</f>
        <v>3000000</v>
      </c>
      <c r="J177" s="457">
        <f>'d3'!K240</f>
        <v>3000000</v>
      </c>
      <c r="K177" s="621"/>
      <c r="L177" s="621"/>
      <c r="M177" s="621"/>
      <c r="N177" s="105"/>
      <c r="O177" s="105"/>
      <c r="P177" s="105"/>
      <c r="Q177" s="105"/>
    </row>
    <row r="178" spans="1:17" s="98" customFormat="1" ht="184.5" thickTop="1" thickBot="1" x14ac:dyDescent="0.25">
      <c r="A178" s="1035" t="s">
        <v>296</v>
      </c>
      <c r="B178" s="1035" t="s">
        <v>297</v>
      </c>
      <c r="C178" s="1035" t="s">
        <v>295</v>
      </c>
      <c r="D178" s="1035" t="s">
        <v>484</v>
      </c>
      <c r="E178" s="450" t="s">
        <v>1319</v>
      </c>
      <c r="F178" s="734" t="s">
        <v>1320</v>
      </c>
      <c r="G178" s="485">
        <f t="shared" si="27"/>
        <v>1200000</v>
      </c>
      <c r="H178" s="562">
        <f>'d3'!E241-H179</f>
        <v>700000</v>
      </c>
      <c r="I178" s="457">
        <f>'d3'!J241-'d7'!I179</f>
        <v>500000</v>
      </c>
      <c r="J178" s="457">
        <f>'d3'!K241-'d7'!J179</f>
        <v>500000</v>
      </c>
      <c r="K178" s="621"/>
      <c r="L178" s="621"/>
      <c r="M178" s="621"/>
      <c r="N178" s="105"/>
      <c r="O178" s="105"/>
      <c r="P178" s="105"/>
      <c r="Q178" s="105"/>
    </row>
    <row r="179" spans="1:17" s="98" customFormat="1" ht="47.25" hidden="1" thickTop="1" thickBot="1" x14ac:dyDescent="0.25">
      <c r="A179" s="1036"/>
      <c r="B179" s="1036"/>
      <c r="C179" s="1036"/>
      <c r="D179" s="1036"/>
      <c r="E179" s="450"/>
      <c r="F179" s="485"/>
      <c r="G179" s="485">
        <f t="shared" si="27"/>
        <v>0</v>
      </c>
      <c r="H179" s="562">
        <v>0</v>
      </c>
      <c r="I179" s="360">
        <v>0</v>
      </c>
      <c r="J179" s="360">
        <v>0</v>
      </c>
      <c r="K179" s="621"/>
      <c r="L179" s="621"/>
      <c r="M179" s="621"/>
      <c r="N179" s="105"/>
      <c r="O179" s="105"/>
      <c r="P179" s="105"/>
      <c r="Q179" s="105"/>
    </row>
    <row r="180" spans="1:17" s="169" customFormat="1" ht="184.5" thickTop="1" thickBot="1" x14ac:dyDescent="0.25">
      <c r="A180" s="754" t="s">
        <v>989</v>
      </c>
      <c r="B180" s="754" t="s">
        <v>310</v>
      </c>
      <c r="C180" s="754" t="s">
        <v>295</v>
      </c>
      <c r="D180" s="754" t="s">
        <v>311</v>
      </c>
      <c r="E180" s="450" t="s">
        <v>1319</v>
      </c>
      <c r="F180" s="756" t="s">
        <v>1320</v>
      </c>
      <c r="G180" s="756">
        <f t="shared" ref="G180" si="29">H180+I180</f>
        <v>8422245</v>
      </c>
      <c r="H180" s="760">
        <f>'d3'!E242</f>
        <v>8422245</v>
      </c>
      <c r="I180" s="761">
        <f>'d3'!J242</f>
        <v>0</v>
      </c>
      <c r="J180" s="761">
        <f>'d3'!K242</f>
        <v>0</v>
      </c>
      <c r="K180" s="621"/>
      <c r="L180" s="621"/>
      <c r="M180" s="621"/>
      <c r="N180" s="170"/>
      <c r="O180" s="170"/>
      <c r="P180" s="170"/>
      <c r="Q180" s="170"/>
    </row>
    <row r="181" spans="1:17" s="98" customFormat="1" ht="184.5" hidden="1" thickTop="1" thickBot="1" x14ac:dyDescent="0.25">
      <c r="A181" s="799" t="s">
        <v>300</v>
      </c>
      <c r="B181" s="799" t="s">
        <v>301</v>
      </c>
      <c r="C181" s="799" t="s">
        <v>295</v>
      </c>
      <c r="D181" s="799" t="s">
        <v>302</v>
      </c>
      <c r="E181" s="450" t="s">
        <v>1319</v>
      </c>
      <c r="F181" s="798" t="s">
        <v>1320</v>
      </c>
      <c r="G181" s="798">
        <f t="shared" si="27"/>
        <v>0</v>
      </c>
      <c r="H181" s="801">
        <f>'d3'!E243</f>
        <v>0</v>
      </c>
      <c r="I181" s="802">
        <f>'d3'!J243</f>
        <v>0</v>
      </c>
      <c r="J181" s="802">
        <f>'d3'!K243</f>
        <v>0</v>
      </c>
      <c r="K181" s="621"/>
      <c r="L181" s="621"/>
      <c r="M181" s="621"/>
      <c r="N181" s="105"/>
      <c r="O181" s="105"/>
      <c r="P181" s="105"/>
      <c r="Q181" s="105"/>
    </row>
    <row r="182" spans="1:17" s="429" customFormat="1" ht="184.5" thickTop="1" thickBot="1" x14ac:dyDescent="0.25">
      <c r="A182" s="482" t="s">
        <v>1286</v>
      </c>
      <c r="B182" s="482" t="s">
        <v>318</v>
      </c>
      <c r="C182" s="482" t="s">
        <v>317</v>
      </c>
      <c r="D182" s="482" t="s">
        <v>664</v>
      </c>
      <c r="E182" s="450" t="s">
        <v>1283</v>
      </c>
      <c r="F182" s="485" t="s">
        <v>1284</v>
      </c>
      <c r="G182" s="485">
        <f t="shared" si="27"/>
        <v>38726</v>
      </c>
      <c r="H182" s="564">
        <f>'d3'!E246</f>
        <v>0</v>
      </c>
      <c r="I182" s="565">
        <f>'d3'!J246</f>
        <v>38726</v>
      </c>
      <c r="J182" s="565">
        <f>'d3'!K246</f>
        <v>38726</v>
      </c>
      <c r="K182" s="621"/>
      <c r="L182" s="621"/>
      <c r="M182" s="621"/>
      <c r="N182" s="436"/>
      <c r="O182" s="436"/>
      <c r="P182" s="436"/>
      <c r="Q182" s="436"/>
    </row>
    <row r="183" spans="1:17" s="98" customFormat="1" ht="409.6" customHeight="1" thickTop="1" thickBot="1" x14ac:dyDescent="0.25">
      <c r="A183" s="744" t="s">
        <v>309</v>
      </c>
      <c r="B183" s="744" t="s">
        <v>224</v>
      </c>
      <c r="C183" s="744" t="s">
        <v>225</v>
      </c>
      <c r="D183" s="744" t="s">
        <v>43</v>
      </c>
      <c r="E183" s="563" t="s">
        <v>1108</v>
      </c>
      <c r="F183" s="485" t="s">
        <v>621</v>
      </c>
      <c r="G183" s="749">
        <f>H183+I183</f>
        <v>1000000</v>
      </c>
      <c r="H183" s="749">
        <f>'d3'!E248</f>
        <v>1000000</v>
      </c>
      <c r="I183" s="749">
        <v>0</v>
      </c>
      <c r="J183" s="749">
        <v>0</v>
      </c>
      <c r="K183" s="710" t="b">
        <f>H183+H184='d3'!E248</f>
        <v>1</v>
      </c>
      <c r="L183" s="713" t="b">
        <f>I183+I184='d3'!J248</f>
        <v>1</v>
      </c>
      <c r="M183" s="713" t="b">
        <f>J183+J184='d3'!K248</f>
        <v>1</v>
      </c>
      <c r="N183" s="105"/>
      <c r="O183" s="105"/>
      <c r="P183" s="105"/>
      <c r="Q183" s="105"/>
    </row>
    <row r="184" spans="1:17" s="98" customFormat="1" ht="138.75" thickTop="1" thickBot="1" x14ac:dyDescent="0.25">
      <c r="A184" s="748" t="s">
        <v>309</v>
      </c>
      <c r="B184" s="748" t="s">
        <v>224</v>
      </c>
      <c r="C184" s="748" t="s">
        <v>225</v>
      </c>
      <c r="D184" s="748" t="s">
        <v>43</v>
      </c>
      <c r="E184" s="452" t="s">
        <v>1107</v>
      </c>
      <c r="F184" s="485" t="s">
        <v>622</v>
      </c>
      <c r="G184" s="749">
        <f>H184+I184</f>
        <v>2000000</v>
      </c>
      <c r="H184" s="564">
        <v>0</v>
      </c>
      <c r="I184" s="565">
        <v>2000000</v>
      </c>
      <c r="J184" s="565">
        <v>2000000</v>
      </c>
      <c r="K184" s="621"/>
      <c r="L184" s="621"/>
      <c r="M184" s="621"/>
      <c r="N184" s="105"/>
      <c r="O184" s="105"/>
      <c r="P184" s="105"/>
      <c r="Q184" s="105"/>
    </row>
    <row r="185" spans="1:17" s="165" customFormat="1" ht="222.75" hidden="1" thickTop="1" thickBot="1" x14ac:dyDescent="0.25">
      <c r="A185" s="259" t="s">
        <v>976</v>
      </c>
      <c r="B185" s="259" t="s">
        <v>209</v>
      </c>
      <c r="C185" s="259" t="s">
        <v>178</v>
      </c>
      <c r="D185" s="259" t="s">
        <v>36</v>
      </c>
      <c r="E185" s="361" t="s">
        <v>614</v>
      </c>
      <c r="F185" s="354" t="s">
        <v>615</v>
      </c>
      <c r="G185" s="328">
        <f t="shared" si="27"/>
        <v>0</v>
      </c>
      <c r="H185" s="354">
        <f>'d3'!E249</f>
        <v>0</v>
      </c>
      <c r="I185" s="360">
        <f>'d3'!J249</f>
        <v>0</v>
      </c>
      <c r="J185" s="360">
        <f>'d3'!K249</f>
        <v>0</v>
      </c>
      <c r="K185" s="621"/>
      <c r="L185" s="621"/>
      <c r="M185" s="621"/>
      <c r="N185" s="166"/>
      <c r="O185" s="166"/>
      <c r="P185" s="166"/>
      <c r="Q185" s="166"/>
    </row>
    <row r="186" spans="1:17" s="128" customFormat="1" ht="409.6" customHeight="1" thickTop="1" thickBot="1" x14ac:dyDescent="0.7">
      <c r="A186" s="915" t="s">
        <v>440</v>
      </c>
      <c r="B186" s="915" t="s">
        <v>352</v>
      </c>
      <c r="C186" s="915" t="s">
        <v>178</v>
      </c>
      <c r="D186" s="490" t="s">
        <v>457</v>
      </c>
      <c r="E186" s="915" t="s">
        <v>1308</v>
      </c>
      <c r="F186" s="915" t="s">
        <v>1309</v>
      </c>
      <c r="G186" s="1029">
        <f t="shared" si="27"/>
        <v>884000</v>
      </c>
      <c r="H186" s="1029">
        <f>'d3'!E251</f>
        <v>0</v>
      </c>
      <c r="I186" s="1029">
        <f>'d3'!J251</f>
        <v>884000</v>
      </c>
      <c r="J186" s="1029">
        <f>'d3'!K251</f>
        <v>0</v>
      </c>
      <c r="K186" s="621"/>
      <c r="L186" s="621"/>
      <c r="M186" s="621"/>
      <c r="N186" s="129"/>
      <c r="O186" s="129"/>
      <c r="P186" s="129"/>
      <c r="Q186" s="129"/>
    </row>
    <row r="187" spans="1:17" s="128" customFormat="1" ht="138.75" thickTop="1" thickBot="1" x14ac:dyDescent="0.25">
      <c r="A187" s="929"/>
      <c r="B187" s="929"/>
      <c r="C187" s="929"/>
      <c r="D187" s="491" t="s">
        <v>458</v>
      </c>
      <c r="E187" s="929" t="s">
        <v>1308</v>
      </c>
      <c r="F187" s="929" t="s">
        <v>1309</v>
      </c>
      <c r="G187" s="1031"/>
      <c r="H187" s="1031"/>
      <c r="I187" s="1031"/>
      <c r="J187" s="1031"/>
      <c r="K187" s="621"/>
      <c r="L187" s="621"/>
      <c r="M187" s="621"/>
      <c r="N187" s="129"/>
      <c r="O187" s="129"/>
      <c r="P187" s="129"/>
      <c r="Q187" s="129"/>
    </row>
    <row r="188" spans="1:17" s="98" customFormat="1" ht="136.5" thickTop="1" thickBot="1" x14ac:dyDescent="0.25">
      <c r="A188" s="827" t="s">
        <v>566</v>
      </c>
      <c r="B188" s="827"/>
      <c r="C188" s="827"/>
      <c r="D188" s="828" t="s">
        <v>585</v>
      </c>
      <c r="E188" s="827"/>
      <c r="F188" s="827"/>
      <c r="G188" s="830">
        <f>H188+I188</f>
        <v>482533266.59000003</v>
      </c>
      <c r="H188" s="830">
        <f>H189</f>
        <v>425521273</v>
      </c>
      <c r="I188" s="830">
        <f>I189</f>
        <v>57011993.590000004</v>
      </c>
      <c r="J188" s="830">
        <f>J189</f>
        <v>55711993.590000004</v>
      </c>
      <c r="K188" s="710" t="b">
        <f>H188='d3'!E254-'d3'!E256+'d7'!H190</f>
        <v>1</v>
      </c>
      <c r="L188" s="710" t="b">
        <f>I188='d3'!J254-'d3'!J256+'d7'!I190</f>
        <v>1</v>
      </c>
      <c r="M188" s="710" t="b">
        <f>J188='d3'!K254-'d3'!K256+'d7'!J190</f>
        <v>1</v>
      </c>
      <c r="N188" s="105"/>
      <c r="O188" s="105"/>
      <c r="P188" s="105"/>
      <c r="Q188" s="105"/>
    </row>
    <row r="189" spans="1:17" s="98" customFormat="1" ht="207.75" customHeight="1" thickTop="1" thickBot="1" x14ac:dyDescent="0.25">
      <c r="A189" s="831" t="s">
        <v>567</v>
      </c>
      <c r="B189" s="831"/>
      <c r="C189" s="831"/>
      <c r="D189" s="832" t="s">
        <v>586</v>
      </c>
      <c r="E189" s="833"/>
      <c r="F189" s="833"/>
      <c r="G189" s="833">
        <f>SUM(G190:G213)</f>
        <v>482533266.58999997</v>
      </c>
      <c r="H189" s="833">
        <f>SUM(H190:H213)</f>
        <v>425521273</v>
      </c>
      <c r="I189" s="833">
        <f>SUM(I190:I213)</f>
        <v>57011993.590000004</v>
      </c>
      <c r="J189" s="833">
        <f>SUM(J190:J213)</f>
        <v>55711993.590000004</v>
      </c>
      <c r="K189" s="771"/>
      <c r="L189" s="621"/>
      <c r="M189" s="621"/>
      <c r="N189" s="105"/>
      <c r="O189" s="105"/>
      <c r="P189" s="105"/>
      <c r="Q189" s="105"/>
    </row>
    <row r="190" spans="1:17" s="98" customFormat="1" ht="276" hidden="1" thickTop="1" thickBot="1" x14ac:dyDescent="0.25">
      <c r="A190" s="259" t="s">
        <v>568</v>
      </c>
      <c r="B190" s="259" t="s">
        <v>248</v>
      </c>
      <c r="C190" s="259" t="s">
        <v>246</v>
      </c>
      <c r="D190" s="259" t="s">
        <v>243</v>
      </c>
      <c r="E190" s="352" t="s">
        <v>1122</v>
      </c>
      <c r="F190" s="328" t="s">
        <v>904</v>
      </c>
      <c r="G190" s="328">
        <f t="shared" si="27"/>
        <v>0</v>
      </c>
      <c r="H190" s="328">
        <v>0</v>
      </c>
      <c r="I190" s="328"/>
      <c r="J190" s="328"/>
      <c r="K190" s="621"/>
      <c r="L190" s="621"/>
      <c r="M190" s="621"/>
      <c r="N190" s="105"/>
      <c r="O190" s="105"/>
      <c r="P190" s="105"/>
      <c r="Q190" s="105"/>
    </row>
    <row r="191" spans="1:17" s="141" customFormat="1" ht="409.6" customHeight="1" thickTop="1" thickBot="1" x14ac:dyDescent="0.25">
      <c r="A191" s="447" t="s">
        <v>671</v>
      </c>
      <c r="B191" s="447" t="s">
        <v>376</v>
      </c>
      <c r="C191" s="447" t="s">
        <v>662</v>
      </c>
      <c r="D191" s="447" t="s">
        <v>663</v>
      </c>
      <c r="E191" s="450" t="s">
        <v>1327</v>
      </c>
      <c r="F191" s="750" t="s">
        <v>1328</v>
      </c>
      <c r="G191" s="451">
        <f t="shared" ref="G191" si="30">H191+I191</f>
        <v>10000</v>
      </c>
      <c r="H191" s="456">
        <f>'d3'!E257</f>
        <v>10000</v>
      </c>
      <c r="I191" s="457"/>
      <c r="J191" s="457"/>
      <c r="K191" s="621"/>
      <c r="L191" s="621"/>
      <c r="M191" s="621"/>
      <c r="N191" s="142"/>
      <c r="O191" s="142"/>
      <c r="P191" s="142"/>
      <c r="Q191" s="142"/>
    </row>
    <row r="192" spans="1:17" s="98" customFormat="1" ht="184.5" thickTop="1" thickBot="1" x14ac:dyDescent="0.25">
      <c r="A192" s="482" t="s">
        <v>569</v>
      </c>
      <c r="B192" s="482" t="s">
        <v>45</v>
      </c>
      <c r="C192" s="482" t="s">
        <v>44</v>
      </c>
      <c r="D192" s="482" t="s">
        <v>260</v>
      </c>
      <c r="E192" s="450" t="s">
        <v>1319</v>
      </c>
      <c r="F192" s="734" t="s">
        <v>1320</v>
      </c>
      <c r="G192" s="485">
        <f t="shared" si="27"/>
        <v>57611</v>
      </c>
      <c r="H192" s="485">
        <f>'d3'!E258</f>
        <v>57611</v>
      </c>
      <c r="I192" s="485">
        <f>'d3'!J258</f>
        <v>0</v>
      </c>
      <c r="J192" s="485">
        <f>'d3'!K258</f>
        <v>0</v>
      </c>
      <c r="K192" s="621"/>
      <c r="L192" s="621"/>
      <c r="M192" s="621"/>
      <c r="N192" s="105"/>
      <c r="O192" s="105"/>
      <c r="P192" s="105"/>
      <c r="Q192" s="105"/>
    </row>
    <row r="193" spans="1:17" s="98" customFormat="1" ht="184.5" thickTop="1" thickBot="1" x14ac:dyDescent="0.25">
      <c r="A193" s="482" t="s">
        <v>570</v>
      </c>
      <c r="B193" s="482" t="s">
        <v>391</v>
      </c>
      <c r="C193" s="482" t="s">
        <v>295</v>
      </c>
      <c r="D193" s="482" t="s">
        <v>392</v>
      </c>
      <c r="E193" s="450" t="s">
        <v>1319</v>
      </c>
      <c r="F193" s="734" t="s">
        <v>1320</v>
      </c>
      <c r="G193" s="485">
        <f t="shared" si="27"/>
        <v>97600000</v>
      </c>
      <c r="H193" s="456">
        <f>'d3'!E261</f>
        <v>97600000</v>
      </c>
      <c r="I193" s="457">
        <f>'d3'!J261</f>
        <v>0</v>
      </c>
      <c r="J193" s="457">
        <f>'d3'!K261</f>
        <v>0</v>
      </c>
      <c r="K193" s="621"/>
      <c r="L193" s="621"/>
      <c r="M193" s="621"/>
      <c r="N193" s="105"/>
      <c r="O193" s="105"/>
      <c r="P193" s="105"/>
      <c r="Q193" s="105"/>
    </row>
    <row r="194" spans="1:17" s="98" customFormat="1" ht="184.5" thickTop="1" thickBot="1" x14ac:dyDescent="0.25">
      <c r="A194" s="482" t="s">
        <v>571</v>
      </c>
      <c r="B194" s="482" t="s">
        <v>298</v>
      </c>
      <c r="C194" s="482" t="s">
        <v>295</v>
      </c>
      <c r="D194" s="482" t="s">
        <v>299</v>
      </c>
      <c r="E194" s="450" t="s">
        <v>1319</v>
      </c>
      <c r="F194" s="734" t="s">
        <v>1320</v>
      </c>
      <c r="G194" s="485">
        <f t="shared" si="27"/>
        <v>7900000</v>
      </c>
      <c r="H194" s="456">
        <f>'d3'!E262</f>
        <v>7650000</v>
      </c>
      <c r="I194" s="457">
        <f>'d3'!J262</f>
        <v>250000</v>
      </c>
      <c r="J194" s="457">
        <f>'d3'!K262</f>
        <v>250000</v>
      </c>
      <c r="K194" s="621"/>
      <c r="L194" s="621"/>
      <c r="M194" s="621"/>
      <c r="N194" s="105"/>
      <c r="O194" s="105"/>
      <c r="P194" s="105"/>
      <c r="Q194" s="105"/>
    </row>
    <row r="195" spans="1:17" s="98" customFormat="1" ht="184.5" thickTop="1" thickBot="1" x14ac:dyDescent="0.25">
      <c r="A195" s="482" t="s">
        <v>572</v>
      </c>
      <c r="B195" s="482" t="s">
        <v>310</v>
      </c>
      <c r="C195" s="482" t="s">
        <v>295</v>
      </c>
      <c r="D195" s="482" t="s">
        <v>311</v>
      </c>
      <c r="E195" s="450" t="s">
        <v>1319</v>
      </c>
      <c r="F195" s="734" t="s">
        <v>1320</v>
      </c>
      <c r="G195" s="485">
        <f t="shared" si="27"/>
        <v>2574000</v>
      </c>
      <c r="H195" s="456">
        <f>'d3'!E263</f>
        <v>2574000</v>
      </c>
      <c r="I195" s="457">
        <f>'d3'!J263</f>
        <v>0</v>
      </c>
      <c r="J195" s="457">
        <f>'d3'!K263</f>
        <v>0</v>
      </c>
      <c r="K195" s="621"/>
      <c r="L195" s="621"/>
      <c r="M195" s="621"/>
      <c r="N195" s="105"/>
      <c r="O195" s="105"/>
      <c r="P195" s="105"/>
      <c r="Q195" s="105"/>
    </row>
    <row r="196" spans="1:17" s="98" customFormat="1" ht="138.75" hidden="1" customHeight="1" thickTop="1" thickBot="1" x14ac:dyDescent="0.25">
      <c r="A196" s="482"/>
      <c r="B196" s="482"/>
      <c r="C196" s="482"/>
      <c r="D196" s="482"/>
      <c r="E196" s="456" t="s">
        <v>927</v>
      </c>
      <c r="F196" s="485" t="s">
        <v>925</v>
      </c>
      <c r="G196" s="430"/>
      <c r="H196" s="434"/>
      <c r="I196" s="435"/>
      <c r="J196" s="435"/>
      <c r="K196" s="621"/>
      <c r="L196" s="621"/>
      <c r="M196" s="621"/>
      <c r="N196" s="105"/>
      <c r="O196" s="105"/>
      <c r="P196" s="105"/>
      <c r="Q196" s="105"/>
    </row>
    <row r="197" spans="1:17" s="98" customFormat="1" ht="184.5" hidden="1" thickTop="1" thickBot="1" x14ac:dyDescent="0.25">
      <c r="A197" s="747" t="s">
        <v>573</v>
      </c>
      <c r="B197" s="747">
        <v>6030</v>
      </c>
      <c r="C197" s="747" t="s">
        <v>295</v>
      </c>
      <c r="D197" s="747" t="s">
        <v>302</v>
      </c>
      <c r="E197" s="456" t="s">
        <v>617</v>
      </c>
      <c r="F197" s="561" t="s">
        <v>924</v>
      </c>
      <c r="G197" s="920">
        <f t="shared" si="27"/>
        <v>240499330</v>
      </c>
      <c r="H197" s="920">
        <f>'d3'!E264-H199</f>
        <v>238984330</v>
      </c>
      <c r="I197" s="920">
        <f>'d3'!J264-I199</f>
        <v>1515000</v>
      </c>
      <c r="J197" s="920">
        <f>'d3'!K264-J199</f>
        <v>1515000</v>
      </c>
      <c r="K197" s="621"/>
      <c r="L197" s="621"/>
      <c r="M197" s="621"/>
      <c r="N197" s="105"/>
      <c r="O197" s="105"/>
      <c r="P197" s="105"/>
      <c r="Q197" s="105"/>
    </row>
    <row r="198" spans="1:17" s="98" customFormat="1" ht="184.5" thickTop="1" thickBot="1" x14ac:dyDescent="0.25">
      <c r="A198" s="744" t="s">
        <v>573</v>
      </c>
      <c r="B198" s="744">
        <v>6030</v>
      </c>
      <c r="C198" s="744" t="s">
        <v>295</v>
      </c>
      <c r="D198" s="744" t="s">
        <v>302</v>
      </c>
      <c r="E198" s="450" t="s">
        <v>1319</v>
      </c>
      <c r="F198" s="734" t="s">
        <v>1320</v>
      </c>
      <c r="G198" s="1017">
        <f t="shared" si="27"/>
        <v>0</v>
      </c>
      <c r="H198" s="1017"/>
      <c r="I198" s="1017"/>
      <c r="J198" s="1017"/>
      <c r="K198" s="710" t="b">
        <f>H197+H199='d3'!E264</f>
        <v>1</v>
      </c>
      <c r="L198" s="710" t="b">
        <f>I197+I199='d3'!J264</f>
        <v>1</v>
      </c>
      <c r="M198" s="710" t="b">
        <f>J197+J199='d3'!K264</f>
        <v>1</v>
      </c>
      <c r="N198" s="105"/>
      <c r="O198" s="105"/>
      <c r="P198" s="105"/>
      <c r="Q198" s="105"/>
    </row>
    <row r="199" spans="1:17" s="152" customFormat="1" ht="184.5" thickTop="1" thickBot="1" x14ac:dyDescent="0.25">
      <c r="A199" s="744" t="s">
        <v>573</v>
      </c>
      <c r="B199" s="744">
        <v>6030</v>
      </c>
      <c r="C199" s="744" t="s">
        <v>295</v>
      </c>
      <c r="D199" s="744" t="s">
        <v>302</v>
      </c>
      <c r="E199" s="456" t="s">
        <v>919</v>
      </c>
      <c r="F199" s="485" t="s">
        <v>918</v>
      </c>
      <c r="G199" s="485">
        <f>H199+I199</f>
        <v>7180412</v>
      </c>
      <c r="H199" s="457">
        <v>7180412</v>
      </c>
      <c r="I199" s="457"/>
      <c r="J199" s="457"/>
      <c r="K199" s="621"/>
      <c r="L199" s="621"/>
      <c r="M199" s="621"/>
      <c r="N199" s="153"/>
      <c r="O199" s="153"/>
      <c r="P199" s="153"/>
      <c r="Q199" s="153"/>
    </row>
    <row r="200" spans="1:17" s="429" customFormat="1" ht="184.5" thickTop="1" thickBot="1" x14ac:dyDescent="0.25">
      <c r="A200" s="482" t="s">
        <v>1288</v>
      </c>
      <c r="B200" s="482" t="s">
        <v>1289</v>
      </c>
      <c r="C200" s="482" t="s">
        <v>1290</v>
      </c>
      <c r="D200" s="482" t="s">
        <v>1287</v>
      </c>
      <c r="E200" s="450" t="s">
        <v>1319</v>
      </c>
      <c r="F200" s="734" t="s">
        <v>1320</v>
      </c>
      <c r="G200" s="485">
        <f>H200+I200</f>
        <v>4723850</v>
      </c>
      <c r="H200" s="457">
        <f>'d3'!E265</f>
        <v>4723850</v>
      </c>
      <c r="I200" s="457">
        <f>'d3'!J265</f>
        <v>0</v>
      </c>
      <c r="J200" s="457">
        <f>'d3'!K265</f>
        <v>0</v>
      </c>
      <c r="K200" s="621"/>
      <c r="L200" s="621"/>
      <c r="M200" s="621"/>
      <c r="N200" s="436"/>
      <c r="O200" s="436"/>
      <c r="P200" s="436"/>
      <c r="Q200" s="436"/>
    </row>
    <row r="201" spans="1:17" s="98" customFormat="1" ht="184.5" thickTop="1" thickBot="1" x14ac:dyDescent="0.25">
      <c r="A201" s="482" t="s">
        <v>574</v>
      </c>
      <c r="B201" s="482" t="s">
        <v>318</v>
      </c>
      <c r="C201" s="482" t="s">
        <v>317</v>
      </c>
      <c r="D201" s="482" t="s">
        <v>487</v>
      </c>
      <c r="E201" s="450" t="s">
        <v>1319</v>
      </c>
      <c r="F201" s="734" t="s">
        <v>1320</v>
      </c>
      <c r="G201" s="485">
        <f t="shared" si="27"/>
        <v>3070000</v>
      </c>
      <c r="H201" s="456">
        <f>'d3'!E268</f>
        <v>0</v>
      </c>
      <c r="I201" s="457">
        <f>'d3'!J268</f>
        <v>3070000</v>
      </c>
      <c r="J201" s="457">
        <f>'d3'!K268</f>
        <v>3070000</v>
      </c>
      <c r="K201" s="621"/>
      <c r="L201" s="621"/>
      <c r="M201" s="621"/>
      <c r="N201" s="105"/>
      <c r="O201" s="105"/>
      <c r="P201" s="105"/>
      <c r="Q201" s="105"/>
    </row>
    <row r="202" spans="1:17" s="98" customFormat="1" ht="138.75" thickTop="1" thickBot="1" x14ac:dyDescent="0.25">
      <c r="A202" s="915" t="s">
        <v>575</v>
      </c>
      <c r="B202" s="915" t="s">
        <v>306</v>
      </c>
      <c r="C202" s="915" t="s">
        <v>308</v>
      </c>
      <c r="D202" s="915" t="s">
        <v>307</v>
      </c>
      <c r="E202" s="456" t="s">
        <v>926</v>
      </c>
      <c r="F202" s="456" t="s">
        <v>943</v>
      </c>
      <c r="G202" s="1018">
        <f>H202+I202</f>
        <v>88466000</v>
      </c>
      <c r="H202" s="1018">
        <f>'d3'!E271</f>
        <v>62866000</v>
      </c>
      <c r="I202" s="1019">
        <f>'d3'!J271</f>
        <v>25600000</v>
      </c>
      <c r="J202" s="1019">
        <f>'d3'!K271</f>
        <v>25600000</v>
      </c>
      <c r="K202" s="621"/>
      <c r="L202" s="621"/>
      <c r="M202" s="621"/>
      <c r="N202" s="105"/>
      <c r="O202" s="105"/>
      <c r="P202" s="105"/>
      <c r="Q202" s="105"/>
    </row>
    <row r="203" spans="1:17" s="98" customFormat="1" ht="184.5" thickTop="1" thickBot="1" x14ac:dyDescent="0.25">
      <c r="A203" s="915"/>
      <c r="B203" s="915"/>
      <c r="C203" s="915"/>
      <c r="D203" s="915"/>
      <c r="E203" s="450" t="s">
        <v>1319</v>
      </c>
      <c r="F203" s="734" t="s">
        <v>1320</v>
      </c>
      <c r="G203" s="1018">
        <f t="shared" si="27"/>
        <v>0</v>
      </c>
      <c r="H203" s="1018"/>
      <c r="I203" s="1019"/>
      <c r="J203" s="1019"/>
      <c r="K203" s="621"/>
      <c r="L203" s="621"/>
      <c r="M203" s="621"/>
      <c r="N203" s="105"/>
      <c r="O203" s="105"/>
      <c r="P203" s="105"/>
      <c r="Q203" s="105"/>
    </row>
    <row r="204" spans="1:17" s="98" customFormat="1" ht="184.5" hidden="1" thickTop="1" thickBot="1" x14ac:dyDescent="0.25">
      <c r="A204" s="915" t="s">
        <v>576</v>
      </c>
      <c r="B204" s="915" t="s">
        <v>224</v>
      </c>
      <c r="C204" s="915" t="s">
        <v>225</v>
      </c>
      <c r="D204" s="915" t="s">
        <v>43</v>
      </c>
      <c r="E204" s="450" t="s">
        <v>1319</v>
      </c>
      <c r="F204" s="734" t="s">
        <v>1320</v>
      </c>
      <c r="G204" s="1018">
        <f t="shared" si="27"/>
        <v>13296993.59</v>
      </c>
      <c r="H204" s="1018">
        <f>'d3'!E273</f>
        <v>0</v>
      </c>
      <c r="I204" s="1018">
        <f>'d3'!J273</f>
        <v>13296993.59</v>
      </c>
      <c r="J204" s="1018">
        <f>'d3'!K273</f>
        <v>13296993.59</v>
      </c>
      <c r="K204" s="621"/>
      <c r="L204" s="621"/>
      <c r="M204" s="621"/>
      <c r="N204" s="105"/>
      <c r="O204" s="105"/>
      <c r="P204" s="105"/>
      <c r="Q204" s="105"/>
    </row>
    <row r="205" spans="1:17" s="98" customFormat="1" ht="184.5" thickTop="1" thickBot="1" x14ac:dyDescent="0.25">
      <c r="A205" s="915"/>
      <c r="B205" s="915"/>
      <c r="C205" s="915"/>
      <c r="D205" s="915"/>
      <c r="E205" s="450" t="s">
        <v>1319</v>
      </c>
      <c r="F205" s="734" t="s">
        <v>1320</v>
      </c>
      <c r="G205" s="1018">
        <f t="shared" si="27"/>
        <v>0</v>
      </c>
      <c r="H205" s="1018"/>
      <c r="I205" s="1018"/>
      <c r="J205" s="1018"/>
      <c r="K205" s="621"/>
      <c r="L205" s="621"/>
      <c r="M205" s="621"/>
      <c r="N205" s="105"/>
      <c r="O205" s="105"/>
      <c r="P205" s="105"/>
      <c r="Q205" s="105"/>
    </row>
    <row r="206" spans="1:17" s="98" customFormat="1" ht="276" customHeight="1" thickTop="1" thickBot="1" x14ac:dyDescent="0.25">
      <c r="A206" s="744" t="s">
        <v>577</v>
      </c>
      <c r="B206" s="744" t="s">
        <v>209</v>
      </c>
      <c r="C206" s="744" t="s">
        <v>178</v>
      </c>
      <c r="D206" s="744" t="s">
        <v>36</v>
      </c>
      <c r="E206" s="450" t="s">
        <v>1319</v>
      </c>
      <c r="F206" s="734" t="s">
        <v>1320</v>
      </c>
      <c r="G206" s="746">
        <f t="shared" si="27"/>
        <v>3570000</v>
      </c>
      <c r="H206" s="745">
        <f>'d3'!E274</f>
        <v>0</v>
      </c>
      <c r="I206" s="746">
        <f>((((11095000)+3000000)-3460000)-2295000)-4670000-100000</f>
        <v>3570000</v>
      </c>
      <c r="J206" s="746">
        <f>((((11095000)+3000000)-3460000)-2295000)-4670000-100000</f>
        <v>3570000</v>
      </c>
      <c r="K206" s="710" t="b">
        <f>H206+H207='d3'!E274</f>
        <v>1</v>
      </c>
      <c r="L206" s="710" t="b">
        <f>I206+I207='d3'!J274</f>
        <v>1</v>
      </c>
      <c r="M206" s="710" t="b">
        <f>J206+J207='d3'!K274</f>
        <v>1</v>
      </c>
      <c r="N206" s="105"/>
      <c r="O206" s="105"/>
      <c r="P206" s="105"/>
      <c r="Q206" s="105"/>
    </row>
    <row r="207" spans="1:17" s="98" customFormat="1" ht="138.75" thickTop="1" thickBot="1" x14ac:dyDescent="0.25">
      <c r="A207" s="744" t="s">
        <v>577</v>
      </c>
      <c r="B207" s="744" t="s">
        <v>209</v>
      </c>
      <c r="C207" s="744" t="s">
        <v>178</v>
      </c>
      <c r="D207" s="744" t="s">
        <v>36</v>
      </c>
      <c r="E207" s="456" t="s">
        <v>927</v>
      </c>
      <c r="F207" s="485" t="s">
        <v>925</v>
      </c>
      <c r="G207" s="746">
        <f t="shared" si="27"/>
        <v>310000</v>
      </c>
      <c r="H207" s="745">
        <v>0</v>
      </c>
      <c r="I207" s="746">
        <f>(210000)+100000</f>
        <v>310000</v>
      </c>
      <c r="J207" s="746">
        <f>(210000)+100000</f>
        <v>310000</v>
      </c>
      <c r="K207" s="621"/>
      <c r="L207" s="621"/>
      <c r="M207" s="621"/>
      <c r="N207" s="105"/>
      <c r="O207" s="105"/>
      <c r="P207" s="105"/>
      <c r="Q207" s="105"/>
    </row>
    <row r="208" spans="1:17" s="98" customFormat="1" ht="283.5" customHeight="1" thickTop="1" thickBot="1" x14ac:dyDescent="0.7">
      <c r="A208" s="915" t="s">
        <v>578</v>
      </c>
      <c r="B208" s="915" t="s">
        <v>352</v>
      </c>
      <c r="C208" s="915" t="s">
        <v>178</v>
      </c>
      <c r="D208" s="490" t="s">
        <v>457</v>
      </c>
      <c r="E208" s="915" t="s">
        <v>1308</v>
      </c>
      <c r="F208" s="915" t="s">
        <v>1309</v>
      </c>
      <c r="G208" s="920">
        <f t="shared" si="27"/>
        <v>1300000</v>
      </c>
      <c r="H208" s="920">
        <f>'d3'!E276</f>
        <v>0</v>
      </c>
      <c r="I208" s="920">
        <f>'d3'!J276</f>
        <v>1300000</v>
      </c>
      <c r="J208" s="920">
        <f>'d3'!K276</f>
        <v>0</v>
      </c>
      <c r="K208" s="621"/>
      <c r="L208" s="621"/>
      <c r="M208" s="621"/>
      <c r="N208" s="105"/>
      <c r="O208" s="105"/>
      <c r="P208" s="105"/>
      <c r="Q208" s="105"/>
    </row>
    <row r="209" spans="1:17" s="98" customFormat="1" ht="138.75" thickTop="1" thickBot="1" x14ac:dyDescent="0.25">
      <c r="A209" s="929"/>
      <c r="B209" s="929"/>
      <c r="C209" s="929"/>
      <c r="D209" s="491" t="s">
        <v>458</v>
      </c>
      <c r="E209" s="929" t="s">
        <v>1308</v>
      </c>
      <c r="F209" s="929" t="s">
        <v>1309</v>
      </c>
      <c r="G209" s="929">
        <f t="shared" si="27"/>
        <v>0</v>
      </c>
      <c r="H209" s="929"/>
      <c r="I209" s="929"/>
      <c r="J209" s="929"/>
      <c r="K209" s="621"/>
      <c r="L209" s="621"/>
      <c r="M209" s="621"/>
      <c r="N209" s="105"/>
      <c r="O209" s="105"/>
      <c r="P209" s="105"/>
      <c r="Q209" s="105"/>
    </row>
    <row r="210" spans="1:17" s="766" customFormat="1" ht="184.5" thickTop="1" thickBot="1" x14ac:dyDescent="0.25">
      <c r="A210" s="767" t="s">
        <v>1337</v>
      </c>
      <c r="B210" s="767" t="s">
        <v>269</v>
      </c>
      <c r="C210" s="767" t="s">
        <v>178</v>
      </c>
      <c r="D210" s="767" t="s">
        <v>267</v>
      </c>
      <c r="E210" s="450" t="s">
        <v>1319</v>
      </c>
      <c r="F210" s="773" t="s">
        <v>1320</v>
      </c>
      <c r="G210" s="769">
        <f t="shared" ref="G210" si="31">H210+I210</f>
        <v>146000</v>
      </c>
      <c r="H210" s="768">
        <v>146000</v>
      </c>
      <c r="I210" s="769">
        <v>0</v>
      </c>
      <c r="J210" s="769">
        <v>0</v>
      </c>
      <c r="K210" s="621"/>
      <c r="L210" s="621"/>
      <c r="M210" s="621"/>
      <c r="N210" s="770"/>
      <c r="O210" s="770"/>
      <c r="P210" s="770"/>
      <c r="Q210" s="770"/>
    </row>
    <row r="211" spans="1:17" s="98" customFormat="1" ht="367.5" thickTop="1" thickBot="1" x14ac:dyDescent="0.25">
      <c r="A211" s="482" t="s">
        <v>579</v>
      </c>
      <c r="B211" s="482" t="s">
        <v>536</v>
      </c>
      <c r="C211" s="482" t="s">
        <v>263</v>
      </c>
      <c r="D211" s="498" t="s">
        <v>537</v>
      </c>
      <c r="E211" s="456" t="s">
        <v>1390</v>
      </c>
      <c r="F211" s="485" t="s">
        <v>906</v>
      </c>
      <c r="G211" s="485">
        <f t="shared" si="27"/>
        <v>9300000</v>
      </c>
      <c r="H211" s="456">
        <f>'d3'!E281</f>
        <v>1200000</v>
      </c>
      <c r="I211" s="457">
        <f>'d3'!J281</f>
        <v>8100000</v>
      </c>
      <c r="J211" s="457">
        <f>'d3'!K281</f>
        <v>8100000</v>
      </c>
      <c r="K211" s="621"/>
      <c r="L211" s="621"/>
      <c r="M211" s="621"/>
      <c r="N211" s="105"/>
      <c r="O211" s="105"/>
      <c r="P211" s="105"/>
      <c r="Q211" s="105"/>
    </row>
    <row r="212" spans="1:17" s="98" customFormat="1" ht="367.5" thickTop="1" thickBot="1" x14ac:dyDescent="0.25">
      <c r="A212" s="482" t="s">
        <v>580</v>
      </c>
      <c r="B212" s="482" t="s">
        <v>262</v>
      </c>
      <c r="C212" s="482" t="s">
        <v>263</v>
      </c>
      <c r="D212" s="482" t="s">
        <v>261</v>
      </c>
      <c r="E212" s="456" t="s">
        <v>1390</v>
      </c>
      <c r="F212" s="485" t="s">
        <v>906</v>
      </c>
      <c r="G212" s="485">
        <f t="shared" si="27"/>
        <v>2529070</v>
      </c>
      <c r="H212" s="456">
        <f>'d3'!E282</f>
        <v>2529070</v>
      </c>
      <c r="I212" s="457">
        <f>'d3'!J282</f>
        <v>0</v>
      </c>
      <c r="J212" s="457">
        <f>'d3'!K282</f>
        <v>0</v>
      </c>
      <c r="K212" s="621"/>
      <c r="L212" s="621"/>
      <c r="M212" s="621"/>
      <c r="N212" s="105"/>
      <c r="O212" s="105"/>
      <c r="P212" s="105"/>
      <c r="Q212" s="105"/>
    </row>
    <row r="213" spans="1:17" s="98" customFormat="1" ht="367.5" hidden="1" thickTop="1" thickBot="1" x14ac:dyDescent="0.25">
      <c r="A213" s="259" t="s">
        <v>581</v>
      </c>
      <c r="B213" s="259" t="s">
        <v>582</v>
      </c>
      <c r="C213" s="259" t="s">
        <v>263</v>
      </c>
      <c r="D213" s="259" t="s">
        <v>583</v>
      </c>
      <c r="E213" s="354" t="s">
        <v>905</v>
      </c>
      <c r="F213" s="328" t="s">
        <v>906</v>
      </c>
      <c r="G213" s="328">
        <f t="shared" si="27"/>
        <v>0</v>
      </c>
      <c r="H213" s="354">
        <f>'d3'!E283</f>
        <v>0</v>
      </c>
      <c r="I213" s="360">
        <f>'d3'!J283</f>
        <v>0</v>
      </c>
      <c r="J213" s="360">
        <f>'d3'!K283</f>
        <v>0</v>
      </c>
      <c r="K213" s="621"/>
      <c r="L213" s="621"/>
      <c r="M213" s="621"/>
      <c r="N213" s="105"/>
      <c r="O213" s="105"/>
      <c r="P213" s="105"/>
      <c r="Q213" s="105"/>
    </row>
    <row r="214" spans="1:17" ht="136.5" thickTop="1" thickBot="1" x14ac:dyDescent="0.25">
      <c r="A214" s="827" t="s">
        <v>25</v>
      </c>
      <c r="B214" s="827"/>
      <c r="C214" s="827"/>
      <c r="D214" s="828" t="s">
        <v>944</v>
      </c>
      <c r="E214" s="827"/>
      <c r="F214" s="827"/>
      <c r="G214" s="830">
        <f>G215</f>
        <v>33281688</v>
      </c>
      <c r="H214" s="830">
        <f>H215</f>
        <v>310000</v>
      </c>
      <c r="I214" s="830">
        <f>I215</f>
        <v>32971688</v>
      </c>
      <c r="J214" s="830">
        <f>J215</f>
        <v>32971688</v>
      </c>
      <c r="K214" s="621"/>
      <c r="L214" s="621"/>
      <c r="M214" s="621"/>
    </row>
    <row r="215" spans="1:17" ht="136.5" thickTop="1" thickBot="1" x14ac:dyDescent="0.25">
      <c r="A215" s="831" t="s">
        <v>26</v>
      </c>
      <c r="B215" s="831"/>
      <c r="C215" s="831"/>
      <c r="D215" s="832" t="s">
        <v>945</v>
      </c>
      <c r="E215" s="833"/>
      <c r="F215" s="833"/>
      <c r="G215" s="833">
        <f>SUM(G216:G228)</f>
        <v>33281688</v>
      </c>
      <c r="H215" s="833">
        <f>SUM(H216:H228)</f>
        <v>310000</v>
      </c>
      <c r="I215" s="833">
        <f t="shared" ref="I215:J215" si="32">SUM(I216:I228)</f>
        <v>32971688</v>
      </c>
      <c r="J215" s="833">
        <f t="shared" si="32"/>
        <v>32971688</v>
      </c>
      <c r="K215" s="710" t="b">
        <f>H215='d3'!E285-'d3'!E287</f>
        <v>1</v>
      </c>
      <c r="L215" s="713" t="b">
        <f>I215='d3'!J285</f>
        <v>1</v>
      </c>
      <c r="M215" s="713" t="b">
        <f>J215='d3'!K285</f>
        <v>1</v>
      </c>
    </row>
    <row r="216" spans="1:17" s="141" customFormat="1" ht="367.5" thickTop="1" thickBot="1" x14ac:dyDescent="0.25">
      <c r="A216" s="447" t="s">
        <v>672</v>
      </c>
      <c r="B216" s="447" t="s">
        <v>376</v>
      </c>
      <c r="C216" s="447" t="s">
        <v>662</v>
      </c>
      <c r="D216" s="447" t="s">
        <v>663</v>
      </c>
      <c r="E216" s="450" t="s">
        <v>1327</v>
      </c>
      <c r="F216" s="750" t="s">
        <v>1328</v>
      </c>
      <c r="G216" s="451">
        <f t="shared" ref="G216:G217" si="33">H216+I216</f>
        <v>10000</v>
      </c>
      <c r="H216" s="456">
        <f>'d3'!E288</f>
        <v>10000</v>
      </c>
      <c r="I216" s="457"/>
      <c r="J216" s="457"/>
      <c r="K216" s="711"/>
      <c r="L216" s="711"/>
      <c r="M216" s="711"/>
      <c r="N216" s="142"/>
      <c r="O216" s="142"/>
      <c r="P216" s="142"/>
      <c r="Q216" s="142"/>
    </row>
    <row r="217" spans="1:17" s="169" customFormat="1" ht="184.5" hidden="1" thickTop="1" thickBot="1" x14ac:dyDescent="0.25">
      <c r="A217" s="472" t="s">
        <v>988</v>
      </c>
      <c r="B217" s="472" t="s">
        <v>45</v>
      </c>
      <c r="C217" s="472" t="s">
        <v>44</v>
      </c>
      <c r="D217" s="472" t="s">
        <v>260</v>
      </c>
      <c r="E217" s="450" t="s">
        <v>1282</v>
      </c>
      <c r="F217" s="485"/>
      <c r="G217" s="485">
        <f t="shared" si="33"/>
        <v>0</v>
      </c>
      <c r="H217" s="456">
        <f>'d3'!E289</f>
        <v>0</v>
      </c>
      <c r="I217" s="457">
        <f>'d3'!J289</f>
        <v>0</v>
      </c>
      <c r="J217" s="457">
        <f>'d3'!K289</f>
        <v>0</v>
      </c>
      <c r="K217" s="711"/>
      <c r="L217" s="711"/>
      <c r="M217" s="711"/>
      <c r="N217" s="170"/>
      <c r="O217" s="170"/>
      <c r="P217" s="170"/>
      <c r="Q217" s="170"/>
    </row>
    <row r="218" spans="1:17" s="58" customFormat="1" ht="321.75" thickTop="1" thickBot="1" x14ac:dyDescent="0.25">
      <c r="A218" s="482" t="s">
        <v>449</v>
      </c>
      <c r="B218" s="482" t="s">
        <v>450</v>
      </c>
      <c r="C218" s="482" t="s">
        <v>207</v>
      </c>
      <c r="D218" s="751" t="s">
        <v>1330</v>
      </c>
      <c r="E218" s="450" t="s">
        <v>1308</v>
      </c>
      <c r="F218" s="734" t="s">
        <v>1309</v>
      </c>
      <c r="G218" s="485">
        <f>H218+I218</f>
        <v>20000000</v>
      </c>
      <c r="H218" s="485">
        <f>'d3'!E292</f>
        <v>0</v>
      </c>
      <c r="I218" s="485">
        <f>'d3'!J292</f>
        <v>20000000</v>
      </c>
      <c r="J218" s="485">
        <f>'d3'!K292</f>
        <v>20000000</v>
      </c>
      <c r="K218" s="621"/>
      <c r="L218" s="621"/>
      <c r="M218" s="621"/>
      <c r="N218" s="105"/>
      <c r="O218" s="105"/>
      <c r="P218" s="105"/>
      <c r="Q218" s="105"/>
    </row>
    <row r="219" spans="1:17" s="58" customFormat="1" ht="138.75" thickTop="1" thickBot="1" x14ac:dyDescent="0.25">
      <c r="A219" s="482" t="s">
        <v>987</v>
      </c>
      <c r="B219" s="482" t="s">
        <v>318</v>
      </c>
      <c r="C219" s="482" t="s">
        <v>317</v>
      </c>
      <c r="D219" s="482" t="s">
        <v>664</v>
      </c>
      <c r="E219" s="450" t="s">
        <v>1308</v>
      </c>
      <c r="F219" s="734" t="s">
        <v>1309</v>
      </c>
      <c r="G219" s="779">
        <f t="shared" ref="G219:G228" si="34">H219+I219</f>
        <v>706113</v>
      </c>
      <c r="H219" s="485">
        <f>'d3'!E295</f>
        <v>0</v>
      </c>
      <c r="I219" s="485">
        <f>'d3'!J295</f>
        <v>706113</v>
      </c>
      <c r="J219" s="485">
        <f>'d3'!K295</f>
        <v>706113</v>
      </c>
      <c r="K219" s="621"/>
      <c r="L219" s="621"/>
      <c r="M219" s="621"/>
      <c r="N219" s="170"/>
      <c r="O219" s="170"/>
      <c r="P219" s="170"/>
      <c r="Q219" s="170"/>
    </row>
    <row r="220" spans="1:17" s="58" customFormat="1" ht="138.75" thickTop="1" thickBot="1" x14ac:dyDescent="0.25">
      <c r="A220" s="482" t="s">
        <v>323</v>
      </c>
      <c r="B220" s="482" t="s">
        <v>324</v>
      </c>
      <c r="C220" s="482" t="s">
        <v>317</v>
      </c>
      <c r="D220" s="482" t="s">
        <v>665</v>
      </c>
      <c r="E220" s="450" t="s">
        <v>1308</v>
      </c>
      <c r="F220" s="734" t="s">
        <v>1309</v>
      </c>
      <c r="G220" s="779">
        <f t="shared" si="34"/>
        <v>1944219</v>
      </c>
      <c r="H220" s="485">
        <f>'d3'!E297</f>
        <v>0</v>
      </c>
      <c r="I220" s="485">
        <f>'d3'!J297</f>
        <v>1944219</v>
      </c>
      <c r="J220" s="485">
        <f>I220</f>
        <v>1944219</v>
      </c>
      <c r="K220" s="621"/>
      <c r="L220" s="621"/>
      <c r="M220" s="621"/>
      <c r="N220" s="105"/>
      <c r="O220" s="105"/>
      <c r="P220" s="105"/>
      <c r="Q220" s="105"/>
    </row>
    <row r="221" spans="1:17" s="58" customFormat="1" ht="138.75" thickTop="1" thickBot="1" x14ac:dyDescent="0.25">
      <c r="A221" s="482" t="s">
        <v>534</v>
      </c>
      <c r="B221" s="482" t="s">
        <v>535</v>
      </c>
      <c r="C221" s="482" t="s">
        <v>317</v>
      </c>
      <c r="D221" s="482" t="s">
        <v>666</v>
      </c>
      <c r="E221" s="450" t="s">
        <v>1308</v>
      </c>
      <c r="F221" s="734" t="s">
        <v>1309</v>
      </c>
      <c r="G221" s="779">
        <f t="shared" si="34"/>
        <v>1248491</v>
      </c>
      <c r="H221" s="485">
        <f>'d3'!E298</f>
        <v>0</v>
      </c>
      <c r="I221" s="485">
        <f>'d3'!J298</f>
        <v>1248491</v>
      </c>
      <c r="J221" s="485">
        <f>I221</f>
        <v>1248491</v>
      </c>
      <c r="K221" s="621"/>
      <c r="L221" s="621"/>
      <c r="M221" s="621"/>
      <c r="N221" s="105"/>
      <c r="O221" s="105"/>
      <c r="P221" s="105"/>
      <c r="Q221" s="105"/>
    </row>
    <row r="222" spans="1:17" s="58" customFormat="1" ht="138.75" thickTop="1" thickBot="1" x14ac:dyDescent="0.25">
      <c r="A222" s="482" t="s">
        <v>325</v>
      </c>
      <c r="B222" s="482" t="s">
        <v>326</v>
      </c>
      <c r="C222" s="482" t="s">
        <v>317</v>
      </c>
      <c r="D222" s="482" t="s">
        <v>667</v>
      </c>
      <c r="E222" s="450" t="s">
        <v>1308</v>
      </c>
      <c r="F222" s="734" t="s">
        <v>1309</v>
      </c>
      <c r="G222" s="779">
        <f t="shared" si="34"/>
        <v>1300000</v>
      </c>
      <c r="H222" s="485">
        <f>'d3'!E299</f>
        <v>0</v>
      </c>
      <c r="I222" s="485">
        <f>'d3'!J299</f>
        <v>1300000</v>
      </c>
      <c r="J222" s="485">
        <f>I222</f>
        <v>1300000</v>
      </c>
      <c r="K222" s="621"/>
      <c r="L222" s="621"/>
      <c r="M222" s="621"/>
      <c r="N222" s="105"/>
      <c r="O222" s="105"/>
      <c r="P222" s="105"/>
      <c r="Q222" s="105"/>
    </row>
    <row r="223" spans="1:17" s="58" customFormat="1" ht="138.75" thickTop="1" thickBot="1" x14ac:dyDescent="0.25">
      <c r="A223" s="482" t="s">
        <v>327</v>
      </c>
      <c r="B223" s="482" t="s">
        <v>328</v>
      </c>
      <c r="C223" s="482" t="s">
        <v>317</v>
      </c>
      <c r="D223" s="482" t="s">
        <v>668</v>
      </c>
      <c r="E223" s="450" t="s">
        <v>1308</v>
      </c>
      <c r="F223" s="734" t="s">
        <v>1309</v>
      </c>
      <c r="G223" s="779">
        <f t="shared" si="34"/>
        <v>7772865</v>
      </c>
      <c r="H223" s="485">
        <f>'d3'!E300-H224</f>
        <v>0</v>
      </c>
      <c r="I223" s="485">
        <f>'d3'!J300-I224</f>
        <v>7772865</v>
      </c>
      <c r="J223" s="485">
        <f>'d3'!K300-J224</f>
        <v>7772865</v>
      </c>
      <c r="K223" s="621"/>
      <c r="L223" s="621"/>
      <c r="M223" s="621"/>
      <c r="N223" s="105"/>
      <c r="O223" s="105"/>
      <c r="P223" s="105"/>
      <c r="Q223" s="105"/>
    </row>
    <row r="224" spans="1:17" s="58" customFormat="1" ht="138.75" hidden="1" customHeight="1" thickTop="1" thickBot="1" x14ac:dyDescent="0.25">
      <c r="A224" s="482" t="s">
        <v>327</v>
      </c>
      <c r="B224" s="482" t="s">
        <v>328</v>
      </c>
      <c r="C224" s="482" t="s">
        <v>317</v>
      </c>
      <c r="D224" s="482" t="s">
        <v>668</v>
      </c>
      <c r="E224" s="452" t="s">
        <v>466</v>
      </c>
      <c r="F224" s="561" t="s">
        <v>441</v>
      </c>
      <c r="G224" s="779">
        <f t="shared" si="34"/>
        <v>0</v>
      </c>
      <c r="H224" s="485">
        <v>0</v>
      </c>
      <c r="I224" s="485">
        <v>0</v>
      </c>
      <c r="J224" s="485">
        <v>0</v>
      </c>
      <c r="K224" s="621"/>
      <c r="L224" s="621"/>
      <c r="M224" s="621"/>
      <c r="N224" s="180"/>
      <c r="O224" s="180"/>
      <c r="P224" s="180"/>
      <c r="Q224" s="180"/>
    </row>
    <row r="225" spans="1:17" s="58" customFormat="1" ht="184.5" hidden="1" customHeight="1" thickTop="1" thickBot="1" x14ac:dyDescent="0.25">
      <c r="A225" s="482" t="s">
        <v>454</v>
      </c>
      <c r="B225" s="482" t="s">
        <v>364</v>
      </c>
      <c r="C225" s="482" t="s">
        <v>178</v>
      </c>
      <c r="D225" s="482" t="s">
        <v>274</v>
      </c>
      <c r="E225" s="450" t="s">
        <v>1282</v>
      </c>
      <c r="F225" s="485"/>
      <c r="G225" s="779">
        <f t="shared" si="34"/>
        <v>0</v>
      </c>
      <c r="H225" s="485">
        <f>'d3'!E301</f>
        <v>0</v>
      </c>
      <c r="I225" s="485">
        <f>'d3'!J301</f>
        <v>0</v>
      </c>
      <c r="J225" s="485">
        <f>'d3'!K301</f>
        <v>0</v>
      </c>
      <c r="K225" s="621"/>
      <c r="L225" s="621"/>
      <c r="M225" s="621"/>
      <c r="N225" s="105"/>
      <c r="O225" s="105"/>
      <c r="P225" s="105"/>
      <c r="Q225" s="105"/>
    </row>
    <row r="226" spans="1:17" s="58" customFormat="1" ht="409.6" hidden="1" customHeight="1" thickTop="1" thickBot="1" x14ac:dyDescent="0.7">
      <c r="A226" s="915" t="s">
        <v>1065</v>
      </c>
      <c r="B226" s="915" t="s">
        <v>352</v>
      </c>
      <c r="C226" s="915" t="s">
        <v>178</v>
      </c>
      <c r="D226" s="483" t="s">
        <v>457</v>
      </c>
      <c r="E226" s="915" t="s">
        <v>1282</v>
      </c>
      <c r="F226" s="915"/>
      <c r="G226" s="779">
        <f t="shared" si="34"/>
        <v>0</v>
      </c>
      <c r="H226" s="920">
        <f>'d3'!E304</f>
        <v>0</v>
      </c>
      <c r="I226" s="920">
        <f>'d3'!J304</f>
        <v>0</v>
      </c>
      <c r="J226" s="920">
        <f>'d3'!K304</f>
        <v>0</v>
      </c>
      <c r="K226" s="621"/>
      <c r="L226" s="621"/>
      <c r="M226" s="621"/>
      <c r="N226" s="201"/>
      <c r="O226" s="201"/>
      <c r="P226" s="201"/>
      <c r="Q226" s="201"/>
    </row>
    <row r="227" spans="1:17" s="58" customFormat="1" ht="138.75" hidden="1" customHeight="1" thickTop="1" thickBot="1" x14ac:dyDescent="0.25">
      <c r="A227" s="915"/>
      <c r="B227" s="915"/>
      <c r="C227" s="915"/>
      <c r="D227" s="487" t="s">
        <v>458</v>
      </c>
      <c r="E227" s="915"/>
      <c r="F227" s="915"/>
      <c r="G227" s="779">
        <f t="shared" si="34"/>
        <v>0</v>
      </c>
      <c r="H227" s="929"/>
      <c r="I227" s="929"/>
      <c r="J227" s="929"/>
      <c r="K227" s="621"/>
      <c r="L227" s="621"/>
      <c r="M227" s="621"/>
      <c r="N227" s="201"/>
      <c r="O227" s="201"/>
      <c r="P227" s="201"/>
      <c r="Q227" s="201"/>
    </row>
    <row r="228" spans="1:17" s="58" customFormat="1" ht="138.75" thickTop="1" thickBot="1" x14ac:dyDescent="0.25">
      <c r="A228" s="774" t="s">
        <v>1361</v>
      </c>
      <c r="B228" s="774" t="s">
        <v>269</v>
      </c>
      <c r="C228" s="774" t="s">
        <v>178</v>
      </c>
      <c r="D228" s="487" t="s">
        <v>267</v>
      </c>
      <c r="E228" s="450" t="s">
        <v>1308</v>
      </c>
      <c r="F228" s="773" t="s">
        <v>1309</v>
      </c>
      <c r="G228" s="779">
        <f t="shared" si="34"/>
        <v>300000</v>
      </c>
      <c r="H228" s="773">
        <v>300000</v>
      </c>
      <c r="I228" s="773">
        <v>0</v>
      </c>
      <c r="J228" s="773">
        <v>0</v>
      </c>
      <c r="K228" s="621"/>
      <c r="L228" s="621"/>
      <c r="M228" s="621"/>
      <c r="N228" s="777"/>
      <c r="O228" s="777"/>
      <c r="P228" s="777"/>
      <c r="Q228" s="777"/>
    </row>
    <row r="229" spans="1:17" ht="136.5" thickTop="1" thickBot="1" x14ac:dyDescent="0.25">
      <c r="A229" s="827" t="s">
        <v>168</v>
      </c>
      <c r="B229" s="827"/>
      <c r="C229" s="827"/>
      <c r="D229" s="828" t="s">
        <v>946</v>
      </c>
      <c r="E229" s="827"/>
      <c r="F229" s="827"/>
      <c r="G229" s="830">
        <f>G230</f>
        <v>1479688</v>
      </c>
      <c r="H229" s="830">
        <f t="shared" ref="H229:J229" si="35">H230</f>
        <v>7588</v>
      </c>
      <c r="I229" s="830">
        <f t="shared" si="35"/>
        <v>1472100</v>
      </c>
      <c r="J229" s="830">
        <f t="shared" si="35"/>
        <v>1472100</v>
      </c>
      <c r="K229" s="710" t="b">
        <f>H229='d3'!E308-'d3'!E310+H231+H233</f>
        <v>1</v>
      </c>
      <c r="L229" s="713" t="b">
        <f>I229='d3'!J308-'d3'!J310+'d7'!I231</f>
        <v>1</v>
      </c>
      <c r="M229" s="713" t="b">
        <f>J229='d3'!K308-'d3'!K310+'d7'!J231</f>
        <v>1</v>
      </c>
    </row>
    <row r="230" spans="1:17" ht="136.5" thickTop="1" thickBot="1" x14ac:dyDescent="0.25">
      <c r="A230" s="831" t="s">
        <v>169</v>
      </c>
      <c r="B230" s="831"/>
      <c r="C230" s="831"/>
      <c r="D230" s="832" t="s">
        <v>953</v>
      </c>
      <c r="E230" s="833"/>
      <c r="F230" s="833"/>
      <c r="G230" s="833">
        <f>SUM(G231:G233)</f>
        <v>1479688</v>
      </c>
      <c r="H230" s="833">
        <f>SUM(H231:H233)</f>
        <v>7588</v>
      </c>
      <c r="I230" s="833">
        <f>SUM(I231:I233)</f>
        <v>1472100</v>
      </c>
      <c r="J230" s="833">
        <f>SUM(J231:J233)</f>
        <v>1472100</v>
      </c>
      <c r="K230" s="621"/>
      <c r="L230" s="621"/>
      <c r="M230" s="621"/>
    </row>
    <row r="231" spans="1:17" ht="184.5" thickTop="1" thickBot="1" x14ac:dyDescent="0.25">
      <c r="A231" s="224" t="s">
        <v>435</v>
      </c>
      <c r="B231" s="224" t="s">
        <v>248</v>
      </c>
      <c r="C231" s="224" t="s">
        <v>246</v>
      </c>
      <c r="D231" s="224" t="s">
        <v>247</v>
      </c>
      <c r="E231" s="452" t="s">
        <v>1122</v>
      </c>
      <c r="F231" s="451" t="s">
        <v>904</v>
      </c>
      <c r="G231" s="451">
        <f>H231+I231</f>
        <v>64000</v>
      </c>
      <c r="H231" s="451">
        <v>0</v>
      </c>
      <c r="I231" s="451">
        <f>40000+24000</f>
        <v>64000</v>
      </c>
      <c r="J231" s="451">
        <f>40000+24000</f>
        <v>64000</v>
      </c>
      <c r="K231" s="621"/>
      <c r="L231" s="621"/>
      <c r="M231" s="621"/>
    </row>
    <row r="232" spans="1:17" s="141" customFormat="1" ht="367.5" thickTop="1" thickBot="1" x14ac:dyDescent="0.25">
      <c r="A232" s="224" t="s">
        <v>673</v>
      </c>
      <c r="B232" s="224" t="s">
        <v>376</v>
      </c>
      <c r="C232" s="224" t="s">
        <v>662</v>
      </c>
      <c r="D232" s="224" t="s">
        <v>663</v>
      </c>
      <c r="E232" s="450" t="s">
        <v>1327</v>
      </c>
      <c r="F232" s="750" t="s">
        <v>1328</v>
      </c>
      <c r="G232" s="451">
        <f t="shared" ref="G232:G233" si="36">H232+I232</f>
        <v>7588</v>
      </c>
      <c r="H232" s="456">
        <f>'d3'!E311</f>
        <v>7588</v>
      </c>
      <c r="I232" s="457"/>
      <c r="J232" s="457"/>
      <c r="K232" s="621"/>
      <c r="L232" s="621"/>
      <c r="M232" s="621"/>
      <c r="N232" s="142"/>
      <c r="O232" s="142"/>
      <c r="P232" s="142"/>
      <c r="Q232" s="142"/>
    </row>
    <row r="233" spans="1:17" s="159" customFormat="1" ht="138.75" thickTop="1" thickBot="1" x14ac:dyDescent="0.25">
      <c r="A233" s="532" t="s">
        <v>967</v>
      </c>
      <c r="B233" s="532" t="s">
        <v>968</v>
      </c>
      <c r="C233" s="532" t="s">
        <v>317</v>
      </c>
      <c r="D233" s="532" t="s">
        <v>969</v>
      </c>
      <c r="E233" s="450" t="s">
        <v>1308</v>
      </c>
      <c r="F233" s="734" t="s">
        <v>1309</v>
      </c>
      <c r="G233" s="530">
        <f t="shared" si="36"/>
        <v>1408100</v>
      </c>
      <c r="H233" s="566">
        <f>'d3'!E314</f>
        <v>0</v>
      </c>
      <c r="I233" s="567">
        <f>'d3'!J314</f>
        <v>1408100</v>
      </c>
      <c r="J233" s="567">
        <f>'d3'!K314</f>
        <v>1408100</v>
      </c>
      <c r="K233" s="621"/>
      <c r="L233" s="621"/>
      <c r="M233" s="621"/>
      <c r="N233" s="160"/>
      <c r="O233" s="160"/>
      <c r="P233" s="160"/>
      <c r="Q233" s="160"/>
    </row>
    <row r="234" spans="1:17" ht="201.75" customHeight="1" thickTop="1" thickBot="1" x14ac:dyDescent="0.25">
      <c r="A234" s="827" t="s">
        <v>461</v>
      </c>
      <c r="B234" s="827"/>
      <c r="C234" s="827"/>
      <c r="D234" s="828" t="s">
        <v>463</v>
      </c>
      <c r="E234" s="827"/>
      <c r="F234" s="827"/>
      <c r="G234" s="830">
        <f>G235</f>
        <v>133683450</v>
      </c>
      <c r="H234" s="830">
        <f t="shared" ref="H234:J234" si="37">H235</f>
        <v>109941800</v>
      </c>
      <c r="I234" s="830">
        <f t="shared" si="37"/>
        <v>23741650</v>
      </c>
      <c r="J234" s="830">
        <f t="shared" si="37"/>
        <v>23741650</v>
      </c>
      <c r="K234" s="621"/>
      <c r="L234" s="621"/>
      <c r="M234" s="621"/>
    </row>
    <row r="235" spans="1:17" ht="136.5" thickTop="1" thickBot="1" x14ac:dyDescent="0.25">
      <c r="A235" s="831" t="s">
        <v>462</v>
      </c>
      <c r="B235" s="831"/>
      <c r="C235" s="831"/>
      <c r="D235" s="832" t="s">
        <v>464</v>
      </c>
      <c r="E235" s="833"/>
      <c r="F235" s="833"/>
      <c r="G235" s="833">
        <f>SUM(G236:G243)</f>
        <v>133683450</v>
      </c>
      <c r="H235" s="833">
        <f t="shared" ref="H235:J235" si="38">SUM(H236:H243)</f>
        <v>109941800</v>
      </c>
      <c r="I235" s="833">
        <f t="shared" si="38"/>
        <v>23741650</v>
      </c>
      <c r="J235" s="833">
        <f t="shared" si="38"/>
        <v>23741650</v>
      </c>
      <c r="K235" s="710" t="b">
        <f>H235='d3'!E316-'d3'!E318+'d7'!H236</f>
        <v>1</v>
      </c>
      <c r="L235" s="713" t="b">
        <f>I235='d3'!J316-'d3'!J318+'d7'!I236</f>
        <v>1</v>
      </c>
      <c r="M235" s="713" t="b">
        <f>J235='d3'!K316-'d3'!K318+'d7'!J236</f>
        <v>1</v>
      </c>
    </row>
    <row r="236" spans="1:17" ht="184.5" thickTop="1" thickBot="1" x14ac:dyDescent="0.25">
      <c r="A236" s="824" t="s">
        <v>465</v>
      </c>
      <c r="B236" s="824" t="s">
        <v>248</v>
      </c>
      <c r="C236" s="824" t="s">
        <v>246</v>
      </c>
      <c r="D236" s="824" t="s">
        <v>247</v>
      </c>
      <c r="E236" s="452" t="s">
        <v>1122</v>
      </c>
      <c r="F236" s="823" t="s">
        <v>904</v>
      </c>
      <c r="G236" s="823">
        <f>H236+I236</f>
        <v>110500</v>
      </c>
      <c r="H236" s="825">
        <v>0</v>
      </c>
      <c r="I236" s="823">
        <v>110500</v>
      </c>
      <c r="J236" s="823">
        <v>110500</v>
      </c>
      <c r="K236" s="621"/>
      <c r="L236" s="621"/>
      <c r="M236" s="621"/>
    </row>
    <row r="237" spans="1:17" s="141" customFormat="1" ht="367.5" hidden="1" thickTop="1" thickBot="1" x14ac:dyDescent="0.25">
      <c r="A237" s="824" t="s">
        <v>674</v>
      </c>
      <c r="B237" s="824" t="s">
        <v>376</v>
      </c>
      <c r="C237" s="824" t="s">
        <v>662</v>
      </c>
      <c r="D237" s="824" t="s">
        <v>663</v>
      </c>
      <c r="E237" s="450" t="s">
        <v>935</v>
      </c>
      <c r="F237" s="823" t="s">
        <v>936</v>
      </c>
      <c r="G237" s="823">
        <f t="shared" ref="G237:G239" si="39">H237+I237</f>
        <v>0</v>
      </c>
      <c r="H237" s="825">
        <f>'d3'!E319</f>
        <v>0</v>
      </c>
      <c r="I237" s="826"/>
      <c r="J237" s="826"/>
      <c r="K237" s="621"/>
      <c r="L237" s="621"/>
      <c r="M237" s="621"/>
      <c r="N237" s="142"/>
      <c r="O237" s="142"/>
      <c r="P237" s="142"/>
      <c r="Q237" s="142"/>
    </row>
    <row r="238" spans="1:17" s="202" customFormat="1" ht="184.5" hidden="1" thickTop="1" thickBot="1" x14ac:dyDescent="0.25">
      <c r="A238" s="824" t="s">
        <v>485</v>
      </c>
      <c r="B238" s="824" t="s">
        <v>428</v>
      </c>
      <c r="C238" s="824" t="s">
        <v>429</v>
      </c>
      <c r="D238" s="824" t="s">
        <v>430</v>
      </c>
      <c r="E238" s="452" t="s">
        <v>1095</v>
      </c>
      <c r="F238" s="823" t="s">
        <v>507</v>
      </c>
      <c r="G238" s="823">
        <f t="shared" si="39"/>
        <v>0</v>
      </c>
      <c r="H238" s="825">
        <f>'d3'!E323</f>
        <v>0</v>
      </c>
      <c r="I238" s="826">
        <f>'d3'!J323</f>
        <v>0</v>
      </c>
      <c r="J238" s="826">
        <f>'d3'!K323</f>
        <v>0</v>
      </c>
      <c r="K238" s="621"/>
      <c r="L238" s="621"/>
      <c r="M238" s="621"/>
      <c r="N238" s="203"/>
      <c r="O238" s="203"/>
      <c r="P238" s="203"/>
      <c r="Q238" s="203"/>
    </row>
    <row r="239" spans="1:17" ht="138.75" thickTop="1" thickBot="1" x14ac:dyDescent="0.25">
      <c r="A239" s="824" t="s">
        <v>486</v>
      </c>
      <c r="B239" s="824" t="s">
        <v>303</v>
      </c>
      <c r="C239" s="824" t="s">
        <v>305</v>
      </c>
      <c r="D239" s="824" t="s">
        <v>304</v>
      </c>
      <c r="E239" s="452" t="s">
        <v>999</v>
      </c>
      <c r="F239" s="823" t="s">
        <v>1000</v>
      </c>
      <c r="G239" s="823">
        <f t="shared" si="39"/>
        <v>109641800</v>
      </c>
      <c r="H239" s="825">
        <f>'d3'!E325</f>
        <v>109641800</v>
      </c>
      <c r="I239" s="826">
        <f>'d3'!J325</f>
        <v>0</v>
      </c>
      <c r="J239" s="826">
        <f>'d3'!K325</f>
        <v>0</v>
      </c>
      <c r="K239" s="621"/>
      <c r="L239" s="621"/>
      <c r="M239" s="621"/>
    </row>
    <row r="240" spans="1:17" s="220" customFormat="1" ht="184.5" hidden="1" thickTop="1" thickBot="1" x14ac:dyDescent="0.25">
      <c r="A240" s="1035" t="s">
        <v>1200</v>
      </c>
      <c r="B240" s="1035" t="s">
        <v>1201</v>
      </c>
      <c r="C240" s="1035" t="s">
        <v>308</v>
      </c>
      <c r="D240" s="1035" t="s">
        <v>1199</v>
      </c>
      <c r="E240" s="452" t="s">
        <v>1095</v>
      </c>
      <c r="F240" s="773" t="s">
        <v>507</v>
      </c>
      <c r="G240" s="1029">
        <f>H240+I240</f>
        <v>150000</v>
      </c>
      <c r="H240" s="1032">
        <v>150000</v>
      </c>
      <c r="I240" s="1034"/>
      <c r="J240" s="1034"/>
      <c r="K240" s="621"/>
      <c r="L240" s="621"/>
      <c r="M240" s="621"/>
      <c r="N240" s="221"/>
      <c r="O240" s="221"/>
      <c r="P240" s="221"/>
      <c r="Q240" s="221"/>
    </row>
    <row r="241" spans="1:17" s="220" customFormat="1" ht="138.75" thickTop="1" thickBot="1" x14ac:dyDescent="0.25">
      <c r="A241" s="1033"/>
      <c r="B241" s="1033" t="s">
        <v>1201</v>
      </c>
      <c r="C241" s="1033"/>
      <c r="D241" s="1033"/>
      <c r="E241" s="450" t="s">
        <v>1308</v>
      </c>
      <c r="F241" s="773" t="s">
        <v>1309</v>
      </c>
      <c r="G241" s="1033"/>
      <c r="H241" s="1033"/>
      <c r="I241" s="1033"/>
      <c r="J241" s="1033"/>
      <c r="K241" s="621"/>
      <c r="L241" s="621"/>
      <c r="M241" s="621"/>
      <c r="N241" s="221"/>
      <c r="O241" s="221"/>
      <c r="P241" s="221"/>
      <c r="Q241" s="221"/>
    </row>
    <row r="242" spans="1:17" s="735" customFormat="1" ht="184.5" thickTop="1" thickBot="1" x14ac:dyDescent="0.25">
      <c r="A242" s="738" t="s">
        <v>1325</v>
      </c>
      <c r="B242" s="738" t="s">
        <v>209</v>
      </c>
      <c r="C242" s="738" t="s">
        <v>178</v>
      </c>
      <c r="D242" s="738" t="s">
        <v>1326</v>
      </c>
      <c r="E242" s="452" t="s">
        <v>1095</v>
      </c>
      <c r="F242" s="737" t="s">
        <v>507</v>
      </c>
      <c r="G242" s="737">
        <f t="shared" ref="G242" si="40">H242+I242</f>
        <v>23631150</v>
      </c>
      <c r="H242" s="740">
        <f>'d3'!E328</f>
        <v>0</v>
      </c>
      <c r="I242" s="741">
        <f>'d3'!J328</f>
        <v>23631150</v>
      </c>
      <c r="J242" s="741">
        <f>'d3'!K328</f>
        <v>23631150</v>
      </c>
      <c r="K242" s="621"/>
      <c r="L242" s="621"/>
      <c r="M242" s="621"/>
      <c r="N242" s="742"/>
      <c r="O242" s="742"/>
      <c r="P242" s="742"/>
      <c r="Q242" s="742"/>
    </row>
    <row r="243" spans="1:17" s="865" customFormat="1" ht="184.5" thickTop="1" thickBot="1" x14ac:dyDescent="0.25">
      <c r="A243" s="866" t="s">
        <v>1395</v>
      </c>
      <c r="B243" s="866" t="s">
        <v>1396</v>
      </c>
      <c r="C243" s="866" t="s">
        <v>1342</v>
      </c>
      <c r="D243" s="866" t="s">
        <v>1397</v>
      </c>
      <c r="E243" s="870" t="s">
        <v>1359</v>
      </c>
      <c r="F243" s="561" t="s">
        <v>1356</v>
      </c>
      <c r="G243" s="868">
        <f>H243+I243</f>
        <v>150000</v>
      </c>
      <c r="H243" s="871">
        <v>150000</v>
      </c>
      <c r="I243" s="872">
        <v>0</v>
      </c>
      <c r="J243" s="872">
        <v>0</v>
      </c>
      <c r="K243" s="621"/>
      <c r="L243" s="621"/>
      <c r="M243" s="621"/>
      <c r="N243" s="873"/>
      <c r="O243" s="873"/>
      <c r="P243" s="873"/>
      <c r="Q243" s="873"/>
    </row>
    <row r="244" spans="1:17" ht="160.5" customHeight="1" thickTop="1" thickBot="1" x14ac:dyDescent="0.25">
      <c r="A244" s="827" t="s">
        <v>174</v>
      </c>
      <c r="B244" s="827"/>
      <c r="C244" s="827"/>
      <c r="D244" s="828" t="s">
        <v>368</v>
      </c>
      <c r="E244" s="827"/>
      <c r="F244" s="827"/>
      <c r="G244" s="830">
        <f>G245</f>
        <v>9119400</v>
      </c>
      <c r="H244" s="830">
        <f t="shared" ref="H244:J244" si="41">H245</f>
        <v>8319400</v>
      </c>
      <c r="I244" s="830">
        <f t="shared" si="41"/>
        <v>800000</v>
      </c>
      <c r="J244" s="830">
        <f t="shared" si="41"/>
        <v>800000</v>
      </c>
      <c r="K244" s="710" t="b">
        <f>H244='d3'!E332</f>
        <v>1</v>
      </c>
      <c r="L244" s="713" t="b">
        <f>I244='d3'!J332</f>
        <v>1</v>
      </c>
      <c r="M244" s="713" t="b">
        <f>J244='d3'!K332</f>
        <v>1</v>
      </c>
    </row>
    <row r="245" spans="1:17" ht="136.5" thickTop="1" thickBot="1" x14ac:dyDescent="0.25">
      <c r="A245" s="831" t="s">
        <v>175</v>
      </c>
      <c r="B245" s="831"/>
      <c r="C245" s="831"/>
      <c r="D245" s="832" t="s">
        <v>369</v>
      </c>
      <c r="E245" s="833"/>
      <c r="F245" s="833"/>
      <c r="G245" s="833">
        <f>SUM(G246:G253)</f>
        <v>9119400</v>
      </c>
      <c r="H245" s="833">
        <f>SUM(H246:H253)</f>
        <v>8319400</v>
      </c>
      <c r="I245" s="833">
        <f>SUM(I246:I253)</f>
        <v>800000</v>
      </c>
      <c r="J245" s="833">
        <f>SUM(J246:J253)</f>
        <v>800000</v>
      </c>
      <c r="K245" s="621"/>
      <c r="L245" s="621"/>
      <c r="M245" s="621"/>
    </row>
    <row r="246" spans="1:17" s="202" customFormat="1" ht="138.75" thickTop="1" thickBot="1" x14ac:dyDescent="0.25">
      <c r="A246" s="532" t="s">
        <v>1091</v>
      </c>
      <c r="B246" s="532" t="s">
        <v>364</v>
      </c>
      <c r="C246" s="532" t="s">
        <v>178</v>
      </c>
      <c r="D246" s="532" t="s">
        <v>274</v>
      </c>
      <c r="E246" s="450" t="s">
        <v>1308</v>
      </c>
      <c r="F246" s="734" t="s">
        <v>1309</v>
      </c>
      <c r="G246" s="566">
        <f>H246+I246</f>
        <v>74340</v>
      </c>
      <c r="H246" s="530">
        <v>74340</v>
      </c>
      <c r="I246" s="530"/>
      <c r="J246" s="530"/>
      <c r="K246" s="710" t="b">
        <f>H246='d3'!E336</f>
        <v>1</v>
      </c>
      <c r="L246" s="713" t="b">
        <f>I246='d3'!J336</f>
        <v>1</v>
      </c>
      <c r="M246" s="713" t="b">
        <f>J246='d3'!K336</f>
        <v>1</v>
      </c>
      <c r="N246" s="203"/>
      <c r="O246" s="203"/>
      <c r="P246" s="203"/>
      <c r="Q246" s="203"/>
    </row>
    <row r="247" spans="1:17" ht="138.75" thickTop="1" thickBot="1" x14ac:dyDescent="0.25">
      <c r="A247" s="532" t="s">
        <v>272</v>
      </c>
      <c r="B247" s="532" t="s">
        <v>273</v>
      </c>
      <c r="C247" s="532" t="s">
        <v>271</v>
      </c>
      <c r="D247" s="532" t="s">
        <v>270</v>
      </c>
      <c r="E247" s="452" t="s">
        <v>1311</v>
      </c>
      <c r="F247" s="734" t="s">
        <v>1310</v>
      </c>
      <c r="G247" s="566">
        <f>H247+I247</f>
        <v>4960060</v>
      </c>
      <c r="H247" s="530">
        <f>5460060-500000</f>
        <v>4960060</v>
      </c>
      <c r="I247" s="530"/>
      <c r="J247" s="530"/>
      <c r="K247" s="710" t="b">
        <f>H247+H248='d3'!E338</f>
        <v>1</v>
      </c>
      <c r="L247" s="713" t="b">
        <f>I247+I248='d3'!J338</f>
        <v>1</v>
      </c>
      <c r="M247" s="713" t="b">
        <f>J247+J248='d3'!K338</f>
        <v>1</v>
      </c>
    </row>
    <row r="248" spans="1:17" ht="138.75" thickTop="1" thickBot="1" x14ac:dyDescent="0.25">
      <c r="A248" s="532" t="s">
        <v>272</v>
      </c>
      <c r="B248" s="532" t="s">
        <v>273</v>
      </c>
      <c r="C248" s="532" t="s">
        <v>271</v>
      </c>
      <c r="D248" s="532" t="s">
        <v>270</v>
      </c>
      <c r="E248" s="452" t="s">
        <v>466</v>
      </c>
      <c r="F248" s="561" t="s">
        <v>441</v>
      </c>
      <c r="G248" s="566">
        <f t="shared" ref="G248:G253" si="42">H248+I248</f>
        <v>300000</v>
      </c>
      <c r="H248" s="530">
        <v>300000</v>
      </c>
      <c r="I248" s="530"/>
      <c r="J248" s="530"/>
      <c r="K248" s="621"/>
      <c r="L248" s="621"/>
      <c r="M248" s="713"/>
    </row>
    <row r="249" spans="1:17" ht="138.75" thickTop="1" thickBot="1" x14ac:dyDescent="0.25">
      <c r="A249" s="532" t="s">
        <v>264</v>
      </c>
      <c r="B249" s="532" t="s">
        <v>266</v>
      </c>
      <c r="C249" s="532" t="s">
        <v>225</v>
      </c>
      <c r="D249" s="532" t="s">
        <v>265</v>
      </c>
      <c r="E249" s="530" t="s">
        <v>909</v>
      </c>
      <c r="F249" s="530" t="s">
        <v>910</v>
      </c>
      <c r="G249" s="566">
        <f t="shared" si="42"/>
        <v>1085000</v>
      </c>
      <c r="H249" s="530">
        <v>1085000</v>
      </c>
      <c r="I249" s="530">
        <v>0</v>
      </c>
      <c r="J249" s="530">
        <v>0</v>
      </c>
      <c r="K249" s="710" t="b">
        <f>H249='d3'!E339</f>
        <v>1</v>
      </c>
      <c r="L249" s="713" t="b">
        <f>I249='d3'!J339</f>
        <v>1</v>
      </c>
      <c r="M249" s="713" t="b">
        <f>J249='d3'!K339</f>
        <v>1</v>
      </c>
    </row>
    <row r="250" spans="1:17" ht="138.75" thickTop="1" thickBot="1" x14ac:dyDescent="0.25">
      <c r="A250" s="532" t="s">
        <v>268</v>
      </c>
      <c r="B250" s="532" t="s">
        <v>269</v>
      </c>
      <c r="C250" s="532" t="s">
        <v>178</v>
      </c>
      <c r="D250" s="532" t="s">
        <v>267</v>
      </c>
      <c r="E250" s="530" t="s">
        <v>1300</v>
      </c>
      <c r="F250" s="530" t="s">
        <v>623</v>
      </c>
      <c r="G250" s="566">
        <f t="shared" si="42"/>
        <v>2000000</v>
      </c>
      <c r="H250" s="530">
        <v>1200000</v>
      </c>
      <c r="I250" s="530">
        <v>800000</v>
      </c>
      <c r="J250" s="530">
        <v>800000</v>
      </c>
      <c r="K250" s="710" t="b">
        <f>'d3'!E341=H250+H251+H252</f>
        <v>1</v>
      </c>
      <c r="L250" s="713" t="b">
        <f>'d3'!J341=I250+I251+I252</f>
        <v>1</v>
      </c>
      <c r="M250" s="713" t="b">
        <f>'d3'!K341=J250+J251+J252</f>
        <v>1</v>
      </c>
    </row>
    <row r="251" spans="1:17" s="171" customFormat="1" ht="184.5" hidden="1" thickTop="1" thickBot="1" x14ac:dyDescent="0.25">
      <c r="A251" s="259" t="s">
        <v>268</v>
      </c>
      <c r="B251" s="259" t="s">
        <v>269</v>
      </c>
      <c r="C251" s="259" t="s">
        <v>178</v>
      </c>
      <c r="D251" s="259" t="s">
        <v>267</v>
      </c>
      <c r="E251" s="352" t="s">
        <v>1025</v>
      </c>
      <c r="F251" s="328" t="s">
        <v>1026</v>
      </c>
      <c r="G251" s="354">
        <f t="shared" si="42"/>
        <v>0</v>
      </c>
      <c r="H251" s="328">
        <v>0</v>
      </c>
      <c r="I251" s="328">
        <v>0</v>
      </c>
      <c r="J251" s="328">
        <v>0</v>
      </c>
      <c r="K251" s="710"/>
      <c r="L251" s="713"/>
      <c r="M251" s="724"/>
      <c r="N251" s="172"/>
      <c r="O251" s="172"/>
      <c r="P251" s="172"/>
      <c r="Q251" s="172"/>
    </row>
    <row r="252" spans="1:17" s="173" customFormat="1" ht="138.75" thickTop="1" thickBot="1" x14ac:dyDescent="0.25">
      <c r="A252" s="532" t="s">
        <v>268</v>
      </c>
      <c r="B252" s="532" t="s">
        <v>269</v>
      </c>
      <c r="C252" s="532" t="s">
        <v>178</v>
      </c>
      <c r="D252" s="532" t="s">
        <v>267</v>
      </c>
      <c r="E252" s="450" t="s">
        <v>1308</v>
      </c>
      <c r="F252" s="734" t="s">
        <v>1309</v>
      </c>
      <c r="G252" s="566">
        <f t="shared" si="42"/>
        <v>700000</v>
      </c>
      <c r="H252" s="530">
        <v>700000</v>
      </c>
      <c r="I252" s="530">
        <v>0</v>
      </c>
      <c r="J252" s="530">
        <v>0</v>
      </c>
      <c r="K252" s="710"/>
      <c r="L252" s="713"/>
      <c r="M252" s="724"/>
      <c r="N252" s="174"/>
      <c r="O252" s="174"/>
      <c r="P252" s="174"/>
      <c r="Q252" s="174"/>
    </row>
    <row r="253" spans="1:17" s="157" customFormat="1" ht="138.75" hidden="1" thickTop="1" thickBot="1" x14ac:dyDescent="0.25">
      <c r="A253" s="259" t="s">
        <v>963</v>
      </c>
      <c r="B253" s="259" t="s">
        <v>377</v>
      </c>
      <c r="C253" s="259" t="s">
        <v>45</v>
      </c>
      <c r="D253" s="259" t="s">
        <v>378</v>
      </c>
      <c r="E253" s="352" t="s">
        <v>907</v>
      </c>
      <c r="F253" s="328" t="s">
        <v>908</v>
      </c>
      <c r="G253" s="354">
        <f t="shared" si="42"/>
        <v>0</v>
      </c>
      <c r="H253" s="328">
        <f>'d3'!E344</f>
        <v>0</v>
      </c>
      <c r="I253" s="328">
        <f>'d3'!J344</f>
        <v>0</v>
      </c>
      <c r="J253" s="328">
        <f>'d3'!K344</f>
        <v>0</v>
      </c>
      <c r="K253" s="710"/>
      <c r="L253" s="713"/>
      <c r="M253" s="724"/>
      <c r="N253" s="158"/>
      <c r="O253" s="158"/>
      <c r="P253" s="158"/>
      <c r="Q253" s="158"/>
    </row>
    <row r="254" spans="1:17" ht="136.5" thickTop="1" thickBot="1" x14ac:dyDescent="0.25">
      <c r="A254" s="827" t="s">
        <v>172</v>
      </c>
      <c r="B254" s="827"/>
      <c r="C254" s="827"/>
      <c r="D254" s="828" t="s">
        <v>939</v>
      </c>
      <c r="E254" s="827"/>
      <c r="F254" s="827"/>
      <c r="G254" s="830">
        <f>G255</f>
        <v>746000</v>
      </c>
      <c r="H254" s="830">
        <f t="shared" ref="H254:J254" si="43">H255</f>
        <v>0</v>
      </c>
      <c r="I254" s="830">
        <f t="shared" si="43"/>
        <v>746000</v>
      </c>
      <c r="J254" s="830">
        <f t="shared" si="43"/>
        <v>46000</v>
      </c>
      <c r="K254" s="710" t="b">
        <f>H254='d3'!E346-'d3'!E348+H256</f>
        <v>1</v>
      </c>
      <c r="L254" s="713" t="b">
        <f>I254='d3'!J346-'d3'!J348+'d7'!I256</f>
        <v>1</v>
      </c>
      <c r="M254" s="713" t="b">
        <f>J254='d3'!K346-'d3'!K348+'d7'!J256</f>
        <v>1</v>
      </c>
    </row>
    <row r="255" spans="1:17" ht="181.5" thickTop="1" thickBot="1" x14ac:dyDescent="0.25">
      <c r="A255" s="831" t="s">
        <v>173</v>
      </c>
      <c r="B255" s="831"/>
      <c r="C255" s="831"/>
      <c r="D255" s="832" t="s">
        <v>940</v>
      </c>
      <c r="E255" s="833"/>
      <c r="F255" s="833"/>
      <c r="G255" s="833">
        <f>SUM(G256:G258)</f>
        <v>746000</v>
      </c>
      <c r="H255" s="833">
        <f>SUM(H256:H258)</f>
        <v>0</v>
      </c>
      <c r="I255" s="833">
        <f>SUM(I256:I258)</f>
        <v>746000</v>
      </c>
      <c r="J255" s="833">
        <f>SUM(J256:J258)</f>
        <v>46000</v>
      </c>
      <c r="K255" s="621"/>
      <c r="L255" s="621"/>
      <c r="M255" s="621"/>
    </row>
    <row r="256" spans="1:17" s="132" customFormat="1" ht="138.75" thickTop="1" thickBot="1" x14ac:dyDescent="0.25">
      <c r="A256" s="224" t="s">
        <v>438</v>
      </c>
      <c r="B256" s="224" t="s">
        <v>248</v>
      </c>
      <c r="C256" s="224" t="s">
        <v>246</v>
      </c>
      <c r="D256" s="224" t="s">
        <v>247</v>
      </c>
      <c r="E256" s="450" t="s">
        <v>1122</v>
      </c>
      <c r="F256" s="451" t="s">
        <v>904</v>
      </c>
      <c r="G256" s="451">
        <f>H256+I256</f>
        <v>46000</v>
      </c>
      <c r="H256" s="456"/>
      <c r="I256" s="451">
        <v>46000</v>
      </c>
      <c r="J256" s="451">
        <v>46000</v>
      </c>
      <c r="K256" s="621"/>
      <c r="L256" s="621"/>
      <c r="M256" s="621"/>
      <c r="N256" s="133"/>
      <c r="O256" s="133"/>
      <c r="P256" s="133"/>
      <c r="Q256" s="133"/>
    </row>
    <row r="257" spans="1:17" s="141" customFormat="1" ht="391.7" hidden="1" customHeight="1" thickTop="1" thickBot="1" x14ac:dyDescent="0.25">
      <c r="A257" s="224" t="s">
        <v>675</v>
      </c>
      <c r="B257" s="224" t="s">
        <v>376</v>
      </c>
      <c r="C257" s="224" t="s">
        <v>662</v>
      </c>
      <c r="D257" s="224" t="s">
        <v>663</v>
      </c>
      <c r="E257" s="455" t="s">
        <v>935</v>
      </c>
      <c r="F257" s="454" t="s">
        <v>936</v>
      </c>
      <c r="G257" s="451">
        <f t="shared" ref="G257" si="44">H257+I257</f>
        <v>0</v>
      </c>
      <c r="H257" s="456">
        <f>'d3'!E349</f>
        <v>0</v>
      </c>
      <c r="I257" s="457"/>
      <c r="J257" s="457"/>
      <c r="K257" s="621"/>
      <c r="L257" s="621"/>
      <c r="M257" s="621"/>
      <c r="N257" s="142"/>
      <c r="O257" s="142"/>
      <c r="P257" s="142"/>
      <c r="Q257" s="142"/>
    </row>
    <row r="258" spans="1:17" ht="138.75" thickTop="1" thickBot="1" x14ac:dyDescent="0.25">
      <c r="A258" s="224" t="s">
        <v>1257</v>
      </c>
      <c r="B258" s="224" t="s">
        <v>1258</v>
      </c>
      <c r="C258" s="224" t="s">
        <v>53</v>
      </c>
      <c r="D258" s="224" t="s">
        <v>1259</v>
      </c>
      <c r="E258" s="452" t="s">
        <v>1378</v>
      </c>
      <c r="F258" s="451" t="s">
        <v>1024</v>
      </c>
      <c r="G258" s="456">
        <f t="shared" ref="G258" si="45">H258+I258</f>
        <v>700000</v>
      </c>
      <c r="H258" s="451">
        <f>'d3'!E352</f>
        <v>0</v>
      </c>
      <c r="I258" s="451">
        <f>'d3'!J352</f>
        <v>700000</v>
      </c>
      <c r="J258" s="451">
        <f>'d3'!K352</f>
        <v>0</v>
      </c>
      <c r="K258" s="621"/>
      <c r="L258" s="621"/>
      <c r="M258" s="621"/>
    </row>
    <row r="259" spans="1:17" ht="136.5" thickTop="1" thickBot="1" x14ac:dyDescent="0.25">
      <c r="A259" s="827" t="s">
        <v>170</v>
      </c>
      <c r="B259" s="827"/>
      <c r="C259" s="827"/>
      <c r="D259" s="828" t="s">
        <v>954</v>
      </c>
      <c r="E259" s="827"/>
      <c r="F259" s="827"/>
      <c r="G259" s="830">
        <f>G260</f>
        <v>790000</v>
      </c>
      <c r="H259" s="830">
        <f t="shared" ref="H259:J259" si="46">H260</f>
        <v>300000</v>
      </c>
      <c r="I259" s="830">
        <f t="shared" si="46"/>
        <v>490000</v>
      </c>
      <c r="J259" s="830">
        <f t="shared" si="46"/>
        <v>490000</v>
      </c>
      <c r="K259" s="710" t="b">
        <f>H259='d3'!E354-'d3'!E356+H261</f>
        <v>1</v>
      </c>
      <c r="L259" s="713" t="b">
        <f>I259='d3'!J354-'d3'!J356+I261</f>
        <v>1</v>
      </c>
      <c r="M259" s="713" t="b">
        <f>J259='d3'!K354-'d3'!K356+J261</f>
        <v>1</v>
      </c>
    </row>
    <row r="260" spans="1:17" ht="181.5" thickTop="1" thickBot="1" x14ac:dyDescent="0.25">
      <c r="A260" s="831" t="s">
        <v>171</v>
      </c>
      <c r="B260" s="831"/>
      <c r="C260" s="831"/>
      <c r="D260" s="832" t="s">
        <v>955</v>
      </c>
      <c r="E260" s="833"/>
      <c r="F260" s="833"/>
      <c r="G260" s="833">
        <f>SUM(G261:G264)</f>
        <v>790000</v>
      </c>
      <c r="H260" s="833">
        <f>SUM(H261:H264)</f>
        <v>300000</v>
      </c>
      <c r="I260" s="833">
        <f>SUM(I261:I264)</f>
        <v>490000</v>
      </c>
      <c r="J260" s="833">
        <f>SUM(J261:J264)</f>
        <v>490000</v>
      </c>
      <c r="K260" s="621"/>
      <c r="L260" s="621"/>
      <c r="M260" s="621"/>
    </row>
    <row r="261" spans="1:17" s="163" customFormat="1" ht="138.75" thickTop="1" thickBot="1" x14ac:dyDescent="0.25">
      <c r="A261" s="224" t="s">
        <v>434</v>
      </c>
      <c r="B261" s="224" t="s">
        <v>248</v>
      </c>
      <c r="C261" s="224" t="s">
        <v>246</v>
      </c>
      <c r="D261" s="224" t="s">
        <v>247</v>
      </c>
      <c r="E261" s="450" t="s">
        <v>1122</v>
      </c>
      <c r="F261" s="451" t="s">
        <v>904</v>
      </c>
      <c r="G261" s="451">
        <f>H261+I261</f>
        <v>40000</v>
      </c>
      <c r="H261" s="456"/>
      <c r="I261" s="451">
        <v>40000</v>
      </c>
      <c r="J261" s="451">
        <v>40000</v>
      </c>
      <c r="K261" s="621"/>
      <c r="L261" s="621"/>
      <c r="M261" s="621"/>
      <c r="N261" s="164"/>
      <c r="O261" s="164"/>
      <c r="P261" s="164"/>
      <c r="Q261" s="164"/>
    </row>
    <row r="262" spans="1:17" ht="138.75" thickTop="1" thickBot="1" x14ac:dyDescent="0.25">
      <c r="A262" s="532" t="s">
        <v>319</v>
      </c>
      <c r="B262" s="532" t="s">
        <v>320</v>
      </c>
      <c r="C262" s="532" t="s">
        <v>321</v>
      </c>
      <c r="D262" s="532" t="s">
        <v>479</v>
      </c>
      <c r="E262" s="450" t="s">
        <v>1308</v>
      </c>
      <c r="F262" s="734" t="s">
        <v>1309</v>
      </c>
      <c r="G262" s="566">
        <f t="shared" ref="G262:G264" si="47">H262+I262</f>
        <v>400000</v>
      </c>
      <c r="H262" s="530"/>
      <c r="I262" s="530">
        <f>'d3'!J359</f>
        <v>400000</v>
      </c>
      <c r="J262" s="530">
        <f>'d3'!K359</f>
        <v>400000</v>
      </c>
      <c r="K262" s="621"/>
      <c r="L262" s="621"/>
      <c r="M262" s="621"/>
    </row>
    <row r="263" spans="1:17" s="817" customFormat="1" ht="138.75" thickTop="1" thickBot="1" x14ac:dyDescent="0.25">
      <c r="A263" s="818" t="s">
        <v>319</v>
      </c>
      <c r="B263" s="818" t="s">
        <v>320</v>
      </c>
      <c r="C263" s="818" t="s">
        <v>321</v>
      </c>
      <c r="D263" s="818" t="s">
        <v>479</v>
      </c>
      <c r="E263" s="452" t="s">
        <v>1378</v>
      </c>
      <c r="F263" s="819" t="s">
        <v>1024</v>
      </c>
      <c r="G263" s="820">
        <f t="shared" si="47"/>
        <v>300000</v>
      </c>
      <c r="H263" s="819">
        <v>300000</v>
      </c>
      <c r="I263" s="819"/>
      <c r="J263" s="819"/>
      <c r="K263" s="621"/>
      <c r="L263" s="621"/>
      <c r="M263" s="621"/>
      <c r="N263" s="821"/>
      <c r="O263" s="821"/>
      <c r="P263" s="821"/>
      <c r="Q263" s="821"/>
    </row>
    <row r="264" spans="1:17" ht="138.75" thickTop="1" thickBot="1" x14ac:dyDescent="0.25">
      <c r="A264" s="532" t="s">
        <v>382</v>
      </c>
      <c r="B264" s="532" t="s">
        <v>383</v>
      </c>
      <c r="C264" s="532" t="s">
        <v>178</v>
      </c>
      <c r="D264" s="532" t="s">
        <v>384</v>
      </c>
      <c r="E264" s="450" t="s">
        <v>1308</v>
      </c>
      <c r="F264" s="734" t="s">
        <v>1309</v>
      </c>
      <c r="G264" s="566">
        <f t="shared" si="47"/>
        <v>50000</v>
      </c>
      <c r="H264" s="530">
        <f>'d3'!E361</f>
        <v>0</v>
      </c>
      <c r="I264" s="530">
        <f>'d3'!J361</f>
        <v>50000</v>
      </c>
      <c r="J264" s="530">
        <f>'d3'!K361</f>
        <v>50000</v>
      </c>
      <c r="K264" s="621"/>
      <c r="L264" s="621"/>
      <c r="M264" s="621"/>
    </row>
    <row r="265" spans="1:17" s="141" customFormat="1" ht="91.5" thickTop="1" thickBot="1" x14ac:dyDescent="0.25">
      <c r="A265" s="827" t="s">
        <v>176</v>
      </c>
      <c r="B265" s="827"/>
      <c r="C265" s="827"/>
      <c r="D265" s="828" t="s">
        <v>27</v>
      </c>
      <c r="E265" s="827"/>
      <c r="F265" s="827"/>
      <c r="G265" s="830">
        <f>G266</f>
        <v>7000</v>
      </c>
      <c r="H265" s="830">
        <f t="shared" ref="H265:J265" si="48">H266</f>
        <v>7000</v>
      </c>
      <c r="I265" s="830">
        <f t="shared" si="48"/>
        <v>0</v>
      </c>
      <c r="J265" s="830">
        <f t="shared" si="48"/>
        <v>0</v>
      </c>
      <c r="K265" s="621"/>
      <c r="L265" s="621"/>
      <c r="M265" s="621"/>
      <c r="N265" s="142"/>
      <c r="O265" s="142"/>
      <c r="P265" s="142"/>
      <c r="Q265" s="142"/>
    </row>
    <row r="266" spans="1:17" s="141" customFormat="1" ht="136.5" thickTop="1" thickBot="1" x14ac:dyDescent="0.25">
      <c r="A266" s="831" t="s">
        <v>177</v>
      </c>
      <c r="B266" s="831"/>
      <c r="C266" s="831"/>
      <c r="D266" s="832" t="s">
        <v>42</v>
      </c>
      <c r="E266" s="833"/>
      <c r="F266" s="833"/>
      <c r="G266" s="833">
        <f>SUM(G267:G268)</f>
        <v>7000</v>
      </c>
      <c r="H266" s="833">
        <f>SUM(H267:H268)</f>
        <v>7000</v>
      </c>
      <c r="I266" s="833">
        <f>SUM(I267:I268)</f>
        <v>0</v>
      </c>
      <c r="J266" s="833">
        <f>SUM(J267:J268)</f>
        <v>0</v>
      </c>
      <c r="K266" s="621"/>
      <c r="L266" s="621"/>
      <c r="M266" s="621"/>
      <c r="N266" s="142"/>
      <c r="O266" s="142"/>
      <c r="P266" s="142"/>
      <c r="Q266" s="142"/>
    </row>
    <row r="267" spans="1:17" s="200" customFormat="1" ht="138.75" hidden="1" thickTop="1" thickBot="1" x14ac:dyDescent="0.25">
      <c r="A267" s="259" t="s">
        <v>436</v>
      </c>
      <c r="B267" s="259" t="s">
        <v>248</v>
      </c>
      <c r="C267" s="259" t="s">
        <v>246</v>
      </c>
      <c r="D267" s="259" t="s">
        <v>247</v>
      </c>
      <c r="E267" s="352" t="s">
        <v>1122</v>
      </c>
      <c r="F267" s="328" t="s">
        <v>904</v>
      </c>
      <c r="G267" s="328">
        <f t="shared" ref="G267:G268" si="49">H267+I267</f>
        <v>0</v>
      </c>
      <c r="H267" s="354">
        <f>0</f>
        <v>0</v>
      </c>
      <c r="I267" s="360">
        <v>0</v>
      </c>
      <c r="J267" s="360">
        <v>0</v>
      </c>
      <c r="K267" s="621"/>
      <c r="L267" s="621"/>
      <c r="M267" s="621"/>
      <c r="N267" s="201"/>
      <c r="O267" s="201"/>
      <c r="P267" s="201"/>
      <c r="Q267" s="201"/>
    </row>
    <row r="268" spans="1:17" s="141" customFormat="1" ht="367.5" thickTop="1" thickBot="1" x14ac:dyDescent="1.2">
      <c r="A268" s="224" t="s">
        <v>676</v>
      </c>
      <c r="B268" s="224" t="s">
        <v>376</v>
      </c>
      <c r="C268" s="224" t="s">
        <v>662</v>
      </c>
      <c r="D268" s="224" t="s">
        <v>663</v>
      </c>
      <c r="E268" s="450" t="s">
        <v>1327</v>
      </c>
      <c r="F268" s="750" t="s">
        <v>1328</v>
      </c>
      <c r="G268" s="451">
        <f t="shared" si="49"/>
        <v>7000</v>
      </c>
      <c r="H268" s="456">
        <f>'d3'!E366</f>
        <v>7000</v>
      </c>
      <c r="I268" s="457"/>
      <c r="J268" s="457"/>
      <c r="K268" s="660" t="b">
        <f>G269=G268+G264+G262+G261+G258+G256+G252+G250+G249+G248+G247+G246+G239+G238+G233+G232+G231+G223+G222+G221+G220+G219+G218+G216+G212+G211+G208+G206+G204+G202+G201+G200+G199+G197+G195+G194+G193+G192+G191+G186+G183+G182+G178+G177+G175+G174+G173+G172+G168+G167+G165+G164+G163+G162+G161+G159+G158+G157+G156+G155+G154+G153+G149+G148+G147+G146+G145+G144+G143+G140+G139+G136+G135+G134+G130+G129+G127+G126+G125+G124+G122+G120+G119+G118+G117+G116+G115+G112+G111+G110+G109+G108+G107+G106+G105+G104+G103+G102+G101+G99+G89+G88+G86+G85+G84+G83+G82+G81+G80+G76+G75+G64+G63+G62+G60+G59+G58+G57+G56+G55+G54+G53+G52+G50+G47+G45+G34+G33+G32+G29+G27+G26+G24+G23+G22+G21+G20+G17+G70+G242+G31+G35+G91+G176+G180+G184+G207+G240+G228+G210+G142+G36+G181+G37+G90+G121+G39+G263+G236+G40+G30+G113+G243+G38</f>
        <v>1</v>
      </c>
      <c r="L268" s="660" t="b">
        <f>H269=H268+H264+H262+H261+H258+H256+H252+H250+H249+H248+H247+H246+H239+H238+H233+H232+H231+H223+H222+H221+H220+H219+H218+H216+H212+H211+H208+H206+H204+H202+H201+H200+H199+H197+H195+H194+H193+H192+H191+H186+H183+H182+H178+H177+H175+H174+H173+H172+H168+H167+H165+H164+H163+H162+H161+H159+H158+H157+H156+H155+H154+H153+H149+H148+H147+H146+H145+H144+H143+H140+H139+H136+H135+H134+H130+H129+H127+H126+H125+H124+H122+H120+H119+H118+H117+H116+H115+H112+H111+H110+H109+H108+H107+H106+H105+H104+H103+H102+H101+H99+H89+H88+H86+H85+H84+H83+H82+H81+H80+H76+H75+H64+H63+H62+H60+H59+H58+H57+H56+H55+H54+H53+H52+H50+H47+H45+H34+H33+H32+H29+H27+H26+H24+H23+H22+H21+H20+H17+H70+H242+H31+H35+H91+H176+H180+H184+H207+H240+H228+H210+H142+H36+H181+H37+H90+H121+H39+H263+H236+H40+H30+H113+H243+H38</f>
        <v>1</v>
      </c>
      <c r="M268" s="660" t="b">
        <f>I269=I268+I264+I262+I261+I258+I256+I252+I250+I249+I248+I247+I246+I239+I238+I233+I232+I231+I223+I222+I221+I220+I219+I218+I216+I212+I211+I208+I206+I204+I202+I201+I200+I199+I197+I195+I194+I193+I192+I191+I186+I183+I182+I178+I177+I175+I174+I173+I172+I168+I167+I165+I164+I163+I162+I161+I159+I158+I157+I156+I155+I154+I153+I149+I148+I147+I146+I145+I144+I143+I140+I139+I136+I135+I134+I130+I129+I127+I126+I125+I124+I122+I120+I119+I118+I117+I116+I115+I112+I111+I110+I109+I108+I107+I106+I105+I104+I103+I102+I101+I99+I89+I88+I86+I85+I84+I83+I82+I81+I80+I76+I75+I64+I63+I62+I60+I59+I58+I57+I56+I55+I54+I53+I52+I50+I47+I45+I34+I33+I32+I29+I27+I26+I24+I23+I22+I21+I20+I17+I70+I242+I31+I35+I91+I176+I180+I184+I207+I240+I228+I210+I142+I36+I181+I37+I90+I121+I39+I263+I236+I40+I30+I113+I243+I38</f>
        <v>1</v>
      </c>
      <c r="N268" s="660" t="b">
        <f>J269=J268+J264+J262+J261+J258+J256+J252+J250+J249+J248+J247+J246+J239+J238+J233+J232+J231+J223+J222+J221+J220+J219+J218+J216+J212+J211+J208+J206+J204+J202+J201+J200+J199+J197+J195+J194+J193+J192+J191+J186+J183+J182+J178+J177+J175+J174+J173+J172+J168+J167+J165+J164+J163+J162+J161+J159+J158+J157+J156+J155+J154+J153+J149+J148+J147+J146+J145+J144+J143+J140+J139+J136+J135+J134+J130+J129+J127+J126+J125+J124+J122+J120+J119+J118+J117+J116+J115+J112+J111+J110+J109+J108+J107+J106+J105+J104+J103+J102+J101+J99+J89+J88+J86+J85+J84+J83+J82+J81+J80+J76+J75+J64+J63+J62+J60+J59+J58+J57+J56+J55+J54+J53+J52+J50+J47+J45+J34+J33+J32+J29+J27+J26+J24+J23+J22+J21+J20+J17+J70+J242+J31+J35+J91+J176+J180+J184+J207+J240+J228+J210+J142+J36+J181+J37+J90+J121+J39+J263+J236+J40+J30+J113+J243+J38</f>
        <v>1</v>
      </c>
      <c r="O268" s="660"/>
      <c r="P268" s="142"/>
      <c r="Q268" s="142"/>
    </row>
    <row r="269" spans="1:17" ht="81.75" customHeight="1" thickTop="1" thickBot="1" x14ac:dyDescent="1.2">
      <c r="A269" s="636" t="s">
        <v>396</v>
      </c>
      <c r="B269" s="636" t="s">
        <v>396</v>
      </c>
      <c r="C269" s="636" t="s">
        <v>396</v>
      </c>
      <c r="D269" s="637" t="s">
        <v>406</v>
      </c>
      <c r="E269" s="636" t="s">
        <v>396</v>
      </c>
      <c r="F269" s="636" t="s">
        <v>396</v>
      </c>
      <c r="G269" s="638">
        <f>G16+G44+G152+G79+G98+G133+G215+G245+G255+G260+G235+G230+G189+G171+G266</f>
        <v>3343142199.02</v>
      </c>
      <c r="H269" s="638">
        <f>H16+H44+H152+H79+H98+H133+H215+H245+H255+H260+H235+H230+H189+H171+H266</f>
        <v>2917969604.0599999</v>
      </c>
      <c r="I269" s="638">
        <f>I16+I44+I152+I79+I98+I133+I215+I245+I255+I260+I235+I230+I189+I171+I266</f>
        <v>425172594.96000004</v>
      </c>
      <c r="J269" s="638">
        <f>J16+J44+J152+J79+J98+J133+J215+J245+J255+J260+J235+J230+J189+J171+J266</f>
        <v>233887129.59</v>
      </c>
      <c r="K269" s="660" t="b">
        <f>G269=H269+I269</f>
        <v>1</v>
      </c>
      <c r="L269" s="621"/>
      <c r="M269" s="621"/>
    </row>
    <row r="270" spans="1:17" s="639" customFormat="1" ht="31.7" customHeight="1" thickTop="1" x14ac:dyDescent="0.2">
      <c r="A270" s="947" t="s">
        <v>1229</v>
      </c>
      <c r="B270" s="948"/>
      <c r="C270" s="948"/>
      <c r="D270" s="948"/>
      <c r="E270" s="948"/>
      <c r="F270" s="948"/>
      <c r="G270" s="948"/>
      <c r="H270" s="948"/>
      <c r="I270" s="948"/>
      <c r="J270" s="948"/>
      <c r="K270" s="726"/>
      <c r="L270" s="726"/>
      <c r="M270" s="726"/>
      <c r="N270" s="154"/>
      <c r="O270" s="154"/>
      <c r="P270" s="154"/>
      <c r="Q270" s="154"/>
    </row>
    <row r="271" spans="1:17" ht="31.7" customHeight="1" x14ac:dyDescent="0.2">
      <c r="A271" s="85"/>
      <c r="B271" s="86"/>
      <c r="C271" s="86"/>
      <c r="D271" s="86"/>
      <c r="E271" s="86"/>
      <c r="F271" s="86"/>
      <c r="G271" s="86"/>
      <c r="H271" s="86"/>
      <c r="I271" s="86"/>
      <c r="J271" s="86"/>
    </row>
    <row r="272" spans="1:17" ht="45" customHeight="1" x14ac:dyDescent="0.65">
      <c r="A272" s="85"/>
      <c r="B272" s="86"/>
      <c r="C272" s="86"/>
      <c r="D272" s="439" t="s">
        <v>1362</v>
      </c>
      <c r="E272" s="791"/>
      <c r="F272" s="439"/>
      <c r="G272" s="439" t="s">
        <v>1363</v>
      </c>
      <c r="H272" s="187"/>
      <c r="I272" s="187"/>
      <c r="J272" s="187"/>
      <c r="K272" s="720"/>
      <c r="L272" s="721"/>
      <c r="M272" s="727"/>
      <c r="N272" s="30"/>
      <c r="O272" s="90"/>
      <c r="P272" s="90"/>
      <c r="Q272" s="8"/>
    </row>
    <row r="273" spans="1:17" ht="61.5" customHeight="1" x14ac:dyDescent="0.65">
      <c r="A273" s="83"/>
      <c r="B273" s="83"/>
      <c r="C273" s="83"/>
      <c r="D273" s="207"/>
      <c r="E273" s="184"/>
      <c r="F273" s="205"/>
      <c r="G273" s="184"/>
      <c r="H273" s="184"/>
      <c r="I273" s="80"/>
      <c r="J273" s="80"/>
      <c r="K273" s="722"/>
      <c r="L273" s="721"/>
      <c r="M273" s="727"/>
      <c r="N273" s="30"/>
      <c r="O273" s="90"/>
      <c r="P273" s="90"/>
      <c r="Q273" s="8"/>
    </row>
    <row r="274" spans="1:17" ht="45.75" x14ac:dyDescent="0.65">
      <c r="D274" s="90" t="s">
        <v>1398</v>
      </c>
      <c r="E274" s="189"/>
      <c r="F274" s="190"/>
      <c r="G274" s="90" t="s">
        <v>1399</v>
      </c>
      <c r="H274" s="50"/>
      <c r="I274" s="30"/>
      <c r="J274" s="8"/>
      <c r="K274" s="728"/>
      <c r="L274" s="728"/>
      <c r="M274" s="728"/>
      <c r="N274" s="108"/>
      <c r="O274" s="108"/>
      <c r="P274" s="108"/>
      <c r="Q274" s="108"/>
    </row>
    <row r="275" spans="1:17" ht="45.75" x14ac:dyDescent="0.65">
      <c r="D275" s="886"/>
      <c r="E275" s="886"/>
      <c r="F275" s="886"/>
      <c r="G275" s="886"/>
      <c r="H275" s="886"/>
      <c r="I275" s="886"/>
      <c r="J275" s="886"/>
      <c r="K275" s="728"/>
      <c r="L275" s="728"/>
      <c r="M275" s="728"/>
      <c r="N275" s="108"/>
      <c r="O275" s="108"/>
      <c r="P275" s="108"/>
      <c r="Q275" s="108"/>
    </row>
    <row r="276" spans="1:17" x14ac:dyDescent="0.2">
      <c r="E276" s="4"/>
      <c r="F276" s="3"/>
    </row>
    <row r="277" spans="1:17" x14ac:dyDescent="0.2">
      <c r="E277" s="4"/>
      <c r="F277" s="3"/>
    </row>
    <row r="278" spans="1:17" ht="62.25" x14ac:dyDescent="0.8">
      <c r="A278" s="81"/>
      <c r="B278" s="81"/>
      <c r="C278" s="81"/>
      <c r="D278" s="81"/>
      <c r="E278" s="8"/>
      <c r="F278" s="30"/>
      <c r="I278" s="81"/>
      <c r="J278" s="33"/>
    </row>
    <row r="279" spans="1:17" ht="45.75" x14ac:dyDescent="0.2">
      <c r="E279" s="9"/>
      <c r="F279" s="50"/>
    </row>
    <row r="280" spans="1:17" ht="45.75" x14ac:dyDescent="0.2">
      <c r="A280" s="81"/>
      <c r="B280" s="81"/>
      <c r="C280" s="81"/>
      <c r="D280" s="81"/>
      <c r="E280" s="8"/>
      <c r="F280" s="30"/>
      <c r="I280" s="81"/>
      <c r="J280" s="81"/>
    </row>
    <row r="281" spans="1:17" ht="45.75" x14ac:dyDescent="0.2">
      <c r="E281" s="9"/>
      <c r="F281" s="50"/>
    </row>
    <row r="282" spans="1:17" ht="45.75" x14ac:dyDescent="0.2">
      <c r="E282" s="9"/>
      <c r="F282" s="50"/>
    </row>
    <row r="283" spans="1:17" ht="45.75" x14ac:dyDescent="0.2">
      <c r="E283" s="9"/>
      <c r="F283" s="50"/>
    </row>
    <row r="284" spans="1:17" ht="45.75" x14ac:dyDescent="0.2">
      <c r="A284" s="81"/>
      <c r="B284" s="81"/>
      <c r="C284" s="81"/>
      <c r="D284" s="81"/>
      <c r="E284" s="9"/>
      <c r="F284" s="50"/>
      <c r="G284" s="81"/>
      <c r="H284" s="81"/>
      <c r="I284" s="81"/>
      <c r="J284" s="81"/>
    </row>
    <row r="285" spans="1:17" ht="45.75" x14ac:dyDescent="0.2">
      <c r="A285" s="81"/>
      <c r="B285" s="81"/>
      <c r="C285" s="81"/>
      <c r="D285" s="81"/>
      <c r="E285" s="9"/>
      <c r="F285" s="50"/>
      <c r="G285" s="81"/>
      <c r="H285" s="81"/>
      <c r="I285" s="81"/>
      <c r="J285" s="81"/>
    </row>
    <row r="286" spans="1:17" ht="45.75" x14ac:dyDescent="0.2">
      <c r="A286" s="81"/>
      <c r="B286" s="81"/>
      <c r="C286" s="81"/>
      <c r="D286" s="81"/>
      <c r="E286" s="9"/>
      <c r="F286" s="50"/>
      <c r="G286" s="81"/>
      <c r="H286" s="81"/>
      <c r="I286" s="81"/>
      <c r="J286" s="81"/>
    </row>
    <row r="287" spans="1:17" ht="45.75" x14ac:dyDescent="0.2">
      <c r="A287" s="81"/>
      <c r="B287" s="81"/>
      <c r="C287" s="81"/>
      <c r="D287" s="81"/>
      <c r="E287" s="9"/>
      <c r="F287" s="50"/>
      <c r="G287" s="81"/>
      <c r="H287" s="81"/>
      <c r="I287" s="81"/>
      <c r="J287" s="81"/>
    </row>
  </sheetData>
  <mergeCells count="111">
    <mergeCell ref="B240:B241"/>
    <mergeCell ref="C240:C241"/>
    <mergeCell ref="G240:G241"/>
    <mergeCell ref="J68:J69"/>
    <mergeCell ref="A68:A69"/>
    <mergeCell ref="B68:B69"/>
    <mergeCell ref="C68:C69"/>
    <mergeCell ref="D68:D69"/>
    <mergeCell ref="G68:G69"/>
    <mergeCell ref="H68:H69"/>
    <mergeCell ref="I68:I69"/>
    <mergeCell ref="A186:A187"/>
    <mergeCell ref="B186:B187"/>
    <mergeCell ref="C186:C187"/>
    <mergeCell ref="E186:E187"/>
    <mergeCell ref="F186:F187"/>
    <mergeCell ref="G186:G187"/>
    <mergeCell ref="H186:H187"/>
    <mergeCell ref="I186:I187"/>
    <mergeCell ref="J186:J187"/>
    <mergeCell ref="A204:A205"/>
    <mergeCell ref="B204:B205"/>
    <mergeCell ref="C204:C205"/>
    <mergeCell ref="D204:D205"/>
    <mergeCell ref="D275:J275"/>
    <mergeCell ref="A270:J270"/>
    <mergeCell ref="G93:G94"/>
    <mergeCell ref="H93:H94"/>
    <mergeCell ref="I93:I94"/>
    <mergeCell ref="J93:J94"/>
    <mergeCell ref="A130:A131"/>
    <mergeCell ref="B130:B131"/>
    <mergeCell ref="C130:C131"/>
    <mergeCell ref="E130:E131"/>
    <mergeCell ref="F130:F131"/>
    <mergeCell ref="G130:G131"/>
    <mergeCell ref="H130:H131"/>
    <mergeCell ref="I130:I131"/>
    <mergeCell ref="J130:J131"/>
    <mergeCell ref="H240:H241"/>
    <mergeCell ref="I240:I241"/>
    <mergeCell ref="J240:J241"/>
    <mergeCell ref="D240:D241"/>
    <mergeCell ref="A240:A241"/>
    <mergeCell ref="A178:A179"/>
    <mergeCell ref="B178:B179"/>
    <mergeCell ref="C178:C179"/>
    <mergeCell ref="D178:D179"/>
    <mergeCell ref="I1:J1"/>
    <mergeCell ref="I2:J2"/>
    <mergeCell ref="I3:J3"/>
    <mergeCell ref="A5:J5"/>
    <mergeCell ref="A8:J8"/>
    <mergeCell ref="A27:A28"/>
    <mergeCell ref="B27:B28"/>
    <mergeCell ref="C27:C28"/>
    <mergeCell ref="E27:E28"/>
    <mergeCell ref="F27:F28"/>
    <mergeCell ref="H27:H28"/>
    <mergeCell ref="I27:I28"/>
    <mergeCell ref="J27:J28"/>
    <mergeCell ref="G27:G28"/>
    <mergeCell ref="L22:L23"/>
    <mergeCell ref="M22:M23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3"/>
    <mergeCell ref="A202:A203"/>
    <mergeCell ref="B202:B203"/>
    <mergeCell ref="C202:C203"/>
    <mergeCell ref="D202:D203"/>
    <mergeCell ref="G202:G203"/>
    <mergeCell ref="G204:G205"/>
    <mergeCell ref="A226:A227"/>
    <mergeCell ref="B226:B227"/>
    <mergeCell ref="C226:C227"/>
    <mergeCell ref="E226:E227"/>
    <mergeCell ref="F226:F227"/>
    <mergeCell ref="A208:A209"/>
    <mergeCell ref="B208:B209"/>
    <mergeCell ref="C208:C209"/>
    <mergeCell ref="E208:E209"/>
    <mergeCell ref="F208:F209"/>
    <mergeCell ref="G208:G209"/>
    <mergeCell ref="H197:H198"/>
    <mergeCell ref="I197:I198"/>
    <mergeCell ref="J197:J198"/>
    <mergeCell ref="G197:G198"/>
    <mergeCell ref="I226:I227"/>
    <mergeCell ref="J204:J205"/>
    <mergeCell ref="J226:J227"/>
    <mergeCell ref="H208:H209"/>
    <mergeCell ref="I208:I209"/>
    <mergeCell ref="J208:J209"/>
    <mergeCell ref="H202:H203"/>
    <mergeCell ref="I202:I203"/>
    <mergeCell ref="J202:J203"/>
    <mergeCell ref="H204:H205"/>
    <mergeCell ref="I204:I205"/>
    <mergeCell ref="H226:H227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7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27" zoomScale="85" zoomScaleNormal="85" zoomScaleSheetLayoutView="85" workbookViewId="0">
      <selection activeCell="D38" sqref="D38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881" t="s">
        <v>627</v>
      </c>
      <c r="D1" s="881"/>
      <c r="E1" s="114"/>
      <c r="F1" s="114"/>
    </row>
    <row r="2" spans="1:9" ht="16.5" customHeight="1" x14ac:dyDescent="0.2">
      <c r="C2" s="1044" t="s">
        <v>1034</v>
      </c>
      <c r="D2" s="1045"/>
      <c r="E2" s="1045"/>
      <c r="F2" s="1045"/>
    </row>
    <row r="3" spans="1:9" ht="12.75" customHeight="1" x14ac:dyDescent="0.2">
      <c r="C3" s="881" t="s">
        <v>1354</v>
      </c>
      <c r="D3" s="1037"/>
    </row>
    <row r="4" spans="1:9" ht="12.75" customHeight="1" x14ac:dyDescent="0.2">
      <c r="C4" s="881"/>
      <c r="D4" s="883"/>
    </row>
    <row r="5" spans="1:9" ht="16.5" x14ac:dyDescent="0.25">
      <c r="A5" s="1062" t="s">
        <v>595</v>
      </c>
      <c r="B5" s="1062"/>
      <c r="C5" s="1062"/>
      <c r="D5" s="883"/>
      <c r="E5" s="1046"/>
      <c r="F5" s="1047"/>
      <c r="G5" s="1047"/>
      <c r="H5" s="1047"/>
      <c r="I5" s="1048"/>
    </row>
    <row r="6" spans="1:9" s="102" customFormat="1" ht="16.5" x14ac:dyDescent="0.25">
      <c r="A6" s="1062" t="s">
        <v>594</v>
      </c>
      <c r="B6" s="1062"/>
      <c r="C6" s="1062"/>
      <c r="D6" s="883"/>
      <c r="E6" s="116"/>
      <c r="F6" s="117"/>
      <c r="G6" s="100"/>
      <c r="H6" s="100"/>
      <c r="I6" s="101"/>
    </row>
    <row r="7" spans="1:9" ht="16.5" x14ac:dyDescent="0.25">
      <c r="A7" s="1052" t="s">
        <v>133</v>
      </c>
      <c r="B7" s="1052"/>
      <c r="C7" s="1052"/>
      <c r="D7" s="1053"/>
      <c r="E7" s="1046"/>
      <c r="F7" s="1046"/>
      <c r="G7" s="1046"/>
      <c r="H7" s="1046"/>
      <c r="I7" s="882"/>
    </row>
    <row r="8" spans="1:9" ht="16.5" x14ac:dyDescent="0.2">
      <c r="A8" s="1052" t="s">
        <v>1221</v>
      </c>
      <c r="B8" s="1052"/>
      <c r="C8" s="1052"/>
      <c r="D8" s="1053"/>
      <c r="E8" s="1049"/>
      <c r="F8" s="1049"/>
      <c r="G8" s="1049"/>
      <c r="H8" s="1049"/>
      <c r="I8" s="1050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2">
        <v>22564000000</v>
      </c>
      <c r="B10" s="547"/>
      <c r="C10" s="548"/>
      <c r="D10" s="431"/>
      <c r="E10" s="362"/>
      <c r="F10" s="362"/>
      <c r="G10" s="363"/>
      <c r="H10" s="61"/>
      <c r="I10" s="62"/>
    </row>
    <row r="11" spans="1:9" s="63" customFormat="1" ht="16.5" x14ac:dyDescent="0.2">
      <c r="A11" s="433" t="s">
        <v>508</v>
      </c>
      <c r="B11" s="394"/>
      <c r="C11" s="548"/>
      <c r="D11" s="431"/>
      <c r="E11" s="362"/>
      <c r="F11" s="362"/>
      <c r="G11" s="363"/>
      <c r="H11" s="61"/>
      <c r="I11" s="62"/>
    </row>
    <row r="12" spans="1:9" ht="17.25" thickBot="1" x14ac:dyDescent="0.25">
      <c r="A12" s="549"/>
      <c r="B12" s="549"/>
      <c r="C12" s="550"/>
      <c r="D12" s="550" t="s">
        <v>419</v>
      </c>
      <c r="E12" s="362"/>
      <c r="F12" s="362"/>
      <c r="G12" s="364"/>
    </row>
    <row r="13" spans="1:9" s="18" customFormat="1" ht="50.25" customHeight="1" thickTop="1" thickBot="1" x14ac:dyDescent="0.25">
      <c r="A13" s="854" t="s">
        <v>134</v>
      </c>
      <c r="B13" s="1040" t="s">
        <v>135</v>
      </c>
      <c r="C13" s="1041"/>
      <c r="D13" s="1041"/>
      <c r="E13" s="365"/>
      <c r="F13" s="365"/>
      <c r="G13" s="366"/>
    </row>
    <row r="14" spans="1:9" s="18" customFormat="1" ht="39.75" customHeight="1" thickTop="1" thickBot="1" x14ac:dyDescent="0.25">
      <c r="A14" s="545" t="s">
        <v>136</v>
      </c>
      <c r="B14" s="1038" t="s">
        <v>137</v>
      </c>
      <c r="C14" s="1051"/>
      <c r="D14" s="546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5" t="s">
        <v>138</v>
      </c>
      <c r="B15" s="1038" t="s">
        <v>139</v>
      </c>
      <c r="C15" s="1051"/>
      <c r="D15" s="546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5" t="s">
        <v>140</v>
      </c>
      <c r="B16" s="1038" t="s">
        <v>141</v>
      </c>
      <c r="C16" s="1051"/>
      <c r="D16" s="546">
        <v>0</v>
      </c>
      <c r="E16" s="365"/>
      <c r="F16" s="365"/>
      <c r="G16" s="366"/>
    </row>
    <row r="17" spans="1:7" s="18" customFormat="1" ht="41.25" customHeight="1" thickTop="1" thickBot="1" x14ac:dyDescent="0.25">
      <c r="A17" s="545" t="s">
        <v>1088</v>
      </c>
      <c r="B17" s="551" t="s">
        <v>1089</v>
      </c>
      <c r="C17" s="552"/>
      <c r="D17" s="546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5" t="s">
        <v>142</v>
      </c>
      <c r="B18" s="1038" t="s">
        <v>143</v>
      </c>
      <c r="C18" s="1051"/>
      <c r="D18" s="546">
        <v>720</v>
      </c>
      <c r="E18" s="365"/>
      <c r="F18" s="365"/>
      <c r="G18" s="366"/>
    </row>
    <row r="19" spans="1:7" s="18" customFormat="1" ht="26.45" customHeight="1" thickTop="1" thickBot="1" x14ac:dyDescent="0.25">
      <c r="A19" s="545"/>
      <c r="B19" s="1058" t="s">
        <v>144</v>
      </c>
      <c r="C19" s="1051"/>
      <c r="D19" s="553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5"/>
      <c r="B20" s="1058" t="s">
        <v>456</v>
      </c>
      <c r="C20" s="1051"/>
      <c r="D20" s="553"/>
      <c r="E20" s="365"/>
      <c r="F20" s="365"/>
      <c r="G20" s="366"/>
    </row>
    <row r="21" spans="1:7" s="18" customFormat="1" ht="18.75" thickTop="1" thickBot="1" x14ac:dyDescent="0.25">
      <c r="A21" s="545"/>
      <c r="B21" s="1058" t="s">
        <v>1345</v>
      </c>
      <c r="C21" s="1051"/>
      <c r="D21" s="553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61" t="s">
        <v>396</v>
      </c>
      <c r="B22" s="1042" t="s">
        <v>512</v>
      </c>
      <c r="C22" s="1043"/>
      <c r="D22" s="662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854" t="s">
        <v>134</v>
      </c>
      <c r="B23" s="1040" t="s">
        <v>145</v>
      </c>
      <c r="C23" s="1041"/>
      <c r="D23" s="1041"/>
      <c r="E23" s="365"/>
      <c r="F23" s="365"/>
      <c r="G23" s="366"/>
    </row>
    <row r="24" spans="1:7" s="18" customFormat="1" ht="43.5" customHeight="1" thickTop="1" thickBot="1" x14ac:dyDescent="0.25">
      <c r="A24" s="545" t="s">
        <v>146</v>
      </c>
      <c r="B24" s="1038" t="s">
        <v>147</v>
      </c>
      <c r="C24" s="1039"/>
      <c r="D24" s="546">
        <v>40000</v>
      </c>
      <c r="E24" s="365"/>
      <c r="F24" s="365"/>
      <c r="G24" s="366"/>
    </row>
    <row r="25" spans="1:7" s="18" customFormat="1" ht="44.45" customHeight="1" thickTop="1" thickBot="1" x14ac:dyDescent="0.25">
      <c r="A25" s="545" t="s">
        <v>148</v>
      </c>
      <c r="B25" s="1038" t="s">
        <v>149</v>
      </c>
      <c r="C25" s="1039"/>
      <c r="D25" s="546">
        <v>153400</v>
      </c>
      <c r="E25" s="365"/>
      <c r="F25" s="365"/>
      <c r="G25" s="366"/>
    </row>
    <row r="26" spans="1:7" s="18" customFormat="1" ht="44.45" customHeight="1" thickTop="1" thickBot="1" x14ac:dyDescent="0.25">
      <c r="A26" s="545" t="s">
        <v>488</v>
      </c>
      <c r="B26" s="1038" t="s">
        <v>425</v>
      </c>
      <c r="C26" s="1039"/>
      <c r="D26" s="546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5" t="s">
        <v>150</v>
      </c>
      <c r="B27" s="1038" t="s">
        <v>152</v>
      </c>
      <c r="C27" s="1039"/>
      <c r="D27" s="546">
        <v>322000</v>
      </c>
      <c r="E27" s="365"/>
      <c r="F27" s="365"/>
      <c r="G27" s="366"/>
    </row>
    <row r="28" spans="1:7" s="18" customFormat="1" ht="55.5" customHeight="1" thickTop="1" thickBot="1" x14ac:dyDescent="0.25">
      <c r="A28" s="545" t="s">
        <v>151</v>
      </c>
      <c r="B28" s="1038" t="s">
        <v>1305</v>
      </c>
      <c r="C28" s="1061"/>
      <c r="D28" s="546">
        <f>(1300000+1416600)</f>
        <v>2716600</v>
      </c>
      <c r="E28" s="365"/>
      <c r="F28" s="365"/>
      <c r="G28" s="366"/>
    </row>
    <row r="29" spans="1:7" s="18" customFormat="1" ht="90" customHeight="1" thickTop="1" thickBot="1" x14ac:dyDescent="0.25">
      <c r="A29" s="545" t="s">
        <v>153</v>
      </c>
      <c r="B29" s="1038" t="s">
        <v>1382</v>
      </c>
      <c r="C29" s="1039"/>
      <c r="D29" s="546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1066</v>
      </c>
      <c r="B30" s="369" t="s">
        <v>1067</v>
      </c>
      <c r="C30" s="370"/>
      <c r="D30" s="368">
        <v>0</v>
      </c>
      <c r="E30" s="365"/>
      <c r="F30" s="365"/>
      <c r="G30" s="366"/>
    </row>
    <row r="31" spans="1:7" s="18" customFormat="1" ht="48" customHeight="1" thickTop="1" thickBot="1" x14ac:dyDescent="0.25">
      <c r="A31" s="545" t="s">
        <v>489</v>
      </c>
      <c r="B31" s="1038" t="s">
        <v>154</v>
      </c>
      <c r="C31" s="1039"/>
      <c r="D31" s="546">
        <v>20000</v>
      </c>
      <c r="E31" s="365"/>
      <c r="F31" s="365"/>
      <c r="G31" s="366"/>
    </row>
    <row r="32" spans="1:7" s="18" customFormat="1" ht="137.25" customHeight="1" thickTop="1" thickBot="1" x14ac:dyDescent="0.25">
      <c r="A32" s="764" t="s">
        <v>490</v>
      </c>
      <c r="B32" s="1059" t="s">
        <v>1346</v>
      </c>
      <c r="C32" s="1060"/>
      <c r="D32" s="765">
        <f>(1399000)+2663342.37</f>
        <v>4062342.37</v>
      </c>
      <c r="E32" s="365"/>
      <c r="F32" s="365"/>
      <c r="G32" s="366"/>
    </row>
    <row r="33" spans="1:7" s="18" customFormat="1" ht="27.75" customHeight="1" thickTop="1" thickBot="1" x14ac:dyDescent="0.25">
      <c r="A33" s="661" t="s">
        <v>396</v>
      </c>
      <c r="B33" s="1042" t="s">
        <v>512</v>
      </c>
      <c r="C33" s="1043"/>
      <c r="D33" s="662">
        <f>SUM(D24:D32)</f>
        <v>8663342.370000001</v>
      </c>
      <c r="E33" s="570" t="b">
        <f>D22=D33</f>
        <v>1</v>
      </c>
      <c r="F33" s="570" t="b">
        <f>D33='d3'!J29+'d3'!J175+'d3'!J251+'d3'!J276+'d3'!J304</f>
        <v>1</v>
      </c>
      <c r="G33" s="570" t="b">
        <f>D33='d7'!G208+'d7'!G186+'d7'!G130+'d7'!G27+'d7'!G226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1362</v>
      </c>
      <c r="C35" s="793"/>
      <c r="D35" s="97" t="s">
        <v>1363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549</v>
      </c>
      <c r="B37" s="794" t="s">
        <v>1398</v>
      </c>
      <c r="C37" s="795" t="s">
        <v>545</v>
      </c>
      <c r="D37" s="796" t="s">
        <v>1399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057"/>
      <c r="B39" s="1057"/>
      <c r="C39" s="47"/>
    </row>
    <row r="45" spans="1:7" ht="16.5" x14ac:dyDescent="0.2">
      <c r="A45" s="1056"/>
      <c r="B45" s="19"/>
      <c r="C45" s="20"/>
      <c r="D45" s="21"/>
    </row>
    <row r="46" spans="1:7" ht="16.5" x14ac:dyDescent="0.2">
      <c r="A46" s="1056"/>
      <c r="B46" s="22"/>
      <c r="C46" s="20"/>
      <c r="D46" s="21"/>
    </row>
    <row r="47" spans="1:7" ht="16.5" x14ac:dyDescent="0.2">
      <c r="A47" s="1056"/>
      <c r="B47" s="23"/>
      <c r="C47" s="20"/>
      <c r="D47" s="21"/>
    </row>
    <row r="48" spans="1:7" ht="16.5" x14ac:dyDescent="0.2">
      <c r="A48" s="1056"/>
      <c r="B48" s="19"/>
      <c r="C48" s="20"/>
      <c r="D48" s="21"/>
    </row>
    <row r="49" spans="1:4" ht="16.5" x14ac:dyDescent="0.2">
      <c r="A49" s="1056"/>
      <c r="B49" s="19"/>
      <c r="C49" s="20"/>
      <c r="D49" s="21"/>
    </row>
    <row r="80" spans="6:6" x14ac:dyDescent="0.2">
      <c r="F80" s="1054"/>
    </row>
    <row r="81" spans="6:6" x14ac:dyDescent="0.2">
      <c r="F81" s="1055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B16:C16"/>
    <mergeCell ref="B15:C15"/>
    <mergeCell ref="B14:C14"/>
    <mergeCell ref="A5:D5"/>
    <mergeCell ref="A7:D7"/>
    <mergeCell ref="A6:D6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4"/>
  <sheetViews>
    <sheetView tabSelected="1" view="pageBreakPreview" zoomScale="85" zoomScaleNormal="85" zoomScaleSheetLayoutView="85" workbookViewId="0">
      <selection activeCell="F23" sqref="F23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628</v>
      </c>
    </row>
    <row r="2" spans="1:10" x14ac:dyDescent="0.2">
      <c r="A2" s="25"/>
      <c r="B2" s="25"/>
      <c r="C2" s="25"/>
      <c r="D2" s="25"/>
      <c r="E2" s="25"/>
      <c r="F2" s="25" t="s">
        <v>1035</v>
      </c>
    </row>
    <row r="3" spans="1:10" x14ac:dyDescent="0.2">
      <c r="A3" s="25"/>
      <c r="B3" s="25"/>
      <c r="C3" s="25"/>
      <c r="D3" s="25"/>
      <c r="E3" s="25"/>
      <c r="F3" s="1067" t="s">
        <v>1355</v>
      </c>
      <c r="G3" s="1068"/>
      <c r="H3" s="1068"/>
      <c r="I3" s="1068"/>
    </row>
    <row r="4" spans="1:10" ht="15.75" x14ac:dyDescent="0.25">
      <c r="A4" s="1069" t="s">
        <v>597</v>
      </c>
      <c r="B4" s="1070"/>
      <c r="C4" s="1070"/>
      <c r="D4" s="1070"/>
      <c r="E4" s="1070"/>
      <c r="F4" s="1070"/>
    </row>
    <row r="5" spans="1:10" s="98" customFormat="1" ht="15.75" x14ac:dyDescent="0.25">
      <c r="A5" s="1069" t="s">
        <v>596</v>
      </c>
      <c r="B5" s="1070"/>
      <c r="C5" s="1070"/>
      <c r="D5" s="1070"/>
      <c r="E5" s="1070"/>
      <c r="F5" s="1070"/>
      <c r="G5" s="105"/>
    </row>
    <row r="6" spans="1:10" ht="15.75" x14ac:dyDescent="0.25">
      <c r="A6" s="1069" t="s">
        <v>951</v>
      </c>
      <c r="B6" s="1070"/>
      <c r="C6" s="1070"/>
      <c r="D6" s="1070"/>
      <c r="E6" s="1070"/>
      <c r="F6" s="1070"/>
    </row>
    <row r="7" spans="1:10" ht="15.75" x14ac:dyDescent="0.25">
      <c r="B7" s="155"/>
      <c r="C7" s="1069" t="s">
        <v>1238</v>
      </c>
      <c r="D7" s="1070"/>
      <c r="E7" s="1070"/>
      <c r="F7" s="155"/>
    </row>
    <row r="8" spans="1:10" ht="12.75" customHeight="1" x14ac:dyDescent="0.25">
      <c r="A8" s="513"/>
      <c r="B8" s="513"/>
      <c r="C8" s="513"/>
      <c r="D8" s="513"/>
      <c r="E8" s="513"/>
      <c r="F8" s="513"/>
      <c r="G8" s="156"/>
      <c r="H8" s="156"/>
      <c r="I8" s="156"/>
      <c r="J8" s="156"/>
    </row>
    <row r="9" spans="1:10" x14ac:dyDescent="0.2">
      <c r="A9" s="1071">
        <v>22564000000</v>
      </c>
      <c r="B9" s="875"/>
      <c r="C9" s="374"/>
      <c r="D9" s="374"/>
      <c r="E9" s="374"/>
      <c r="F9" s="374"/>
    </row>
    <row r="10" spans="1:10" x14ac:dyDescent="0.2">
      <c r="A10" s="1072" t="s">
        <v>508</v>
      </c>
      <c r="B10" s="1073"/>
      <c r="C10" s="374"/>
      <c r="D10" s="374"/>
      <c r="E10" s="374"/>
      <c r="F10" s="374"/>
    </row>
    <row r="11" spans="1:10" ht="13.5" thickBot="1" x14ac:dyDescent="0.25">
      <c r="A11" s="514"/>
      <c r="B11" s="514"/>
      <c r="C11" s="374"/>
      <c r="D11" s="374"/>
      <c r="E11" s="374"/>
      <c r="F11" s="374"/>
    </row>
    <row r="12" spans="1:10" ht="48" customHeight="1" thickTop="1" thickBot="1" x14ac:dyDescent="0.25">
      <c r="A12" s="515" t="s">
        <v>329</v>
      </c>
      <c r="B12" s="516" t="s">
        <v>330</v>
      </c>
      <c r="C12" s="516" t="s">
        <v>20</v>
      </c>
      <c r="D12" s="516" t="s">
        <v>16</v>
      </c>
      <c r="E12" s="515" t="s">
        <v>331</v>
      </c>
      <c r="F12" s="517" t="s">
        <v>420</v>
      </c>
      <c r="G12" s="247"/>
    </row>
    <row r="13" spans="1:10" ht="80.25" thickTop="1" thickBot="1" x14ac:dyDescent="0.25">
      <c r="A13" s="518">
        <v>1</v>
      </c>
      <c r="B13" s="519" t="s">
        <v>1257</v>
      </c>
      <c r="C13" s="519" t="s">
        <v>1258</v>
      </c>
      <c r="D13" s="519" t="s">
        <v>53</v>
      </c>
      <c r="E13" s="519" t="s">
        <v>564</v>
      </c>
      <c r="F13" s="520">
        <v>202000</v>
      </c>
      <c r="G13" s="247"/>
    </row>
    <row r="14" spans="1:10" ht="80.25" thickTop="1" thickBot="1" x14ac:dyDescent="0.25">
      <c r="A14" s="518">
        <v>2</v>
      </c>
      <c r="B14" s="519" t="s">
        <v>1257</v>
      </c>
      <c r="C14" s="519" t="s">
        <v>1258</v>
      </c>
      <c r="D14" s="519" t="s">
        <v>53</v>
      </c>
      <c r="E14" s="519" t="s">
        <v>421</v>
      </c>
      <c r="F14" s="520">
        <v>100000</v>
      </c>
      <c r="G14" s="247"/>
    </row>
    <row r="15" spans="1:10" ht="33" thickTop="1" thickBot="1" x14ac:dyDescent="0.25">
      <c r="A15" s="518">
        <v>3</v>
      </c>
      <c r="B15" s="519" t="s">
        <v>1257</v>
      </c>
      <c r="C15" s="519" t="s">
        <v>1258</v>
      </c>
      <c r="D15" s="519" t="s">
        <v>53</v>
      </c>
      <c r="E15" s="519" t="s">
        <v>1260</v>
      </c>
      <c r="F15" s="520">
        <v>48000</v>
      </c>
      <c r="G15" s="247"/>
    </row>
    <row r="16" spans="1:10" s="159" customFormat="1" ht="48.75" thickTop="1" thickBot="1" x14ac:dyDescent="0.25">
      <c r="A16" s="518">
        <v>4</v>
      </c>
      <c r="B16" s="519" t="s">
        <v>1257</v>
      </c>
      <c r="C16" s="519" t="s">
        <v>1258</v>
      </c>
      <c r="D16" s="519" t="s">
        <v>53</v>
      </c>
      <c r="E16" s="519" t="s">
        <v>1261</v>
      </c>
      <c r="F16" s="520">
        <v>350000</v>
      </c>
      <c r="G16" s="247"/>
    </row>
    <row r="17" spans="1:7" ht="32.25" customHeight="1" thickTop="1" thickBot="1" x14ac:dyDescent="0.25">
      <c r="A17" s="521" t="s">
        <v>396</v>
      </c>
      <c r="B17" s="521" t="s">
        <v>396</v>
      </c>
      <c r="C17" s="521" t="s">
        <v>396</v>
      </c>
      <c r="D17" s="521" t="s">
        <v>396</v>
      </c>
      <c r="E17" s="521" t="s">
        <v>406</v>
      </c>
      <c r="F17" s="522">
        <f>SUM(F13:F16)</f>
        <v>700000</v>
      </c>
      <c r="G17" s="571" t="b">
        <f>F17='d3'!P352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72"/>
    </row>
    <row r="19" spans="1:7" s="58" customFormat="1" ht="15.75" customHeight="1" x14ac:dyDescent="0.25">
      <c r="A19" s="44"/>
      <c r="B19" s="97" t="s">
        <v>1362</v>
      </c>
      <c r="C19" s="793"/>
      <c r="D19" s="97"/>
      <c r="E19" s="97"/>
      <c r="F19" s="97" t="s">
        <v>1363</v>
      </c>
      <c r="G19" s="105"/>
    </row>
    <row r="20" spans="1:7" ht="27" hidden="1" customHeight="1" x14ac:dyDescent="0.2">
      <c r="A20" s="1063" t="s">
        <v>544</v>
      </c>
      <c r="B20" s="1064"/>
      <c r="C20" s="1064"/>
      <c r="D20" s="1064"/>
      <c r="E20" s="44"/>
      <c r="F20" s="46" t="s">
        <v>545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35.25" customHeight="1" x14ac:dyDescent="0.25">
      <c r="A22" s="208"/>
      <c r="B22" s="1081" t="s">
        <v>1398</v>
      </c>
      <c r="C22" s="1078"/>
      <c r="D22" s="1078"/>
      <c r="E22" s="44"/>
      <c r="F22" s="97" t="s">
        <v>1399</v>
      </c>
      <c r="G22" s="105"/>
    </row>
    <row r="23" spans="1:7" ht="15.75" x14ac:dyDescent="0.25">
      <c r="A23" s="1066"/>
      <c r="B23" s="1066"/>
      <c r="C23" s="1066"/>
      <c r="D23" s="1066"/>
      <c r="E23" s="26"/>
      <c r="F23" s="26"/>
    </row>
    <row r="24" spans="1:7" ht="15.75" x14ac:dyDescent="0.2">
      <c r="A24" s="1065"/>
      <c r="B24" s="1065"/>
      <c r="C24" s="1065"/>
      <c r="D24" s="1065"/>
      <c r="E24" s="1065"/>
      <c r="F24" s="27"/>
    </row>
    <row r="81" spans="7:7" x14ac:dyDescent="0.2">
      <c r="G81" s="1055"/>
    </row>
    <row r="82" spans="7:7" x14ac:dyDescent="0.2">
      <c r="G82" s="1055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2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  <mergeCell ref="B22:D22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'd3'!Заголовки_для_печати</vt:lpstr>
      <vt:lpstr>'d6'!Заголовки_для_печати</vt:lpstr>
      <vt:lpstr>'d7'!Заголовки_для_печати</vt:lpstr>
      <vt:lpstr>'d1'!Область_печати</vt:lpstr>
      <vt:lpstr>'d2'!Область_печати</vt:lpstr>
      <vt:lpstr>'d3'!Область_печати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2022-07-14T07:30:19Z</cp:lastPrinted>
  <dcterms:created xsi:type="dcterms:W3CDTF">2001-12-03T09:30:42Z</dcterms:created>
  <dcterms:modified xsi:type="dcterms:W3CDTF">2022-07-14T07:31:04Z</dcterms:modified>
</cp:coreProperties>
</file>