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codeName="ЦяКнига"/>
  <mc:AlternateContent xmlns:mc="http://schemas.openxmlformats.org/markup-compatibility/2006">
    <mc:Choice Requires="x15">
      <x15ac:absPath xmlns:x15ac="http://schemas.microsoft.com/office/spreadsheetml/2010/11/ac" url="O:\BUDJET\2022\Рішення бюджет МВК від 23.06.2022 року №\"/>
    </mc:Choice>
  </mc:AlternateContent>
  <xr:revisionPtr revIDLastSave="0" documentId="13_ncr:1_{E4384876-BA65-4F62-8A53-D95B82E65C55}" xr6:coauthVersionLast="45" xr6:coauthVersionMax="45" xr10:uidLastSave="{00000000-0000-0000-0000-000000000000}"/>
  <bookViews>
    <workbookView xWindow="-120" yWindow="480" windowWidth="29040" windowHeight="15840" tabRatio="583" activeTab="2" xr2:uid="{00000000-000D-0000-FFFF-FFFF00000000}"/>
  </bookViews>
  <sheets>
    <sheet name="d1" sheetId="188" r:id="rId1"/>
    <sheet name="d2" sheetId="172" r:id="rId2"/>
    <sheet name="d3" sheetId="165" r:id="rId3"/>
    <sheet name="d4" sheetId="107" r:id="rId4"/>
    <sheet name="d5" sheetId="170" r:id="rId5"/>
    <sheet name="d6" sheetId="184" r:id="rId6"/>
    <sheet name="d7" sheetId="167" r:id="rId7"/>
    <sheet name="d8" sheetId="108" r:id="rId8"/>
    <sheet name="d9" sheetId="153" r:id="rId9"/>
    <sheet name="d3П" sheetId="189" r:id="rId10"/>
    <sheet name="РП" sheetId="190" r:id="rId11"/>
  </sheets>
  <definedNames>
    <definedName name="_GoBack" localSheetId="5">'d6'!#REF!</definedName>
    <definedName name="_xlnm.Print_Titles" localSheetId="2">'d3'!$11:$14</definedName>
    <definedName name="_xlnm.Print_Titles" localSheetId="9">d3П!$11:$14</definedName>
    <definedName name="_xlnm.Print_Titles" localSheetId="5">'d6'!$9:$10</definedName>
    <definedName name="_xlnm.Print_Titles" localSheetId="6">'d7'!$12:$14</definedName>
    <definedName name="_xlnm.Print_Titles" localSheetId="10">РП!$11:$14</definedName>
    <definedName name="_xlnm.Print_Area" localSheetId="0">'d1'!$A$1:$F$142</definedName>
    <definedName name="_xlnm.Print_Area" localSheetId="1">'d2'!$A$1:$F$55</definedName>
    <definedName name="_xlnm.Print_Area" localSheetId="2">'d3'!$A$1:$P$383</definedName>
    <definedName name="_xlnm.Print_Area" localSheetId="9">d3П!$A$1:$P$382</definedName>
    <definedName name="_xlnm.Print_Area" localSheetId="3">'d4'!$B$1:$Q$24</definedName>
    <definedName name="_xlnm.Print_Area" localSheetId="4">'d5'!$A$1:$D$96</definedName>
    <definedName name="_xlnm.Print_Area" localSheetId="5">'d6'!$B$1:$K$107</definedName>
    <definedName name="_xlnm.Print_Area" localSheetId="6">'d7'!$A$1:$J$273</definedName>
    <definedName name="_xlnm.Print_Area" localSheetId="7">'d8'!$A$1:$D$37</definedName>
    <definedName name="_xlnm.Print_Area" localSheetId="8">'d9'!$A$1:$F$22</definedName>
    <definedName name="_xlnm.Print_Area" localSheetId="10">РП!$A$1:$P$378</definedName>
    <definedName name="С16" localSheetId="0">#REF!</definedName>
    <definedName name="С16" localSheetId="1">#REF!</definedName>
    <definedName name="С16" localSheetId="4">#REF!</definedName>
    <definedName name="С16" localSheetId="5">#REF!</definedName>
    <definedName name="С16" localSheetId="6">#REF!</definedName>
    <definedName name="С16" localSheetId="8">#REF!</definedName>
    <definedName name="С16">#REF!</definedName>
  </definedNames>
  <calcPr calcId="191029"/>
</workbook>
</file>

<file path=xl/calcChain.xml><?xml version="1.0" encoding="utf-8"?>
<calcChain xmlns="http://schemas.openxmlformats.org/spreadsheetml/2006/main">
  <c r="F390" i="165" l="1"/>
  <c r="P376" i="190"/>
  <c r="O376" i="190"/>
  <c r="N376" i="190"/>
  <c r="M376" i="190"/>
  <c r="L376" i="190"/>
  <c r="K376" i="190"/>
  <c r="J376" i="190"/>
  <c r="I376" i="190"/>
  <c r="H376" i="190"/>
  <c r="G376" i="190"/>
  <c r="F376" i="190"/>
  <c r="E376" i="190"/>
  <c r="P375" i="190"/>
  <c r="O375" i="190"/>
  <c r="N375" i="190"/>
  <c r="M375" i="190"/>
  <c r="L375" i="190"/>
  <c r="K375" i="190"/>
  <c r="J375" i="190"/>
  <c r="I375" i="190"/>
  <c r="H375" i="190"/>
  <c r="G375" i="190"/>
  <c r="F375" i="190"/>
  <c r="E375" i="190"/>
  <c r="P374" i="190"/>
  <c r="O374" i="190"/>
  <c r="N374" i="190"/>
  <c r="M374" i="190"/>
  <c r="L374" i="190"/>
  <c r="K374" i="190"/>
  <c r="J374" i="190"/>
  <c r="I374" i="190"/>
  <c r="H374" i="190"/>
  <c r="G374" i="190"/>
  <c r="F374" i="190"/>
  <c r="E374" i="190"/>
  <c r="P373" i="190"/>
  <c r="O373" i="190"/>
  <c r="N373" i="190"/>
  <c r="M373" i="190"/>
  <c r="L373" i="190"/>
  <c r="K373" i="190"/>
  <c r="J373" i="190"/>
  <c r="I373" i="190"/>
  <c r="H373" i="190"/>
  <c r="G373" i="190"/>
  <c r="F373" i="190"/>
  <c r="E373" i="190"/>
  <c r="P372" i="190"/>
  <c r="O372" i="190"/>
  <c r="N372" i="190"/>
  <c r="M372" i="190"/>
  <c r="L372" i="190"/>
  <c r="K372" i="190"/>
  <c r="J372" i="190"/>
  <c r="I372" i="190"/>
  <c r="H372" i="190"/>
  <c r="G372" i="190"/>
  <c r="F372" i="190"/>
  <c r="E372" i="190"/>
  <c r="P371" i="190"/>
  <c r="O371" i="190"/>
  <c r="N371" i="190"/>
  <c r="M371" i="190"/>
  <c r="L371" i="190"/>
  <c r="K371" i="190"/>
  <c r="J371" i="190"/>
  <c r="I371" i="190"/>
  <c r="H371" i="190"/>
  <c r="G371" i="190"/>
  <c r="F371" i="190"/>
  <c r="E371" i="190"/>
  <c r="P370" i="190"/>
  <c r="O370" i="190"/>
  <c r="N370" i="190"/>
  <c r="M370" i="190"/>
  <c r="L370" i="190"/>
  <c r="K370" i="190"/>
  <c r="J370" i="190"/>
  <c r="I370" i="190"/>
  <c r="H370" i="190"/>
  <c r="G370" i="190"/>
  <c r="F370" i="190"/>
  <c r="E370" i="190"/>
  <c r="P369" i="190"/>
  <c r="O369" i="190"/>
  <c r="N369" i="190"/>
  <c r="M369" i="190"/>
  <c r="L369" i="190"/>
  <c r="K369" i="190"/>
  <c r="J369" i="190"/>
  <c r="I369" i="190"/>
  <c r="H369" i="190"/>
  <c r="G369" i="190"/>
  <c r="F369" i="190"/>
  <c r="E369" i="190"/>
  <c r="P368" i="190"/>
  <c r="O368" i="190"/>
  <c r="N368" i="190"/>
  <c r="M368" i="190"/>
  <c r="L368" i="190"/>
  <c r="K368" i="190"/>
  <c r="J368" i="190"/>
  <c r="I368" i="190"/>
  <c r="H368" i="190"/>
  <c r="G368" i="190"/>
  <c r="F368" i="190"/>
  <c r="E368" i="190"/>
  <c r="P367" i="190"/>
  <c r="O367" i="190"/>
  <c r="N367" i="190"/>
  <c r="M367" i="190"/>
  <c r="L367" i="190"/>
  <c r="K367" i="190"/>
  <c r="J367" i="190"/>
  <c r="I367" i="190"/>
  <c r="H367" i="190"/>
  <c r="G367" i="190"/>
  <c r="F367" i="190"/>
  <c r="E367" i="190"/>
  <c r="P366" i="190"/>
  <c r="O366" i="190"/>
  <c r="N366" i="190"/>
  <c r="M366" i="190"/>
  <c r="L366" i="190"/>
  <c r="K366" i="190"/>
  <c r="J366" i="190"/>
  <c r="I366" i="190"/>
  <c r="H366" i="190"/>
  <c r="G366" i="190"/>
  <c r="F366" i="190"/>
  <c r="E366" i="190"/>
  <c r="P365" i="190"/>
  <c r="O365" i="190"/>
  <c r="N365" i="190"/>
  <c r="M365" i="190"/>
  <c r="L365" i="190"/>
  <c r="K365" i="190"/>
  <c r="J365" i="190"/>
  <c r="I365" i="190"/>
  <c r="H365" i="190"/>
  <c r="G365" i="190"/>
  <c r="F365" i="190"/>
  <c r="E365" i="190"/>
  <c r="P364" i="190"/>
  <c r="O364" i="190"/>
  <c r="N364" i="190"/>
  <c r="M364" i="190"/>
  <c r="L364" i="190"/>
  <c r="K364" i="190"/>
  <c r="J364" i="190"/>
  <c r="I364" i="190"/>
  <c r="H364" i="190"/>
  <c r="G364" i="190"/>
  <c r="F364" i="190"/>
  <c r="E364" i="190"/>
  <c r="P363" i="190"/>
  <c r="O363" i="190"/>
  <c r="N363" i="190"/>
  <c r="M363" i="190"/>
  <c r="L363" i="190"/>
  <c r="K363" i="190"/>
  <c r="J363" i="190"/>
  <c r="I363" i="190"/>
  <c r="H363" i="190"/>
  <c r="G363" i="190"/>
  <c r="F363" i="190"/>
  <c r="E363" i="190"/>
  <c r="P362" i="190"/>
  <c r="O362" i="190"/>
  <c r="N362" i="190"/>
  <c r="M362" i="190"/>
  <c r="L362" i="190"/>
  <c r="K362" i="190"/>
  <c r="J362" i="190"/>
  <c r="I362" i="190"/>
  <c r="H362" i="190"/>
  <c r="G362" i="190"/>
  <c r="F362" i="190"/>
  <c r="E362" i="190"/>
  <c r="P361" i="190"/>
  <c r="O361" i="190"/>
  <c r="N361" i="190"/>
  <c r="M361" i="190"/>
  <c r="M360" i="190" s="1"/>
  <c r="M359" i="190" s="1"/>
  <c r="L361" i="190"/>
  <c r="K361" i="190"/>
  <c r="J361" i="190"/>
  <c r="I361" i="190"/>
  <c r="I360" i="190" s="1"/>
  <c r="I359" i="190" s="1"/>
  <c r="H361" i="190"/>
  <c r="G361" i="190"/>
  <c r="F361" i="190"/>
  <c r="E361" i="190"/>
  <c r="P358" i="190"/>
  <c r="O358" i="190"/>
  <c r="N358" i="190"/>
  <c r="M358" i="190"/>
  <c r="L358" i="190"/>
  <c r="K358" i="190"/>
  <c r="J358" i="190"/>
  <c r="I358" i="190"/>
  <c r="H358" i="190"/>
  <c r="G358" i="190"/>
  <c r="F358" i="190"/>
  <c r="E358" i="190"/>
  <c r="P357" i="190"/>
  <c r="O357" i="190"/>
  <c r="N357" i="190"/>
  <c r="M357" i="190"/>
  <c r="L357" i="190"/>
  <c r="K357" i="190"/>
  <c r="J357" i="190"/>
  <c r="I357" i="190"/>
  <c r="H357" i="190"/>
  <c r="G357" i="190"/>
  <c r="F357" i="190"/>
  <c r="E357" i="190"/>
  <c r="P356" i="190"/>
  <c r="O356" i="190"/>
  <c r="N356" i="190"/>
  <c r="M356" i="190"/>
  <c r="L356" i="190"/>
  <c r="K356" i="190"/>
  <c r="J356" i="190"/>
  <c r="I356" i="190"/>
  <c r="H356" i="190"/>
  <c r="G356" i="190"/>
  <c r="F356" i="190"/>
  <c r="E356" i="190"/>
  <c r="P355" i="190"/>
  <c r="O355" i="190"/>
  <c r="N355" i="190"/>
  <c r="M355" i="190"/>
  <c r="L355" i="190"/>
  <c r="K355" i="190"/>
  <c r="J355" i="190"/>
  <c r="I355" i="190"/>
  <c r="H355" i="190"/>
  <c r="G355" i="190"/>
  <c r="F355" i="190"/>
  <c r="E355" i="190"/>
  <c r="P354" i="190"/>
  <c r="O354" i="190"/>
  <c r="N354" i="190"/>
  <c r="M354" i="190"/>
  <c r="L354" i="190"/>
  <c r="K354" i="190"/>
  <c r="J354" i="190"/>
  <c r="I354" i="190"/>
  <c r="H354" i="190"/>
  <c r="G354" i="190"/>
  <c r="F354" i="190"/>
  <c r="E354" i="190"/>
  <c r="P353" i="190"/>
  <c r="O353" i="190"/>
  <c r="N353" i="190"/>
  <c r="M353" i="190"/>
  <c r="L353" i="190"/>
  <c r="K353" i="190"/>
  <c r="J353" i="190"/>
  <c r="I353" i="190"/>
  <c r="H353" i="190"/>
  <c r="G353" i="190"/>
  <c r="F353" i="190"/>
  <c r="E353" i="190"/>
  <c r="P352" i="190"/>
  <c r="O352" i="190"/>
  <c r="N352" i="190"/>
  <c r="M352" i="190"/>
  <c r="M351" i="190" s="1"/>
  <c r="M350" i="190" s="1"/>
  <c r="L352" i="190"/>
  <c r="K352" i="190"/>
  <c r="J352" i="190"/>
  <c r="I352" i="190"/>
  <c r="H352" i="190"/>
  <c r="G352" i="190"/>
  <c r="F352" i="190"/>
  <c r="E352" i="190"/>
  <c r="P349" i="190"/>
  <c r="O349" i="190"/>
  <c r="N349" i="190"/>
  <c r="M349" i="190"/>
  <c r="L349" i="190"/>
  <c r="K349" i="190"/>
  <c r="J349" i="190"/>
  <c r="I349" i="190"/>
  <c r="H349" i="190"/>
  <c r="G349" i="190"/>
  <c r="F349" i="190"/>
  <c r="E349" i="190"/>
  <c r="P348" i="190"/>
  <c r="O348" i="190"/>
  <c r="N348" i="190"/>
  <c r="M348" i="190"/>
  <c r="L348" i="190"/>
  <c r="K348" i="190"/>
  <c r="J348" i="190"/>
  <c r="I348" i="190"/>
  <c r="H348" i="190"/>
  <c r="G348" i="190"/>
  <c r="F348" i="190"/>
  <c r="E348" i="190"/>
  <c r="P347" i="190"/>
  <c r="O347" i="190"/>
  <c r="N347" i="190"/>
  <c r="M347" i="190"/>
  <c r="L347" i="190"/>
  <c r="K347" i="190"/>
  <c r="J347" i="190"/>
  <c r="I347" i="190"/>
  <c r="H347" i="190"/>
  <c r="G347" i="190"/>
  <c r="F347" i="190"/>
  <c r="E347" i="190"/>
  <c r="P346" i="190"/>
  <c r="O346" i="190"/>
  <c r="N346" i="190"/>
  <c r="M346" i="190"/>
  <c r="L346" i="190"/>
  <c r="K346" i="190"/>
  <c r="J346" i="190"/>
  <c r="I346" i="190"/>
  <c r="H346" i="190"/>
  <c r="G346" i="190"/>
  <c r="F346" i="190"/>
  <c r="E346" i="190"/>
  <c r="P345" i="190"/>
  <c r="O345" i="190"/>
  <c r="N345" i="190"/>
  <c r="M345" i="190"/>
  <c r="L345" i="190"/>
  <c r="K345" i="190"/>
  <c r="J345" i="190"/>
  <c r="I345" i="190"/>
  <c r="H345" i="190"/>
  <c r="G345" i="190"/>
  <c r="F345" i="190"/>
  <c r="E345" i="190"/>
  <c r="P344" i="190"/>
  <c r="O344" i="190"/>
  <c r="N344" i="190"/>
  <c r="M344" i="190"/>
  <c r="M343" i="190" s="1"/>
  <c r="M342" i="190" s="1"/>
  <c r="L344" i="190"/>
  <c r="K344" i="190"/>
  <c r="J344" i="190"/>
  <c r="I344" i="190"/>
  <c r="I343" i="190" s="1"/>
  <c r="I342" i="190" s="1"/>
  <c r="H344" i="190"/>
  <c r="G344" i="190"/>
  <c r="F344" i="190"/>
  <c r="E344" i="190"/>
  <c r="E343" i="190" s="1"/>
  <c r="P338" i="190"/>
  <c r="O338" i="190"/>
  <c r="N338" i="190"/>
  <c r="M338" i="190"/>
  <c r="L338" i="190"/>
  <c r="K338" i="190"/>
  <c r="J338" i="190"/>
  <c r="I338" i="190"/>
  <c r="H338" i="190"/>
  <c r="G338" i="190"/>
  <c r="F338" i="190"/>
  <c r="E338" i="190"/>
  <c r="P337" i="190"/>
  <c r="O337" i="190"/>
  <c r="N337" i="190"/>
  <c r="M337" i="190"/>
  <c r="L337" i="190"/>
  <c r="K337" i="190"/>
  <c r="J337" i="190"/>
  <c r="I337" i="190"/>
  <c r="H337" i="190"/>
  <c r="G337" i="190"/>
  <c r="F337" i="190"/>
  <c r="E337" i="190"/>
  <c r="P336" i="190"/>
  <c r="O336" i="190"/>
  <c r="N336" i="190"/>
  <c r="M336" i="190"/>
  <c r="L336" i="190"/>
  <c r="K336" i="190"/>
  <c r="J336" i="190"/>
  <c r="I336" i="190"/>
  <c r="H336" i="190"/>
  <c r="G336" i="190"/>
  <c r="F336" i="190"/>
  <c r="E336" i="190"/>
  <c r="P335" i="190"/>
  <c r="O335" i="190"/>
  <c r="N335" i="190"/>
  <c r="M335" i="190"/>
  <c r="L335" i="190"/>
  <c r="K335" i="190"/>
  <c r="J335" i="190"/>
  <c r="I335" i="190"/>
  <c r="H335" i="190"/>
  <c r="G335" i="190"/>
  <c r="F335" i="190"/>
  <c r="E335" i="190"/>
  <c r="P334" i="190"/>
  <c r="O334" i="190"/>
  <c r="N334" i="190"/>
  <c r="M334" i="190"/>
  <c r="L334" i="190"/>
  <c r="K334" i="190"/>
  <c r="J334" i="190"/>
  <c r="I334" i="190"/>
  <c r="H334" i="190"/>
  <c r="G334" i="190"/>
  <c r="F334" i="190"/>
  <c r="E334" i="190"/>
  <c r="P333" i="190"/>
  <c r="O333" i="190"/>
  <c r="N333" i="190"/>
  <c r="M333" i="190"/>
  <c r="L333" i="190"/>
  <c r="K333" i="190"/>
  <c r="J333" i="190"/>
  <c r="I333" i="190"/>
  <c r="H333" i="190"/>
  <c r="G333" i="190"/>
  <c r="F333" i="190"/>
  <c r="E333" i="190"/>
  <c r="P332" i="190"/>
  <c r="O332" i="190"/>
  <c r="N332" i="190"/>
  <c r="M332" i="190"/>
  <c r="L332" i="190"/>
  <c r="K332" i="190"/>
  <c r="J332" i="190"/>
  <c r="I332" i="190"/>
  <c r="H332" i="190"/>
  <c r="G332" i="190"/>
  <c r="F332" i="190"/>
  <c r="E332" i="190"/>
  <c r="P331" i="190"/>
  <c r="O331" i="190"/>
  <c r="N331" i="190"/>
  <c r="M331" i="190"/>
  <c r="L331" i="190"/>
  <c r="K331" i="190"/>
  <c r="J331" i="190"/>
  <c r="I331" i="190"/>
  <c r="I330" i="190" s="1"/>
  <c r="I329" i="190" s="1"/>
  <c r="H331" i="190"/>
  <c r="G331" i="190"/>
  <c r="F331" i="190"/>
  <c r="E331" i="190"/>
  <c r="P328" i="190"/>
  <c r="O328" i="190"/>
  <c r="N328" i="190"/>
  <c r="M328" i="190"/>
  <c r="L328" i="190"/>
  <c r="K328" i="190"/>
  <c r="J328" i="190"/>
  <c r="I328" i="190"/>
  <c r="H328" i="190"/>
  <c r="G328" i="190"/>
  <c r="F328" i="190"/>
  <c r="E328" i="190"/>
  <c r="P327" i="190"/>
  <c r="O327" i="190"/>
  <c r="N327" i="190"/>
  <c r="M327" i="190"/>
  <c r="L327" i="190"/>
  <c r="K327" i="190"/>
  <c r="J327" i="190"/>
  <c r="I327" i="190"/>
  <c r="H327" i="190"/>
  <c r="G327" i="190"/>
  <c r="F327" i="190"/>
  <c r="E327" i="190"/>
  <c r="P326" i="190"/>
  <c r="O326" i="190"/>
  <c r="N326" i="190"/>
  <c r="M326" i="190"/>
  <c r="L326" i="190"/>
  <c r="K326" i="190"/>
  <c r="J326" i="190"/>
  <c r="I326" i="190"/>
  <c r="H326" i="190"/>
  <c r="G326" i="190"/>
  <c r="F326" i="190"/>
  <c r="E326" i="190"/>
  <c r="P325" i="190"/>
  <c r="O325" i="190"/>
  <c r="N325" i="190"/>
  <c r="M325" i="190"/>
  <c r="L325" i="190"/>
  <c r="K325" i="190"/>
  <c r="J325" i="190"/>
  <c r="I325" i="190"/>
  <c r="H325" i="190"/>
  <c r="G325" i="190"/>
  <c r="F325" i="190"/>
  <c r="E325" i="190"/>
  <c r="P324" i="190"/>
  <c r="O324" i="190"/>
  <c r="N324" i="190"/>
  <c r="M324" i="190"/>
  <c r="L324" i="190"/>
  <c r="K324" i="190"/>
  <c r="J324" i="190"/>
  <c r="I324" i="190"/>
  <c r="H324" i="190"/>
  <c r="G324" i="190"/>
  <c r="F324" i="190"/>
  <c r="E324" i="190"/>
  <c r="P323" i="190"/>
  <c r="O323" i="190"/>
  <c r="N323" i="190"/>
  <c r="M323" i="190"/>
  <c r="L323" i="190"/>
  <c r="K323" i="190"/>
  <c r="J323" i="190"/>
  <c r="I323" i="190"/>
  <c r="H323" i="190"/>
  <c r="G323" i="190"/>
  <c r="F323" i="190"/>
  <c r="E323" i="190"/>
  <c r="P322" i="190"/>
  <c r="O322" i="190"/>
  <c r="N322" i="190"/>
  <c r="M322" i="190"/>
  <c r="L322" i="190"/>
  <c r="K322" i="190"/>
  <c r="J322" i="190"/>
  <c r="I322" i="190"/>
  <c r="H322" i="190"/>
  <c r="G322" i="190"/>
  <c r="F322" i="190"/>
  <c r="E322" i="190"/>
  <c r="P321" i="190"/>
  <c r="O321" i="190"/>
  <c r="N321" i="190"/>
  <c r="M321" i="190"/>
  <c r="L321" i="190"/>
  <c r="K321" i="190"/>
  <c r="J321" i="190"/>
  <c r="I321" i="190"/>
  <c r="H321" i="190"/>
  <c r="G321" i="190"/>
  <c r="F321" i="190"/>
  <c r="E321" i="190"/>
  <c r="P320" i="190"/>
  <c r="O320" i="190"/>
  <c r="N320" i="190"/>
  <c r="M320" i="190"/>
  <c r="L320" i="190"/>
  <c r="K320" i="190"/>
  <c r="J320" i="190"/>
  <c r="I320" i="190"/>
  <c r="H320" i="190"/>
  <c r="G320" i="190"/>
  <c r="F320" i="190"/>
  <c r="E320" i="190"/>
  <c r="P319" i="190"/>
  <c r="O319" i="190"/>
  <c r="N319" i="190"/>
  <c r="M319" i="190"/>
  <c r="L319" i="190"/>
  <c r="K319" i="190"/>
  <c r="J319" i="190"/>
  <c r="I319" i="190"/>
  <c r="H319" i="190"/>
  <c r="G319" i="190"/>
  <c r="F319" i="190"/>
  <c r="E319" i="190"/>
  <c r="P318" i="190"/>
  <c r="O318" i="190"/>
  <c r="N318" i="190"/>
  <c r="M318" i="190"/>
  <c r="L318" i="190"/>
  <c r="K318" i="190"/>
  <c r="J318" i="190"/>
  <c r="I318" i="190"/>
  <c r="H318" i="190"/>
  <c r="G318" i="190"/>
  <c r="F318" i="190"/>
  <c r="E318" i="190"/>
  <c r="P317" i="190"/>
  <c r="O317" i="190"/>
  <c r="N317" i="190"/>
  <c r="M317" i="190"/>
  <c r="L317" i="190"/>
  <c r="K317" i="190"/>
  <c r="J317" i="190"/>
  <c r="I317" i="190"/>
  <c r="H317" i="190"/>
  <c r="G317" i="190"/>
  <c r="F317" i="190"/>
  <c r="E317" i="190"/>
  <c r="P314" i="190"/>
  <c r="O314" i="190"/>
  <c r="N314" i="190"/>
  <c r="M314" i="190"/>
  <c r="L314" i="190"/>
  <c r="K314" i="190"/>
  <c r="J314" i="190"/>
  <c r="I314" i="190"/>
  <c r="H314" i="190"/>
  <c r="G314" i="190"/>
  <c r="F314" i="190"/>
  <c r="E314" i="190"/>
  <c r="P313" i="190"/>
  <c r="O313" i="190"/>
  <c r="N313" i="190"/>
  <c r="M313" i="190"/>
  <c r="L313" i="190"/>
  <c r="K313" i="190"/>
  <c r="J313" i="190"/>
  <c r="I313" i="190"/>
  <c r="H313" i="190"/>
  <c r="G313" i="190"/>
  <c r="F313" i="190"/>
  <c r="E313" i="190"/>
  <c r="P312" i="190"/>
  <c r="O312" i="190"/>
  <c r="N312" i="190"/>
  <c r="M312" i="190"/>
  <c r="L312" i="190"/>
  <c r="K312" i="190"/>
  <c r="J312" i="190"/>
  <c r="I312" i="190"/>
  <c r="H312" i="190"/>
  <c r="G312" i="190"/>
  <c r="F312" i="190"/>
  <c r="E312" i="190"/>
  <c r="P311" i="190"/>
  <c r="O311" i="190"/>
  <c r="N311" i="190"/>
  <c r="M311" i="190"/>
  <c r="L311" i="190"/>
  <c r="K311" i="190"/>
  <c r="J311" i="190"/>
  <c r="I311" i="190"/>
  <c r="H311" i="190"/>
  <c r="G311" i="190"/>
  <c r="F311" i="190"/>
  <c r="E311" i="190"/>
  <c r="P310" i="190"/>
  <c r="O310" i="190"/>
  <c r="N310" i="190"/>
  <c r="M310" i="190"/>
  <c r="L310" i="190"/>
  <c r="K310" i="190"/>
  <c r="J310" i="190"/>
  <c r="I310" i="190"/>
  <c r="H310" i="190"/>
  <c r="G310" i="190"/>
  <c r="F310" i="190"/>
  <c r="E310" i="190"/>
  <c r="P309" i="190"/>
  <c r="O309" i="190"/>
  <c r="N309" i="190"/>
  <c r="M309" i="190"/>
  <c r="M308" i="190" s="1"/>
  <c r="M307" i="190" s="1"/>
  <c r="L309" i="190"/>
  <c r="K309" i="190"/>
  <c r="J309" i="190"/>
  <c r="I309" i="190"/>
  <c r="H309" i="190"/>
  <c r="G309" i="190"/>
  <c r="F309" i="190"/>
  <c r="E309" i="190"/>
  <c r="E308" i="190" s="1"/>
  <c r="P306" i="190"/>
  <c r="O306" i="190"/>
  <c r="N306" i="190"/>
  <c r="M306" i="190"/>
  <c r="L306" i="190"/>
  <c r="K306" i="190"/>
  <c r="J306" i="190"/>
  <c r="I306" i="190"/>
  <c r="H306" i="190"/>
  <c r="G306" i="190"/>
  <c r="F306" i="190"/>
  <c r="E306" i="190"/>
  <c r="P305" i="190"/>
  <c r="O305" i="190"/>
  <c r="N305" i="190"/>
  <c r="M305" i="190"/>
  <c r="L305" i="190"/>
  <c r="K305" i="190"/>
  <c r="J305" i="190"/>
  <c r="I305" i="190"/>
  <c r="H305" i="190"/>
  <c r="G305" i="190"/>
  <c r="F305" i="190"/>
  <c r="E305" i="190"/>
  <c r="P304" i="190"/>
  <c r="O304" i="190"/>
  <c r="N304" i="190"/>
  <c r="M304" i="190"/>
  <c r="L304" i="190"/>
  <c r="K304" i="190"/>
  <c r="J304" i="190"/>
  <c r="I304" i="190"/>
  <c r="H304" i="190"/>
  <c r="G304" i="190"/>
  <c r="F304" i="190"/>
  <c r="E304" i="190"/>
  <c r="P303" i="190"/>
  <c r="O303" i="190"/>
  <c r="N303" i="190"/>
  <c r="M303" i="190"/>
  <c r="L303" i="190"/>
  <c r="K303" i="190"/>
  <c r="J303" i="190"/>
  <c r="I303" i="190"/>
  <c r="H303" i="190"/>
  <c r="G303" i="190"/>
  <c r="F303" i="190"/>
  <c r="E303" i="190"/>
  <c r="P302" i="190"/>
  <c r="O302" i="190"/>
  <c r="N302" i="190"/>
  <c r="M302" i="190"/>
  <c r="L302" i="190"/>
  <c r="K302" i="190"/>
  <c r="J302" i="190"/>
  <c r="I302" i="190"/>
  <c r="H302" i="190"/>
  <c r="G302" i="190"/>
  <c r="F302" i="190"/>
  <c r="E302" i="190"/>
  <c r="P301" i="190"/>
  <c r="O301" i="190"/>
  <c r="N301" i="190"/>
  <c r="M301" i="190"/>
  <c r="L301" i="190"/>
  <c r="K301" i="190"/>
  <c r="J301" i="190"/>
  <c r="I301" i="190"/>
  <c r="H301" i="190"/>
  <c r="G301" i="190"/>
  <c r="F301" i="190"/>
  <c r="E301" i="190"/>
  <c r="P300" i="190"/>
  <c r="O300" i="190"/>
  <c r="N300" i="190"/>
  <c r="M300" i="190"/>
  <c r="L300" i="190"/>
  <c r="K300" i="190"/>
  <c r="J300" i="190"/>
  <c r="I300" i="190"/>
  <c r="H300" i="190"/>
  <c r="G300" i="190"/>
  <c r="F300" i="190"/>
  <c r="E300" i="190"/>
  <c r="P299" i="190"/>
  <c r="O299" i="190"/>
  <c r="N299" i="190"/>
  <c r="M299" i="190"/>
  <c r="L299" i="190"/>
  <c r="K299" i="190"/>
  <c r="J299" i="190"/>
  <c r="I299" i="190"/>
  <c r="H299" i="190"/>
  <c r="G299" i="190"/>
  <c r="F299" i="190"/>
  <c r="E299" i="190"/>
  <c r="P298" i="190"/>
  <c r="O298" i="190"/>
  <c r="N298" i="190"/>
  <c r="M298" i="190"/>
  <c r="L298" i="190"/>
  <c r="K298" i="190"/>
  <c r="J298" i="190"/>
  <c r="I298" i="190"/>
  <c r="H298" i="190"/>
  <c r="G298" i="190"/>
  <c r="F298" i="190"/>
  <c r="E298" i="190"/>
  <c r="P297" i="190"/>
  <c r="O297" i="190"/>
  <c r="N297" i="190"/>
  <c r="M297" i="190"/>
  <c r="L297" i="190"/>
  <c r="K297" i="190"/>
  <c r="J297" i="190"/>
  <c r="I297" i="190"/>
  <c r="H297" i="190"/>
  <c r="G297" i="190"/>
  <c r="F297" i="190"/>
  <c r="E297" i="190"/>
  <c r="P296" i="190"/>
  <c r="O296" i="190"/>
  <c r="N296" i="190"/>
  <c r="M296" i="190"/>
  <c r="L296" i="190"/>
  <c r="K296" i="190"/>
  <c r="J296" i="190"/>
  <c r="I296" i="190"/>
  <c r="H296" i="190"/>
  <c r="G296" i="190"/>
  <c r="F296" i="190"/>
  <c r="E296" i="190"/>
  <c r="P295" i="190"/>
  <c r="O295" i="190"/>
  <c r="N295" i="190"/>
  <c r="M295" i="190"/>
  <c r="L295" i="190"/>
  <c r="K295" i="190"/>
  <c r="J295" i="190"/>
  <c r="I295" i="190"/>
  <c r="H295" i="190"/>
  <c r="G295" i="190"/>
  <c r="F295" i="190"/>
  <c r="E295" i="190"/>
  <c r="P294" i="190"/>
  <c r="O294" i="190"/>
  <c r="N294" i="190"/>
  <c r="M294" i="190"/>
  <c r="L294" i="190"/>
  <c r="K294" i="190"/>
  <c r="J294" i="190"/>
  <c r="I294" i="190"/>
  <c r="H294" i="190"/>
  <c r="G294" i="190"/>
  <c r="F294" i="190"/>
  <c r="E294" i="190"/>
  <c r="P293" i="190"/>
  <c r="O293" i="190"/>
  <c r="N293" i="190"/>
  <c r="M293" i="190"/>
  <c r="L293" i="190"/>
  <c r="K293" i="190"/>
  <c r="J293" i="190"/>
  <c r="I293" i="190"/>
  <c r="H293" i="190"/>
  <c r="G293" i="190"/>
  <c r="F293" i="190"/>
  <c r="E293" i="190"/>
  <c r="P292" i="190"/>
  <c r="O292" i="190"/>
  <c r="N292" i="190"/>
  <c r="M292" i="190"/>
  <c r="L292" i="190"/>
  <c r="K292" i="190"/>
  <c r="J292" i="190"/>
  <c r="I292" i="190"/>
  <c r="H292" i="190"/>
  <c r="G292" i="190"/>
  <c r="F292" i="190"/>
  <c r="E292" i="190"/>
  <c r="P291" i="190"/>
  <c r="O291" i="190"/>
  <c r="N291" i="190"/>
  <c r="M291" i="190"/>
  <c r="L291" i="190"/>
  <c r="K291" i="190"/>
  <c r="J291" i="190"/>
  <c r="I291" i="190"/>
  <c r="H291" i="190"/>
  <c r="G291" i="190"/>
  <c r="F291" i="190"/>
  <c r="E291" i="190"/>
  <c r="P290" i="190"/>
  <c r="O290" i="190"/>
  <c r="N290" i="190"/>
  <c r="M290" i="190"/>
  <c r="L290" i="190"/>
  <c r="K290" i="190"/>
  <c r="J290" i="190"/>
  <c r="I290" i="190"/>
  <c r="H290" i="190"/>
  <c r="G290" i="190"/>
  <c r="F290" i="190"/>
  <c r="E290" i="190"/>
  <c r="P289" i="190"/>
  <c r="O289" i="190"/>
  <c r="N289" i="190"/>
  <c r="M289" i="190"/>
  <c r="L289" i="190"/>
  <c r="K289" i="190"/>
  <c r="J289" i="190"/>
  <c r="I289" i="190"/>
  <c r="H289" i="190"/>
  <c r="G289" i="190"/>
  <c r="F289" i="190"/>
  <c r="E289" i="190"/>
  <c r="P288" i="190"/>
  <c r="O288" i="190"/>
  <c r="N288" i="190"/>
  <c r="M288" i="190"/>
  <c r="L288" i="190"/>
  <c r="K288" i="190"/>
  <c r="J288" i="190"/>
  <c r="I288" i="190"/>
  <c r="H288" i="190"/>
  <c r="G288" i="190"/>
  <c r="F288" i="190"/>
  <c r="E288" i="190"/>
  <c r="P287" i="190"/>
  <c r="O287" i="190"/>
  <c r="N287" i="190"/>
  <c r="M287" i="190"/>
  <c r="L287" i="190"/>
  <c r="K287" i="190"/>
  <c r="J287" i="190"/>
  <c r="I287" i="190"/>
  <c r="H287" i="190"/>
  <c r="G287" i="190"/>
  <c r="F287" i="190"/>
  <c r="E287" i="190"/>
  <c r="P286" i="190"/>
  <c r="O286" i="190"/>
  <c r="N286" i="190"/>
  <c r="M286" i="190"/>
  <c r="L286" i="190"/>
  <c r="K286" i="190"/>
  <c r="J286" i="190"/>
  <c r="I286" i="190"/>
  <c r="I285" i="190" s="1"/>
  <c r="I284" i="190" s="1"/>
  <c r="H286" i="190"/>
  <c r="G286" i="190"/>
  <c r="F286" i="190"/>
  <c r="E286" i="190"/>
  <c r="P282" i="190"/>
  <c r="O282" i="190"/>
  <c r="N282" i="190"/>
  <c r="M282" i="190"/>
  <c r="L282" i="190"/>
  <c r="K282" i="190"/>
  <c r="J282" i="190"/>
  <c r="I282" i="190"/>
  <c r="H282" i="190"/>
  <c r="G282" i="190"/>
  <c r="F282" i="190"/>
  <c r="E282" i="190"/>
  <c r="P281" i="190"/>
  <c r="O281" i="190"/>
  <c r="N281" i="190"/>
  <c r="M281" i="190"/>
  <c r="L281" i="190"/>
  <c r="K281" i="190"/>
  <c r="J281" i="190"/>
  <c r="I281" i="190"/>
  <c r="H281" i="190"/>
  <c r="G281" i="190"/>
  <c r="F281" i="190"/>
  <c r="E281" i="190"/>
  <c r="P280" i="190"/>
  <c r="O280" i="190"/>
  <c r="N280" i="190"/>
  <c r="M280" i="190"/>
  <c r="L280" i="190"/>
  <c r="K280" i="190"/>
  <c r="J280" i="190"/>
  <c r="I280" i="190"/>
  <c r="H280" i="190"/>
  <c r="G280" i="190"/>
  <c r="F280" i="190"/>
  <c r="E280" i="190"/>
  <c r="P279" i="190"/>
  <c r="O279" i="190"/>
  <c r="N279" i="190"/>
  <c r="M279" i="190"/>
  <c r="L279" i="190"/>
  <c r="K279" i="190"/>
  <c r="J279" i="190"/>
  <c r="I279" i="190"/>
  <c r="H279" i="190"/>
  <c r="G279" i="190"/>
  <c r="F279" i="190"/>
  <c r="E279" i="190"/>
  <c r="P278" i="190"/>
  <c r="O278" i="190"/>
  <c r="N278" i="190"/>
  <c r="M278" i="190"/>
  <c r="L278" i="190"/>
  <c r="K278" i="190"/>
  <c r="J278" i="190"/>
  <c r="I278" i="190"/>
  <c r="H278" i="190"/>
  <c r="G278" i="190"/>
  <c r="F278" i="190"/>
  <c r="E278" i="190"/>
  <c r="P277" i="190"/>
  <c r="O277" i="190"/>
  <c r="N277" i="190"/>
  <c r="M277" i="190"/>
  <c r="L277" i="190"/>
  <c r="K277" i="190"/>
  <c r="J277" i="190"/>
  <c r="I277" i="190"/>
  <c r="H277" i="190"/>
  <c r="G277" i="190"/>
  <c r="F277" i="190"/>
  <c r="P276" i="190"/>
  <c r="O276" i="190"/>
  <c r="N276" i="190"/>
  <c r="M276" i="190"/>
  <c r="L276" i="190"/>
  <c r="K276" i="190"/>
  <c r="J276" i="190"/>
  <c r="I276" i="190"/>
  <c r="H276" i="190"/>
  <c r="G276" i="190"/>
  <c r="F276" i="190"/>
  <c r="E276" i="190"/>
  <c r="P275" i="190"/>
  <c r="O275" i="190"/>
  <c r="N275" i="190"/>
  <c r="M275" i="190"/>
  <c r="L275" i="190"/>
  <c r="K275" i="190"/>
  <c r="J275" i="190"/>
  <c r="I275" i="190"/>
  <c r="H275" i="190"/>
  <c r="G275" i="190"/>
  <c r="F275" i="190"/>
  <c r="E275" i="190"/>
  <c r="P274" i="190"/>
  <c r="O274" i="190"/>
  <c r="N274" i="190"/>
  <c r="M274" i="190"/>
  <c r="L274" i="190"/>
  <c r="K274" i="190"/>
  <c r="J274" i="190"/>
  <c r="I274" i="190"/>
  <c r="H274" i="190"/>
  <c r="G274" i="190"/>
  <c r="F274" i="190"/>
  <c r="E274" i="190"/>
  <c r="P273" i="190"/>
  <c r="O273" i="190"/>
  <c r="N273" i="190"/>
  <c r="M273" i="190"/>
  <c r="L273" i="190"/>
  <c r="K273" i="190"/>
  <c r="J273" i="190"/>
  <c r="I273" i="190"/>
  <c r="H273" i="190"/>
  <c r="G273" i="190"/>
  <c r="F273" i="190"/>
  <c r="E273" i="190"/>
  <c r="P272" i="190"/>
  <c r="O272" i="190"/>
  <c r="N272" i="190"/>
  <c r="M272" i="190"/>
  <c r="L272" i="190"/>
  <c r="K272" i="190"/>
  <c r="J272" i="190"/>
  <c r="I272" i="190"/>
  <c r="H272" i="190"/>
  <c r="G272" i="190"/>
  <c r="F272" i="190"/>
  <c r="E272" i="190"/>
  <c r="P271" i="190"/>
  <c r="O271" i="190"/>
  <c r="N271" i="190"/>
  <c r="M271" i="190"/>
  <c r="L271" i="190"/>
  <c r="K271" i="190"/>
  <c r="J271" i="190"/>
  <c r="I271" i="190"/>
  <c r="H271" i="190"/>
  <c r="G271" i="190"/>
  <c r="F271" i="190"/>
  <c r="E271" i="190"/>
  <c r="P270" i="190"/>
  <c r="O270" i="190"/>
  <c r="N270" i="190"/>
  <c r="M270" i="190"/>
  <c r="L270" i="190"/>
  <c r="K270" i="190"/>
  <c r="J270" i="190"/>
  <c r="I270" i="190"/>
  <c r="H270" i="190"/>
  <c r="G270" i="190"/>
  <c r="F270" i="190"/>
  <c r="E270" i="190"/>
  <c r="P269" i="190"/>
  <c r="O269" i="190"/>
  <c r="N269" i="190"/>
  <c r="M269" i="190"/>
  <c r="L269" i="190"/>
  <c r="K269" i="190"/>
  <c r="J269" i="190"/>
  <c r="I269" i="190"/>
  <c r="H269" i="190"/>
  <c r="G269" i="190"/>
  <c r="F269" i="190"/>
  <c r="E269" i="190"/>
  <c r="P268" i="190"/>
  <c r="O268" i="190"/>
  <c r="N268" i="190"/>
  <c r="M268" i="190"/>
  <c r="L268" i="190"/>
  <c r="K268" i="190"/>
  <c r="J268" i="190"/>
  <c r="I268" i="190"/>
  <c r="H268" i="190"/>
  <c r="G268" i="190"/>
  <c r="F268" i="190"/>
  <c r="E268" i="190"/>
  <c r="P267" i="190"/>
  <c r="O267" i="190"/>
  <c r="N267" i="190"/>
  <c r="M267" i="190"/>
  <c r="L267" i="190"/>
  <c r="K267" i="190"/>
  <c r="J267" i="190"/>
  <c r="I267" i="190"/>
  <c r="H267" i="190"/>
  <c r="G267" i="190"/>
  <c r="F267" i="190"/>
  <c r="E267" i="190"/>
  <c r="P266" i="190"/>
  <c r="O266" i="190"/>
  <c r="N266" i="190"/>
  <c r="M266" i="190"/>
  <c r="L266" i="190"/>
  <c r="K266" i="190"/>
  <c r="J266" i="190"/>
  <c r="I266" i="190"/>
  <c r="H266" i="190"/>
  <c r="G266" i="190"/>
  <c r="F266" i="190"/>
  <c r="E266" i="190"/>
  <c r="P265" i="190"/>
  <c r="O265" i="190"/>
  <c r="N265" i="190"/>
  <c r="M265" i="190"/>
  <c r="L265" i="190"/>
  <c r="K265" i="190"/>
  <c r="J265" i="190"/>
  <c r="I265" i="190"/>
  <c r="H265" i="190"/>
  <c r="G265" i="190"/>
  <c r="F265" i="190"/>
  <c r="E265" i="190"/>
  <c r="P264" i="190"/>
  <c r="O264" i="190"/>
  <c r="N264" i="190"/>
  <c r="M264" i="190"/>
  <c r="L264" i="190"/>
  <c r="K264" i="190"/>
  <c r="J264" i="190"/>
  <c r="I264" i="190"/>
  <c r="H264" i="190"/>
  <c r="G264" i="190"/>
  <c r="F264" i="190"/>
  <c r="E264" i="190"/>
  <c r="P263" i="190"/>
  <c r="O263" i="190"/>
  <c r="N263" i="190"/>
  <c r="M263" i="190"/>
  <c r="L263" i="190"/>
  <c r="K263" i="190"/>
  <c r="J263" i="190"/>
  <c r="I263" i="190"/>
  <c r="H263" i="190"/>
  <c r="G263" i="190"/>
  <c r="F263" i="190"/>
  <c r="E263" i="190"/>
  <c r="P262" i="190"/>
  <c r="O262" i="190"/>
  <c r="N262" i="190"/>
  <c r="M262" i="190"/>
  <c r="L262" i="190"/>
  <c r="K262" i="190"/>
  <c r="J262" i="190"/>
  <c r="I262" i="190"/>
  <c r="H262" i="190"/>
  <c r="G262" i="190"/>
  <c r="F262" i="190"/>
  <c r="E262" i="190"/>
  <c r="P261" i="190"/>
  <c r="O261" i="190"/>
  <c r="N261" i="190"/>
  <c r="M261" i="190"/>
  <c r="L261" i="190"/>
  <c r="K261" i="190"/>
  <c r="J261" i="190"/>
  <c r="I261" i="190"/>
  <c r="H261" i="190"/>
  <c r="G261" i="190"/>
  <c r="F261" i="190"/>
  <c r="E261" i="190"/>
  <c r="P260" i="190"/>
  <c r="O260" i="190"/>
  <c r="N260" i="190"/>
  <c r="M260" i="190"/>
  <c r="L260" i="190"/>
  <c r="K260" i="190"/>
  <c r="J260" i="190"/>
  <c r="I260" i="190"/>
  <c r="H260" i="190"/>
  <c r="G260" i="190"/>
  <c r="F260" i="190"/>
  <c r="E260" i="190"/>
  <c r="P259" i="190"/>
  <c r="O259" i="190"/>
  <c r="N259" i="190"/>
  <c r="M259" i="190"/>
  <c r="L259" i="190"/>
  <c r="K259" i="190"/>
  <c r="J259" i="190"/>
  <c r="I259" i="190"/>
  <c r="H259" i="190"/>
  <c r="G259" i="190"/>
  <c r="F259" i="190"/>
  <c r="E259" i="190"/>
  <c r="P258" i="190"/>
  <c r="O258" i="190"/>
  <c r="N258" i="190"/>
  <c r="M258" i="190"/>
  <c r="L258" i="190"/>
  <c r="K258" i="190"/>
  <c r="J258" i="190"/>
  <c r="I258" i="190"/>
  <c r="H258" i="190"/>
  <c r="G258" i="190"/>
  <c r="F258" i="190"/>
  <c r="E258" i="190"/>
  <c r="P257" i="190"/>
  <c r="O257" i="190"/>
  <c r="N257" i="190"/>
  <c r="M257" i="190"/>
  <c r="L257" i="190"/>
  <c r="K257" i="190"/>
  <c r="J257" i="190"/>
  <c r="I257" i="190"/>
  <c r="H257" i="190"/>
  <c r="G257" i="190"/>
  <c r="F257" i="190"/>
  <c r="E257" i="190"/>
  <c r="P256" i="190"/>
  <c r="O256" i="190"/>
  <c r="N256" i="190"/>
  <c r="M256" i="190"/>
  <c r="L256" i="190"/>
  <c r="K256" i="190"/>
  <c r="J256" i="190"/>
  <c r="I256" i="190"/>
  <c r="H256" i="190"/>
  <c r="G256" i="190"/>
  <c r="F256" i="190"/>
  <c r="E256" i="190"/>
  <c r="P255" i="190"/>
  <c r="O255" i="190"/>
  <c r="N255" i="190"/>
  <c r="M255" i="190"/>
  <c r="L255" i="190"/>
  <c r="K255" i="190"/>
  <c r="J255" i="190"/>
  <c r="I255" i="190"/>
  <c r="H255" i="190"/>
  <c r="G255" i="190"/>
  <c r="F255" i="190"/>
  <c r="E255" i="190"/>
  <c r="P251" i="190"/>
  <c r="O251" i="190"/>
  <c r="N251" i="190"/>
  <c r="M251" i="190"/>
  <c r="L251" i="190"/>
  <c r="K251" i="190"/>
  <c r="J251" i="190"/>
  <c r="I251" i="190"/>
  <c r="H251" i="190"/>
  <c r="G251" i="190"/>
  <c r="F251" i="190"/>
  <c r="E251" i="190"/>
  <c r="P244" i="190"/>
  <c r="O244" i="190"/>
  <c r="N244" i="190"/>
  <c r="M244" i="190"/>
  <c r="L244" i="190"/>
  <c r="K244" i="190"/>
  <c r="J244" i="190"/>
  <c r="I244" i="190"/>
  <c r="H244" i="190"/>
  <c r="G244" i="190"/>
  <c r="F244" i="190"/>
  <c r="E244" i="190"/>
  <c r="P250" i="190"/>
  <c r="O250" i="190"/>
  <c r="N250" i="190"/>
  <c r="M250" i="190"/>
  <c r="L250" i="190"/>
  <c r="K250" i="190"/>
  <c r="J250" i="190"/>
  <c r="I250" i="190"/>
  <c r="H250" i="190"/>
  <c r="G250" i="190"/>
  <c r="F250" i="190"/>
  <c r="E250" i="190"/>
  <c r="P249" i="190"/>
  <c r="O249" i="190"/>
  <c r="N249" i="190"/>
  <c r="M249" i="190"/>
  <c r="L249" i="190"/>
  <c r="K249" i="190"/>
  <c r="J249" i="190"/>
  <c r="I249" i="190"/>
  <c r="H249" i="190"/>
  <c r="G249" i="190"/>
  <c r="F249" i="190"/>
  <c r="E249" i="190"/>
  <c r="P248" i="190"/>
  <c r="O248" i="190"/>
  <c r="N248" i="190"/>
  <c r="M248" i="190"/>
  <c r="L248" i="190"/>
  <c r="K248" i="190"/>
  <c r="J248" i="190"/>
  <c r="I248" i="190"/>
  <c r="H248" i="190"/>
  <c r="G248" i="190"/>
  <c r="F248" i="190"/>
  <c r="E248" i="190"/>
  <c r="P247" i="190"/>
  <c r="O247" i="190"/>
  <c r="N247" i="190"/>
  <c r="M247" i="190"/>
  <c r="L247" i="190"/>
  <c r="K247" i="190"/>
  <c r="J247" i="190"/>
  <c r="I247" i="190"/>
  <c r="H247" i="190"/>
  <c r="G247" i="190"/>
  <c r="F247" i="190"/>
  <c r="E247" i="190"/>
  <c r="P246" i="190"/>
  <c r="O246" i="190"/>
  <c r="N246" i="190"/>
  <c r="M246" i="190"/>
  <c r="L246" i="190"/>
  <c r="K246" i="190"/>
  <c r="J246" i="190"/>
  <c r="I246" i="190"/>
  <c r="H246" i="190"/>
  <c r="G246" i="190"/>
  <c r="F246" i="190"/>
  <c r="E246" i="190"/>
  <c r="P245" i="190"/>
  <c r="O245" i="190"/>
  <c r="N245" i="190"/>
  <c r="M245" i="190"/>
  <c r="L245" i="190"/>
  <c r="K245" i="190"/>
  <c r="J245" i="190"/>
  <c r="I245" i="190"/>
  <c r="H245" i="190"/>
  <c r="G245" i="190"/>
  <c r="F245" i="190"/>
  <c r="E245" i="190"/>
  <c r="P243" i="190"/>
  <c r="O243" i="190"/>
  <c r="N243" i="190"/>
  <c r="M243" i="190"/>
  <c r="L243" i="190"/>
  <c r="K243" i="190"/>
  <c r="J243" i="190"/>
  <c r="I243" i="190"/>
  <c r="H243" i="190"/>
  <c r="G243" i="190"/>
  <c r="F243" i="190"/>
  <c r="E243" i="190"/>
  <c r="P242" i="190"/>
  <c r="O242" i="190"/>
  <c r="N242" i="190"/>
  <c r="M242" i="190"/>
  <c r="L242" i="190"/>
  <c r="K242" i="190"/>
  <c r="J242" i="190"/>
  <c r="I242" i="190"/>
  <c r="H242" i="190"/>
  <c r="G242" i="190"/>
  <c r="F242" i="190"/>
  <c r="E242" i="190"/>
  <c r="P241" i="190"/>
  <c r="O241" i="190"/>
  <c r="N241" i="190"/>
  <c r="M241" i="190"/>
  <c r="L241" i="190"/>
  <c r="K241" i="190"/>
  <c r="J241" i="190"/>
  <c r="I241" i="190"/>
  <c r="H241" i="190"/>
  <c r="G241" i="190"/>
  <c r="F241" i="190"/>
  <c r="E241" i="190"/>
  <c r="P240" i="190"/>
  <c r="O240" i="190"/>
  <c r="N240" i="190"/>
  <c r="M240" i="190"/>
  <c r="L240" i="190"/>
  <c r="K240" i="190"/>
  <c r="J240" i="190"/>
  <c r="I240" i="190"/>
  <c r="H240" i="190"/>
  <c r="G240" i="190"/>
  <c r="F240" i="190"/>
  <c r="E240" i="190"/>
  <c r="P239" i="190"/>
  <c r="O239" i="190"/>
  <c r="N239" i="190"/>
  <c r="M239" i="190"/>
  <c r="L239" i="190"/>
  <c r="K239" i="190"/>
  <c r="J239" i="190"/>
  <c r="I239" i="190"/>
  <c r="H239" i="190"/>
  <c r="G239" i="190"/>
  <c r="F239" i="190"/>
  <c r="E239" i="190"/>
  <c r="P238" i="190"/>
  <c r="O238" i="190"/>
  <c r="N238" i="190"/>
  <c r="M238" i="190"/>
  <c r="L238" i="190"/>
  <c r="K238" i="190"/>
  <c r="J238" i="190"/>
  <c r="I238" i="190"/>
  <c r="H238" i="190"/>
  <c r="G238" i="190"/>
  <c r="F238" i="190"/>
  <c r="E238" i="190"/>
  <c r="P237" i="190"/>
  <c r="O237" i="190"/>
  <c r="N237" i="190"/>
  <c r="M237" i="190"/>
  <c r="L237" i="190"/>
  <c r="K237" i="190"/>
  <c r="J237" i="190"/>
  <c r="I237" i="190"/>
  <c r="H237" i="190"/>
  <c r="G237" i="190"/>
  <c r="F237" i="190"/>
  <c r="E237" i="190"/>
  <c r="P236" i="190"/>
  <c r="O236" i="190"/>
  <c r="N236" i="190"/>
  <c r="M236" i="190"/>
  <c r="L236" i="190"/>
  <c r="K236" i="190"/>
  <c r="J236" i="190"/>
  <c r="I236" i="190"/>
  <c r="H236" i="190"/>
  <c r="G236" i="190"/>
  <c r="F236" i="190"/>
  <c r="E236" i="190"/>
  <c r="P235" i="190"/>
  <c r="O235" i="190"/>
  <c r="N235" i="190"/>
  <c r="M235" i="190"/>
  <c r="L235" i="190"/>
  <c r="K235" i="190"/>
  <c r="J235" i="190"/>
  <c r="I235" i="190"/>
  <c r="H235" i="190"/>
  <c r="G235" i="190"/>
  <c r="F235" i="190"/>
  <c r="E235" i="190"/>
  <c r="P234" i="190"/>
  <c r="O234" i="190"/>
  <c r="N234" i="190"/>
  <c r="M234" i="190"/>
  <c r="L234" i="190"/>
  <c r="K234" i="190"/>
  <c r="J234" i="190"/>
  <c r="I234" i="190"/>
  <c r="H234" i="190"/>
  <c r="G234" i="190"/>
  <c r="F234" i="190"/>
  <c r="E234" i="190"/>
  <c r="P233" i="190"/>
  <c r="O233" i="190"/>
  <c r="N233" i="190"/>
  <c r="M233" i="190"/>
  <c r="L233" i="190"/>
  <c r="K233" i="190"/>
  <c r="J233" i="190"/>
  <c r="I233" i="190"/>
  <c r="H233" i="190"/>
  <c r="G233" i="190"/>
  <c r="F233" i="190"/>
  <c r="E233" i="190"/>
  <c r="P227" i="190"/>
  <c r="O227" i="190"/>
  <c r="N227" i="190"/>
  <c r="M227" i="190"/>
  <c r="L227" i="190"/>
  <c r="K227" i="190"/>
  <c r="J227" i="190"/>
  <c r="I227" i="190"/>
  <c r="H227" i="190"/>
  <c r="G227" i="190"/>
  <c r="F227" i="190"/>
  <c r="E227" i="190"/>
  <c r="P226" i="190"/>
  <c r="O226" i="190"/>
  <c r="N226" i="190"/>
  <c r="M226" i="190"/>
  <c r="L226" i="190"/>
  <c r="K226" i="190"/>
  <c r="J226" i="190"/>
  <c r="I226" i="190"/>
  <c r="H226" i="190"/>
  <c r="G226" i="190"/>
  <c r="F226" i="190"/>
  <c r="E226" i="190"/>
  <c r="P225" i="190"/>
  <c r="O225" i="190"/>
  <c r="N225" i="190"/>
  <c r="M225" i="190"/>
  <c r="L225" i="190"/>
  <c r="K225" i="190"/>
  <c r="J225" i="190"/>
  <c r="I225" i="190"/>
  <c r="H225" i="190"/>
  <c r="G225" i="190"/>
  <c r="F225" i="190"/>
  <c r="E225" i="190"/>
  <c r="P224" i="190"/>
  <c r="O224" i="190"/>
  <c r="N224" i="190"/>
  <c r="M224" i="190"/>
  <c r="L224" i="190"/>
  <c r="K224" i="190"/>
  <c r="J224" i="190"/>
  <c r="I224" i="190"/>
  <c r="H224" i="190"/>
  <c r="G224" i="190"/>
  <c r="F224" i="190"/>
  <c r="E224" i="190"/>
  <c r="P223" i="190"/>
  <c r="O223" i="190"/>
  <c r="N223" i="190"/>
  <c r="M223" i="190"/>
  <c r="L223" i="190"/>
  <c r="K223" i="190"/>
  <c r="J223" i="190"/>
  <c r="I223" i="190"/>
  <c r="H223" i="190"/>
  <c r="G223" i="190"/>
  <c r="F223" i="190"/>
  <c r="E223" i="190"/>
  <c r="P222" i="190"/>
  <c r="O222" i="190"/>
  <c r="N222" i="190"/>
  <c r="M222" i="190"/>
  <c r="L222" i="190"/>
  <c r="K222" i="190"/>
  <c r="J222" i="190"/>
  <c r="I222" i="190"/>
  <c r="H222" i="190"/>
  <c r="G222" i="190"/>
  <c r="F222" i="190"/>
  <c r="E222" i="190"/>
  <c r="P221" i="190"/>
  <c r="O221" i="190"/>
  <c r="N221" i="190"/>
  <c r="M221" i="190"/>
  <c r="L221" i="190"/>
  <c r="K221" i="190"/>
  <c r="J221" i="190"/>
  <c r="I221" i="190"/>
  <c r="H221" i="190"/>
  <c r="G221" i="190"/>
  <c r="F221" i="190"/>
  <c r="E221" i="190"/>
  <c r="P220" i="190"/>
  <c r="O220" i="190"/>
  <c r="N220" i="190"/>
  <c r="M220" i="190"/>
  <c r="L220" i="190"/>
  <c r="K220" i="190"/>
  <c r="J220" i="190"/>
  <c r="I220" i="190"/>
  <c r="H220" i="190"/>
  <c r="G220" i="190"/>
  <c r="F220" i="190"/>
  <c r="E220" i="190"/>
  <c r="P219" i="190"/>
  <c r="O219" i="190"/>
  <c r="N219" i="190"/>
  <c r="M219" i="190"/>
  <c r="L219" i="190"/>
  <c r="K219" i="190"/>
  <c r="J219" i="190"/>
  <c r="I219" i="190"/>
  <c r="H219" i="190"/>
  <c r="G219" i="190"/>
  <c r="F219" i="190"/>
  <c r="E219" i="190"/>
  <c r="P218" i="190"/>
  <c r="O218" i="190"/>
  <c r="N218" i="190"/>
  <c r="M218" i="190"/>
  <c r="L218" i="190"/>
  <c r="K218" i="190"/>
  <c r="J218" i="190"/>
  <c r="I218" i="190"/>
  <c r="H218" i="190"/>
  <c r="G218" i="190"/>
  <c r="F218" i="190"/>
  <c r="E218" i="190"/>
  <c r="P217" i="190"/>
  <c r="O217" i="190"/>
  <c r="N217" i="190"/>
  <c r="M217" i="190"/>
  <c r="L217" i="190"/>
  <c r="K217" i="190"/>
  <c r="J217" i="190"/>
  <c r="I217" i="190"/>
  <c r="H217" i="190"/>
  <c r="G217" i="190"/>
  <c r="F217" i="190"/>
  <c r="E217" i="190"/>
  <c r="P216" i="190"/>
  <c r="O216" i="190"/>
  <c r="N216" i="190"/>
  <c r="M216" i="190"/>
  <c r="L216" i="190"/>
  <c r="K216" i="190"/>
  <c r="J216" i="190"/>
  <c r="I216" i="190"/>
  <c r="H216" i="190"/>
  <c r="G216" i="190"/>
  <c r="F216" i="190"/>
  <c r="E216" i="190"/>
  <c r="P215" i="190"/>
  <c r="O215" i="190"/>
  <c r="N215" i="190"/>
  <c r="M215" i="190"/>
  <c r="L215" i="190"/>
  <c r="K215" i="190"/>
  <c r="J215" i="190"/>
  <c r="I215" i="190"/>
  <c r="H215" i="190"/>
  <c r="G215" i="190"/>
  <c r="F215" i="190"/>
  <c r="E215" i="190"/>
  <c r="P214" i="190"/>
  <c r="O214" i="190"/>
  <c r="N214" i="190"/>
  <c r="M214" i="190"/>
  <c r="L214" i="190"/>
  <c r="K214" i="190"/>
  <c r="J214" i="190"/>
  <c r="I214" i="190"/>
  <c r="H214" i="190"/>
  <c r="G214" i="190"/>
  <c r="F214" i="190"/>
  <c r="E214" i="190"/>
  <c r="P213" i="190"/>
  <c r="O213" i="190"/>
  <c r="N213" i="190"/>
  <c r="M213" i="190"/>
  <c r="L213" i="190"/>
  <c r="K213" i="190"/>
  <c r="J213" i="190"/>
  <c r="I213" i="190"/>
  <c r="H213" i="190"/>
  <c r="G213" i="190"/>
  <c r="F213" i="190"/>
  <c r="E213" i="190"/>
  <c r="P212" i="190"/>
  <c r="O212" i="190"/>
  <c r="N212" i="190"/>
  <c r="M212" i="190"/>
  <c r="L212" i="190"/>
  <c r="K212" i="190"/>
  <c r="J212" i="190"/>
  <c r="I212" i="190"/>
  <c r="H212" i="190"/>
  <c r="G212" i="190"/>
  <c r="F212" i="190"/>
  <c r="E212" i="190"/>
  <c r="P211" i="190"/>
  <c r="O211" i="190"/>
  <c r="N211" i="190"/>
  <c r="M211" i="190"/>
  <c r="L211" i="190"/>
  <c r="K211" i="190"/>
  <c r="J211" i="190"/>
  <c r="I211" i="190"/>
  <c r="H211" i="190"/>
  <c r="G211" i="190"/>
  <c r="F211" i="190"/>
  <c r="E211" i="190"/>
  <c r="P210" i="190"/>
  <c r="O210" i="190"/>
  <c r="N210" i="190"/>
  <c r="M210" i="190"/>
  <c r="L210" i="190"/>
  <c r="K210" i="190"/>
  <c r="J210" i="190"/>
  <c r="I210" i="190"/>
  <c r="H210" i="190"/>
  <c r="G210" i="190"/>
  <c r="F210" i="190"/>
  <c r="E210" i="190"/>
  <c r="P209" i="190"/>
  <c r="O209" i="190"/>
  <c r="N209" i="190"/>
  <c r="M209" i="190"/>
  <c r="L209" i="190"/>
  <c r="K209" i="190"/>
  <c r="J209" i="190"/>
  <c r="I209" i="190"/>
  <c r="H209" i="190"/>
  <c r="G209" i="190"/>
  <c r="F209" i="190"/>
  <c r="E209" i="190"/>
  <c r="P208" i="190"/>
  <c r="O208" i="190"/>
  <c r="N208" i="190"/>
  <c r="M208" i="190"/>
  <c r="L208" i="190"/>
  <c r="K208" i="190"/>
  <c r="J208" i="190"/>
  <c r="I208" i="190"/>
  <c r="H208" i="190"/>
  <c r="G208" i="190"/>
  <c r="F208" i="190"/>
  <c r="E208" i="190"/>
  <c r="P207" i="190"/>
  <c r="O207" i="190"/>
  <c r="N207" i="190"/>
  <c r="M207" i="190"/>
  <c r="L207" i="190"/>
  <c r="K207" i="190"/>
  <c r="J207" i="190"/>
  <c r="I207" i="190"/>
  <c r="H207" i="190"/>
  <c r="G207" i="190"/>
  <c r="F207" i="190"/>
  <c r="E207" i="190"/>
  <c r="P206" i="190"/>
  <c r="O206" i="190"/>
  <c r="N206" i="190"/>
  <c r="M206" i="190"/>
  <c r="L206" i="190"/>
  <c r="K206" i="190"/>
  <c r="J206" i="190"/>
  <c r="I206" i="190"/>
  <c r="H206" i="190"/>
  <c r="G206" i="190"/>
  <c r="F206" i="190"/>
  <c r="E206" i="190"/>
  <c r="P205" i="190"/>
  <c r="O205" i="190"/>
  <c r="N205" i="190"/>
  <c r="M205" i="190"/>
  <c r="L205" i="190"/>
  <c r="K205" i="190"/>
  <c r="J205" i="190"/>
  <c r="I205" i="190"/>
  <c r="H205" i="190"/>
  <c r="G205" i="190"/>
  <c r="F205" i="190"/>
  <c r="E205" i="190"/>
  <c r="P204" i="190"/>
  <c r="O204" i="190"/>
  <c r="N204" i="190"/>
  <c r="M204" i="190"/>
  <c r="L204" i="190"/>
  <c r="K204" i="190"/>
  <c r="J204" i="190"/>
  <c r="I204" i="190"/>
  <c r="H204" i="190"/>
  <c r="G204" i="190"/>
  <c r="F204" i="190"/>
  <c r="E204" i="190"/>
  <c r="P203" i="190"/>
  <c r="O203" i="190"/>
  <c r="N203" i="190"/>
  <c r="M203" i="190"/>
  <c r="L203" i="190"/>
  <c r="K203" i="190"/>
  <c r="J203" i="190"/>
  <c r="I203" i="190"/>
  <c r="H203" i="190"/>
  <c r="G203" i="190"/>
  <c r="F203" i="190"/>
  <c r="E203" i="190"/>
  <c r="P202" i="190"/>
  <c r="O202" i="190"/>
  <c r="N202" i="190"/>
  <c r="M202" i="190"/>
  <c r="L202" i="190"/>
  <c r="K202" i="190"/>
  <c r="J202" i="190"/>
  <c r="I202" i="190"/>
  <c r="H202" i="190"/>
  <c r="G202" i="190"/>
  <c r="F202" i="190"/>
  <c r="E202" i="190"/>
  <c r="P201" i="190"/>
  <c r="O201" i="190"/>
  <c r="N201" i="190"/>
  <c r="M201" i="190"/>
  <c r="L201" i="190"/>
  <c r="K201" i="190"/>
  <c r="J201" i="190"/>
  <c r="I201" i="190"/>
  <c r="H201" i="190"/>
  <c r="G201" i="190"/>
  <c r="F201" i="190"/>
  <c r="E201" i="190"/>
  <c r="P200" i="190"/>
  <c r="O200" i="190"/>
  <c r="N200" i="190"/>
  <c r="M200" i="190"/>
  <c r="L200" i="190"/>
  <c r="K200" i="190"/>
  <c r="J200" i="190"/>
  <c r="I200" i="190"/>
  <c r="H200" i="190"/>
  <c r="G200" i="190"/>
  <c r="F200" i="190"/>
  <c r="E200" i="190"/>
  <c r="P194" i="190"/>
  <c r="O194" i="190"/>
  <c r="N194" i="190"/>
  <c r="M194" i="190"/>
  <c r="L194" i="190"/>
  <c r="K194" i="190"/>
  <c r="J194" i="190"/>
  <c r="I194" i="190"/>
  <c r="H194" i="190"/>
  <c r="G194" i="190"/>
  <c r="F194" i="190"/>
  <c r="E194" i="190"/>
  <c r="P193" i="190"/>
  <c r="O193" i="190"/>
  <c r="N193" i="190"/>
  <c r="M193" i="190"/>
  <c r="L193" i="190"/>
  <c r="K193" i="190"/>
  <c r="J193" i="190"/>
  <c r="I193" i="190"/>
  <c r="H193" i="190"/>
  <c r="G193" i="190"/>
  <c r="F193" i="190"/>
  <c r="E193" i="190"/>
  <c r="P192" i="190"/>
  <c r="O192" i="190"/>
  <c r="N192" i="190"/>
  <c r="M192" i="190"/>
  <c r="L192" i="190"/>
  <c r="K192" i="190"/>
  <c r="J192" i="190"/>
  <c r="I192" i="190"/>
  <c r="H192" i="190"/>
  <c r="G192" i="190"/>
  <c r="F192" i="190"/>
  <c r="E192" i="190"/>
  <c r="P191" i="190"/>
  <c r="O191" i="190"/>
  <c r="N191" i="190"/>
  <c r="M191" i="190"/>
  <c r="L191" i="190"/>
  <c r="K191" i="190"/>
  <c r="J191" i="190"/>
  <c r="I191" i="190"/>
  <c r="H191" i="190"/>
  <c r="G191" i="190"/>
  <c r="F191" i="190"/>
  <c r="E191" i="190"/>
  <c r="P190" i="190"/>
  <c r="O190" i="190"/>
  <c r="N190" i="190"/>
  <c r="M190" i="190"/>
  <c r="L190" i="190"/>
  <c r="K190" i="190"/>
  <c r="J190" i="190"/>
  <c r="I190" i="190"/>
  <c r="H190" i="190"/>
  <c r="G190" i="190"/>
  <c r="F190" i="190"/>
  <c r="E190" i="190"/>
  <c r="P189" i="190"/>
  <c r="O189" i="190"/>
  <c r="N189" i="190"/>
  <c r="M189" i="190"/>
  <c r="L189" i="190"/>
  <c r="K189" i="190"/>
  <c r="J189" i="190"/>
  <c r="I189" i="190"/>
  <c r="H189" i="190"/>
  <c r="G189" i="190"/>
  <c r="F189" i="190"/>
  <c r="E189" i="190"/>
  <c r="P188" i="190"/>
  <c r="O188" i="190"/>
  <c r="N188" i="190"/>
  <c r="M188" i="190"/>
  <c r="L188" i="190"/>
  <c r="K188" i="190"/>
  <c r="J188" i="190"/>
  <c r="I188" i="190"/>
  <c r="H188" i="190"/>
  <c r="G188" i="190"/>
  <c r="F188" i="190"/>
  <c r="E188" i="190"/>
  <c r="P187" i="190"/>
  <c r="O187" i="190"/>
  <c r="N187" i="190"/>
  <c r="M187" i="190"/>
  <c r="L187" i="190"/>
  <c r="K187" i="190"/>
  <c r="J187" i="190"/>
  <c r="I187" i="190"/>
  <c r="H187" i="190"/>
  <c r="G187" i="190"/>
  <c r="F187" i="190"/>
  <c r="E187" i="190"/>
  <c r="P186" i="190"/>
  <c r="O186" i="190"/>
  <c r="N186" i="190"/>
  <c r="M186" i="190"/>
  <c r="L186" i="190"/>
  <c r="K186" i="190"/>
  <c r="J186" i="190"/>
  <c r="I186" i="190"/>
  <c r="H186" i="190"/>
  <c r="G186" i="190"/>
  <c r="F186" i="190"/>
  <c r="E186" i="190"/>
  <c r="P185" i="190"/>
  <c r="O185" i="190"/>
  <c r="N185" i="190"/>
  <c r="M185" i="190"/>
  <c r="L185" i="190"/>
  <c r="K185" i="190"/>
  <c r="J185" i="190"/>
  <c r="I185" i="190"/>
  <c r="H185" i="190"/>
  <c r="G185" i="190"/>
  <c r="F185" i="190"/>
  <c r="E185" i="190"/>
  <c r="P184" i="190"/>
  <c r="O184" i="190"/>
  <c r="N184" i="190"/>
  <c r="M184" i="190"/>
  <c r="L184" i="190"/>
  <c r="K184" i="190"/>
  <c r="J184" i="190"/>
  <c r="I184" i="190"/>
  <c r="H184" i="190"/>
  <c r="G184" i="190"/>
  <c r="F184" i="190"/>
  <c r="E184" i="190"/>
  <c r="P183" i="190"/>
  <c r="O183" i="190"/>
  <c r="N183" i="190"/>
  <c r="M183" i="190"/>
  <c r="L183" i="190"/>
  <c r="K183" i="190"/>
  <c r="J183" i="190"/>
  <c r="I183" i="190"/>
  <c r="H183" i="190"/>
  <c r="G183" i="190"/>
  <c r="F183" i="190"/>
  <c r="E183" i="190"/>
  <c r="P182" i="190"/>
  <c r="O182" i="190"/>
  <c r="N182" i="190"/>
  <c r="M182" i="190"/>
  <c r="L182" i="190"/>
  <c r="K182" i="190"/>
  <c r="J182" i="190"/>
  <c r="I182" i="190"/>
  <c r="H182" i="190"/>
  <c r="G182" i="190"/>
  <c r="F182" i="190"/>
  <c r="E182" i="190"/>
  <c r="P181" i="190"/>
  <c r="O181" i="190"/>
  <c r="N181" i="190"/>
  <c r="M181" i="190"/>
  <c r="L181" i="190"/>
  <c r="K181" i="190"/>
  <c r="J181" i="190"/>
  <c r="I181" i="190"/>
  <c r="H181" i="190"/>
  <c r="G181" i="190"/>
  <c r="F181" i="190"/>
  <c r="E181" i="190"/>
  <c r="P180" i="190"/>
  <c r="O180" i="190"/>
  <c r="N180" i="190"/>
  <c r="M180" i="190"/>
  <c r="L180" i="190"/>
  <c r="K180" i="190"/>
  <c r="J180" i="190"/>
  <c r="I180" i="190"/>
  <c r="H180" i="190"/>
  <c r="G180" i="190"/>
  <c r="F180" i="190"/>
  <c r="E180" i="190"/>
  <c r="P179" i="190"/>
  <c r="O179" i="190"/>
  <c r="N179" i="190"/>
  <c r="M179" i="190"/>
  <c r="M178" i="190" s="1"/>
  <c r="M177" i="190" s="1"/>
  <c r="L179" i="190"/>
  <c r="K179" i="190"/>
  <c r="J179" i="190"/>
  <c r="I179" i="190"/>
  <c r="H179" i="190"/>
  <c r="G179" i="190"/>
  <c r="F179" i="190"/>
  <c r="E179" i="190"/>
  <c r="E178" i="190" s="1"/>
  <c r="P175" i="190"/>
  <c r="O175" i="190"/>
  <c r="N175" i="190"/>
  <c r="M175" i="190"/>
  <c r="L175" i="190"/>
  <c r="K175" i="190"/>
  <c r="J175" i="190"/>
  <c r="I175" i="190"/>
  <c r="H175" i="190"/>
  <c r="G175" i="190"/>
  <c r="F175" i="190"/>
  <c r="E175" i="190"/>
  <c r="P174" i="190"/>
  <c r="O174" i="190"/>
  <c r="N174" i="190"/>
  <c r="M174" i="190"/>
  <c r="L174" i="190"/>
  <c r="K174" i="190"/>
  <c r="J174" i="190"/>
  <c r="I174" i="190"/>
  <c r="H174" i="190"/>
  <c r="G174" i="190"/>
  <c r="F174" i="190"/>
  <c r="E174" i="190"/>
  <c r="P173" i="190"/>
  <c r="O173" i="190"/>
  <c r="N173" i="190"/>
  <c r="M173" i="190"/>
  <c r="L173" i="190"/>
  <c r="K173" i="190"/>
  <c r="J173" i="190"/>
  <c r="I173" i="190"/>
  <c r="H173" i="190"/>
  <c r="G173" i="190"/>
  <c r="F173" i="190"/>
  <c r="E173" i="190"/>
  <c r="P172" i="190"/>
  <c r="O172" i="190"/>
  <c r="N172" i="190"/>
  <c r="M172" i="190"/>
  <c r="L172" i="190"/>
  <c r="K172" i="190"/>
  <c r="J172" i="190"/>
  <c r="I172" i="190"/>
  <c r="H172" i="190"/>
  <c r="G172" i="190"/>
  <c r="F172" i="190"/>
  <c r="E172" i="190"/>
  <c r="P171" i="190"/>
  <c r="O171" i="190"/>
  <c r="N171" i="190"/>
  <c r="M171" i="190"/>
  <c r="L171" i="190"/>
  <c r="K171" i="190"/>
  <c r="J171" i="190"/>
  <c r="I171" i="190"/>
  <c r="H171" i="190"/>
  <c r="G171" i="190"/>
  <c r="F171" i="190"/>
  <c r="E171" i="190"/>
  <c r="P170" i="190"/>
  <c r="O170" i="190"/>
  <c r="N170" i="190"/>
  <c r="M170" i="190"/>
  <c r="L170" i="190"/>
  <c r="K170" i="190"/>
  <c r="J170" i="190"/>
  <c r="I170" i="190"/>
  <c r="H170" i="190"/>
  <c r="G170" i="190"/>
  <c r="F170" i="190"/>
  <c r="E170" i="190"/>
  <c r="P169" i="190"/>
  <c r="O169" i="190"/>
  <c r="N169" i="190"/>
  <c r="M169" i="190"/>
  <c r="L169" i="190"/>
  <c r="K169" i="190"/>
  <c r="J169" i="190"/>
  <c r="I169" i="190"/>
  <c r="H169" i="190"/>
  <c r="G169" i="190"/>
  <c r="F169" i="190"/>
  <c r="E169" i="190"/>
  <c r="P167" i="190"/>
  <c r="O167" i="190"/>
  <c r="N167" i="190"/>
  <c r="M167" i="190"/>
  <c r="L167" i="190"/>
  <c r="K167" i="190"/>
  <c r="J167" i="190"/>
  <c r="I167" i="190"/>
  <c r="H167" i="190"/>
  <c r="G167" i="190"/>
  <c r="F167" i="190"/>
  <c r="E167" i="190"/>
  <c r="P166" i="190"/>
  <c r="O166" i="190"/>
  <c r="N166" i="190"/>
  <c r="M166" i="190"/>
  <c r="L166" i="190"/>
  <c r="K166" i="190"/>
  <c r="J166" i="190"/>
  <c r="I166" i="190"/>
  <c r="H166" i="190"/>
  <c r="G166" i="190"/>
  <c r="F166" i="190"/>
  <c r="E166" i="190"/>
  <c r="P165" i="190"/>
  <c r="O165" i="190"/>
  <c r="N165" i="190"/>
  <c r="M165" i="190"/>
  <c r="L165" i="190"/>
  <c r="K165" i="190"/>
  <c r="J165" i="190"/>
  <c r="I165" i="190"/>
  <c r="H165" i="190"/>
  <c r="G165" i="190"/>
  <c r="F165" i="190"/>
  <c r="E165" i="190"/>
  <c r="P164" i="190"/>
  <c r="O164" i="190"/>
  <c r="N164" i="190"/>
  <c r="M164" i="190"/>
  <c r="L164" i="190"/>
  <c r="K164" i="190"/>
  <c r="J164" i="190"/>
  <c r="I164" i="190"/>
  <c r="H164" i="190"/>
  <c r="G164" i="190"/>
  <c r="F164" i="190"/>
  <c r="E164" i="190"/>
  <c r="P163" i="190"/>
  <c r="O163" i="190"/>
  <c r="N163" i="190"/>
  <c r="M163" i="190"/>
  <c r="L163" i="190"/>
  <c r="K163" i="190"/>
  <c r="J163" i="190"/>
  <c r="I163" i="190"/>
  <c r="H163" i="190"/>
  <c r="G163" i="190"/>
  <c r="F163" i="190"/>
  <c r="E163" i="190"/>
  <c r="P162" i="190"/>
  <c r="O162" i="190"/>
  <c r="N162" i="190"/>
  <c r="M162" i="190"/>
  <c r="L162" i="190"/>
  <c r="K162" i="190"/>
  <c r="J162" i="190"/>
  <c r="I162" i="190"/>
  <c r="H162" i="190"/>
  <c r="G162" i="190"/>
  <c r="F162" i="190"/>
  <c r="E162" i="190"/>
  <c r="P161" i="190"/>
  <c r="O161" i="190"/>
  <c r="N161" i="190"/>
  <c r="M161" i="190"/>
  <c r="L161" i="190"/>
  <c r="K161" i="190"/>
  <c r="J161" i="190"/>
  <c r="I161" i="190"/>
  <c r="H161" i="190"/>
  <c r="G161" i="190"/>
  <c r="F161" i="190"/>
  <c r="E161" i="190"/>
  <c r="P160" i="190"/>
  <c r="O160" i="190"/>
  <c r="N160" i="190"/>
  <c r="M160" i="190"/>
  <c r="L160" i="190"/>
  <c r="K160" i="190"/>
  <c r="J160" i="190"/>
  <c r="I160" i="190"/>
  <c r="H160" i="190"/>
  <c r="G160" i="190"/>
  <c r="F160" i="190"/>
  <c r="E160" i="190"/>
  <c r="P159" i="190"/>
  <c r="O159" i="190"/>
  <c r="N159" i="190"/>
  <c r="M159" i="190"/>
  <c r="L159" i="190"/>
  <c r="K159" i="190"/>
  <c r="J159" i="190"/>
  <c r="I159" i="190"/>
  <c r="H159" i="190"/>
  <c r="G159" i="190"/>
  <c r="F159" i="190"/>
  <c r="E159" i="190"/>
  <c r="P158" i="190"/>
  <c r="O158" i="190"/>
  <c r="N158" i="190"/>
  <c r="M158" i="190"/>
  <c r="L158" i="190"/>
  <c r="K158" i="190"/>
  <c r="J158" i="190"/>
  <c r="I158" i="190"/>
  <c r="H158" i="190"/>
  <c r="G158" i="190"/>
  <c r="F158" i="190"/>
  <c r="E158" i="190"/>
  <c r="P157" i="190"/>
  <c r="O157" i="190"/>
  <c r="N157" i="190"/>
  <c r="M157" i="190"/>
  <c r="L157" i="190"/>
  <c r="K157" i="190"/>
  <c r="J157" i="190"/>
  <c r="I157" i="190"/>
  <c r="H157" i="190"/>
  <c r="G157" i="190"/>
  <c r="F157" i="190"/>
  <c r="E157" i="190"/>
  <c r="P156" i="190"/>
  <c r="O156" i="190"/>
  <c r="N156" i="190"/>
  <c r="M156" i="190"/>
  <c r="L156" i="190"/>
  <c r="K156" i="190"/>
  <c r="J156" i="190"/>
  <c r="I156" i="190"/>
  <c r="H156" i="190"/>
  <c r="G156" i="190"/>
  <c r="F156" i="190"/>
  <c r="E156" i="190"/>
  <c r="P155" i="190"/>
  <c r="O155" i="190"/>
  <c r="N155" i="190"/>
  <c r="M155" i="190"/>
  <c r="L155" i="190"/>
  <c r="K155" i="190"/>
  <c r="J155" i="190"/>
  <c r="I155" i="190"/>
  <c r="H155" i="190"/>
  <c r="G155" i="190"/>
  <c r="F155" i="190"/>
  <c r="E155" i="190"/>
  <c r="P154" i="190"/>
  <c r="O154" i="190"/>
  <c r="N154" i="190"/>
  <c r="M154" i="190"/>
  <c r="L154" i="190"/>
  <c r="K154" i="190"/>
  <c r="J154" i="190"/>
  <c r="I154" i="190"/>
  <c r="H154" i="190"/>
  <c r="G154" i="190"/>
  <c r="F154" i="190"/>
  <c r="E154" i="190"/>
  <c r="P153" i="190"/>
  <c r="O153" i="190"/>
  <c r="N153" i="190"/>
  <c r="M153" i="190"/>
  <c r="L153" i="190"/>
  <c r="K153" i="190"/>
  <c r="J153" i="190"/>
  <c r="I153" i="190"/>
  <c r="H153" i="190"/>
  <c r="G153" i="190"/>
  <c r="F153" i="190"/>
  <c r="E153" i="190"/>
  <c r="P152" i="190"/>
  <c r="O152" i="190"/>
  <c r="N152" i="190"/>
  <c r="M152" i="190"/>
  <c r="L152" i="190"/>
  <c r="K152" i="190"/>
  <c r="J152" i="190"/>
  <c r="I152" i="190"/>
  <c r="H152" i="190"/>
  <c r="G152" i="190"/>
  <c r="F152" i="190"/>
  <c r="E152" i="190"/>
  <c r="P151" i="190"/>
  <c r="O151" i="190"/>
  <c r="N151" i="190"/>
  <c r="M151" i="190"/>
  <c r="L151" i="190"/>
  <c r="K151" i="190"/>
  <c r="J151" i="190"/>
  <c r="I151" i="190"/>
  <c r="H151" i="190"/>
  <c r="G151" i="190"/>
  <c r="F151" i="190"/>
  <c r="E151" i="190"/>
  <c r="P150" i="190"/>
  <c r="O150" i="190"/>
  <c r="N150" i="190"/>
  <c r="M150" i="190"/>
  <c r="L150" i="190"/>
  <c r="K150" i="190"/>
  <c r="J150" i="190"/>
  <c r="I150" i="190"/>
  <c r="H150" i="190"/>
  <c r="G150" i="190"/>
  <c r="F150" i="190"/>
  <c r="E150" i="190"/>
  <c r="P149" i="190"/>
  <c r="O149" i="190"/>
  <c r="N149" i="190"/>
  <c r="M149" i="190"/>
  <c r="L149" i="190"/>
  <c r="K149" i="190"/>
  <c r="J149" i="190"/>
  <c r="I149" i="190"/>
  <c r="H149" i="190"/>
  <c r="G149" i="190"/>
  <c r="F149" i="190"/>
  <c r="E149" i="190"/>
  <c r="P148" i="190"/>
  <c r="O148" i="190"/>
  <c r="N148" i="190"/>
  <c r="M148" i="190"/>
  <c r="L148" i="190"/>
  <c r="K148" i="190"/>
  <c r="J148" i="190"/>
  <c r="I148" i="190"/>
  <c r="H148" i="190"/>
  <c r="G148" i="190"/>
  <c r="F148" i="190"/>
  <c r="E148" i="190"/>
  <c r="P147" i="190"/>
  <c r="O147" i="190"/>
  <c r="N147" i="190"/>
  <c r="M147" i="190"/>
  <c r="L147" i="190"/>
  <c r="K147" i="190"/>
  <c r="J147" i="190"/>
  <c r="I147" i="190"/>
  <c r="H147" i="190"/>
  <c r="G147" i="190"/>
  <c r="F147" i="190"/>
  <c r="E147" i="190"/>
  <c r="P146" i="190"/>
  <c r="O146" i="190"/>
  <c r="N146" i="190"/>
  <c r="M146" i="190"/>
  <c r="L146" i="190"/>
  <c r="K146" i="190"/>
  <c r="J146" i="190"/>
  <c r="I146" i="190"/>
  <c r="H146" i="190"/>
  <c r="G146" i="190"/>
  <c r="F146" i="190"/>
  <c r="E146" i="190"/>
  <c r="P145" i="190"/>
  <c r="O145" i="190"/>
  <c r="N145" i="190"/>
  <c r="M145" i="190"/>
  <c r="L145" i="190"/>
  <c r="K145" i="190"/>
  <c r="J145" i="190"/>
  <c r="I145" i="190"/>
  <c r="H145" i="190"/>
  <c r="G145" i="190"/>
  <c r="F145" i="190"/>
  <c r="E145" i="190"/>
  <c r="P144" i="190"/>
  <c r="O144" i="190"/>
  <c r="N144" i="190"/>
  <c r="M144" i="190"/>
  <c r="L144" i="190"/>
  <c r="K144" i="190"/>
  <c r="J144" i="190"/>
  <c r="I144" i="190"/>
  <c r="H144" i="190"/>
  <c r="G144" i="190"/>
  <c r="F144" i="190"/>
  <c r="E144" i="190"/>
  <c r="P143" i="190"/>
  <c r="O143" i="190"/>
  <c r="N143" i="190"/>
  <c r="M143" i="190"/>
  <c r="L143" i="190"/>
  <c r="K143" i="190"/>
  <c r="J143" i="190"/>
  <c r="I143" i="190"/>
  <c r="H143" i="190"/>
  <c r="G143" i="190"/>
  <c r="F143" i="190"/>
  <c r="E143" i="190"/>
  <c r="P142" i="190"/>
  <c r="O142" i="190"/>
  <c r="N142" i="190"/>
  <c r="M142" i="190"/>
  <c r="L142" i="190"/>
  <c r="K142" i="190"/>
  <c r="J142" i="190"/>
  <c r="I142" i="190"/>
  <c r="H142" i="190"/>
  <c r="G142" i="190"/>
  <c r="F142" i="190"/>
  <c r="E142" i="190"/>
  <c r="P141" i="190"/>
  <c r="O141" i="190"/>
  <c r="N141" i="190"/>
  <c r="M141" i="190"/>
  <c r="L141" i="190"/>
  <c r="K141" i="190"/>
  <c r="J141" i="190"/>
  <c r="I141" i="190"/>
  <c r="H141" i="190"/>
  <c r="G141" i="190"/>
  <c r="F141" i="190"/>
  <c r="E141" i="190"/>
  <c r="P140" i="190"/>
  <c r="O140" i="190"/>
  <c r="N140" i="190"/>
  <c r="M140" i="190"/>
  <c r="L140" i="190"/>
  <c r="K140" i="190"/>
  <c r="J140" i="190"/>
  <c r="I140" i="190"/>
  <c r="H140" i="190"/>
  <c r="G140" i="190"/>
  <c r="F140" i="190"/>
  <c r="E140" i="190"/>
  <c r="P139" i="190"/>
  <c r="O139" i="190"/>
  <c r="N139" i="190"/>
  <c r="M139" i="190"/>
  <c r="L139" i="190"/>
  <c r="K139" i="190"/>
  <c r="J139" i="190"/>
  <c r="I139" i="190"/>
  <c r="H139" i="190"/>
  <c r="G139" i="190"/>
  <c r="F139" i="190"/>
  <c r="E139" i="190"/>
  <c r="P138" i="190"/>
  <c r="O138" i="190"/>
  <c r="N138" i="190"/>
  <c r="M138" i="190"/>
  <c r="L138" i="190"/>
  <c r="K138" i="190"/>
  <c r="J138" i="190"/>
  <c r="I138" i="190"/>
  <c r="H138" i="190"/>
  <c r="G138" i="190"/>
  <c r="F138" i="190"/>
  <c r="E138" i="190"/>
  <c r="P137" i="190"/>
  <c r="O137" i="190"/>
  <c r="N137" i="190"/>
  <c r="M137" i="190"/>
  <c r="L137" i="190"/>
  <c r="K137" i="190"/>
  <c r="J137" i="190"/>
  <c r="I137" i="190"/>
  <c r="H137" i="190"/>
  <c r="G137" i="190"/>
  <c r="F137" i="190"/>
  <c r="E137" i="190"/>
  <c r="P136" i="190"/>
  <c r="O136" i="190"/>
  <c r="N136" i="190"/>
  <c r="M136" i="190"/>
  <c r="L136" i="190"/>
  <c r="K136" i="190"/>
  <c r="J136" i="190"/>
  <c r="I136" i="190"/>
  <c r="H136" i="190"/>
  <c r="G136" i="190"/>
  <c r="F136" i="190"/>
  <c r="E136" i="190"/>
  <c r="P135" i="190"/>
  <c r="O135" i="190"/>
  <c r="N135" i="190"/>
  <c r="M135" i="190"/>
  <c r="L135" i="190"/>
  <c r="K135" i="190"/>
  <c r="J135" i="190"/>
  <c r="I135" i="190"/>
  <c r="H135" i="190"/>
  <c r="G135" i="190"/>
  <c r="F135" i="190"/>
  <c r="E135" i="190"/>
  <c r="P134" i="190"/>
  <c r="O134" i="190"/>
  <c r="N134" i="190"/>
  <c r="M134" i="190"/>
  <c r="L134" i="190"/>
  <c r="K134" i="190"/>
  <c r="J134" i="190"/>
  <c r="I134" i="190"/>
  <c r="H134" i="190"/>
  <c r="G134" i="190"/>
  <c r="F134" i="190"/>
  <c r="E134" i="190"/>
  <c r="P133" i="190"/>
  <c r="O133" i="190"/>
  <c r="N133" i="190"/>
  <c r="M133" i="190"/>
  <c r="L133" i="190"/>
  <c r="K133" i="190"/>
  <c r="J133" i="190"/>
  <c r="I133" i="190"/>
  <c r="H133" i="190"/>
  <c r="G133" i="190"/>
  <c r="F133" i="190"/>
  <c r="E133" i="190"/>
  <c r="P132" i="190"/>
  <c r="O132" i="190"/>
  <c r="N132" i="190"/>
  <c r="M132" i="190"/>
  <c r="L132" i="190"/>
  <c r="K132" i="190"/>
  <c r="J132" i="190"/>
  <c r="I132" i="190"/>
  <c r="H132" i="190"/>
  <c r="G132" i="190"/>
  <c r="F132" i="190"/>
  <c r="E132" i="190"/>
  <c r="P131" i="190"/>
  <c r="O131" i="190"/>
  <c r="N131" i="190"/>
  <c r="M131" i="190"/>
  <c r="L131" i="190"/>
  <c r="K131" i="190"/>
  <c r="J131" i="190"/>
  <c r="I131" i="190"/>
  <c r="H131" i="190"/>
  <c r="G131" i="190"/>
  <c r="F131" i="190"/>
  <c r="E131" i="190"/>
  <c r="P130" i="190"/>
  <c r="O130" i="190"/>
  <c r="N130" i="190"/>
  <c r="M130" i="190"/>
  <c r="L130" i="190"/>
  <c r="K130" i="190"/>
  <c r="J130" i="190"/>
  <c r="I130" i="190"/>
  <c r="H130" i="190"/>
  <c r="G130" i="190"/>
  <c r="F130" i="190"/>
  <c r="E130" i="190"/>
  <c r="P129" i="190"/>
  <c r="O129" i="190"/>
  <c r="N129" i="190"/>
  <c r="M129" i="190"/>
  <c r="L129" i="190"/>
  <c r="K129" i="190"/>
  <c r="J129" i="190"/>
  <c r="I129" i="190"/>
  <c r="H129" i="190"/>
  <c r="G129" i="190"/>
  <c r="F129" i="190"/>
  <c r="E129" i="190"/>
  <c r="P128" i="190"/>
  <c r="O128" i="190"/>
  <c r="N128" i="190"/>
  <c r="M128" i="190"/>
  <c r="L128" i="190"/>
  <c r="K128" i="190"/>
  <c r="J128" i="190"/>
  <c r="I128" i="190"/>
  <c r="H128" i="190"/>
  <c r="G128" i="190"/>
  <c r="F128" i="190"/>
  <c r="E128" i="190"/>
  <c r="P127" i="190"/>
  <c r="O127" i="190"/>
  <c r="N127" i="190"/>
  <c r="M127" i="190"/>
  <c r="L127" i="190"/>
  <c r="K127" i="190"/>
  <c r="J127" i="190"/>
  <c r="I127" i="190"/>
  <c r="H127" i="190"/>
  <c r="G127" i="190"/>
  <c r="F127" i="190"/>
  <c r="E127" i="190"/>
  <c r="P126" i="190"/>
  <c r="O126" i="190"/>
  <c r="N126" i="190"/>
  <c r="M126" i="190"/>
  <c r="L126" i="190"/>
  <c r="K126" i="190"/>
  <c r="J126" i="190"/>
  <c r="I126" i="190"/>
  <c r="H126" i="190"/>
  <c r="G126" i="190"/>
  <c r="F126" i="190"/>
  <c r="E126" i="190"/>
  <c r="P125" i="190"/>
  <c r="O125" i="190"/>
  <c r="N125" i="190"/>
  <c r="M125" i="190"/>
  <c r="L125" i="190"/>
  <c r="K125" i="190"/>
  <c r="J125" i="190"/>
  <c r="I125" i="190"/>
  <c r="H125" i="190"/>
  <c r="G125" i="190"/>
  <c r="F125" i="190"/>
  <c r="E125" i="190"/>
  <c r="P124" i="190"/>
  <c r="O124" i="190"/>
  <c r="N124" i="190"/>
  <c r="M124" i="190"/>
  <c r="L124" i="190"/>
  <c r="K124" i="190"/>
  <c r="J124" i="190"/>
  <c r="I124" i="190"/>
  <c r="H124" i="190"/>
  <c r="G124" i="190"/>
  <c r="F124" i="190"/>
  <c r="E124" i="190"/>
  <c r="P123" i="190"/>
  <c r="O123" i="190"/>
  <c r="N123" i="190"/>
  <c r="M123" i="190"/>
  <c r="L123" i="190"/>
  <c r="K123" i="190"/>
  <c r="J123" i="190"/>
  <c r="I123" i="190"/>
  <c r="H123" i="190"/>
  <c r="G123" i="190"/>
  <c r="F123" i="190"/>
  <c r="E123" i="190"/>
  <c r="P122" i="190"/>
  <c r="O122" i="190"/>
  <c r="N122" i="190"/>
  <c r="M122" i="190"/>
  <c r="L122" i="190"/>
  <c r="K122" i="190"/>
  <c r="J122" i="190"/>
  <c r="I122" i="190"/>
  <c r="H122" i="190"/>
  <c r="G122" i="190"/>
  <c r="F122" i="190"/>
  <c r="E122" i="190"/>
  <c r="P121" i="190"/>
  <c r="O121" i="190"/>
  <c r="N121" i="190"/>
  <c r="M121" i="190"/>
  <c r="L121" i="190"/>
  <c r="K121" i="190"/>
  <c r="J121" i="190"/>
  <c r="I121" i="190"/>
  <c r="H121" i="190"/>
  <c r="G121" i="190"/>
  <c r="F121" i="190"/>
  <c r="E121" i="190"/>
  <c r="P113" i="190"/>
  <c r="O113" i="190"/>
  <c r="N113" i="190"/>
  <c r="M113" i="190"/>
  <c r="L113" i="190"/>
  <c r="K113" i="190"/>
  <c r="J113" i="190"/>
  <c r="I113" i="190"/>
  <c r="H113" i="190"/>
  <c r="G113" i="190"/>
  <c r="F113" i="190"/>
  <c r="E113" i="190"/>
  <c r="P112" i="190"/>
  <c r="O112" i="190"/>
  <c r="N112" i="190"/>
  <c r="M112" i="190"/>
  <c r="L112" i="190"/>
  <c r="K112" i="190"/>
  <c r="J112" i="190"/>
  <c r="I112" i="190"/>
  <c r="H112" i="190"/>
  <c r="G112" i="190"/>
  <c r="F112" i="190"/>
  <c r="E112" i="190"/>
  <c r="P111" i="190"/>
  <c r="O111" i="190"/>
  <c r="N111" i="190"/>
  <c r="M111" i="190"/>
  <c r="L111" i="190"/>
  <c r="K111" i="190"/>
  <c r="J111" i="190"/>
  <c r="I111" i="190"/>
  <c r="H111" i="190"/>
  <c r="G111" i="190"/>
  <c r="F111" i="190"/>
  <c r="E111" i="190"/>
  <c r="P110" i="190"/>
  <c r="O110" i="190"/>
  <c r="N110" i="190"/>
  <c r="M110" i="190"/>
  <c r="L110" i="190"/>
  <c r="K110" i="190"/>
  <c r="J110" i="190"/>
  <c r="I110" i="190"/>
  <c r="H110" i="190"/>
  <c r="G110" i="190"/>
  <c r="F110" i="190"/>
  <c r="E110" i="190"/>
  <c r="P109" i="190"/>
  <c r="O109" i="190"/>
  <c r="N109" i="190"/>
  <c r="M109" i="190"/>
  <c r="L109" i="190"/>
  <c r="K109" i="190"/>
  <c r="J109" i="190"/>
  <c r="I109" i="190"/>
  <c r="H109" i="190"/>
  <c r="G109" i="190"/>
  <c r="F109" i="190"/>
  <c r="E109" i="190"/>
  <c r="P108" i="190"/>
  <c r="O108" i="190"/>
  <c r="N108" i="190"/>
  <c r="M108" i="190"/>
  <c r="L108" i="190"/>
  <c r="K108" i="190"/>
  <c r="J108" i="190"/>
  <c r="I108" i="190"/>
  <c r="H108" i="190"/>
  <c r="G108" i="190"/>
  <c r="F108" i="190"/>
  <c r="E108" i="190"/>
  <c r="P107" i="190"/>
  <c r="O107" i="190"/>
  <c r="N107" i="190"/>
  <c r="M107" i="190"/>
  <c r="L107" i="190"/>
  <c r="K107" i="190"/>
  <c r="J107" i="190"/>
  <c r="I107" i="190"/>
  <c r="H107" i="190"/>
  <c r="G107" i="190"/>
  <c r="F107" i="190"/>
  <c r="E107" i="190"/>
  <c r="P106" i="190"/>
  <c r="O106" i="190"/>
  <c r="N106" i="190"/>
  <c r="M106" i="190"/>
  <c r="L106" i="190"/>
  <c r="K106" i="190"/>
  <c r="J106" i="190"/>
  <c r="I106" i="190"/>
  <c r="H106" i="190"/>
  <c r="G106" i="190"/>
  <c r="F106" i="190"/>
  <c r="E106" i="190"/>
  <c r="P105" i="190"/>
  <c r="O105" i="190"/>
  <c r="N105" i="190"/>
  <c r="M105" i="190"/>
  <c r="L105" i="190"/>
  <c r="K105" i="190"/>
  <c r="J105" i="190"/>
  <c r="I105" i="190"/>
  <c r="H105" i="190"/>
  <c r="G105" i="190"/>
  <c r="F105" i="190"/>
  <c r="E105" i="190"/>
  <c r="P102" i="190"/>
  <c r="O102" i="190"/>
  <c r="N102" i="190"/>
  <c r="M102" i="190"/>
  <c r="L102" i="190"/>
  <c r="K102" i="190"/>
  <c r="J102" i="190"/>
  <c r="I102" i="190"/>
  <c r="H102" i="190"/>
  <c r="G102" i="190"/>
  <c r="F102" i="190"/>
  <c r="E102" i="190"/>
  <c r="P101" i="190"/>
  <c r="O101" i="190"/>
  <c r="N101" i="190"/>
  <c r="M101" i="190"/>
  <c r="L101" i="190"/>
  <c r="K101" i="190"/>
  <c r="J101" i="190"/>
  <c r="I101" i="190"/>
  <c r="H101" i="190"/>
  <c r="G101" i="190"/>
  <c r="F101" i="190"/>
  <c r="E101" i="190"/>
  <c r="P100" i="190"/>
  <c r="O100" i="190"/>
  <c r="N100" i="190"/>
  <c r="M100" i="190"/>
  <c r="L100" i="190"/>
  <c r="K100" i="190"/>
  <c r="J100" i="190"/>
  <c r="I100" i="190"/>
  <c r="H100" i="190"/>
  <c r="G100" i="190"/>
  <c r="F100" i="190"/>
  <c r="E100" i="190"/>
  <c r="P99" i="190"/>
  <c r="O99" i="190"/>
  <c r="N99" i="190"/>
  <c r="M99" i="190"/>
  <c r="L99" i="190"/>
  <c r="K99" i="190"/>
  <c r="J99" i="190"/>
  <c r="I99" i="190"/>
  <c r="H99" i="190"/>
  <c r="G99" i="190"/>
  <c r="F99" i="190"/>
  <c r="E99" i="190"/>
  <c r="P98" i="190"/>
  <c r="O98" i="190"/>
  <c r="N98" i="190"/>
  <c r="M98" i="190"/>
  <c r="L98" i="190"/>
  <c r="K98" i="190"/>
  <c r="J98" i="190"/>
  <c r="I98" i="190"/>
  <c r="H98" i="190"/>
  <c r="G98" i="190"/>
  <c r="F98" i="190"/>
  <c r="E98" i="190"/>
  <c r="P97" i="190"/>
  <c r="O97" i="190"/>
  <c r="N97" i="190"/>
  <c r="M97" i="190"/>
  <c r="L97" i="190"/>
  <c r="K97" i="190"/>
  <c r="J97" i="190"/>
  <c r="I97" i="190"/>
  <c r="H97" i="190"/>
  <c r="G97" i="190"/>
  <c r="F97" i="190"/>
  <c r="E97" i="190"/>
  <c r="P96" i="190"/>
  <c r="O96" i="190"/>
  <c r="N96" i="190"/>
  <c r="M96" i="190"/>
  <c r="L96" i="190"/>
  <c r="K96" i="190"/>
  <c r="J96" i="190"/>
  <c r="I96" i="190"/>
  <c r="H96" i="190"/>
  <c r="G96" i="190"/>
  <c r="F96" i="190"/>
  <c r="E96" i="190"/>
  <c r="P95" i="190"/>
  <c r="O95" i="190"/>
  <c r="N95" i="190"/>
  <c r="M95" i="190"/>
  <c r="L95" i="190"/>
  <c r="K95" i="190"/>
  <c r="J95" i="190"/>
  <c r="I95" i="190"/>
  <c r="H95" i="190"/>
  <c r="G95" i="190"/>
  <c r="F95" i="190"/>
  <c r="E95" i="190"/>
  <c r="P94" i="190"/>
  <c r="O94" i="190"/>
  <c r="N94" i="190"/>
  <c r="M94" i="190"/>
  <c r="L94" i="190"/>
  <c r="K94" i="190"/>
  <c r="J94" i="190"/>
  <c r="I94" i="190"/>
  <c r="H94" i="190"/>
  <c r="G94" i="190"/>
  <c r="F94" i="190"/>
  <c r="E94" i="190"/>
  <c r="P93" i="190"/>
  <c r="O93" i="190"/>
  <c r="N93" i="190"/>
  <c r="M93" i="190"/>
  <c r="L93" i="190"/>
  <c r="K93" i="190"/>
  <c r="J93" i="190"/>
  <c r="I93" i="190"/>
  <c r="H93" i="190"/>
  <c r="H92" i="190" s="1"/>
  <c r="H91" i="190" s="1"/>
  <c r="G93" i="190"/>
  <c r="F93" i="190"/>
  <c r="E93" i="190"/>
  <c r="P87" i="190"/>
  <c r="O87" i="190"/>
  <c r="N87" i="190"/>
  <c r="M87" i="190"/>
  <c r="L87" i="190"/>
  <c r="K87" i="190"/>
  <c r="J87" i="190"/>
  <c r="I87" i="190"/>
  <c r="H87" i="190"/>
  <c r="G87" i="190"/>
  <c r="F87" i="190"/>
  <c r="E87" i="190"/>
  <c r="P86" i="190"/>
  <c r="O86" i="190"/>
  <c r="N86" i="190"/>
  <c r="M86" i="190"/>
  <c r="L86" i="190"/>
  <c r="K86" i="190"/>
  <c r="J86" i="190"/>
  <c r="I86" i="190"/>
  <c r="H86" i="190"/>
  <c r="G86" i="190"/>
  <c r="F86" i="190"/>
  <c r="E86" i="190"/>
  <c r="P85" i="190"/>
  <c r="O85" i="190"/>
  <c r="N85" i="190"/>
  <c r="M85" i="190"/>
  <c r="L85" i="190"/>
  <c r="K85" i="190"/>
  <c r="J85" i="190"/>
  <c r="I85" i="190"/>
  <c r="H85" i="190"/>
  <c r="G85" i="190"/>
  <c r="F85" i="190"/>
  <c r="E85" i="190"/>
  <c r="P84" i="190"/>
  <c r="O84" i="190"/>
  <c r="N84" i="190"/>
  <c r="M84" i="190"/>
  <c r="L84" i="190"/>
  <c r="K84" i="190"/>
  <c r="J84" i="190"/>
  <c r="I84" i="190"/>
  <c r="H84" i="190"/>
  <c r="G84" i="190"/>
  <c r="F84" i="190"/>
  <c r="E84" i="190"/>
  <c r="P83" i="190"/>
  <c r="O83" i="190"/>
  <c r="N83" i="190"/>
  <c r="M83" i="190"/>
  <c r="L83" i="190"/>
  <c r="K83" i="190"/>
  <c r="J83" i="190"/>
  <c r="I83" i="190"/>
  <c r="H83" i="190"/>
  <c r="G83" i="190"/>
  <c r="F83" i="190"/>
  <c r="E83" i="190"/>
  <c r="P82" i="190"/>
  <c r="O82" i="190"/>
  <c r="N82" i="190"/>
  <c r="M82" i="190"/>
  <c r="L82" i="190"/>
  <c r="K82" i="190"/>
  <c r="J82" i="190"/>
  <c r="I82" i="190"/>
  <c r="H82" i="190"/>
  <c r="G82" i="190"/>
  <c r="F82" i="190"/>
  <c r="E82" i="190"/>
  <c r="P81" i="190"/>
  <c r="O81" i="190"/>
  <c r="N81" i="190"/>
  <c r="M81" i="190"/>
  <c r="L81" i="190"/>
  <c r="K81" i="190"/>
  <c r="J81" i="190"/>
  <c r="I81" i="190"/>
  <c r="H81" i="190"/>
  <c r="G81" i="190"/>
  <c r="F81" i="190"/>
  <c r="E81" i="190"/>
  <c r="P80" i="190"/>
  <c r="O80" i="190"/>
  <c r="N80" i="190"/>
  <c r="M80" i="190"/>
  <c r="L80" i="190"/>
  <c r="K80" i="190"/>
  <c r="J80" i="190"/>
  <c r="I80" i="190"/>
  <c r="H80" i="190"/>
  <c r="G80" i="190"/>
  <c r="F80" i="190"/>
  <c r="E80" i="190"/>
  <c r="P79" i="190"/>
  <c r="O79" i="190"/>
  <c r="N79" i="190"/>
  <c r="M79" i="190"/>
  <c r="L79" i="190"/>
  <c r="K79" i="190"/>
  <c r="J79" i="190"/>
  <c r="I79" i="190"/>
  <c r="H79" i="190"/>
  <c r="G79" i="190"/>
  <c r="F79" i="190"/>
  <c r="E79" i="190"/>
  <c r="P78" i="190"/>
  <c r="O78" i="190"/>
  <c r="N78" i="190"/>
  <c r="M78" i="190"/>
  <c r="L78" i="190"/>
  <c r="K78" i="190"/>
  <c r="J78" i="190"/>
  <c r="I78" i="190"/>
  <c r="H78" i="190"/>
  <c r="G78" i="190"/>
  <c r="F78" i="190"/>
  <c r="E78" i="190"/>
  <c r="P77" i="190"/>
  <c r="O77" i="190"/>
  <c r="N77" i="190"/>
  <c r="M77" i="190"/>
  <c r="L77" i="190"/>
  <c r="K77" i="190"/>
  <c r="J77" i="190"/>
  <c r="I77" i="190"/>
  <c r="H77" i="190"/>
  <c r="G77" i="190"/>
  <c r="F77" i="190"/>
  <c r="E77" i="190"/>
  <c r="P76" i="190"/>
  <c r="O76" i="190"/>
  <c r="N76" i="190"/>
  <c r="M76" i="190"/>
  <c r="L76" i="190"/>
  <c r="K76" i="190"/>
  <c r="J76" i="190"/>
  <c r="I76" i="190"/>
  <c r="H76" i="190"/>
  <c r="G76" i="190"/>
  <c r="F76" i="190"/>
  <c r="E76" i="190"/>
  <c r="P75" i="190"/>
  <c r="O75" i="190"/>
  <c r="N75" i="190"/>
  <c r="M75" i="190"/>
  <c r="L75" i="190"/>
  <c r="K75" i="190"/>
  <c r="J75" i="190"/>
  <c r="I75" i="190"/>
  <c r="H75" i="190"/>
  <c r="G75" i="190"/>
  <c r="F75" i="190"/>
  <c r="E75" i="190"/>
  <c r="P67" i="190"/>
  <c r="O67" i="190"/>
  <c r="N67" i="190"/>
  <c r="M67" i="190"/>
  <c r="L67" i="190"/>
  <c r="K67" i="190"/>
  <c r="J67" i="190"/>
  <c r="I67" i="190"/>
  <c r="H67" i="190"/>
  <c r="G67" i="190"/>
  <c r="F67" i="190"/>
  <c r="E67" i="190"/>
  <c r="P66" i="190"/>
  <c r="O66" i="190"/>
  <c r="N66" i="190"/>
  <c r="M66" i="190"/>
  <c r="L66" i="190"/>
  <c r="K66" i="190"/>
  <c r="J66" i="190"/>
  <c r="I66" i="190"/>
  <c r="H66" i="190"/>
  <c r="G66" i="190"/>
  <c r="F66" i="190"/>
  <c r="E66" i="190"/>
  <c r="P65" i="190"/>
  <c r="O65" i="190"/>
  <c r="N65" i="190"/>
  <c r="M65" i="190"/>
  <c r="L65" i="190"/>
  <c r="K65" i="190"/>
  <c r="J65" i="190"/>
  <c r="I65" i="190"/>
  <c r="H65" i="190"/>
  <c r="G65" i="190"/>
  <c r="F65" i="190"/>
  <c r="E65" i="190"/>
  <c r="P64" i="190"/>
  <c r="O64" i="190"/>
  <c r="N64" i="190"/>
  <c r="M64" i="190"/>
  <c r="L64" i="190"/>
  <c r="K64" i="190"/>
  <c r="J64" i="190"/>
  <c r="I64" i="190"/>
  <c r="H64" i="190"/>
  <c r="G64" i="190"/>
  <c r="F64" i="190"/>
  <c r="E64" i="190"/>
  <c r="P63" i="190"/>
  <c r="O63" i="190"/>
  <c r="N63" i="190"/>
  <c r="M63" i="190"/>
  <c r="L63" i="190"/>
  <c r="K63" i="190"/>
  <c r="J63" i="190"/>
  <c r="I63" i="190"/>
  <c r="H63" i="190"/>
  <c r="G63" i="190"/>
  <c r="F63" i="190"/>
  <c r="E63" i="190"/>
  <c r="P62" i="190"/>
  <c r="O62" i="190"/>
  <c r="N62" i="190"/>
  <c r="M62" i="190"/>
  <c r="L62" i="190"/>
  <c r="K62" i="190"/>
  <c r="J62" i="190"/>
  <c r="I62" i="190"/>
  <c r="H62" i="190"/>
  <c r="G62" i="190"/>
  <c r="F62" i="190"/>
  <c r="E62" i="190"/>
  <c r="P61" i="190"/>
  <c r="O61" i="190"/>
  <c r="N61" i="190"/>
  <c r="M61" i="190"/>
  <c r="L61" i="190"/>
  <c r="K61" i="190"/>
  <c r="J61" i="190"/>
  <c r="I61" i="190"/>
  <c r="H61" i="190"/>
  <c r="G61" i="190"/>
  <c r="F61" i="190"/>
  <c r="E61" i="190"/>
  <c r="P60" i="190"/>
  <c r="O60" i="190"/>
  <c r="N60" i="190"/>
  <c r="M60" i="190"/>
  <c r="L60" i="190"/>
  <c r="K60" i="190"/>
  <c r="J60" i="190"/>
  <c r="I60" i="190"/>
  <c r="H60" i="190"/>
  <c r="G60" i="190"/>
  <c r="F60" i="190"/>
  <c r="E60" i="190"/>
  <c r="P59" i="190"/>
  <c r="O59" i="190"/>
  <c r="N59" i="190"/>
  <c r="M59" i="190"/>
  <c r="L59" i="190"/>
  <c r="K59" i="190"/>
  <c r="J59" i="190"/>
  <c r="I59" i="190"/>
  <c r="H59" i="190"/>
  <c r="G59" i="190"/>
  <c r="F59" i="190"/>
  <c r="E59" i="190"/>
  <c r="P58" i="190"/>
  <c r="O58" i="190"/>
  <c r="N58" i="190"/>
  <c r="M58" i="190"/>
  <c r="L58" i="190"/>
  <c r="K58" i="190"/>
  <c r="J58" i="190"/>
  <c r="I58" i="190"/>
  <c r="H58" i="190"/>
  <c r="G58" i="190"/>
  <c r="F58" i="190"/>
  <c r="E58" i="190"/>
  <c r="P57" i="190"/>
  <c r="O57" i="190"/>
  <c r="N57" i="190"/>
  <c r="M57" i="190"/>
  <c r="L57" i="190"/>
  <c r="K57" i="190"/>
  <c r="J57" i="190"/>
  <c r="I57" i="190"/>
  <c r="H57" i="190"/>
  <c r="G57" i="190"/>
  <c r="F57" i="190"/>
  <c r="E57" i="190"/>
  <c r="P53" i="190"/>
  <c r="O53" i="190"/>
  <c r="N53" i="190"/>
  <c r="M53" i="190"/>
  <c r="L53" i="190"/>
  <c r="K53" i="190"/>
  <c r="J53" i="190"/>
  <c r="I53" i="190"/>
  <c r="H53" i="190"/>
  <c r="G53" i="190"/>
  <c r="F53" i="190"/>
  <c r="E53" i="190"/>
  <c r="P52" i="190"/>
  <c r="O52" i="190"/>
  <c r="N52" i="190"/>
  <c r="M52" i="190"/>
  <c r="L52" i="190"/>
  <c r="K52" i="190"/>
  <c r="J52" i="190"/>
  <c r="I52" i="190"/>
  <c r="H52" i="190"/>
  <c r="G52" i="190"/>
  <c r="F52" i="190"/>
  <c r="E52" i="190"/>
  <c r="P51" i="190"/>
  <c r="O51" i="190"/>
  <c r="N51" i="190"/>
  <c r="M51" i="190"/>
  <c r="L51" i="190"/>
  <c r="K51" i="190"/>
  <c r="J51" i="190"/>
  <c r="I51" i="190"/>
  <c r="H51" i="190"/>
  <c r="G51" i="190"/>
  <c r="F51" i="190"/>
  <c r="E51" i="190"/>
  <c r="P50" i="190"/>
  <c r="O50" i="190"/>
  <c r="N50" i="190"/>
  <c r="M50" i="190"/>
  <c r="L50" i="190"/>
  <c r="K50" i="190"/>
  <c r="J50" i="190"/>
  <c r="I50" i="190"/>
  <c r="H50" i="190"/>
  <c r="G50" i="190"/>
  <c r="F50" i="190"/>
  <c r="E50" i="190"/>
  <c r="P49" i="190"/>
  <c r="O49" i="190"/>
  <c r="N49" i="190"/>
  <c r="M49" i="190"/>
  <c r="L49" i="190"/>
  <c r="K49" i="190"/>
  <c r="J49" i="190"/>
  <c r="I49" i="190"/>
  <c r="H49" i="190"/>
  <c r="G49" i="190"/>
  <c r="F49" i="190"/>
  <c r="E49" i="190"/>
  <c r="P48" i="190"/>
  <c r="O48" i="190"/>
  <c r="N48" i="190"/>
  <c r="M48" i="190"/>
  <c r="L48" i="190"/>
  <c r="K48" i="190"/>
  <c r="J48" i="190"/>
  <c r="I48" i="190"/>
  <c r="H48" i="190"/>
  <c r="G48" i="190"/>
  <c r="F48" i="190"/>
  <c r="E48" i="190"/>
  <c r="P47" i="190"/>
  <c r="O47" i="190"/>
  <c r="N47" i="190"/>
  <c r="M47" i="190"/>
  <c r="L47" i="190"/>
  <c r="K47" i="190"/>
  <c r="J47" i="190"/>
  <c r="I47" i="190"/>
  <c r="H47" i="190"/>
  <c r="G47" i="190"/>
  <c r="F47" i="190"/>
  <c r="E47" i="190"/>
  <c r="P46" i="190"/>
  <c r="O46" i="190"/>
  <c r="N46" i="190"/>
  <c r="M46" i="190"/>
  <c r="L46" i="190"/>
  <c r="K46" i="190"/>
  <c r="J46" i="190"/>
  <c r="I46" i="190"/>
  <c r="H46" i="190"/>
  <c r="G46" i="190"/>
  <c r="F46" i="190"/>
  <c r="E46" i="190"/>
  <c r="P45" i="190"/>
  <c r="O45" i="190"/>
  <c r="N45" i="190"/>
  <c r="M45" i="190"/>
  <c r="L45" i="190"/>
  <c r="K45" i="190"/>
  <c r="J45" i="190"/>
  <c r="I45" i="190"/>
  <c r="I44" i="190" s="1"/>
  <c r="I43" i="190" s="1"/>
  <c r="H45" i="190"/>
  <c r="G45" i="190"/>
  <c r="F45" i="190"/>
  <c r="E45" i="190"/>
  <c r="P42" i="190"/>
  <c r="O42" i="190"/>
  <c r="N42" i="190"/>
  <c r="M42" i="190"/>
  <c r="L42" i="190"/>
  <c r="K42" i="190"/>
  <c r="J42" i="190"/>
  <c r="I42" i="190"/>
  <c r="H42" i="190"/>
  <c r="G42" i="190"/>
  <c r="F42" i="190"/>
  <c r="E42" i="190"/>
  <c r="P41" i="190"/>
  <c r="O41" i="190"/>
  <c r="N41" i="190"/>
  <c r="M41" i="190"/>
  <c r="L41" i="190"/>
  <c r="K41" i="190"/>
  <c r="J41" i="190"/>
  <c r="I41" i="190"/>
  <c r="H41" i="190"/>
  <c r="G41" i="190"/>
  <c r="F41" i="190"/>
  <c r="E41" i="190"/>
  <c r="P40" i="190"/>
  <c r="O40" i="190"/>
  <c r="N40" i="190"/>
  <c r="M40" i="190"/>
  <c r="L40" i="190"/>
  <c r="K40" i="190"/>
  <c r="J40" i="190"/>
  <c r="I40" i="190"/>
  <c r="H40" i="190"/>
  <c r="G40" i="190"/>
  <c r="F40" i="190"/>
  <c r="E40" i="190"/>
  <c r="P39" i="190"/>
  <c r="O39" i="190"/>
  <c r="N39" i="190"/>
  <c r="M39" i="190"/>
  <c r="L39" i="190"/>
  <c r="K39" i="190"/>
  <c r="J39" i="190"/>
  <c r="I39" i="190"/>
  <c r="H39" i="190"/>
  <c r="G39" i="190"/>
  <c r="F39" i="190"/>
  <c r="E39" i="190"/>
  <c r="P38" i="190"/>
  <c r="O38" i="190"/>
  <c r="N38" i="190"/>
  <c r="M38" i="190"/>
  <c r="L38" i="190"/>
  <c r="K38" i="190"/>
  <c r="J38" i="190"/>
  <c r="I38" i="190"/>
  <c r="H38" i="190"/>
  <c r="G38" i="190"/>
  <c r="F38" i="190"/>
  <c r="E38" i="190"/>
  <c r="P37" i="190"/>
  <c r="O37" i="190"/>
  <c r="N37" i="190"/>
  <c r="M37" i="190"/>
  <c r="L37" i="190"/>
  <c r="K37" i="190"/>
  <c r="J37" i="190"/>
  <c r="I37" i="190"/>
  <c r="H37" i="190"/>
  <c r="G37" i="190"/>
  <c r="F37" i="190"/>
  <c r="E37" i="190"/>
  <c r="P36" i="190"/>
  <c r="O36" i="190"/>
  <c r="N36" i="190"/>
  <c r="M36" i="190"/>
  <c r="L36" i="190"/>
  <c r="K36" i="190"/>
  <c r="J36" i="190"/>
  <c r="I36" i="190"/>
  <c r="H36" i="190"/>
  <c r="G36" i="190"/>
  <c r="F36" i="190"/>
  <c r="E36" i="190"/>
  <c r="P35" i="190"/>
  <c r="O35" i="190"/>
  <c r="N35" i="190"/>
  <c r="M35" i="190"/>
  <c r="L35" i="190"/>
  <c r="K35" i="190"/>
  <c r="J35" i="190"/>
  <c r="I35" i="190"/>
  <c r="H35" i="190"/>
  <c r="G35" i="190"/>
  <c r="F35" i="190"/>
  <c r="E35" i="190"/>
  <c r="P34" i="190"/>
  <c r="O34" i="190"/>
  <c r="N34" i="190"/>
  <c r="M34" i="190"/>
  <c r="L34" i="190"/>
  <c r="K34" i="190"/>
  <c r="J34" i="190"/>
  <c r="I34" i="190"/>
  <c r="H34" i="190"/>
  <c r="G34" i="190"/>
  <c r="F34" i="190"/>
  <c r="E34" i="190"/>
  <c r="P33" i="190"/>
  <c r="O33" i="190"/>
  <c r="N33" i="190"/>
  <c r="M33" i="190"/>
  <c r="L33" i="190"/>
  <c r="K33" i="190"/>
  <c r="J33" i="190"/>
  <c r="I33" i="190"/>
  <c r="H33" i="190"/>
  <c r="G33" i="190"/>
  <c r="F33" i="190"/>
  <c r="E33" i="190"/>
  <c r="P32" i="190"/>
  <c r="O32" i="190"/>
  <c r="N32" i="190"/>
  <c r="M32" i="190"/>
  <c r="L32" i="190"/>
  <c r="K32" i="190"/>
  <c r="J32" i="190"/>
  <c r="I32" i="190"/>
  <c r="H32" i="190"/>
  <c r="G32" i="190"/>
  <c r="F32" i="190"/>
  <c r="E32" i="190"/>
  <c r="P31" i="190"/>
  <c r="O31" i="190"/>
  <c r="N31" i="190"/>
  <c r="M31" i="190"/>
  <c r="L31" i="190"/>
  <c r="K31" i="190"/>
  <c r="J31" i="190"/>
  <c r="I31" i="190"/>
  <c r="H31" i="190"/>
  <c r="G31" i="190"/>
  <c r="F31" i="190"/>
  <c r="E31" i="190"/>
  <c r="P29" i="190"/>
  <c r="O29" i="190"/>
  <c r="N29" i="190"/>
  <c r="M29" i="190"/>
  <c r="L29" i="190"/>
  <c r="K29" i="190"/>
  <c r="J29" i="190"/>
  <c r="I29" i="190"/>
  <c r="H29" i="190"/>
  <c r="G29" i="190"/>
  <c r="F29" i="190"/>
  <c r="E29" i="190"/>
  <c r="P28" i="190"/>
  <c r="O28" i="190"/>
  <c r="N28" i="190"/>
  <c r="M28" i="190"/>
  <c r="L28" i="190"/>
  <c r="K28" i="190"/>
  <c r="J28" i="190"/>
  <c r="I28" i="190"/>
  <c r="H28" i="190"/>
  <c r="G28" i="190"/>
  <c r="F28" i="190"/>
  <c r="E28" i="190"/>
  <c r="P27" i="190"/>
  <c r="O27" i="190"/>
  <c r="N27" i="190"/>
  <c r="M27" i="190"/>
  <c r="L27" i="190"/>
  <c r="K27" i="190"/>
  <c r="J27" i="190"/>
  <c r="I27" i="190"/>
  <c r="H27" i="190"/>
  <c r="G27" i="190"/>
  <c r="F27" i="190"/>
  <c r="E27" i="190"/>
  <c r="P26" i="190"/>
  <c r="O26" i="190"/>
  <c r="N26" i="190"/>
  <c r="M26" i="190"/>
  <c r="L26" i="190"/>
  <c r="K26" i="190"/>
  <c r="J26" i="190"/>
  <c r="I26" i="190"/>
  <c r="H26" i="190"/>
  <c r="G26" i="190"/>
  <c r="F26" i="190"/>
  <c r="E26" i="190"/>
  <c r="P24" i="190"/>
  <c r="O24" i="190"/>
  <c r="N24" i="190"/>
  <c r="M24" i="190"/>
  <c r="L24" i="190"/>
  <c r="K24" i="190"/>
  <c r="J24" i="190"/>
  <c r="I24" i="190"/>
  <c r="H24" i="190"/>
  <c r="G24" i="190"/>
  <c r="F24" i="190"/>
  <c r="E24" i="190"/>
  <c r="P23" i="190"/>
  <c r="O23" i="190"/>
  <c r="N23" i="190"/>
  <c r="M23" i="190"/>
  <c r="L23" i="190"/>
  <c r="K23" i="190"/>
  <c r="J23" i="190"/>
  <c r="I23" i="190"/>
  <c r="H23" i="190"/>
  <c r="G23" i="190"/>
  <c r="F23" i="190"/>
  <c r="E23" i="190"/>
  <c r="P22" i="190"/>
  <c r="O22" i="190"/>
  <c r="N22" i="190"/>
  <c r="M22" i="190"/>
  <c r="L22" i="190"/>
  <c r="L16" i="190" s="1"/>
  <c r="K22" i="190"/>
  <c r="K16" i="190" s="1"/>
  <c r="J22" i="190"/>
  <c r="I22" i="190"/>
  <c r="H22" i="190"/>
  <c r="G22" i="190"/>
  <c r="F22" i="190"/>
  <c r="E22" i="190"/>
  <c r="P21" i="190"/>
  <c r="O21" i="190"/>
  <c r="N21" i="190"/>
  <c r="M21" i="190"/>
  <c r="L21" i="190"/>
  <c r="K21" i="190"/>
  <c r="J21" i="190"/>
  <c r="I21" i="190"/>
  <c r="H21" i="190"/>
  <c r="G21" i="190"/>
  <c r="F21" i="190"/>
  <c r="E21" i="190"/>
  <c r="P20" i="190"/>
  <c r="O20" i="190"/>
  <c r="N20" i="190"/>
  <c r="M20" i="190"/>
  <c r="L20" i="190"/>
  <c r="K20" i="190"/>
  <c r="J20" i="190"/>
  <c r="I20" i="190"/>
  <c r="H20" i="190"/>
  <c r="G20" i="190"/>
  <c r="F20" i="190"/>
  <c r="E20" i="190"/>
  <c r="P18" i="190"/>
  <c r="O18" i="190"/>
  <c r="N18" i="190"/>
  <c r="M18" i="190"/>
  <c r="L18" i="190"/>
  <c r="K18" i="190"/>
  <c r="J18" i="190"/>
  <c r="I18" i="190"/>
  <c r="H18" i="190"/>
  <c r="G18" i="190"/>
  <c r="F18" i="190"/>
  <c r="E18" i="190"/>
  <c r="P17" i="190"/>
  <c r="O17" i="190"/>
  <c r="N17" i="190"/>
  <c r="M17" i="190"/>
  <c r="L17" i="190"/>
  <c r="K17" i="190"/>
  <c r="J17" i="190"/>
  <c r="I17" i="190"/>
  <c r="H17" i="190"/>
  <c r="G17" i="190"/>
  <c r="G16" i="190" s="1"/>
  <c r="F17" i="190"/>
  <c r="E17" i="190"/>
  <c r="P379" i="190"/>
  <c r="O379" i="190"/>
  <c r="N379" i="190"/>
  <c r="M379" i="190"/>
  <c r="L379" i="190"/>
  <c r="K379" i="190"/>
  <c r="J379" i="190"/>
  <c r="H379" i="190"/>
  <c r="G379" i="190"/>
  <c r="F379" i="190"/>
  <c r="N360" i="190"/>
  <c r="N359" i="190" s="1"/>
  <c r="S362" i="190"/>
  <c r="Q362" i="190"/>
  <c r="I351" i="190"/>
  <c r="I350" i="190" s="1"/>
  <c r="K351" i="190"/>
  <c r="K350" i="190" s="1"/>
  <c r="O351" i="190"/>
  <c r="O350" i="190" s="1"/>
  <c r="L351" i="190"/>
  <c r="H351" i="190"/>
  <c r="H350" i="190" s="1"/>
  <c r="G351" i="190"/>
  <c r="G350" i="190" s="1"/>
  <c r="Q349" i="190"/>
  <c r="K343" i="190"/>
  <c r="K342" i="190" s="1"/>
  <c r="G343" i="190"/>
  <c r="G342" i="190" s="1"/>
  <c r="N343" i="190"/>
  <c r="F343" i="190"/>
  <c r="F342" i="190" s="1"/>
  <c r="N342" i="190"/>
  <c r="O341" i="190"/>
  <c r="J341" i="190"/>
  <c r="J340" i="190" s="1"/>
  <c r="J339" i="190" s="1"/>
  <c r="E341" i="190"/>
  <c r="O340" i="190"/>
  <c r="N340" i="190"/>
  <c r="M340" i="190"/>
  <c r="M339" i="190" s="1"/>
  <c r="L340" i="190"/>
  <c r="K340" i="190"/>
  <c r="I340" i="190"/>
  <c r="I339" i="190" s="1"/>
  <c r="H340" i="190"/>
  <c r="G340" i="190"/>
  <c r="F340" i="190"/>
  <c r="O339" i="190"/>
  <c r="N339" i="190"/>
  <c r="L339" i="190"/>
  <c r="K339" i="190"/>
  <c r="H339" i="190"/>
  <c r="G339" i="190"/>
  <c r="F339" i="190"/>
  <c r="N330" i="190"/>
  <c r="N329" i="190" s="1"/>
  <c r="F330" i="190"/>
  <c r="F329" i="190" s="1"/>
  <c r="L330" i="190"/>
  <c r="K330" i="190"/>
  <c r="K329" i="190" s="1"/>
  <c r="G330" i="190"/>
  <c r="G329" i="190" s="1"/>
  <c r="G316" i="190"/>
  <c r="G315" i="190" s="1"/>
  <c r="L316" i="190"/>
  <c r="L315" i="190" s="1"/>
  <c r="H316" i="190"/>
  <c r="H315" i="190" s="1"/>
  <c r="L308" i="190"/>
  <c r="H308" i="190"/>
  <c r="H307" i="190" s="1"/>
  <c r="O308" i="190"/>
  <c r="O307" i="190" s="1"/>
  <c r="K308" i="190"/>
  <c r="K307" i="190" s="1"/>
  <c r="I308" i="190"/>
  <c r="I307" i="190" s="1"/>
  <c r="G308" i="190"/>
  <c r="G307" i="190" s="1"/>
  <c r="N308" i="190"/>
  <c r="N307" i="190" s="1"/>
  <c r="F308" i="190"/>
  <c r="F307" i="190" s="1"/>
  <c r="L285" i="190"/>
  <c r="N285" i="190"/>
  <c r="N284" i="190" s="1"/>
  <c r="F285" i="190"/>
  <c r="F284" i="190" s="1"/>
  <c r="O283" i="190"/>
  <c r="J283" i="190"/>
  <c r="H283" i="190"/>
  <c r="G283" i="190"/>
  <c r="F283" i="190"/>
  <c r="E283" i="190"/>
  <c r="P283" i="190" s="1"/>
  <c r="G254" i="190"/>
  <c r="G253" i="190" s="1"/>
  <c r="L254" i="190"/>
  <c r="F232" i="190"/>
  <c r="F231" i="190" s="1"/>
  <c r="I232" i="190"/>
  <c r="I231" i="190" s="1"/>
  <c r="N232" i="190"/>
  <c r="N231" i="190" s="1"/>
  <c r="G232" i="190"/>
  <c r="G231" i="190" s="1"/>
  <c r="O230" i="190"/>
  <c r="J230" i="190"/>
  <c r="J229" i="190" s="1"/>
  <c r="J228" i="190" s="1"/>
  <c r="E230" i="190"/>
  <c r="O229" i="190"/>
  <c r="N229" i="190"/>
  <c r="N228" i="190" s="1"/>
  <c r="M229" i="190"/>
  <c r="M228" i="190" s="1"/>
  <c r="L229" i="190"/>
  <c r="K229" i="190"/>
  <c r="I229" i="190"/>
  <c r="I228" i="190" s="1"/>
  <c r="I199" i="190" s="1"/>
  <c r="I198" i="190" s="1"/>
  <c r="H229" i="190"/>
  <c r="G229" i="190"/>
  <c r="F229" i="190"/>
  <c r="F228" i="190" s="1"/>
  <c r="E229" i="190"/>
  <c r="E228" i="190" s="1"/>
  <c r="O228" i="190"/>
  <c r="L228" i="190"/>
  <c r="K228" i="190"/>
  <c r="H228" i="190"/>
  <c r="G228" i="190"/>
  <c r="H199" i="190"/>
  <c r="H198" i="190" s="1"/>
  <c r="P197" i="190"/>
  <c r="O197" i="190"/>
  <c r="J197" i="190"/>
  <c r="E197" i="190"/>
  <c r="P196" i="190"/>
  <c r="O196" i="190"/>
  <c r="N196" i="190"/>
  <c r="M196" i="190"/>
  <c r="L196" i="190"/>
  <c r="K196" i="190"/>
  <c r="J196" i="190"/>
  <c r="I196" i="190"/>
  <c r="H196" i="190"/>
  <c r="G196" i="190"/>
  <c r="F196" i="190"/>
  <c r="E196" i="190"/>
  <c r="P195" i="190"/>
  <c r="O195" i="190"/>
  <c r="N195" i="190"/>
  <c r="M195" i="190"/>
  <c r="L195" i="190"/>
  <c r="K195" i="190"/>
  <c r="J195" i="190"/>
  <c r="I195" i="190"/>
  <c r="H195" i="190"/>
  <c r="G195" i="190"/>
  <c r="F195" i="190"/>
  <c r="E195" i="190"/>
  <c r="G178" i="190"/>
  <c r="G177" i="190" s="1"/>
  <c r="L178" i="190"/>
  <c r="N178" i="190"/>
  <c r="N177" i="190" s="1"/>
  <c r="K178" i="190"/>
  <c r="K177" i="190" s="1"/>
  <c r="F178" i="190"/>
  <c r="F177" i="190" s="1"/>
  <c r="H120" i="190"/>
  <c r="H119" i="190" s="1"/>
  <c r="M120" i="190"/>
  <c r="M119" i="190" s="1"/>
  <c r="P118" i="190"/>
  <c r="O118" i="190"/>
  <c r="J118" i="190" s="1"/>
  <c r="E118" i="190"/>
  <c r="P117" i="190"/>
  <c r="P116" i="190" s="1"/>
  <c r="O117" i="190"/>
  <c r="J117" i="190" s="1"/>
  <c r="J116" i="190" s="1"/>
  <c r="E117" i="190"/>
  <c r="O116" i="190"/>
  <c r="N116" i="190"/>
  <c r="M116" i="190"/>
  <c r="L116" i="190"/>
  <c r="K116" i="190"/>
  <c r="I116" i="190"/>
  <c r="H116" i="190"/>
  <c r="G116" i="190"/>
  <c r="F116" i="190"/>
  <c r="E116" i="190"/>
  <c r="O115" i="190"/>
  <c r="J115" i="190" s="1"/>
  <c r="J114" i="190" s="1"/>
  <c r="E115" i="190"/>
  <c r="N114" i="190"/>
  <c r="M114" i="190"/>
  <c r="L114" i="190"/>
  <c r="K114" i="190"/>
  <c r="I114" i="190"/>
  <c r="H114" i="190"/>
  <c r="G114" i="190"/>
  <c r="F114" i="190"/>
  <c r="E114" i="190"/>
  <c r="O90" i="190"/>
  <c r="O89" i="190" s="1"/>
  <c r="O88" i="190" s="1"/>
  <c r="J90" i="190"/>
  <c r="J89" i="190" s="1"/>
  <c r="J88" i="190" s="1"/>
  <c r="E90" i="190"/>
  <c r="N89" i="190"/>
  <c r="N88" i="190" s="1"/>
  <c r="M89" i="190"/>
  <c r="M88" i="190" s="1"/>
  <c r="L89" i="190"/>
  <c r="K89" i="190"/>
  <c r="I89" i="190"/>
  <c r="I88" i="190" s="1"/>
  <c r="H89" i="190"/>
  <c r="G89" i="190"/>
  <c r="F89" i="190"/>
  <c r="F88" i="190" s="1"/>
  <c r="E89" i="190"/>
  <c r="E88" i="190" s="1"/>
  <c r="L88" i="190"/>
  <c r="K88" i="190"/>
  <c r="H88" i="190"/>
  <c r="G88" i="190"/>
  <c r="N44" i="190"/>
  <c r="N43" i="190" s="1"/>
  <c r="K44" i="190"/>
  <c r="K43" i="190" s="1"/>
  <c r="L44" i="190"/>
  <c r="H44" i="190"/>
  <c r="H43" i="190" s="1"/>
  <c r="G44" i="190"/>
  <c r="G43" i="190" s="1"/>
  <c r="N16" i="190"/>
  <c r="F16" i="190"/>
  <c r="H16" i="190"/>
  <c r="F392" i="165"/>
  <c r="P379" i="165"/>
  <c r="O379" i="165"/>
  <c r="K379" i="165"/>
  <c r="J379" i="165"/>
  <c r="F379" i="165"/>
  <c r="H48" i="165"/>
  <c r="F370" i="165"/>
  <c r="H202" i="165"/>
  <c r="G202" i="165"/>
  <c r="F202" i="165"/>
  <c r="E125" i="165"/>
  <c r="J113" i="167"/>
  <c r="I113" i="167"/>
  <c r="H113" i="167"/>
  <c r="H139" i="165"/>
  <c r="G139" i="165"/>
  <c r="F139" i="165"/>
  <c r="O139" i="165"/>
  <c r="J139" i="165" s="1"/>
  <c r="P139" i="165" s="1"/>
  <c r="E139" i="165"/>
  <c r="F164" i="165"/>
  <c r="F136" i="165"/>
  <c r="G40" i="167"/>
  <c r="G236" i="167"/>
  <c r="F99" i="165"/>
  <c r="F35" i="165"/>
  <c r="F33" i="165" s="1"/>
  <c r="J30" i="167"/>
  <c r="N33" i="165"/>
  <c r="M33" i="165"/>
  <c r="L33" i="165"/>
  <c r="K33" i="165"/>
  <c r="I33" i="165"/>
  <c r="H33" i="165"/>
  <c r="G33" i="165"/>
  <c r="O34" i="165"/>
  <c r="J34" i="165" s="1"/>
  <c r="E34" i="165"/>
  <c r="H30" i="167" s="1"/>
  <c r="J36" i="167"/>
  <c r="I36" i="167"/>
  <c r="J37" i="167"/>
  <c r="I37" i="167"/>
  <c r="H35" i="167"/>
  <c r="D81" i="170"/>
  <c r="D72" i="170"/>
  <c r="K42" i="165"/>
  <c r="F42" i="165"/>
  <c r="K268" i="165"/>
  <c r="J206" i="167"/>
  <c r="I206" i="167"/>
  <c r="J51" i="184"/>
  <c r="K274" i="165"/>
  <c r="F271" i="165"/>
  <c r="K271" i="165"/>
  <c r="K264" i="165"/>
  <c r="F264" i="165"/>
  <c r="F243" i="165"/>
  <c r="K241" i="165"/>
  <c r="J176" i="167"/>
  <c r="I176" i="167"/>
  <c r="J175" i="167"/>
  <c r="I175" i="167"/>
  <c r="K239" i="165"/>
  <c r="P378" i="189"/>
  <c r="O378" i="189"/>
  <c r="N378" i="189"/>
  <c r="M378" i="189"/>
  <c r="L378" i="189"/>
  <c r="K378" i="189"/>
  <c r="J378" i="189"/>
  <c r="H378" i="189"/>
  <c r="G378" i="189"/>
  <c r="F378" i="189"/>
  <c r="O375" i="189"/>
  <c r="J375" i="189" s="1"/>
  <c r="E375" i="189"/>
  <c r="N374" i="189"/>
  <c r="N373" i="189" s="1"/>
  <c r="M374" i="189"/>
  <c r="L374" i="189"/>
  <c r="K374" i="189"/>
  <c r="I374" i="189"/>
  <c r="H374" i="189"/>
  <c r="G374" i="189"/>
  <c r="F374" i="189"/>
  <c r="F373" i="189" s="1"/>
  <c r="E374" i="189"/>
  <c r="M373" i="189"/>
  <c r="L373" i="189"/>
  <c r="K373" i="189"/>
  <c r="I373" i="189"/>
  <c r="H373" i="189"/>
  <c r="G373" i="189"/>
  <c r="E373" i="189"/>
  <c r="O372" i="189"/>
  <c r="J372" i="189"/>
  <c r="F372" i="189"/>
  <c r="E372" i="189"/>
  <c r="O371" i="189"/>
  <c r="O370" i="189" s="1"/>
  <c r="N371" i="189"/>
  <c r="M371" i="189"/>
  <c r="L371" i="189"/>
  <c r="K371" i="189"/>
  <c r="K370" i="189" s="1"/>
  <c r="K366" i="189" s="1"/>
  <c r="I371" i="189"/>
  <c r="H371" i="189"/>
  <c r="H370" i="189" s="1"/>
  <c r="G371" i="189"/>
  <c r="F371" i="189"/>
  <c r="E371" i="189"/>
  <c r="N370" i="189"/>
  <c r="M370" i="189"/>
  <c r="L370" i="189"/>
  <c r="I370" i="189"/>
  <c r="G370" i="189"/>
  <c r="G366" i="189" s="1"/>
  <c r="G359" i="189" s="1"/>
  <c r="F370" i="189"/>
  <c r="E370" i="189"/>
  <c r="O369" i="189"/>
  <c r="F369" i="189"/>
  <c r="E369" i="189"/>
  <c r="N368" i="189"/>
  <c r="M368" i="189"/>
  <c r="M366" i="189" s="1"/>
  <c r="M359" i="189" s="1"/>
  <c r="M358" i="189" s="1"/>
  <c r="L368" i="189"/>
  <c r="L366" i="189" s="1"/>
  <c r="K368" i="189"/>
  <c r="I368" i="189"/>
  <c r="H368" i="189"/>
  <c r="G368" i="189"/>
  <c r="F368" i="189"/>
  <c r="E368" i="189"/>
  <c r="O367" i="189"/>
  <c r="J367" i="189"/>
  <c r="F367" i="189"/>
  <c r="E367" i="189" s="1"/>
  <c r="N366" i="189"/>
  <c r="I366" i="189"/>
  <c r="F366" i="189"/>
  <c r="O365" i="189"/>
  <c r="O364" i="189" s="1"/>
  <c r="O363" i="189" s="1"/>
  <c r="E365" i="189"/>
  <c r="N364" i="189"/>
  <c r="N363" i="189" s="1"/>
  <c r="M364" i="189"/>
  <c r="L364" i="189"/>
  <c r="K364" i="189"/>
  <c r="I364" i="189"/>
  <c r="H364" i="189"/>
  <c r="G364" i="189"/>
  <c r="F364" i="189"/>
  <c r="F363" i="189" s="1"/>
  <c r="M363" i="189"/>
  <c r="L363" i="189"/>
  <c r="K363" i="189"/>
  <c r="I363" i="189"/>
  <c r="H363" i="189"/>
  <c r="G363" i="189"/>
  <c r="O362" i="189"/>
  <c r="J362" i="189"/>
  <c r="P362" i="189" s="1"/>
  <c r="E362" i="189"/>
  <c r="S361" i="189"/>
  <c r="Q361" i="189"/>
  <c r="O361" i="189"/>
  <c r="H361" i="189"/>
  <c r="E361" i="189"/>
  <c r="N360" i="189"/>
  <c r="M360" i="189"/>
  <c r="L360" i="189"/>
  <c r="L359" i="189" s="1"/>
  <c r="L358" i="189" s="1"/>
  <c r="K360" i="189"/>
  <c r="I360" i="189"/>
  <c r="I359" i="189" s="1"/>
  <c r="I358" i="189" s="1"/>
  <c r="H360" i="189"/>
  <c r="G360" i="189"/>
  <c r="F360" i="189"/>
  <c r="K359" i="189"/>
  <c r="K358" i="189" s="1"/>
  <c r="F359" i="189"/>
  <c r="F358" i="189" s="1"/>
  <c r="G358" i="189"/>
  <c r="O357" i="189"/>
  <c r="O356" i="189" s="1"/>
  <c r="J357" i="189"/>
  <c r="J356" i="189" s="1"/>
  <c r="E357" i="189"/>
  <c r="N356" i="189"/>
  <c r="M356" i="189"/>
  <c r="M353" i="189" s="1"/>
  <c r="M350" i="189" s="1"/>
  <c r="M349" i="189" s="1"/>
  <c r="L356" i="189"/>
  <c r="K356" i="189"/>
  <c r="I356" i="189"/>
  <c r="I353" i="189" s="1"/>
  <c r="H356" i="189"/>
  <c r="G356" i="189"/>
  <c r="F356" i="189"/>
  <c r="E356" i="189"/>
  <c r="O355" i="189"/>
  <c r="J355" i="189" s="1"/>
  <c r="J354" i="189" s="1"/>
  <c r="E355" i="189"/>
  <c r="O354" i="189"/>
  <c r="N354" i="189"/>
  <c r="M354" i="189"/>
  <c r="L354" i="189"/>
  <c r="K354" i="189"/>
  <c r="K353" i="189" s="1"/>
  <c r="K350" i="189" s="1"/>
  <c r="I354" i="189"/>
  <c r="H354" i="189"/>
  <c r="G354" i="189"/>
  <c r="G353" i="189" s="1"/>
  <c r="F354" i="189"/>
  <c r="N353" i="189"/>
  <c r="L353" i="189"/>
  <c r="J353" i="189"/>
  <c r="H353" i="189"/>
  <c r="F353" i="189"/>
  <c r="O352" i="189"/>
  <c r="J352" i="189"/>
  <c r="H352" i="189"/>
  <c r="H351" i="189" s="1"/>
  <c r="H350" i="189" s="1"/>
  <c r="H349" i="189" s="1"/>
  <c r="E352" i="189"/>
  <c r="P352" i="189" s="1"/>
  <c r="P351" i="189" s="1"/>
  <c r="O351" i="189"/>
  <c r="N351" i="189"/>
  <c r="N350" i="189" s="1"/>
  <c r="N349" i="189" s="1"/>
  <c r="M351" i="189"/>
  <c r="L351" i="189"/>
  <c r="K351" i="189"/>
  <c r="J351" i="189"/>
  <c r="I351" i="189"/>
  <c r="G351" i="189"/>
  <c r="F351" i="189"/>
  <c r="F350" i="189" s="1"/>
  <c r="F349" i="189" s="1"/>
  <c r="E351" i="189"/>
  <c r="L350" i="189"/>
  <c r="I350" i="189"/>
  <c r="I349" i="189" s="1"/>
  <c r="L349" i="189"/>
  <c r="K349" i="189"/>
  <c r="O348" i="189"/>
  <c r="J348" i="189"/>
  <c r="O347" i="189"/>
  <c r="N347" i="189"/>
  <c r="M347" i="189"/>
  <c r="M346" i="189" s="1"/>
  <c r="M342" i="189" s="1"/>
  <c r="M341" i="189" s="1"/>
  <c r="L347" i="189"/>
  <c r="K347" i="189"/>
  <c r="I347" i="189"/>
  <c r="I346" i="189" s="1"/>
  <c r="H347" i="189"/>
  <c r="H346" i="189" s="1"/>
  <c r="G347" i="189"/>
  <c r="F347" i="189"/>
  <c r="E347" i="189"/>
  <c r="E346" i="189" s="1"/>
  <c r="O346" i="189"/>
  <c r="N346" i="189"/>
  <c r="L346" i="189"/>
  <c r="K346" i="189"/>
  <c r="G346" i="189"/>
  <c r="F346" i="189"/>
  <c r="O345" i="189"/>
  <c r="J345" i="189" s="1"/>
  <c r="P345" i="189" s="1"/>
  <c r="E345" i="189"/>
  <c r="O344" i="189"/>
  <c r="H344" i="189"/>
  <c r="H343" i="189" s="1"/>
  <c r="E344" i="189"/>
  <c r="N343" i="189"/>
  <c r="M343" i="189"/>
  <c r="L343" i="189"/>
  <c r="K343" i="189"/>
  <c r="I343" i="189"/>
  <c r="I342" i="189" s="1"/>
  <c r="I341" i="189" s="1"/>
  <c r="G343" i="189"/>
  <c r="F343" i="189"/>
  <c r="E343" i="189"/>
  <c r="E342" i="189" s="1"/>
  <c r="N342" i="189"/>
  <c r="K342" i="189"/>
  <c r="K341" i="189" s="1"/>
  <c r="G342" i="189"/>
  <c r="G341" i="189" s="1"/>
  <c r="F342" i="189"/>
  <c r="F341" i="189" s="1"/>
  <c r="N341" i="189"/>
  <c r="O340" i="189"/>
  <c r="E340" i="189"/>
  <c r="N339" i="189"/>
  <c r="N338" i="189" s="1"/>
  <c r="N329" i="189" s="1"/>
  <c r="N328" i="189" s="1"/>
  <c r="M339" i="189"/>
  <c r="L339" i="189"/>
  <c r="K339" i="189"/>
  <c r="K338" i="189" s="1"/>
  <c r="I339" i="189"/>
  <c r="H339" i="189"/>
  <c r="G339" i="189"/>
  <c r="G338" i="189" s="1"/>
  <c r="F339" i="189"/>
  <c r="F338" i="189" s="1"/>
  <c r="E339" i="189"/>
  <c r="M338" i="189"/>
  <c r="M329" i="189" s="1"/>
  <c r="L338" i="189"/>
  <c r="I338" i="189"/>
  <c r="H338" i="189"/>
  <c r="E338" i="189"/>
  <c r="O337" i="189"/>
  <c r="J337" i="189" s="1"/>
  <c r="J336" i="189" s="1"/>
  <c r="F337" i="189"/>
  <c r="E337" i="189" s="1"/>
  <c r="O336" i="189"/>
  <c r="N336" i="189"/>
  <c r="N333" i="189" s="1"/>
  <c r="N330" i="189" s="1"/>
  <c r="M336" i="189"/>
  <c r="L336" i="189"/>
  <c r="L333" i="189" s="1"/>
  <c r="K336" i="189"/>
  <c r="I336" i="189"/>
  <c r="H336" i="189"/>
  <c r="H333" i="189" s="1"/>
  <c r="H330" i="189" s="1"/>
  <c r="H329" i="189" s="1"/>
  <c r="G336" i="189"/>
  <c r="O335" i="189"/>
  <c r="J335" i="189" s="1"/>
  <c r="P335" i="189" s="1"/>
  <c r="E335" i="189"/>
  <c r="O334" i="189"/>
  <c r="F334" i="189"/>
  <c r="E334" i="189"/>
  <c r="M333" i="189"/>
  <c r="K333" i="189"/>
  <c r="K330" i="189" s="1"/>
  <c r="I333" i="189"/>
  <c r="G333" i="189"/>
  <c r="O332" i="189"/>
  <c r="J332" i="189" s="1"/>
  <c r="J331" i="189" s="1"/>
  <c r="E332" i="189"/>
  <c r="E331" i="189" s="1"/>
  <c r="O331" i="189"/>
  <c r="N331" i="189"/>
  <c r="M331" i="189"/>
  <c r="L331" i="189"/>
  <c r="K331" i="189"/>
  <c r="I331" i="189"/>
  <c r="H331" i="189"/>
  <c r="G331" i="189"/>
  <c r="F331" i="189"/>
  <c r="M330" i="189"/>
  <c r="I330" i="189"/>
  <c r="I329" i="189" s="1"/>
  <c r="I328" i="189" s="1"/>
  <c r="M328" i="189"/>
  <c r="H328" i="189"/>
  <c r="K327" i="189"/>
  <c r="E327" i="189"/>
  <c r="N326" i="189"/>
  <c r="M326" i="189"/>
  <c r="L326" i="189"/>
  <c r="I326" i="189"/>
  <c r="H326" i="189"/>
  <c r="G326" i="189"/>
  <c r="F326" i="189"/>
  <c r="E326" i="189"/>
  <c r="O325" i="189"/>
  <c r="J325" i="189"/>
  <c r="E325" i="189"/>
  <c r="P325" i="189" s="1"/>
  <c r="O324" i="189"/>
  <c r="J324" i="189" s="1"/>
  <c r="J323" i="189" s="1"/>
  <c r="J320" i="189" s="1"/>
  <c r="F324" i="189"/>
  <c r="E324" i="189" s="1"/>
  <c r="O323" i="189"/>
  <c r="N323" i="189"/>
  <c r="N320" i="189" s="1"/>
  <c r="M323" i="189"/>
  <c r="L323" i="189"/>
  <c r="L320" i="189" s="1"/>
  <c r="L319" i="189" s="1"/>
  <c r="K323" i="189"/>
  <c r="I323" i="189"/>
  <c r="H323" i="189"/>
  <c r="H320" i="189" s="1"/>
  <c r="H319" i="189" s="1"/>
  <c r="G323" i="189"/>
  <c r="G320" i="189" s="1"/>
  <c r="G319" i="189" s="1"/>
  <c r="O322" i="189"/>
  <c r="F322" i="189"/>
  <c r="E322" i="189"/>
  <c r="E321" i="189" s="1"/>
  <c r="N321" i="189"/>
  <c r="M321" i="189"/>
  <c r="L321" i="189"/>
  <c r="K321" i="189"/>
  <c r="I321" i="189"/>
  <c r="H321" i="189"/>
  <c r="G321" i="189"/>
  <c r="F321" i="189"/>
  <c r="O320" i="189"/>
  <c r="M320" i="189"/>
  <c r="M319" i="189" s="1"/>
  <c r="M315" i="189" s="1"/>
  <c r="M314" i="189" s="1"/>
  <c r="K320" i="189"/>
  <c r="I320" i="189"/>
  <c r="I319" i="189" s="1"/>
  <c r="O318" i="189"/>
  <c r="J318" i="189"/>
  <c r="E318" i="189"/>
  <c r="E316" i="189" s="1"/>
  <c r="O317" i="189"/>
  <c r="J317" i="189"/>
  <c r="J316" i="189" s="1"/>
  <c r="H317" i="189"/>
  <c r="H316" i="189" s="1"/>
  <c r="H315" i="189" s="1"/>
  <c r="H314" i="189" s="1"/>
  <c r="G317" i="189"/>
  <c r="F317" i="189"/>
  <c r="E317" i="189"/>
  <c r="P317" i="189" s="1"/>
  <c r="O316" i="189"/>
  <c r="N316" i="189"/>
  <c r="M316" i="189"/>
  <c r="L316" i="189"/>
  <c r="L315" i="189" s="1"/>
  <c r="K316" i="189"/>
  <c r="I316" i="189"/>
  <c r="G316" i="189"/>
  <c r="G315" i="189" s="1"/>
  <c r="G314" i="189" s="1"/>
  <c r="F316" i="189"/>
  <c r="I315" i="189"/>
  <c r="I314" i="189" s="1"/>
  <c r="O313" i="189"/>
  <c r="J313" i="189"/>
  <c r="E313" i="189"/>
  <c r="O312" i="189"/>
  <c r="N312" i="189"/>
  <c r="M312" i="189"/>
  <c r="L312" i="189"/>
  <c r="K312" i="189"/>
  <c r="J312" i="189"/>
  <c r="I312" i="189"/>
  <c r="H312" i="189"/>
  <c r="G312" i="189"/>
  <c r="F312" i="189"/>
  <c r="E312" i="189"/>
  <c r="O311" i="189"/>
  <c r="N311" i="189"/>
  <c r="M311" i="189"/>
  <c r="L311" i="189"/>
  <c r="K311" i="189"/>
  <c r="J311" i="189"/>
  <c r="I311" i="189"/>
  <c r="H311" i="189"/>
  <c r="G311" i="189"/>
  <c r="F311" i="189"/>
  <c r="E311" i="189"/>
  <c r="O310" i="189"/>
  <c r="J310" i="189"/>
  <c r="E310" i="189"/>
  <c r="E308" i="189" s="1"/>
  <c r="O309" i="189"/>
  <c r="J309" i="189"/>
  <c r="H309" i="189"/>
  <c r="H308" i="189" s="1"/>
  <c r="H307" i="189" s="1"/>
  <c r="H306" i="189" s="1"/>
  <c r="E309" i="189"/>
  <c r="P309" i="189" s="1"/>
  <c r="O308" i="189"/>
  <c r="N308" i="189"/>
  <c r="N307" i="189" s="1"/>
  <c r="N306" i="189" s="1"/>
  <c r="M308" i="189"/>
  <c r="L308" i="189"/>
  <c r="K308" i="189"/>
  <c r="J308" i="189"/>
  <c r="I308" i="189"/>
  <c r="G308" i="189"/>
  <c r="F308" i="189"/>
  <c r="F307" i="189" s="1"/>
  <c r="F306" i="189" s="1"/>
  <c r="O307" i="189"/>
  <c r="L307" i="189"/>
  <c r="K307" i="189"/>
  <c r="G307" i="189"/>
  <c r="O306" i="189"/>
  <c r="L306" i="189"/>
  <c r="K306" i="189"/>
  <c r="G306" i="189"/>
  <c r="O305" i="189"/>
  <c r="J305" i="189" s="1"/>
  <c r="P305" i="189" s="1"/>
  <c r="E305" i="189"/>
  <c r="O303" i="189"/>
  <c r="J303" i="189" s="1"/>
  <c r="E303" i="189"/>
  <c r="N302" i="189"/>
  <c r="M302" i="189"/>
  <c r="L302" i="189"/>
  <c r="K302" i="189"/>
  <c r="I302" i="189"/>
  <c r="H302" i="189"/>
  <c r="G302" i="189"/>
  <c r="G301" i="189" s="1"/>
  <c r="G292" i="189" s="1"/>
  <c r="G284" i="189" s="1"/>
  <c r="G283" i="189" s="1"/>
  <c r="F302" i="189"/>
  <c r="E302" i="189"/>
  <c r="N301" i="189"/>
  <c r="M301" i="189"/>
  <c r="L301" i="189"/>
  <c r="K301" i="189"/>
  <c r="K292" i="189" s="1"/>
  <c r="I301" i="189"/>
  <c r="H301" i="189"/>
  <c r="F301" i="189"/>
  <c r="E301" i="189"/>
  <c r="O300" i="189"/>
  <c r="J300" i="189" s="1"/>
  <c r="P300" i="189" s="1"/>
  <c r="E300" i="189"/>
  <c r="O299" i="189"/>
  <c r="K299" i="189"/>
  <c r="E299" i="189"/>
  <c r="O298" i="189"/>
  <c r="J298" i="189" s="1"/>
  <c r="P298" i="189" s="1"/>
  <c r="E298" i="189"/>
  <c r="P297" i="189"/>
  <c r="O297" i="189"/>
  <c r="J297" i="189" s="1"/>
  <c r="E297" i="189"/>
  <c r="P296" i="189"/>
  <c r="P295" i="189" s="1"/>
  <c r="O296" i="189"/>
  <c r="J296" i="189" s="1"/>
  <c r="J295" i="189" s="1"/>
  <c r="E296" i="189"/>
  <c r="O295" i="189"/>
  <c r="N295" i="189"/>
  <c r="M295" i="189"/>
  <c r="L295" i="189"/>
  <c r="K295" i="189"/>
  <c r="I295" i="189"/>
  <c r="H295" i="189"/>
  <c r="G295" i="189"/>
  <c r="F295" i="189"/>
  <c r="E295" i="189"/>
  <c r="O294" i="189"/>
  <c r="J294" i="189" s="1"/>
  <c r="P294" i="189" s="1"/>
  <c r="E294" i="189"/>
  <c r="N293" i="189"/>
  <c r="M293" i="189"/>
  <c r="L293" i="189"/>
  <c r="L292" i="189" s="1"/>
  <c r="K293" i="189"/>
  <c r="I293" i="189"/>
  <c r="H293" i="189"/>
  <c r="G293" i="189"/>
  <c r="F293" i="189"/>
  <c r="E293" i="189"/>
  <c r="N292" i="189"/>
  <c r="M292" i="189"/>
  <c r="I292" i="189"/>
  <c r="H292" i="189"/>
  <c r="F292" i="189"/>
  <c r="E292" i="189"/>
  <c r="O291" i="189"/>
  <c r="J291" i="189" s="1"/>
  <c r="J290" i="189" s="1"/>
  <c r="J289" i="189" s="1"/>
  <c r="E291" i="189"/>
  <c r="O290" i="189"/>
  <c r="N290" i="189"/>
  <c r="M290" i="189"/>
  <c r="L290" i="189"/>
  <c r="K290" i="189"/>
  <c r="I290" i="189"/>
  <c r="H290" i="189"/>
  <c r="G290" i="189"/>
  <c r="F290" i="189"/>
  <c r="E290" i="189"/>
  <c r="O289" i="189"/>
  <c r="N289" i="189"/>
  <c r="M289" i="189"/>
  <c r="L289" i="189"/>
  <c r="K289" i="189"/>
  <c r="I289" i="189"/>
  <c r="H289" i="189"/>
  <c r="G289" i="189"/>
  <c r="F289" i="189"/>
  <c r="E289" i="189"/>
  <c r="P288" i="189"/>
  <c r="O288" i="189"/>
  <c r="J288" i="189" s="1"/>
  <c r="E288" i="189"/>
  <c r="O287" i="189"/>
  <c r="J287" i="189" s="1"/>
  <c r="P287" i="189" s="1"/>
  <c r="E287" i="189"/>
  <c r="O286" i="189"/>
  <c r="J286" i="189" s="1"/>
  <c r="H286" i="189"/>
  <c r="H285" i="189" s="1"/>
  <c r="H284" i="189" s="1"/>
  <c r="H283" i="189" s="1"/>
  <c r="E286" i="189"/>
  <c r="P286" i="189" s="1"/>
  <c r="P285" i="189" s="1"/>
  <c r="N285" i="189"/>
  <c r="M285" i="189"/>
  <c r="M284" i="189" s="1"/>
  <c r="M283" i="189" s="1"/>
  <c r="L285" i="189"/>
  <c r="K285" i="189"/>
  <c r="I285" i="189"/>
  <c r="I284" i="189" s="1"/>
  <c r="G285" i="189"/>
  <c r="F285" i="189"/>
  <c r="F284" i="189" s="1"/>
  <c r="F283" i="189" s="1"/>
  <c r="E285" i="189"/>
  <c r="E284" i="189" s="1"/>
  <c r="N284" i="189"/>
  <c r="N283" i="189" s="1"/>
  <c r="K284" i="189"/>
  <c r="K283" i="189" s="1"/>
  <c r="I283" i="189"/>
  <c r="E283" i="189"/>
  <c r="O282" i="189"/>
  <c r="J282" i="189" s="1"/>
  <c r="H282" i="189"/>
  <c r="G282" i="189"/>
  <c r="F282" i="189"/>
  <c r="E282" i="189" s="1"/>
  <c r="O281" i="189"/>
  <c r="J281" i="189"/>
  <c r="H281" i="189"/>
  <c r="E281" i="189"/>
  <c r="P281" i="189" s="1"/>
  <c r="O280" i="189"/>
  <c r="J280" i="189" s="1"/>
  <c r="J279" i="189" s="1"/>
  <c r="J278" i="189" s="1"/>
  <c r="F280" i="189"/>
  <c r="E280" i="189"/>
  <c r="N279" i="189"/>
  <c r="M279" i="189"/>
  <c r="L279" i="189"/>
  <c r="K279" i="189"/>
  <c r="I279" i="189"/>
  <c r="H279" i="189"/>
  <c r="G279" i="189"/>
  <c r="N278" i="189"/>
  <c r="M278" i="189"/>
  <c r="L278" i="189"/>
  <c r="K278" i="189"/>
  <c r="I278" i="189"/>
  <c r="H278" i="189"/>
  <c r="G278" i="189"/>
  <c r="O277" i="189"/>
  <c r="J277" i="189" s="1"/>
  <c r="E277" i="189"/>
  <c r="E274" i="189" s="1"/>
  <c r="E271" i="189" s="1"/>
  <c r="P275" i="189"/>
  <c r="J275" i="189"/>
  <c r="O274" i="189"/>
  <c r="N274" i="189"/>
  <c r="N271" i="189" s="1"/>
  <c r="M274" i="189"/>
  <c r="L274" i="189"/>
  <c r="K274" i="189"/>
  <c r="K271" i="189" s="1"/>
  <c r="K265" i="189" s="1"/>
  <c r="I274" i="189"/>
  <c r="H274" i="189"/>
  <c r="G274" i="189"/>
  <c r="G271" i="189" s="1"/>
  <c r="G265" i="189" s="1"/>
  <c r="F274" i="189"/>
  <c r="F271" i="189" s="1"/>
  <c r="K273" i="189"/>
  <c r="O273" i="189" s="1"/>
  <c r="J273" i="189" s="1"/>
  <c r="E273" i="189"/>
  <c r="P273" i="189" s="1"/>
  <c r="O272" i="189"/>
  <c r="J272" i="189" s="1"/>
  <c r="K272" i="189"/>
  <c r="E272" i="189"/>
  <c r="P272" i="189" s="1"/>
  <c r="M271" i="189"/>
  <c r="L271" i="189"/>
  <c r="L265" i="189" s="1"/>
  <c r="I271" i="189"/>
  <c r="H271" i="189"/>
  <c r="H265" i="189" s="1"/>
  <c r="O270" i="189"/>
  <c r="K270" i="189"/>
  <c r="J270" i="189"/>
  <c r="F270" i="189"/>
  <c r="E270" i="189" s="1"/>
  <c r="O269" i="189"/>
  <c r="N269" i="189"/>
  <c r="M269" i="189"/>
  <c r="L269" i="189"/>
  <c r="K269" i="189"/>
  <c r="J269" i="189"/>
  <c r="I269" i="189"/>
  <c r="H269" i="189"/>
  <c r="G269" i="189"/>
  <c r="F269" i="189"/>
  <c r="O268" i="189"/>
  <c r="N268" i="189"/>
  <c r="N265" i="189" s="1"/>
  <c r="M268" i="189"/>
  <c r="M265" i="189" s="1"/>
  <c r="M253" i="189" s="1"/>
  <c r="M252" i="189" s="1"/>
  <c r="L268" i="189"/>
  <c r="K268" i="189"/>
  <c r="J268" i="189"/>
  <c r="I268" i="189"/>
  <c r="I265" i="189" s="1"/>
  <c r="I253" i="189" s="1"/>
  <c r="H268" i="189"/>
  <c r="G268" i="189"/>
  <c r="F268" i="189"/>
  <c r="F265" i="189" s="1"/>
  <c r="K267" i="189"/>
  <c r="O267" i="189" s="1"/>
  <c r="E267" i="189"/>
  <c r="N266" i="189"/>
  <c r="M266" i="189"/>
  <c r="L266" i="189"/>
  <c r="K266" i="189"/>
  <c r="I266" i="189"/>
  <c r="H266" i="189"/>
  <c r="G266" i="189"/>
  <c r="F266" i="189"/>
  <c r="E266" i="189"/>
  <c r="O264" i="189"/>
  <c r="J264" i="189" s="1"/>
  <c r="P264" i="189" s="1"/>
  <c r="E264" i="189"/>
  <c r="O263" i="189"/>
  <c r="O258" i="189" s="1"/>
  <c r="F263" i="189"/>
  <c r="E263" i="189"/>
  <c r="O262" i="189"/>
  <c r="J262" i="189" s="1"/>
  <c r="P262" i="189" s="1"/>
  <c r="E262" i="189"/>
  <c r="O261" i="189"/>
  <c r="J261" i="189" s="1"/>
  <c r="F261" i="189"/>
  <c r="E261" i="189"/>
  <c r="O260" i="189"/>
  <c r="J260" i="189"/>
  <c r="F260" i="189"/>
  <c r="E260" i="189" s="1"/>
  <c r="E259" i="189" s="1"/>
  <c r="E258" i="189" s="1"/>
  <c r="O259" i="189"/>
  <c r="N259" i="189"/>
  <c r="M259" i="189"/>
  <c r="L259" i="189"/>
  <c r="K259" i="189"/>
  <c r="I259" i="189"/>
  <c r="H259" i="189"/>
  <c r="G259" i="189"/>
  <c r="F259" i="189"/>
  <c r="F258" i="189" s="1"/>
  <c r="N258" i="189"/>
  <c r="M258" i="189"/>
  <c r="L258" i="189"/>
  <c r="K258" i="189"/>
  <c r="I258" i="189"/>
  <c r="H258" i="189"/>
  <c r="G258" i="189"/>
  <c r="O257" i="189"/>
  <c r="J257" i="189"/>
  <c r="P257" i="189" s="1"/>
  <c r="E257" i="189"/>
  <c r="O256" i="189"/>
  <c r="J256" i="189"/>
  <c r="P256" i="189" s="1"/>
  <c r="E256" i="189"/>
  <c r="O255" i="189"/>
  <c r="J255" i="189"/>
  <c r="H255" i="189"/>
  <c r="E255" i="189"/>
  <c r="O254" i="189"/>
  <c r="N254" i="189"/>
  <c r="M254" i="189"/>
  <c r="L254" i="189"/>
  <c r="K254" i="189"/>
  <c r="K253" i="189" s="1"/>
  <c r="K252" i="189" s="1"/>
  <c r="I254" i="189"/>
  <c r="H254" i="189"/>
  <c r="G254" i="189"/>
  <c r="G253" i="189" s="1"/>
  <c r="G252" i="189" s="1"/>
  <c r="F254" i="189"/>
  <c r="E254" i="189"/>
  <c r="L253" i="189"/>
  <c r="H253" i="189"/>
  <c r="H252" i="189" s="1"/>
  <c r="L252" i="189"/>
  <c r="I252" i="189"/>
  <c r="O250" i="189"/>
  <c r="O249" i="189" s="1"/>
  <c r="O246" i="189" s="1"/>
  <c r="O243" i="189" s="1"/>
  <c r="L250" i="189"/>
  <c r="J250" i="189"/>
  <c r="E250" i="189"/>
  <c r="P250" i="189" s="1"/>
  <c r="P249" i="189" s="1"/>
  <c r="N249" i="189"/>
  <c r="M249" i="189"/>
  <c r="L249" i="189"/>
  <c r="K249" i="189"/>
  <c r="J249" i="189"/>
  <c r="I249" i="189"/>
  <c r="H249" i="189"/>
  <c r="G249" i="189"/>
  <c r="F249" i="189"/>
  <c r="O248" i="189"/>
  <c r="J248" i="189"/>
  <c r="E248" i="189"/>
  <c r="O247" i="189"/>
  <c r="J247" i="189"/>
  <c r="E247" i="189"/>
  <c r="P247" i="189" s="1"/>
  <c r="N246" i="189"/>
  <c r="M246" i="189"/>
  <c r="L246" i="189"/>
  <c r="K246" i="189"/>
  <c r="J246" i="189"/>
  <c r="I246" i="189"/>
  <c r="H246" i="189"/>
  <c r="G246" i="189"/>
  <c r="F246" i="189"/>
  <c r="O245" i="189"/>
  <c r="J245" i="189"/>
  <c r="J244" i="189" s="1"/>
  <c r="J243" i="189" s="1"/>
  <c r="E245" i="189"/>
  <c r="P245" i="189" s="1"/>
  <c r="P244" i="189" s="1"/>
  <c r="O244" i="189"/>
  <c r="N244" i="189"/>
  <c r="M244" i="189"/>
  <c r="M243" i="189" s="1"/>
  <c r="M231" i="189" s="1"/>
  <c r="M230" i="189" s="1"/>
  <c r="L244" i="189"/>
  <c r="K244" i="189"/>
  <c r="I244" i="189"/>
  <c r="I243" i="189" s="1"/>
  <c r="I231" i="189" s="1"/>
  <c r="I230" i="189" s="1"/>
  <c r="H244" i="189"/>
  <c r="G244" i="189"/>
  <c r="F244" i="189"/>
  <c r="E244" i="189"/>
  <c r="N243" i="189"/>
  <c r="N231" i="189" s="1"/>
  <c r="N230" i="189" s="1"/>
  <c r="L243" i="189"/>
  <c r="K243" i="189"/>
  <c r="H243" i="189"/>
  <c r="G243" i="189"/>
  <c r="F243" i="189"/>
  <c r="O242" i="189"/>
  <c r="J242" i="189"/>
  <c r="F242" i="189"/>
  <c r="O241" i="189"/>
  <c r="J241" i="189"/>
  <c r="P241" i="189" s="1"/>
  <c r="E241" i="189"/>
  <c r="O240" i="189"/>
  <c r="J240" i="189" s="1"/>
  <c r="P240" i="189" s="1"/>
  <c r="F240" i="189"/>
  <c r="E240" i="189"/>
  <c r="P239" i="189"/>
  <c r="O239" i="189"/>
  <c r="J239" i="189" s="1"/>
  <c r="E239" i="189"/>
  <c r="O238" i="189"/>
  <c r="J238" i="189" s="1"/>
  <c r="E238" i="189"/>
  <c r="N237" i="189"/>
  <c r="M237" i="189"/>
  <c r="L237" i="189"/>
  <c r="L236" i="189" s="1"/>
  <c r="K237" i="189"/>
  <c r="K236" i="189" s="1"/>
  <c r="I237" i="189"/>
  <c r="H237" i="189"/>
  <c r="G237" i="189"/>
  <c r="G236" i="189" s="1"/>
  <c r="F237" i="189"/>
  <c r="E237" i="189"/>
  <c r="N236" i="189"/>
  <c r="M236" i="189"/>
  <c r="I236" i="189"/>
  <c r="H236" i="189"/>
  <c r="J235" i="189"/>
  <c r="P235" i="189" s="1"/>
  <c r="E235" i="189"/>
  <c r="O234" i="189"/>
  <c r="J234" i="189"/>
  <c r="P234" i="189" s="1"/>
  <c r="E234" i="189"/>
  <c r="O233" i="189"/>
  <c r="J233" i="189" s="1"/>
  <c r="H233" i="189"/>
  <c r="E233" i="189"/>
  <c r="N232" i="189"/>
  <c r="M232" i="189"/>
  <c r="L232" i="189"/>
  <c r="K232" i="189"/>
  <c r="I232" i="189"/>
  <c r="H232" i="189"/>
  <c r="G232" i="189"/>
  <c r="F232" i="189"/>
  <c r="E232" i="189"/>
  <c r="H231" i="189"/>
  <c r="H230" i="189" s="1"/>
  <c r="P229" i="189"/>
  <c r="O229" i="189"/>
  <c r="J229" i="189"/>
  <c r="E229" i="189"/>
  <c r="P228" i="189"/>
  <c r="O228" i="189"/>
  <c r="N228" i="189"/>
  <c r="M228" i="189"/>
  <c r="L228" i="189"/>
  <c r="K228" i="189"/>
  <c r="J228" i="189"/>
  <c r="I228" i="189"/>
  <c r="H228" i="189"/>
  <c r="G228" i="189"/>
  <c r="F228" i="189"/>
  <c r="E228" i="189"/>
  <c r="P227" i="189"/>
  <c r="O227" i="189"/>
  <c r="N227" i="189"/>
  <c r="M227" i="189"/>
  <c r="L227" i="189"/>
  <c r="K227" i="189"/>
  <c r="J227" i="189"/>
  <c r="I227" i="189"/>
  <c r="H227" i="189"/>
  <c r="G227" i="189"/>
  <c r="F227" i="189"/>
  <c r="E227" i="189"/>
  <c r="P226" i="189"/>
  <c r="P225" i="189" s="1"/>
  <c r="K226" i="189"/>
  <c r="O226" i="189" s="1"/>
  <c r="O225" i="189" s="1"/>
  <c r="O221" i="189" s="1"/>
  <c r="J226" i="189"/>
  <c r="E226" i="189"/>
  <c r="E225" i="189" s="1"/>
  <c r="N225" i="189"/>
  <c r="N221" i="189" s="1"/>
  <c r="M225" i="189"/>
  <c r="L225" i="189"/>
  <c r="K225" i="189"/>
  <c r="J225" i="189"/>
  <c r="J221" i="189" s="1"/>
  <c r="I225" i="189"/>
  <c r="H225" i="189"/>
  <c r="G225" i="189"/>
  <c r="F225" i="189"/>
  <c r="O224" i="189"/>
  <c r="J224" i="189"/>
  <c r="J223" i="189" s="1"/>
  <c r="J222" i="189" s="1"/>
  <c r="E224" i="189"/>
  <c r="P224" i="189" s="1"/>
  <c r="P223" i="189" s="1"/>
  <c r="P222" i="189" s="1"/>
  <c r="O223" i="189"/>
  <c r="N223" i="189"/>
  <c r="N222" i="189" s="1"/>
  <c r="M223" i="189"/>
  <c r="M222" i="189" s="1"/>
  <c r="M221" i="189" s="1"/>
  <c r="L223" i="189"/>
  <c r="K223" i="189"/>
  <c r="I223" i="189"/>
  <c r="I222" i="189" s="1"/>
  <c r="I221" i="189" s="1"/>
  <c r="H223" i="189"/>
  <c r="G223" i="189"/>
  <c r="F223" i="189"/>
  <c r="F222" i="189" s="1"/>
  <c r="O222" i="189"/>
  <c r="L222" i="189"/>
  <c r="K222" i="189"/>
  <c r="H222" i="189"/>
  <c r="G222" i="189"/>
  <c r="L221" i="189"/>
  <c r="K221" i="189"/>
  <c r="H221" i="189"/>
  <c r="G221" i="189"/>
  <c r="O220" i="189"/>
  <c r="J220" i="189"/>
  <c r="J219" i="189" s="1"/>
  <c r="J218" i="189" s="1"/>
  <c r="E220" i="189"/>
  <c r="P220" i="189" s="1"/>
  <c r="P219" i="189" s="1"/>
  <c r="P218" i="189" s="1"/>
  <c r="O219" i="189"/>
  <c r="N219" i="189"/>
  <c r="M219" i="189"/>
  <c r="M218" i="189" s="1"/>
  <c r="L219" i="189"/>
  <c r="K219" i="189"/>
  <c r="I219" i="189"/>
  <c r="I218" i="189" s="1"/>
  <c r="I198" i="189" s="1"/>
  <c r="I197" i="189" s="1"/>
  <c r="H219" i="189"/>
  <c r="G219" i="189"/>
  <c r="F219" i="189"/>
  <c r="O218" i="189"/>
  <c r="N218" i="189"/>
  <c r="L218" i="189"/>
  <c r="K218" i="189"/>
  <c r="H218" i="189"/>
  <c r="G218" i="189"/>
  <c r="F218" i="189"/>
  <c r="O217" i="189"/>
  <c r="J217" i="189"/>
  <c r="E217" i="189"/>
  <c r="P217" i="189" s="1"/>
  <c r="O216" i="189"/>
  <c r="J216" i="189"/>
  <c r="E216" i="189"/>
  <c r="P216" i="189" s="1"/>
  <c r="O215" i="189"/>
  <c r="J215" i="189"/>
  <c r="E215" i="189"/>
  <c r="P215" i="189" s="1"/>
  <c r="O214" i="189"/>
  <c r="N214" i="189"/>
  <c r="M214" i="189"/>
  <c r="L214" i="189"/>
  <c r="K214" i="189"/>
  <c r="J214" i="189"/>
  <c r="I214" i="189"/>
  <c r="H214" i="189"/>
  <c r="G214" i="189"/>
  <c r="F214" i="189"/>
  <c r="F205" i="189" s="1"/>
  <c r="O213" i="189"/>
  <c r="J213" i="189"/>
  <c r="E213" i="189"/>
  <c r="P213" i="189" s="1"/>
  <c r="O212" i="189"/>
  <c r="N212" i="189"/>
  <c r="N211" i="189" s="1"/>
  <c r="N205" i="189" s="1"/>
  <c r="M212" i="189"/>
  <c r="M211" i="189" s="1"/>
  <c r="M205" i="189" s="1"/>
  <c r="L212" i="189"/>
  <c r="J212" i="189"/>
  <c r="J211" i="189" s="1"/>
  <c r="H212" i="189"/>
  <c r="G212" i="189"/>
  <c r="F212" i="189"/>
  <c r="E212" i="189"/>
  <c r="P212" i="189" s="1"/>
  <c r="P211" i="189" s="1"/>
  <c r="O211" i="189"/>
  <c r="L211" i="189"/>
  <c r="K211" i="189"/>
  <c r="I211" i="189"/>
  <c r="H211" i="189"/>
  <c r="G211" i="189"/>
  <c r="F211" i="189"/>
  <c r="O210" i="189"/>
  <c r="J210" i="189" s="1"/>
  <c r="E210" i="189"/>
  <c r="O209" i="189"/>
  <c r="N209" i="189"/>
  <c r="M209" i="189"/>
  <c r="L209" i="189"/>
  <c r="K209" i="189"/>
  <c r="I209" i="189"/>
  <c r="H209" i="189"/>
  <c r="G209" i="189"/>
  <c r="F209" i="189"/>
  <c r="E209" i="189"/>
  <c r="O208" i="189"/>
  <c r="J208" i="189" s="1"/>
  <c r="P208" i="189" s="1"/>
  <c r="E208" i="189"/>
  <c r="O207" i="189"/>
  <c r="J207" i="189" s="1"/>
  <c r="E207" i="189"/>
  <c r="O206" i="189"/>
  <c r="N206" i="189"/>
  <c r="M206" i="189"/>
  <c r="L206" i="189"/>
  <c r="K206" i="189"/>
  <c r="I206" i="189"/>
  <c r="H206" i="189"/>
  <c r="G206" i="189"/>
  <c r="F206" i="189"/>
  <c r="E206" i="189"/>
  <c r="O205" i="189"/>
  <c r="L205" i="189"/>
  <c r="K205" i="189"/>
  <c r="I205" i="189"/>
  <c r="H205" i="189"/>
  <c r="G205" i="189"/>
  <c r="O204" i="189"/>
  <c r="J204" i="189" s="1"/>
  <c r="H204" i="189"/>
  <c r="E204" i="189"/>
  <c r="N203" i="189"/>
  <c r="N202" i="189" s="1"/>
  <c r="N199" i="189" s="1"/>
  <c r="K203" i="189"/>
  <c r="O203" i="189" s="1"/>
  <c r="H203" i="189"/>
  <c r="E203" i="189"/>
  <c r="M202" i="189"/>
  <c r="L202" i="189"/>
  <c r="K202" i="189"/>
  <c r="K199" i="189" s="1"/>
  <c r="K198" i="189" s="1"/>
  <c r="K197" i="189" s="1"/>
  <c r="I202" i="189"/>
  <c r="H202" i="189"/>
  <c r="G202" i="189"/>
  <c r="G199" i="189" s="1"/>
  <c r="G198" i="189" s="1"/>
  <c r="G197" i="189" s="1"/>
  <c r="F202" i="189"/>
  <c r="O201" i="189"/>
  <c r="J201" i="189" s="1"/>
  <c r="H201" i="189"/>
  <c r="E201" i="189"/>
  <c r="N200" i="189"/>
  <c r="M200" i="189"/>
  <c r="L200" i="189"/>
  <c r="K200" i="189"/>
  <c r="I200" i="189"/>
  <c r="H200" i="189"/>
  <c r="G200" i="189"/>
  <c r="F200" i="189"/>
  <c r="E200" i="189"/>
  <c r="M199" i="189"/>
  <c r="L199" i="189"/>
  <c r="L198" i="189" s="1"/>
  <c r="I199" i="189"/>
  <c r="H199" i="189"/>
  <c r="H198" i="189" s="1"/>
  <c r="H197" i="189" s="1"/>
  <c r="F199" i="189"/>
  <c r="O196" i="189"/>
  <c r="J196" i="189"/>
  <c r="E196" i="189"/>
  <c r="P196" i="189" s="1"/>
  <c r="P195" i="189" s="1"/>
  <c r="P194" i="189" s="1"/>
  <c r="O195" i="189"/>
  <c r="N195" i="189"/>
  <c r="M195" i="189"/>
  <c r="L195" i="189"/>
  <c r="K195" i="189"/>
  <c r="J195" i="189"/>
  <c r="I195" i="189"/>
  <c r="H195" i="189"/>
  <c r="G195" i="189"/>
  <c r="F195" i="189"/>
  <c r="E195" i="189"/>
  <c r="O194" i="189"/>
  <c r="N194" i="189"/>
  <c r="M194" i="189"/>
  <c r="L194" i="189"/>
  <c r="K194" i="189"/>
  <c r="J194" i="189"/>
  <c r="I194" i="189"/>
  <c r="H194" i="189"/>
  <c r="G194" i="189"/>
  <c r="F194" i="189"/>
  <c r="E194" i="189"/>
  <c r="O193" i="189"/>
  <c r="J193" i="189"/>
  <c r="E193" i="189"/>
  <c r="P193" i="189" s="1"/>
  <c r="O192" i="189"/>
  <c r="J192" i="189"/>
  <c r="E192" i="189"/>
  <c r="P192" i="189" s="1"/>
  <c r="P191" i="189" s="1"/>
  <c r="P190" i="189" s="1"/>
  <c r="P189" i="189" s="1"/>
  <c r="O191" i="189"/>
  <c r="N191" i="189"/>
  <c r="M191" i="189"/>
  <c r="L191" i="189"/>
  <c r="K191" i="189"/>
  <c r="J191" i="189"/>
  <c r="I191" i="189"/>
  <c r="H191" i="189"/>
  <c r="G191" i="189"/>
  <c r="F191" i="189"/>
  <c r="E191" i="189"/>
  <c r="O190" i="189"/>
  <c r="N190" i="189"/>
  <c r="M190" i="189"/>
  <c r="L190" i="189"/>
  <c r="K190" i="189"/>
  <c r="J190" i="189"/>
  <c r="I190" i="189"/>
  <c r="H190" i="189"/>
  <c r="G190" i="189"/>
  <c r="F190" i="189"/>
  <c r="E190" i="189"/>
  <c r="O189" i="189"/>
  <c r="N189" i="189"/>
  <c r="M189" i="189"/>
  <c r="L189" i="189"/>
  <c r="K189" i="189"/>
  <c r="J189" i="189"/>
  <c r="I189" i="189"/>
  <c r="H189" i="189"/>
  <c r="G189" i="189"/>
  <c r="F189" i="189"/>
  <c r="E189" i="189"/>
  <c r="O188" i="189"/>
  <c r="J188" i="189"/>
  <c r="E188" i="189"/>
  <c r="P188" i="189" s="1"/>
  <c r="O187" i="189"/>
  <c r="J187" i="189"/>
  <c r="H187" i="189"/>
  <c r="H186" i="189" s="1"/>
  <c r="H180" i="189" s="1"/>
  <c r="E187" i="189"/>
  <c r="P187" i="189" s="1"/>
  <c r="P186" i="189" s="1"/>
  <c r="O186" i="189"/>
  <c r="O180" i="189" s="1"/>
  <c r="O177" i="189" s="1"/>
  <c r="O176" i="189" s="1"/>
  <c r="N186" i="189"/>
  <c r="N180" i="189" s="1"/>
  <c r="M186" i="189"/>
  <c r="L186" i="189"/>
  <c r="K186" i="189"/>
  <c r="K180" i="189" s="1"/>
  <c r="K177" i="189" s="1"/>
  <c r="K176" i="189" s="1"/>
  <c r="J186" i="189"/>
  <c r="I186" i="189"/>
  <c r="G186" i="189"/>
  <c r="G180" i="189" s="1"/>
  <c r="G177" i="189" s="1"/>
  <c r="G176" i="189" s="1"/>
  <c r="F186" i="189"/>
  <c r="F180" i="189" s="1"/>
  <c r="O185" i="189"/>
  <c r="J185" i="189"/>
  <c r="P185" i="189" s="1"/>
  <c r="E185" i="189"/>
  <c r="O184" i="189"/>
  <c r="J184" i="189"/>
  <c r="H184" i="189"/>
  <c r="E184" i="189"/>
  <c r="P184" i="189" s="1"/>
  <c r="O183" i="189"/>
  <c r="J183" i="189" s="1"/>
  <c r="H183" i="189"/>
  <c r="E183" i="189"/>
  <c r="P183" i="189" s="1"/>
  <c r="O182" i="189"/>
  <c r="J182" i="189"/>
  <c r="H182" i="189"/>
  <c r="E182" i="189"/>
  <c r="P182" i="189" s="1"/>
  <c r="O181" i="189"/>
  <c r="J181" i="189"/>
  <c r="E181" i="189"/>
  <c r="P181" i="189" s="1"/>
  <c r="M180" i="189"/>
  <c r="M177" i="189" s="1"/>
  <c r="M176" i="189" s="1"/>
  <c r="L180" i="189"/>
  <c r="I180" i="189"/>
  <c r="I177" i="189" s="1"/>
  <c r="I176" i="189" s="1"/>
  <c r="O179" i="189"/>
  <c r="J179" i="189"/>
  <c r="H179" i="189"/>
  <c r="H178" i="189" s="1"/>
  <c r="E179" i="189"/>
  <c r="P179" i="189" s="1"/>
  <c r="P178" i="189" s="1"/>
  <c r="O178" i="189"/>
  <c r="N178" i="189"/>
  <c r="N177" i="189" s="1"/>
  <c r="N176" i="189" s="1"/>
  <c r="M178" i="189"/>
  <c r="L178" i="189"/>
  <c r="K178" i="189"/>
  <c r="J178" i="189"/>
  <c r="I178" i="189"/>
  <c r="G178" i="189"/>
  <c r="F178" i="189"/>
  <c r="E178" i="189"/>
  <c r="L177" i="189"/>
  <c r="J177" i="189" s="1"/>
  <c r="J176" i="189" s="1"/>
  <c r="L176" i="189"/>
  <c r="O174" i="189"/>
  <c r="J174" i="189" s="1"/>
  <c r="E174" i="189"/>
  <c r="O173" i="189"/>
  <c r="N173" i="189"/>
  <c r="M173" i="189"/>
  <c r="L173" i="189"/>
  <c r="K173" i="189"/>
  <c r="I173" i="189"/>
  <c r="H173" i="189"/>
  <c r="G173" i="189"/>
  <c r="F173" i="189"/>
  <c r="E173" i="189"/>
  <c r="O172" i="189"/>
  <c r="N172" i="189"/>
  <c r="M172" i="189"/>
  <c r="L172" i="189"/>
  <c r="K172" i="189"/>
  <c r="I172" i="189"/>
  <c r="H172" i="189"/>
  <c r="G172" i="189"/>
  <c r="F172" i="189"/>
  <c r="E172" i="189"/>
  <c r="O171" i="189"/>
  <c r="J171" i="189" s="1"/>
  <c r="E171" i="189"/>
  <c r="O170" i="189"/>
  <c r="N170" i="189"/>
  <c r="M170" i="189"/>
  <c r="L170" i="189"/>
  <c r="K170" i="189"/>
  <c r="I170" i="189"/>
  <c r="H170" i="189"/>
  <c r="G170" i="189"/>
  <c r="F170" i="189"/>
  <c r="E170" i="189"/>
  <c r="O169" i="189"/>
  <c r="N169" i="189"/>
  <c r="M169" i="189"/>
  <c r="L169" i="189"/>
  <c r="K169" i="189"/>
  <c r="I169" i="189"/>
  <c r="H169" i="189"/>
  <c r="G169" i="189"/>
  <c r="F169" i="189"/>
  <c r="E169" i="189"/>
  <c r="O168" i="189"/>
  <c r="N168" i="189"/>
  <c r="M168" i="189"/>
  <c r="L168" i="189"/>
  <c r="K168" i="189"/>
  <c r="I168" i="189"/>
  <c r="H168" i="189"/>
  <c r="G168" i="189"/>
  <c r="F168" i="189"/>
  <c r="E168" i="189"/>
  <c r="O167" i="189"/>
  <c r="J167" i="189" s="1"/>
  <c r="P167" i="189" s="1"/>
  <c r="E167" i="189"/>
  <c r="O166" i="189"/>
  <c r="J166" i="189" s="1"/>
  <c r="E166" i="189"/>
  <c r="O165" i="189"/>
  <c r="N165" i="189"/>
  <c r="M165" i="189"/>
  <c r="L165" i="189"/>
  <c r="K165" i="189"/>
  <c r="I165" i="189"/>
  <c r="H165" i="189"/>
  <c r="G165" i="189"/>
  <c r="F165" i="189"/>
  <c r="E165" i="189"/>
  <c r="O164" i="189"/>
  <c r="N164" i="189"/>
  <c r="M164" i="189"/>
  <c r="L164" i="189"/>
  <c r="K164" i="189"/>
  <c r="I164" i="189"/>
  <c r="H164" i="189"/>
  <c r="G164" i="189"/>
  <c r="F164" i="189"/>
  <c r="E164" i="189"/>
  <c r="O163" i="189"/>
  <c r="J163" i="189" s="1"/>
  <c r="F163" i="189"/>
  <c r="E163" i="189"/>
  <c r="N162" i="189"/>
  <c r="N161" i="189" s="1"/>
  <c r="M162" i="189"/>
  <c r="M161" i="189" s="1"/>
  <c r="L162" i="189"/>
  <c r="K162" i="189"/>
  <c r="O162" i="189" s="1"/>
  <c r="O161" i="189" s="1"/>
  <c r="H162" i="189"/>
  <c r="G162" i="189"/>
  <c r="F162" i="189"/>
  <c r="E162" i="189"/>
  <c r="K161" i="189"/>
  <c r="I161" i="189"/>
  <c r="H161" i="189"/>
  <c r="G161" i="189"/>
  <c r="F161" i="189"/>
  <c r="O160" i="189"/>
  <c r="J160" i="189" s="1"/>
  <c r="F160" i="189"/>
  <c r="E160" i="189"/>
  <c r="P160" i="189" s="1"/>
  <c r="P157" i="189"/>
  <c r="O157" i="189"/>
  <c r="J157" i="189"/>
  <c r="E157" i="189"/>
  <c r="P154" i="189"/>
  <c r="O154" i="189"/>
  <c r="J154" i="189"/>
  <c r="E154" i="189"/>
  <c r="P150" i="189"/>
  <c r="O150" i="189"/>
  <c r="J150" i="189"/>
  <c r="E150" i="189"/>
  <c r="O147" i="189"/>
  <c r="J147" i="189"/>
  <c r="E147" i="189"/>
  <c r="P147" i="189" s="1"/>
  <c r="P146" i="189" s="1"/>
  <c r="O146" i="189"/>
  <c r="N146" i="189"/>
  <c r="M146" i="189"/>
  <c r="L146" i="189"/>
  <c r="K146" i="189"/>
  <c r="J146" i="189"/>
  <c r="I146" i="189"/>
  <c r="H146" i="189"/>
  <c r="G146" i="189"/>
  <c r="F146" i="189"/>
  <c r="E146" i="189"/>
  <c r="O145" i="189"/>
  <c r="J145" i="189"/>
  <c r="E145" i="189"/>
  <c r="P145" i="189" s="1"/>
  <c r="O144" i="189"/>
  <c r="J144" i="189"/>
  <c r="E144" i="189"/>
  <c r="P144" i="189" s="1"/>
  <c r="P143" i="189" s="1"/>
  <c r="O143" i="189"/>
  <c r="N143" i="189"/>
  <c r="M143" i="189"/>
  <c r="L143" i="189"/>
  <c r="K143" i="189"/>
  <c r="J143" i="189"/>
  <c r="I143" i="189"/>
  <c r="H143" i="189"/>
  <c r="G143" i="189"/>
  <c r="F143" i="189"/>
  <c r="E143" i="189"/>
  <c r="O142" i="189"/>
  <c r="J142" i="189"/>
  <c r="E142" i="189"/>
  <c r="P142" i="189" s="1"/>
  <c r="O141" i="189"/>
  <c r="J141" i="189"/>
  <c r="E141" i="189"/>
  <c r="P141" i="189" s="1"/>
  <c r="N140" i="189"/>
  <c r="M140" i="189"/>
  <c r="L140" i="189"/>
  <c r="J140" i="189" s="1"/>
  <c r="P140" i="189" s="1"/>
  <c r="K140" i="189"/>
  <c r="O140" i="189" s="1"/>
  <c r="I140" i="189"/>
  <c r="H140" i="189"/>
  <c r="G140" i="189"/>
  <c r="F140" i="189"/>
  <c r="E140" i="189"/>
  <c r="P139" i="189"/>
  <c r="O139" i="189"/>
  <c r="J139" i="189"/>
  <c r="E139" i="189"/>
  <c r="P138" i="189"/>
  <c r="O138" i="189"/>
  <c r="J138" i="189"/>
  <c r="E138" i="189"/>
  <c r="P137" i="189"/>
  <c r="O137" i="189"/>
  <c r="N137" i="189"/>
  <c r="M137" i="189"/>
  <c r="L137" i="189"/>
  <c r="K137" i="189"/>
  <c r="J137" i="189"/>
  <c r="I137" i="189"/>
  <c r="H137" i="189"/>
  <c r="G137" i="189"/>
  <c r="F137" i="189"/>
  <c r="E137" i="189"/>
  <c r="P136" i="189"/>
  <c r="O136" i="189"/>
  <c r="J136" i="189"/>
  <c r="H136" i="189"/>
  <c r="G136" i="189"/>
  <c r="G134" i="189" s="1"/>
  <c r="G124" i="189" s="1"/>
  <c r="G119" i="189" s="1"/>
  <c r="G118" i="189" s="1"/>
  <c r="E136" i="189"/>
  <c r="O135" i="189"/>
  <c r="N135" i="189"/>
  <c r="H135" i="189"/>
  <c r="H134" i="189" s="1"/>
  <c r="H124" i="189" s="1"/>
  <c r="H119" i="189" s="1"/>
  <c r="H118" i="189" s="1"/>
  <c r="F135" i="189"/>
  <c r="E135" i="189" s="1"/>
  <c r="N134" i="189"/>
  <c r="M134" i="189"/>
  <c r="M124" i="189" s="1"/>
  <c r="M119" i="189" s="1"/>
  <c r="M118" i="189" s="1"/>
  <c r="L134" i="189"/>
  <c r="K134" i="189"/>
  <c r="I134" i="189"/>
  <c r="I124" i="189" s="1"/>
  <c r="I119" i="189" s="1"/>
  <c r="I118" i="189" s="1"/>
  <c r="F134" i="189"/>
  <c r="O133" i="189"/>
  <c r="J133" i="189"/>
  <c r="E133" i="189"/>
  <c r="O132" i="189"/>
  <c r="J132" i="189"/>
  <c r="E132" i="189"/>
  <c r="P132" i="189" s="1"/>
  <c r="O131" i="189"/>
  <c r="J131" i="189"/>
  <c r="E131" i="189"/>
  <c r="O130" i="189"/>
  <c r="J130" i="189"/>
  <c r="E130" i="189"/>
  <c r="O129" i="189"/>
  <c r="J129" i="189"/>
  <c r="E129" i="189"/>
  <c r="O128" i="189"/>
  <c r="J128" i="189"/>
  <c r="E128" i="189"/>
  <c r="P128" i="189" s="1"/>
  <c r="O127" i="189"/>
  <c r="J127" i="189"/>
  <c r="F127" i="189"/>
  <c r="E127" i="189" s="1"/>
  <c r="O126" i="189"/>
  <c r="J126" i="189" s="1"/>
  <c r="E126" i="189"/>
  <c r="N125" i="189"/>
  <c r="N124" i="189" s="1"/>
  <c r="M125" i="189"/>
  <c r="L125" i="189"/>
  <c r="K125" i="189"/>
  <c r="I125" i="189"/>
  <c r="H125" i="189"/>
  <c r="G125" i="189"/>
  <c r="F125" i="189"/>
  <c r="F124" i="189" s="1"/>
  <c r="K124" i="189"/>
  <c r="J123" i="189"/>
  <c r="E123" i="189"/>
  <c r="P123" i="189" s="1"/>
  <c r="O122" i="189"/>
  <c r="J122" i="189"/>
  <c r="E122" i="189"/>
  <c r="O121" i="189"/>
  <c r="J121" i="189"/>
  <c r="H121" i="189"/>
  <c r="H120" i="189" s="1"/>
  <c r="E121" i="189"/>
  <c r="O120" i="189"/>
  <c r="N120" i="189"/>
  <c r="M120" i="189"/>
  <c r="L120" i="189"/>
  <c r="K120" i="189"/>
  <c r="J120" i="189"/>
  <c r="I120" i="189"/>
  <c r="G120" i="189"/>
  <c r="F120" i="189"/>
  <c r="K119" i="189"/>
  <c r="K118" i="189" s="1"/>
  <c r="P117" i="189"/>
  <c r="O117" i="189"/>
  <c r="J117" i="189" s="1"/>
  <c r="E117" i="189"/>
  <c r="P116" i="189"/>
  <c r="P115" i="189" s="1"/>
  <c r="O116" i="189"/>
  <c r="J116" i="189" s="1"/>
  <c r="J115" i="189" s="1"/>
  <c r="E116" i="189"/>
  <c r="O115" i="189"/>
  <c r="N115" i="189"/>
  <c r="M115" i="189"/>
  <c r="L115" i="189"/>
  <c r="K115" i="189"/>
  <c r="I115" i="189"/>
  <c r="H115" i="189"/>
  <c r="G115" i="189"/>
  <c r="F115" i="189"/>
  <c r="E115" i="189"/>
  <c r="O114" i="189"/>
  <c r="J114" i="189" s="1"/>
  <c r="J113" i="189" s="1"/>
  <c r="E114" i="189"/>
  <c r="O113" i="189"/>
  <c r="N113" i="189"/>
  <c r="M113" i="189"/>
  <c r="L113" i="189"/>
  <c r="L110" i="189" s="1"/>
  <c r="L109" i="189" s="1"/>
  <c r="K113" i="189"/>
  <c r="I113" i="189"/>
  <c r="H113" i="189"/>
  <c r="H110" i="189" s="1"/>
  <c r="H109" i="189" s="1"/>
  <c r="G113" i="189"/>
  <c r="G110" i="189" s="1"/>
  <c r="G109" i="189" s="1"/>
  <c r="F113" i="189"/>
  <c r="E113" i="189"/>
  <c r="P112" i="189"/>
  <c r="P111" i="189" s="1"/>
  <c r="O112" i="189"/>
  <c r="J112" i="189" s="1"/>
  <c r="J111" i="189" s="1"/>
  <c r="E112" i="189"/>
  <c r="O111" i="189"/>
  <c r="O110" i="189" s="1"/>
  <c r="O109" i="189" s="1"/>
  <c r="N111" i="189"/>
  <c r="M111" i="189"/>
  <c r="L111" i="189"/>
  <c r="K111" i="189"/>
  <c r="K110" i="189" s="1"/>
  <c r="K109" i="189" s="1"/>
  <c r="I111" i="189"/>
  <c r="H111" i="189"/>
  <c r="G111" i="189"/>
  <c r="F111" i="189"/>
  <c r="E111" i="189"/>
  <c r="N110" i="189"/>
  <c r="M110" i="189"/>
  <c r="I110" i="189"/>
  <c r="F110" i="189"/>
  <c r="E110" i="189"/>
  <c r="N109" i="189"/>
  <c r="M109" i="189"/>
  <c r="I109" i="189"/>
  <c r="F109" i="189"/>
  <c r="E109" i="189"/>
  <c r="P108" i="189"/>
  <c r="P107" i="189" s="1"/>
  <c r="O108" i="189"/>
  <c r="J108" i="189" s="1"/>
  <c r="J107" i="189" s="1"/>
  <c r="E108" i="189"/>
  <c r="O107" i="189"/>
  <c r="N107" i="189"/>
  <c r="M107" i="189"/>
  <c r="L107" i="189"/>
  <c r="K107" i="189"/>
  <c r="I107" i="189"/>
  <c r="H107" i="189"/>
  <c r="G107" i="189"/>
  <c r="F107" i="189"/>
  <c r="E107" i="189"/>
  <c r="O106" i="189"/>
  <c r="F106" i="189"/>
  <c r="E106" i="189"/>
  <c r="O105" i="189"/>
  <c r="J105" i="189" s="1"/>
  <c r="H105" i="189"/>
  <c r="H104" i="189" s="1"/>
  <c r="H94" i="189" s="1"/>
  <c r="E105" i="189"/>
  <c r="P105" i="189" s="1"/>
  <c r="N104" i="189"/>
  <c r="M104" i="189"/>
  <c r="L104" i="189"/>
  <c r="K104" i="189"/>
  <c r="I104" i="189"/>
  <c r="G104" i="189"/>
  <c r="F104" i="189"/>
  <c r="O103" i="189"/>
  <c r="J103" i="189"/>
  <c r="J102" i="189" s="1"/>
  <c r="E103" i="189"/>
  <c r="O102" i="189"/>
  <c r="N102" i="189"/>
  <c r="M102" i="189"/>
  <c r="L102" i="189"/>
  <c r="K102" i="189"/>
  <c r="I102" i="189"/>
  <c r="H102" i="189"/>
  <c r="G102" i="189"/>
  <c r="F102" i="189"/>
  <c r="E102" i="189"/>
  <c r="O101" i="189"/>
  <c r="J101" i="189"/>
  <c r="E101" i="189"/>
  <c r="P101" i="189" s="1"/>
  <c r="P100" i="189" s="1"/>
  <c r="O100" i="189"/>
  <c r="N100" i="189"/>
  <c r="M100" i="189"/>
  <c r="L100" i="189"/>
  <c r="K100" i="189"/>
  <c r="J100" i="189"/>
  <c r="I100" i="189"/>
  <c r="H100" i="189"/>
  <c r="G100" i="189"/>
  <c r="F100" i="189"/>
  <c r="F94" i="189" s="1"/>
  <c r="F91" i="189" s="1"/>
  <c r="F90" i="189" s="1"/>
  <c r="E100" i="189"/>
  <c r="O99" i="189"/>
  <c r="J99" i="189"/>
  <c r="E99" i="189"/>
  <c r="O98" i="189"/>
  <c r="J98" i="189"/>
  <c r="E98" i="189"/>
  <c r="P98" i="189" s="1"/>
  <c r="O97" i="189"/>
  <c r="J97" i="189"/>
  <c r="F97" i="189"/>
  <c r="E97" i="189" s="1"/>
  <c r="P97" i="189" s="1"/>
  <c r="O96" i="189"/>
  <c r="J96" i="189" s="1"/>
  <c r="K96" i="189"/>
  <c r="K94" i="189" s="1"/>
  <c r="F96" i="189"/>
  <c r="E96" i="189"/>
  <c r="K95" i="189"/>
  <c r="O95" i="189" s="1"/>
  <c r="J95" i="189" s="1"/>
  <c r="P95" i="189" s="1"/>
  <c r="F95" i="189"/>
  <c r="E95" i="189" s="1"/>
  <c r="N94" i="189"/>
  <c r="L94" i="189"/>
  <c r="G94" i="189"/>
  <c r="K93" i="189"/>
  <c r="K92" i="189" s="1"/>
  <c r="H93" i="189"/>
  <c r="E93" i="189"/>
  <c r="N92" i="189"/>
  <c r="M92" i="189"/>
  <c r="L92" i="189"/>
  <c r="I92" i="189"/>
  <c r="H92" i="189"/>
  <c r="G92" i="189"/>
  <c r="F92" i="189"/>
  <c r="E92" i="189"/>
  <c r="N91" i="189"/>
  <c r="N90" i="189" s="1"/>
  <c r="O89" i="189"/>
  <c r="J89" i="189"/>
  <c r="E89" i="189"/>
  <c r="P89" i="189" s="1"/>
  <c r="P88" i="189" s="1"/>
  <c r="P87" i="189" s="1"/>
  <c r="O88" i="189"/>
  <c r="N88" i="189"/>
  <c r="M88" i="189"/>
  <c r="L88" i="189"/>
  <c r="K88" i="189"/>
  <c r="J88" i="189"/>
  <c r="I88" i="189"/>
  <c r="H88" i="189"/>
  <c r="G88" i="189"/>
  <c r="F88" i="189"/>
  <c r="O87" i="189"/>
  <c r="N87" i="189"/>
  <c r="M87" i="189"/>
  <c r="L87" i="189"/>
  <c r="K87" i="189"/>
  <c r="J87" i="189"/>
  <c r="I87" i="189"/>
  <c r="H87" i="189"/>
  <c r="G87" i="189"/>
  <c r="F87" i="189"/>
  <c r="O86" i="189"/>
  <c r="J86" i="189"/>
  <c r="J85" i="189" s="1"/>
  <c r="E86" i="189"/>
  <c r="P86" i="189" s="1"/>
  <c r="P85" i="189" s="1"/>
  <c r="O85" i="189"/>
  <c r="N85" i="189"/>
  <c r="M85" i="189"/>
  <c r="M81" i="189" s="1"/>
  <c r="L85" i="189"/>
  <c r="K85" i="189"/>
  <c r="I85" i="189"/>
  <c r="I81" i="189" s="1"/>
  <c r="H85" i="189"/>
  <c r="G85" i="189"/>
  <c r="F85" i="189"/>
  <c r="K84" i="189"/>
  <c r="O84" i="189" s="1"/>
  <c r="J84" i="189" s="1"/>
  <c r="J83" i="189" s="1"/>
  <c r="J82" i="189" s="1"/>
  <c r="E84" i="189"/>
  <c r="N83" i="189"/>
  <c r="N82" i="189" s="1"/>
  <c r="N81" i="189" s="1"/>
  <c r="M83" i="189"/>
  <c r="L83" i="189"/>
  <c r="I83" i="189"/>
  <c r="H83" i="189"/>
  <c r="G83" i="189"/>
  <c r="G82" i="189" s="1"/>
  <c r="G81" i="189" s="1"/>
  <c r="F83" i="189"/>
  <c r="F82" i="189" s="1"/>
  <c r="F81" i="189" s="1"/>
  <c r="E83" i="189"/>
  <c r="M82" i="189"/>
  <c r="L82" i="189"/>
  <c r="I82" i="189"/>
  <c r="H82" i="189"/>
  <c r="E82" i="189"/>
  <c r="L81" i="189"/>
  <c r="H81" i="189"/>
  <c r="O80" i="189"/>
  <c r="J80" i="189" s="1"/>
  <c r="F80" i="189"/>
  <c r="E80" i="189"/>
  <c r="P79" i="189"/>
  <c r="O79" i="189"/>
  <c r="J79" i="189" s="1"/>
  <c r="E79" i="189"/>
  <c r="O78" i="189"/>
  <c r="N78" i="189"/>
  <c r="M78" i="189"/>
  <c r="L78" i="189"/>
  <c r="J78" i="189" s="1"/>
  <c r="P78" i="189" s="1"/>
  <c r="K78" i="189"/>
  <c r="I78" i="189"/>
  <c r="H78" i="189"/>
  <c r="G78" i="189"/>
  <c r="F78" i="189"/>
  <c r="E78" i="189" s="1"/>
  <c r="O77" i="189"/>
  <c r="F77" i="189"/>
  <c r="E77" i="189"/>
  <c r="N76" i="189"/>
  <c r="M76" i="189"/>
  <c r="L76" i="189"/>
  <c r="K76" i="189"/>
  <c r="I76" i="189"/>
  <c r="H76" i="189"/>
  <c r="G76" i="189"/>
  <c r="F76" i="189"/>
  <c r="O75" i="189"/>
  <c r="J75" i="189" s="1"/>
  <c r="P75" i="189" s="1"/>
  <c r="E75" i="189"/>
  <c r="O74" i="189"/>
  <c r="J74" i="189" s="1"/>
  <c r="K74" i="189"/>
  <c r="G74" i="189"/>
  <c r="F74" i="189"/>
  <c r="E74" i="189" s="1"/>
  <c r="O72" i="189"/>
  <c r="J72" i="189" s="1"/>
  <c r="K72" i="189"/>
  <c r="K70" i="189" s="1"/>
  <c r="E72" i="189"/>
  <c r="P72" i="189" s="1"/>
  <c r="O71" i="189"/>
  <c r="O70" i="189" s="1"/>
  <c r="K71" i="189"/>
  <c r="E71" i="189"/>
  <c r="N70" i="189"/>
  <c r="M70" i="189"/>
  <c r="L70" i="189"/>
  <c r="J70" i="189" s="1"/>
  <c r="I70" i="189"/>
  <c r="H70" i="189"/>
  <c r="G70" i="189"/>
  <c r="F70" i="189"/>
  <c r="E70" i="189"/>
  <c r="P70" i="189" s="1"/>
  <c r="O69" i="189"/>
  <c r="J69" i="189"/>
  <c r="E69" i="189"/>
  <c r="P69" i="189" s="1"/>
  <c r="O68" i="189"/>
  <c r="J68" i="189"/>
  <c r="E68" i="189"/>
  <c r="P68" i="189" s="1"/>
  <c r="O67" i="189"/>
  <c r="N67" i="189"/>
  <c r="M67" i="189"/>
  <c r="L67" i="189"/>
  <c r="J67" i="189" s="1"/>
  <c r="K67" i="189"/>
  <c r="I67" i="189"/>
  <c r="H67" i="189"/>
  <c r="G67" i="189"/>
  <c r="F67" i="189"/>
  <c r="E67" i="189"/>
  <c r="P67" i="189" s="1"/>
  <c r="O66" i="189"/>
  <c r="J66" i="189"/>
  <c r="F66" i="189"/>
  <c r="E66" i="189" s="1"/>
  <c r="P66" i="189" s="1"/>
  <c r="O65" i="189"/>
  <c r="J65" i="189"/>
  <c r="G65" i="189"/>
  <c r="G63" i="189" s="1"/>
  <c r="G44" i="189" s="1"/>
  <c r="F65" i="189"/>
  <c r="E65" i="189"/>
  <c r="P65" i="189" s="1"/>
  <c r="O64" i="189"/>
  <c r="J64" i="189" s="1"/>
  <c r="J63" i="189" s="1"/>
  <c r="F64" i="189"/>
  <c r="E64" i="189"/>
  <c r="N63" i="189"/>
  <c r="M63" i="189"/>
  <c r="M44" i="189" s="1"/>
  <c r="M43" i="189" s="1"/>
  <c r="M42" i="189" s="1"/>
  <c r="L63" i="189"/>
  <c r="K63" i="189"/>
  <c r="I63" i="189"/>
  <c r="I44" i="189" s="1"/>
  <c r="I43" i="189" s="1"/>
  <c r="I42" i="189" s="1"/>
  <c r="H63" i="189"/>
  <c r="F63" i="189"/>
  <c r="E63" i="189"/>
  <c r="O62" i="189"/>
  <c r="J62" i="189"/>
  <c r="E62" i="189"/>
  <c r="P62" i="189" s="1"/>
  <c r="N61" i="189"/>
  <c r="N60" i="189" s="1"/>
  <c r="K61" i="189"/>
  <c r="K60" i="189" s="1"/>
  <c r="F61" i="189"/>
  <c r="E61" i="189"/>
  <c r="M60" i="189"/>
  <c r="L60" i="189"/>
  <c r="I60" i="189"/>
  <c r="H60" i="189"/>
  <c r="G60" i="189"/>
  <c r="F60" i="189"/>
  <c r="J59" i="189"/>
  <c r="G59" i="189"/>
  <c r="F59" i="189"/>
  <c r="F57" i="189" s="1"/>
  <c r="F44" i="189" s="1"/>
  <c r="F43" i="189" s="1"/>
  <c r="F42" i="189" s="1"/>
  <c r="E59" i="189"/>
  <c r="P59" i="189" s="1"/>
  <c r="N58" i="189"/>
  <c r="N57" i="189" s="1"/>
  <c r="N44" i="189" s="1"/>
  <c r="N43" i="189" s="1"/>
  <c r="N42" i="189" s="1"/>
  <c r="K58" i="189"/>
  <c r="K57" i="189" s="1"/>
  <c r="F58" i="189"/>
  <c r="E58" i="189"/>
  <c r="M57" i="189"/>
  <c r="L57" i="189"/>
  <c r="L44" i="189" s="1"/>
  <c r="L43" i="189" s="1"/>
  <c r="I57" i="189"/>
  <c r="H57" i="189"/>
  <c r="G57" i="189"/>
  <c r="O56" i="189"/>
  <c r="J56" i="189" s="1"/>
  <c r="N56" i="189"/>
  <c r="F56" i="189"/>
  <c r="E56" i="189" s="1"/>
  <c r="P56" i="189" s="1"/>
  <c r="O55" i="189"/>
  <c r="J55" i="189"/>
  <c r="E55" i="189"/>
  <c r="P55" i="189" s="1"/>
  <c r="O53" i="189"/>
  <c r="N53" i="189"/>
  <c r="M53" i="189"/>
  <c r="L53" i="189"/>
  <c r="K53" i="189"/>
  <c r="J53" i="189"/>
  <c r="I53" i="189"/>
  <c r="H53" i="189"/>
  <c r="G53" i="189"/>
  <c r="F53" i="189"/>
  <c r="E53" i="189"/>
  <c r="P53" i="189" s="1"/>
  <c r="J52" i="189"/>
  <c r="E52" i="189"/>
  <c r="P52" i="189" s="1"/>
  <c r="O51" i="189"/>
  <c r="J51" i="189"/>
  <c r="G51" i="189"/>
  <c r="F51" i="189"/>
  <c r="E51" i="189" s="1"/>
  <c r="O50" i="189"/>
  <c r="N50" i="189"/>
  <c r="M50" i="189"/>
  <c r="L50" i="189"/>
  <c r="K50" i="189"/>
  <c r="J50" i="189"/>
  <c r="I50" i="189"/>
  <c r="H50" i="189"/>
  <c r="G50" i="189"/>
  <c r="F50" i="189"/>
  <c r="O49" i="189"/>
  <c r="J49" i="189" s="1"/>
  <c r="F49" i="189"/>
  <c r="E49" i="189"/>
  <c r="P49" i="189" s="1"/>
  <c r="O48" i="189"/>
  <c r="J48" i="189" s="1"/>
  <c r="N48" i="189"/>
  <c r="H48" i="189"/>
  <c r="F48" i="189"/>
  <c r="E48" i="189" s="1"/>
  <c r="P48" i="189" s="1"/>
  <c r="O47" i="189"/>
  <c r="J47" i="189" s="1"/>
  <c r="J46" i="189" s="1"/>
  <c r="N47" i="189"/>
  <c r="K47" i="189"/>
  <c r="H47" i="189"/>
  <c r="H46" i="189" s="1"/>
  <c r="F47" i="189"/>
  <c r="E47" i="189" s="1"/>
  <c r="N46" i="189"/>
  <c r="M46" i="189"/>
  <c r="L46" i="189"/>
  <c r="K46" i="189"/>
  <c r="I46" i="189"/>
  <c r="G46" i="189"/>
  <c r="F46" i="189"/>
  <c r="O45" i="189"/>
  <c r="J45" i="189" s="1"/>
  <c r="N45" i="189"/>
  <c r="K45" i="189"/>
  <c r="H45" i="189"/>
  <c r="H44" i="189" s="1"/>
  <c r="H43" i="189" s="1"/>
  <c r="H42" i="189" s="1"/>
  <c r="F45" i="189"/>
  <c r="E45" i="189" s="1"/>
  <c r="O41" i="189"/>
  <c r="J41" i="189" s="1"/>
  <c r="K41" i="189"/>
  <c r="F41" i="189"/>
  <c r="E41" i="189" s="1"/>
  <c r="K40" i="189"/>
  <c r="O40" i="189" s="1"/>
  <c r="E40" i="189"/>
  <c r="O39" i="189"/>
  <c r="J39" i="189" s="1"/>
  <c r="E39" i="189"/>
  <c r="N38" i="189"/>
  <c r="M38" i="189"/>
  <c r="L38" i="189"/>
  <c r="K38" i="189"/>
  <c r="I38" i="189"/>
  <c r="H38" i="189"/>
  <c r="G38" i="189"/>
  <c r="F38" i="189"/>
  <c r="E38" i="189"/>
  <c r="N37" i="189"/>
  <c r="M37" i="189"/>
  <c r="L37" i="189"/>
  <c r="K37" i="189"/>
  <c r="I37" i="189"/>
  <c r="H37" i="189"/>
  <c r="G37" i="189"/>
  <c r="F37" i="189"/>
  <c r="O36" i="189"/>
  <c r="J36" i="189"/>
  <c r="E36" i="189"/>
  <c r="P36" i="189" s="1"/>
  <c r="P35" i="189" s="1"/>
  <c r="O35" i="189"/>
  <c r="N35" i="189"/>
  <c r="N32" i="189" s="1"/>
  <c r="M35" i="189"/>
  <c r="L35" i="189"/>
  <c r="K35" i="189"/>
  <c r="J35" i="189"/>
  <c r="I35" i="189"/>
  <c r="H35" i="189"/>
  <c r="G35" i="189"/>
  <c r="F35" i="189"/>
  <c r="F32" i="189" s="1"/>
  <c r="E35" i="189"/>
  <c r="O34" i="189"/>
  <c r="J34" i="189"/>
  <c r="J33" i="189" s="1"/>
  <c r="F34" i="189"/>
  <c r="E34" i="189" s="1"/>
  <c r="O33" i="189"/>
  <c r="N33" i="189"/>
  <c r="M33" i="189"/>
  <c r="L33" i="189"/>
  <c r="K33" i="189"/>
  <c r="I33" i="189"/>
  <c r="H33" i="189"/>
  <c r="G33" i="189"/>
  <c r="F33" i="189"/>
  <c r="O32" i="189"/>
  <c r="M32" i="189"/>
  <c r="L32" i="189"/>
  <c r="K32" i="189"/>
  <c r="I32" i="189"/>
  <c r="H32" i="189"/>
  <c r="G32" i="189"/>
  <c r="J31" i="189"/>
  <c r="P31" i="189" s="1"/>
  <c r="E31" i="189"/>
  <c r="L29" i="189"/>
  <c r="L28" i="189" s="1"/>
  <c r="L26" i="189" s="1"/>
  <c r="L22" i="189" s="1"/>
  <c r="L16" i="189" s="1"/>
  <c r="J29" i="189"/>
  <c r="E29" i="189"/>
  <c r="P29" i="189" s="1"/>
  <c r="O28" i="189"/>
  <c r="N28" i="189"/>
  <c r="M28" i="189"/>
  <c r="K28" i="189"/>
  <c r="J28" i="189"/>
  <c r="I28" i="189"/>
  <c r="H28" i="189"/>
  <c r="G28" i="189"/>
  <c r="F28" i="189"/>
  <c r="E28" i="189"/>
  <c r="P28" i="189" s="1"/>
  <c r="O27" i="189"/>
  <c r="J27" i="189"/>
  <c r="P27" i="189" s="1"/>
  <c r="E27" i="189"/>
  <c r="O26" i="189"/>
  <c r="O22" i="189" s="1"/>
  <c r="N26" i="189"/>
  <c r="N22" i="189" s="1"/>
  <c r="M26" i="189"/>
  <c r="K26" i="189"/>
  <c r="K22" i="189" s="1"/>
  <c r="K16" i="189" s="1"/>
  <c r="J26" i="189"/>
  <c r="J22" i="189" s="1"/>
  <c r="I26" i="189"/>
  <c r="H26" i="189"/>
  <c r="G26" i="189"/>
  <c r="G22" i="189" s="1"/>
  <c r="G16" i="189" s="1"/>
  <c r="F26" i="189"/>
  <c r="F22" i="189" s="1"/>
  <c r="E26" i="189"/>
  <c r="J25" i="189"/>
  <c r="P25" i="189" s="1"/>
  <c r="E25" i="189"/>
  <c r="O24" i="189"/>
  <c r="J24" i="189"/>
  <c r="P24" i="189" s="1"/>
  <c r="E24" i="189"/>
  <c r="O23" i="189"/>
  <c r="N23" i="189"/>
  <c r="M23" i="189"/>
  <c r="L23" i="189"/>
  <c r="K23" i="189"/>
  <c r="J23" i="189"/>
  <c r="I23" i="189"/>
  <c r="H23" i="189"/>
  <c r="G23" i="189"/>
  <c r="F23" i="189"/>
  <c r="E23" i="189"/>
  <c r="M22" i="189"/>
  <c r="M16" i="189" s="1"/>
  <c r="I22" i="189"/>
  <c r="I16" i="189" s="1"/>
  <c r="H22" i="189"/>
  <c r="E22" i="189"/>
  <c r="O21" i="189"/>
  <c r="J21" i="189"/>
  <c r="E21" i="189"/>
  <c r="P21" i="189" s="1"/>
  <c r="O20" i="189"/>
  <c r="J20" i="189"/>
  <c r="P20" i="189" s="1"/>
  <c r="E20" i="189"/>
  <c r="O19" i="189"/>
  <c r="J19" i="189"/>
  <c r="P19" i="189" s="1"/>
  <c r="E19" i="189"/>
  <c r="E17" i="189" s="1"/>
  <c r="O18" i="189"/>
  <c r="J18" i="189"/>
  <c r="P18" i="189" s="1"/>
  <c r="H18" i="189"/>
  <c r="H17" i="189" s="1"/>
  <c r="H16" i="189" s="1"/>
  <c r="E18" i="189"/>
  <c r="O17" i="189"/>
  <c r="N17" i="189"/>
  <c r="N16" i="189" s="1"/>
  <c r="M17" i="189"/>
  <c r="L17" i="189"/>
  <c r="K17" i="189"/>
  <c r="J17" i="189"/>
  <c r="I17" i="189"/>
  <c r="G17" i="189"/>
  <c r="F17" i="189"/>
  <c r="F16" i="189" s="1"/>
  <c r="D21" i="172"/>
  <c r="M330" i="190" l="1"/>
  <c r="M329" i="190" s="1"/>
  <c r="L15" i="190"/>
  <c r="F15" i="190"/>
  <c r="N15" i="190"/>
  <c r="K15" i="190"/>
  <c r="L43" i="190"/>
  <c r="H15" i="190"/>
  <c r="M16" i="190"/>
  <c r="G15" i="190"/>
  <c r="E16" i="190"/>
  <c r="I16" i="190"/>
  <c r="J308" i="190"/>
  <c r="J307" i="190" s="1"/>
  <c r="L307" i="190"/>
  <c r="L253" i="190"/>
  <c r="G92" i="190"/>
  <c r="G91" i="190" s="1"/>
  <c r="G120" i="190"/>
  <c r="G119" i="190" s="1"/>
  <c r="I120" i="190"/>
  <c r="I119" i="190" s="1"/>
  <c r="F44" i="190"/>
  <c r="F43" i="190" s="1"/>
  <c r="M44" i="190"/>
  <c r="M43" i="190" s="1"/>
  <c r="L92" i="190"/>
  <c r="L91" i="190" s="1"/>
  <c r="F120" i="190"/>
  <c r="F119" i="190" s="1"/>
  <c r="L177" i="190"/>
  <c r="M199" i="190"/>
  <c r="M198" i="190" s="1"/>
  <c r="I92" i="190"/>
  <c r="I91" i="190" s="1"/>
  <c r="M92" i="190"/>
  <c r="M91" i="190" s="1"/>
  <c r="N120" i="190"/>
  <c r="N119" i="190" s="1"/>
  <c r="G199" i="190"/>
  <c r="G198" i="190" s="1"/>
  <c r="H232" i="190"/>
  <c r="H231" i="190" s="1"/>
  <c r="M232" i="190"/>
  <c r="M231" i="190" s="1"/>
  <c r="K232" i="190"/>
  <c r="K231" i="190" s="1"/>
  <c r="E232" i="190"/>
  <c r="P308" i="190"/>
  <c r="E307" i="190"/>
  <c r="K92" i="190"/>
  <c r="K91" i="190" s="1"/>
  <c r="F92" i="190"/>
  <c r="F91" i="190" s="1"/>
  <c r="N92" i="190"/>
  <c r="N91" i="190" s="1"/>
  <c r="O114" i="190"/>
  <c r="P115" i="190"/>
  <c r="P114" i="190" s="1"/>
  <c r="K120" i="190"/>
  <c r="K119" i="190" s="1"/>
  <c r="L199" i="190"/>
  <c r="E199" i="190"/>
  <c r="H254" i="190"/>
  <c r="H253" i="190" s="1"/>
  <c r="G285" i="190"/>
  <c r="G284" i="190" s="1"/>
  <c r="M285" i="190"/>
  <c r="M284" i="190" s="1"/>
  <c r="L284" i="190"/>
  <c r="J285" i="190"/>
  <c r="J284" i="190" s="1"/>
  <c r="P90" i="190"/>
  <c r="P89" i="190" s="1"/>
  <c r="P88" i="190" s="1"/>
  <c r="L120" i="190"/>
  <c r="E177" i="190"/>
  <c r="K199" i="190"/>
  <c r="K198" i="190" s="1"/>
  <c r="O316" i="190"/>
  <c r="O330" i="190"/>
  <c r="O329" i="190" s="1"/>
  <c r="I178" i="190"/>
  <c r="I177" i="190" s="1"/>
  <c r="H178" i="190"/>
  <c r="H177" i="190" s="1"/>
  <c r="N199" i="190"/>
  <c r="N198" i="190" s="1"/>
  <c r="M254" i="190"/>
  <c r="M253" i="190" s="1"/>
  <c r="E285" i="190"/>
  <c r="F316" i="190"/>
  <c r="F315" i="190" s="1"/>
  <c r="L329" i="190"/>
  <c r="N254" i="190"/>
  <c r="N253" i="190" s="1"/>
  <c r="I254" i="190"/>
  <c r="I253" i="190" s="1"/>
  <c r="K285" i="190"/>
  <c r="K284" i="190" s="1"/>
  <c r="K316" i="190"/>
  <c r="K315" i="190" s="1"/>
  <c r="P341" i="190"/>
  <c r="P340" i="190" s="1"/>
  <c r="P339" i="190" s="1"/>
  <c r="E340" i="190"/>
  <c r="E339" i="190" s="1"/>
  <c r="O178" i="190"/>
  <c r="O177" i="190" s="1"/>
  <c r="F199" i="190"/>
  <c r="F198" i="190" s="1"/>
  <c r="P230" i="190"/>
  <c r="P229" i="190" s="1"/>
  <c r="P228" i="190" s="1"/>
  <c r="L232" i="190"/>
  <c r="F254" i="190"/>
  <c r="F253" i="190" s="1"/>
  <c r="H285" i="190"/>
  <c r="H284" i="190" s="1"/>
  <c r="O285" i="190"/>
  <c r="O284" i="190" s="1"/>
  <c r="E342" i="190"/>
  <c r="F351" i="190"/>
  <c r="F350" i="190" s="1"/>
  <c r="G360" i="190"/>
  <c r="G359" i="190" s="1"/>
  <c r="E379" i="190"/>
  <c r="I316" i="190"/>
  <c r="I315" i="190" s="1"/>
  <c r="M316" i="190"/>
  <c r="M315" i="190" s="1"/>
  <c r="H330" i="190"/>
  <c r="H329" i="190" s="1"/>
  <c r="O343" i="190"/>
  <c r="O342" i="190" s="1"/>
  <c r="J351" i="190"/>
  <c r="J350" i="190" s="1"/>
  <c r="L350" i="190"/>
  <c r="E351" i="190"/>
  <c r="F360" i="190"/>
  <c r="F359" i="190" s="1"/>
  <c r="N316" i="190"/>
  <c r="N315" i="190" s="1"/>
  <c r="L343" i="190"/>
  <c r="E330" i="190"/>
  <c r="H343" i="190"/>
  <c r="H342" i="190" s="1"/>
  <c r="N351" i="190"/>
  <c r="N350" i="190" s="1"/>
  <c r="L360" i="190"/>
  <c r="L359" i="190" s="1"/>
  <c r="H360" i="190"/>
  <c r="H359" i="190" s="1"/>
  <c r="K360" i="190"/>
  <c r="K359" i="190" s="1"/>
  <c r="J390" i="190"/>
  <c r="G113" i="167"/>
  <c r="I30" i="167"/>
  <c r="G30" i="167" s="1"/>
  <c r="P34" i="165"/>
  <c r="I15" i="189"/>
  <c r="E37" i="189"/>
  <c r="P41" i="189"/>
  <c r="M15" i="189"/>
  <c r="H15" i="189"/>
  <c r="P23" i="189"/>
  <c r="P34" i="189"/>
  <c r="P33" i="189" s="1"/>
  <c r="P32" i="189" s="1"/>
  <c r="E33" i="189"/>
  <c r="E32" i="189" s="1"/>
  <c r="E16" i="189" s="1"/>
  <c r="J32" i="189"/>
  <c r="P63" i="189"/>
  <c r="P64" i="189"/>
  <c r="M91" i="189"/>
  <c r="M90" i="189" s="1"/>
  <c r="P126" i="189"/>
  <c r="P125" i="189" s="1"/>
  <c r="J125" i="189"/>
  <c r="E134" i="189"/>
  <c r="G15" i="189"/>
  <c r="P51" i="189"/>
  <c r="P50" i="189" s="1"/>
  <c r="E50" i="189"/>
  <c r="N15" i="189"/>
  <c r="P17" i="189"/>
  <c r="P26" i="189"/>
  <c r="L15" i="189"/>
  <c r="J40" i="189"/>
  <c r="P40" i="189" s="1"/>
  <c r="O38" i="189"/>
  <c r="O37" i="189" s="1"/>
  <c r="O16" i="189" s="1"/>
  <c r="E44" i="189"/>
  <c r="E43" i="189" s="1"/>
  <c r="P45" i="189"/>
  <c r="E46" i="189"/>
  <c r="P46" i="189" s="1"/>
  <c r="P47" i="189"/>
  <c r="L42" i="189"/>
  <c r="K44" i="189"/>
  <c r="G43" i="189"/>
  <c r="G42" i="189" s="1"/>
  <c r="P74" i="189"/>
  <c r="J81" i="189"/>
  <c r="F15" i="189"/>
  <c r="K15" i="189"/>
  <c r="P39" i="189"/>
  <c r="O46" i="189"/>
  <c r="H91" i="189"/>
  <c r="H90" i="189" s="1"/>
  <c r="E57" i="189"/>
  <c r="E60" i="189"/>
  <c r="J71" i="189"/>
  <c r="P71" i="189" s="1"/>
  <c r="E76" i="189"/>
  <c r="J77" i="189"/>
  <c r="J76" i="189" s="1"/>
  <c r="O76" i="189"/>
  <c r="K83" i="189"/>
  <c r="K82" i="189" s="1"/>
  <c r="K81" i="189" s="1"/>
  <c r="O83" i="189"/>
  <c r="O82" i="189" s="1"/>
  <c r="O81" i="189" s="1"/>
  <c r="E85" i="189"/>
  <c r="E81" i="189" s="1"/>
  <c r="O93" i="189"/>
  <c r="P96" i="189"/>
  <c r="J106" i="189"/>
  <c r="J104" i="189" s="1"/>
  <c r="J94" i="189" s="1"/>
  <c r="O104" i="189"/>
  <c r="O94" i="189" s="1"/>
  <c r="J110" i="189"/>
  <c r="J109" i="189" s="1"/>
  <c r="P121" i="189"/>
  <c r="P122" i="189"/>
  <c r="E120" i="189"/>
  <c r="O125" i="189"/>
  <c r="O124" i="189" s="1"/>
  <c r="O119" i="189" s="1"/>
  <c r="O118" i="189" s="1"/>
  <c r="P127" i="189"/>
  <c r="E125" i="189"/>
  <c r="P131" i="189"/>
  <c r="L161" i="189"/>
  <c r="J162" i="189"/>
  <c r="P163" i="189"/>
  <c r="P166" i="189"/>
  <c r="P165" i="189" s="1"/>
  <c r="P164" i="189" s="1"/>
  <c r="J165" i="189"/>
  <c r="J164" i="189" s="1"/>
  <c r="P174" i="189"/>
  <c r="P173" i="189" s="1"/>
  <c r="P172" i="189" s="1"/>
  <c r="J173" i="189"/>
  <c r="J172" i="189" s="1"/>
  <c r="F177" i="189"/>
  <c r="F176" i="189" s="1"/>
  <c r="J180" i="189"/>
  <c r="L197" i="189"/>
  <c r="N198" i="189"/>
  <c r="N197" i="189" s="1"/>
  <c r="P80" i="189"/>
  <c r="O58" i="189"/>
  <c r="O61" i="189"/>
  <c r="O63" i="189"/>
  <c r="P84" i="189"/>
  <c r="P83" i="189" s="1"/>
  <c r="P82" i="189" s="1"/>
  <c r="P81" i="189" s="1"/>
  <c r="E88" i="189"/>
  <c r="E87" i="189" s="1"/>
  <c r="L91" i="189"/>
  <c r="L90" i="189" s="1"/>
  <c r="E94" i="189"/>
  <c r="E91" i="189" s="1"/>
  <c r="E90" i="189" s="1"/>
  <c r="I94" i="189"/>
  <c r="I91" i="189" s="1"/>
  <c r="I90" i="189" s="1"/>
  <c r="M94" i="189"/>
  <c r="E104" i="189"/>
  <c r="P114" i="189"/>
  <c r="P113" i="189" s="1"/>
  <c r="P110" i="189" s="1"/>
  <c r="P109" i="189" s="1"/>
  <c r="P130" i="189"/>
  <c r="J135" i="189"/>
  <c r="J134" i="189" s="1"/>
  <c r="O134" i="189"/>
  <c r="L124" i="189"/>
  <c r="L119" i="189" s="1"/>
  <c r="P201" i="189"/>
  <c r="P200" i="189" s="1"/>
  <c r="J200" i="189"/>
  <c r="P204" i="189"/>
  <c r="P207" i="189"/>
  <c r="P206" i="189" s="1"/>
  <c r="J206" i="189"/>
  <c r="M198" i="189"/>
  <c r="M197" i="189" s="1"/>
  <c r="G91" i="189"/>
  <c r="G90" i="189" s="1"/>
  <c r="P99" i="189"/>
  <c r="P103" i="189"/>
  <c r="P102" i="189" s="1"/>
  <c r="N119" i="189"/>
  <c r="N118" i="189" s="1"/>
  <c r="P129" i="189"/>
  <c r="P133" i="189"/>
  <c r="P171" i="189"/>
  <c r="P170" i="189" s="1"/>
  <c r="P169" i="189" s="1"/>
  <c r="J170" i="189"/>
  <c r="J169" i="189" s="1"/>
  <c r="H177" i="189"/>
  <c r="H176" i="189" s="1"/>
  <c r="P180" i="189"/>
  <c r="F221" i="189"/>
  <c r="L231" i="189"/>
  <c r="K91" i="189"/>
  <c r="K90" i="189" s="1"/>
  <c r="F119" i="189"/>
  <c r="F118" i="189" s="1"/>
  <c r="J203" i="189"/>
  <c r="O202" i="189"/>
  <c r="P210" i="189"/>
  <c r="P209" i="189" s="1"/>
  <c r="J209" i="189"/>
  <c r="F198" i="189"/>
  <c r="F197" i="189" s="1"/>
  <c r="E221" i="189"/>
  <c r="J232" i="189"/>
  <c r="P233" i="189"/>
  <c r="P232" i="189" s="1"/>
  <c r="E161" i="189"/>
  <c r="E202" i="189"/>
  <c r="E199" i="189" s="1"/>
  <c r="E211" i="189"/>
  <c r="E205" i="189" s="1"/>
  <c r="P214" i="189"/>
  <c r="E219" i="189"/>
  <c r="E218" i="189" s="1"/>
  <c r="P260" i="189"/>
  <c r="P261" i="189"/>
  <c r="J259" i="189"/>
  <c r="O271" i="189"/>
  <c r="P277" i="189"/>
  <c r="P274" i="189" s="1"/>
  <c r="P271" i="189" s="1"/>
  <c r="J274" i="189"/>
  <c r="J271" i="189" s="1"/>
  <c r="E186" i="189"/>
  <c r="E180" i="189" s="1"/>
  <c r="E177" i="189" s="1"/>
  <c r="O200" i="189"/>
  <c r="E214" i="189"/>
  <c r="K231" i="189"/>
  <c r="K230" i="189" s="1"/>
  <c r="O232" i="189"/>
  <c r="E249" i="189"/>
  <c r="E246" i="189" s="1"/>
  <c r="E243" i="189" s="1"/>
  <c r="J254" i="189"/>
  <c r="P255" i="189"/>
  <c r="P254" i="189" s="1"/>
  <c r="N253" i="189"/>
  <c r="N252" i="189" s="1"/>
  <c r="P267" i="189"/>
  <c r="P266" i="189" s="1"/>
  <c r="P221" i="189"/>
  <c r="G231" i="189"/>
  <c r="G230" i="189" s="1"/>
  <c r="J237" i="189"/>
  <c r="J236" i="189" s="1"/>
  <c r="E242" i="189"/>
  <c r="F236" i="189"/>
  <c r="F231" i="189" s="1"/>
  <c r="F230" i="189" s="1"/>
  <c r="P248" i="189"/>
  <c r="O266" i="189"/>
  <c r="O265" i="189" s="1"/>
  <c r="O253" i="189" s="1"/>
  <c r="J267" i="189"/>
  <c r="J266" i="189" s="1"/>
  <c r="P282" i="189"/>
  <c r="E279" i="189"/>
  <c r="E278" i="189" s="1"/>
  <c r="E253" i="189" s="1"/>
  <c r="E223" i="189"/>
  <c r="E222" i="189" s="1"/>
  <c r="O237" i="189"/>
  <c r="O236" i="189" s="1"/>
  <c r="P238" i="189"/>
  <c r="P237" i="189" s="1"/>
  <c r="P246" i="189"/>
  <c r="P243" i="189" s="1"/>
  <c r="P270" i="189"/>
  <c r="P269" i="189" s="1"/>
  <c r="P268" i="189" s="1"/>
  <c r="E269" i="189"/>
  <c r="E268" i="189" s="1"/>
  <c r="E265" i="189" s="1"/>
  <c r="F279" i="189"/>
  <c r="F278" i="189" s="1"/>
  <c r="F253" i="189" s="1"/>
  <c r="F252" i="189" s="1"/>
  <c r="J307" i="189"/>
  <c r="J306" i="189" s="1"/>
  <c r="I307" i="189"/>
  <c r="I306" i="189" s="1"/>
  <c r="M307" i="189"/>
  <c r="M306" i="189" s="1"/>
  <c r="P310" i="189"/>
  <c r="O327" i="189"/>
  <c r="K326" i="189"/>
  <c r="K319" i="189" s="1"/>
  <c r="K315" i="189" s="1"/>
  <c r="K314" i="189" s="1"/>
  <c r="K329" i="189"/>
  <c r="K328" i="189" s="1"/>
  <c r="L330" i="189"/>
  <c r="L329" i="189" s="1"/>
  <c r="H342" i="189"/>
  <c r="H341" i="189" s="1"/>
  <c r="G350" i="189"/>
  <c r="G349" i="189" s="1"/>
  <c r="P367" i="189"/>
  <c r="E366" i="189"/>
  <c r="J263" i="189"/>
  <c r="P263" i="189" s="1"/>
  <c r="O279" i="189"/>
  <c r="O278" i="189" s="1"/>
  <c r="O302" i="189"/>
  <c r="O301" i="189" s="1"/>
  <c r="P313" i="189"/>
  <c r="P312" i="189" s="1"/>
  <c r="P311" i="189" s="1"/>
  <c r="J334" i="189"/>
  <c r="O333" i="189"/>
  <c r="O330" i="189" s="1"/>
  <c r="O329" i="189" s="1"/>
  <c r="O328" i="189" s="1"/>
  <c r="J347" i="189"/>
  <c r="J346" i="189" s="1"/>
  <c r="P348" i="189"/>
  <c r="P347" i="189" s="1"/>
  <c r="P346" i="189" s="1"/>
  <c r="Q348" i="189"/>
  <c r="O353" i="189"/>
  <c r="O350" i="189" s="1"/>
  <c r="O349" i="189" s="1"/>
  <c r="E360" i="189"/>
  <c r="P375" i="189"/>
  <c r="P374" i="189" s="1"/>
  <c r="P373" i="189" s="1"/>
  <c r="J374" i="189"/>
  <c r="J373" i="189" s="1"/>
  <c r="L284" i="189"/>
  <c r="G330" i="189"/>
  <c r="G329" i="189" s="1"/>
  <c r="G328" i="189" s="1"/>
  <c r="J333" i="189"/>
  <c r="J330" i="189" s="1"/>
  <c r="P280" i="189"/>
  <c r="J285" i="189"/>
  <c r="P291" i="189"/>
  <c r="P290" i="189" s="1"/>
  <c r="P289" i="189" s="1"/>
  <c r="J299" i="189"/>
  <c r="J293" i="189" s="1"/>
  <c r="J292" i="189" s="1"/>
  <c r="O293" i="189"/>
  <c r="O292" i="189" s="1"/>
  <c r="P303" i="189"/>
  <c r="P302" i="189" s="1"/>
  <c r="P301" i="189" s="1"/>
  <c r="J302" i="189"/>
  <c r="J301" i="189" s="1"/>
  <c r="P308" i="189"/>
  <c r="E307" i="189"/>
  <c r="L314" i="189"/>
  <c r="P318" i="189"/>
  <c r="P316" i="189" s="1"/>
  <c r="J322" i="189"/>
  <c r="J321" i="189" s="1"/>
  <c r="O321" i="189"/>
  <c r="P334" i="189"/>
  <c r="O339" i="189"/>
  <c r="O338" i="189" s="1"/>
  <c r="J340" i="189"/>
  <c r="J339" i="189" s="1"/>
  <c r="J338" i="189" s="1"/>
  <c r="E341" i="189"/>
  <c r="N359" i="189"/>
  <c r="N358" i="189" s="1"/>
  <c r="P332" i="189"/>
  <c r="P331" i="189" s="1"/>
  <c r="L342" i="189"/>
  <c r="P357" i="189"/>
  <c r="P356" i="189" s="1"/>
  <c r="P365" i="189"/>
  <c r="P364" i="189" s="1"/>
  <c r="P363" i="189" s="1"/>
  <c r="J369" i="189"/>
  <c r="J368" i="189" s="1"/>
  <c r="J366" i="189" s="1"/>
  <c r="O368" i="189"/>
  <c r="O366" i="189" s="1"/>
  <c r="E364" i="189"/>
  <c r="E363" i="189" s="1"/>
  <c r="J365" i="189"/>
  <c r="J364" i="189" s="1"/>
  <c r="J363" i="189" s="1"/>
  <c r="O374" i="189"/>
  <c r="O373" i="189" s="1"/>
  <c r="P322" i="189"/>
  <c r="P321" i="189" s="1"/>
  <c r="P324" i="189"/>
  <c r="P323" i="189" s="1"/>
  <c r="P320" i="189" s="1"/>
  <c r="E323" i="189"/>
  <c r="E320" i="189" s="1"/>
  <c r="E319" i="189" s="1"/>
  <c r="E315" i="189" s="1"/>
  <c r="P337" i="189"/>
  <c r="P336" i="189" s="1"/>
  <c r="E336" i="189"/>
  <c r="E333" i="189" s="1"/>
  <c r="E330" i="189" s="1"/>
  <c r="E329" i="189" s="1"/>
  <c r="J344" i="189"/>
  <c r="J343" i="189" s="1"/>
  <c r="O343" i="189"/>
  <c r="O342" i="189" s="1"/>
  <c r="O341" i="189" s="1"/>
  <c r="P355" i="189"/>
  <c r="P354" i="189" s="1"/>
  <c r="J371" i="189"/>
  <c r="J370" i="189" s="1"/>
  <c r="P372" i="189"/>
  <c r="P371" i="189" s="1"/>
  <c r="P370" i="189" s="1"/>
  <c r="O285" i="189"/>
  <c r="O284" i="189" s="1"/>
  <c r="O283" i="189" s="1"/>
  <c r="F323" i="189"/>
  <c r="F320" i="189" s="1"/>
  <c r="F319" i="189" s="1"/>
  <c r="F315" i="189" s="1"/>
  <c r="F314" i="189" s="1"/>
  <c r="N319" i="189"/>
  <c r="N315" i="189" s="1"/>
  <c r="N314" i="189" s="1"/>
  <c r="F336" i="189"/>
  <c r="F333" i="189" s="1"/>
  <c r="F330" i="189" s="1"/>
  <c r="F329" i="189" s="1"/>
  <c r="F328" i="189" s="1"/>
  <c r="P340" i="189"/>
  <c r="P339" i="189" s="1"/>
  <c r="P338" i="189" s="1"/>
  <c r="E354" i="189"/>
  <c r="E353" i="189" s="1"/>
  <c r="E350" i="189" s="1"/>
  <c r="J361" i="189"/>
  <c r="J360" i="189" s="1"/>
  <c r="J359" i="189" s="1"/>
  <c r="J358" i="189" s="1"/>
  <c r="O360" i="189"/>
  <c r="H366" i="189"/>
  <c r="H359" i="189" s="1"/>
  <c r="H358" i="189" s="1"/>
  <c r="E378" i="189"/>
  <c r="J389" i="189"/>
  <c r="H379" i="165"/>
  <c r="P285" i="190" l="1"/>
  <c r="E284" i="190"/>
  <c r="E15" i="190"/>
  <c r="O44" i="190"/>
  <c r="E350" i="190"/>
  <c r="P351" i="190"/>
  <c r="L231" i="190"/>
  <c r="O92" i="190"/>
  <c r="O91" i="190" s="1"/>
  <c r="P307" i="190"/>
  <c r="Q308" i="190"/>
  <c r="E120" i="190"/>
  <c r="O120" i="190"/>
  <c r="O119" i="190" s="1"/>
  <c r="O16" i="190"/>
  <c r="G377" i="190"/>
  <c r="G389" i="190" s="1"/>
  <c r="N377" i="190"/>
  <c r="N389" i="190" s="1"/>
  <c r="J120" i="190"/>
  <c r="J119" i="190" s="1"/>
  <c r="L119" i="190"/>
  <c r="L198" i="190"/>
  <c r="J92" i="190"/>
  <c r="J91" i="190" s="1"/>
  <c r="E254" i="190"/>
  <c r="M377" i="190"/>
  <c r="M389" i="190" s="1"/>
  <c r="M15" i="190"/>
  <c r="O232" i="190"/>
  <c r="O231" i="190" s="1"/>
  <c r="O315" i="190"/>
  <c r="J316" i="190"/>
  <c r="J315" i="190" s="1"/>
  <c r="J360" i="190"/>
  <c r="J359" i="190" s="1"/>
  <c r="F377" i="190"/>
  <c r="F389" i="190" s="1"/>
  <c r="E329" i="190"/>
  <c r="E316" i="190"/>
  <c r="L342" i="190"/>
  <c r="J343" i="190"/>
  <c r="O360" i="190"/>
  <c r="O359" i="190" s="1"/>
  <c r="E360" i="190"/>
  <c r="E359" i="190" s="1"/>
  <c r="Q379" i="190"/>
  <c r="J330" i="190"/>
  <c r="J329" i="190" s="1"/>
  <c r="O254" i="190"/>
  <c r="E198" i="190"/>
  <c r="K254" i="190"/>
  <c r="K253" i="190" s="1"/>
  <c r="E231" i="190"/>
  <c r="E92" i="190"/>
  <c r="E91" i="190" s="1"/>
  <c r="J178" i="190"/>
  <c r="P92" i="190"/>
  <c r="I377" i="190"/>
  <c r="I389" i="190" s="1"/>
  <c r="I15" i="190"/>
  <c r="H377" i="190"/>
  <c r="H389" i="190" s="1"/>
  <c r="L377" i="190"/>
  <c r="L389" i="190" s="1"/>
  <c r="O252" i="189"/>
  <c r="J253" i="189"/>
  <c r="J252" i="189" s="1"/>
  <c r="E252" i="189"/>
  <c r="O15" i="189"/>
  <c r="J16" i="189"/>
  <c r="P16" i="189"/>
  <c r="E15" i="189"/>
  <c r="Q378" i="189"/>
  <c r="L283" i="189"/>
  <c r="J284" i="189"/>
  <c r="P361" i="189"/>
  <c r="P360" i="189" s="1"/>
  <c r="J329" i="189"/>
  <c r="J328" i="189" s="1"/>
  <c r="L328" i="189"/>
  <c r="O199" i="189"/>
  <c r="O198" i="189" s="1"/>
  <c r="P203" i="189"/>
  <c r="P202" i="189" s="1"/>
  <c r="P199" i="189" s="1"/>
  <c r="J202" i="189"/>
  <c r="L230" i="189"/>
  <c r="J199" i="189"/>
  <c r="J61" i="189"/>
  <c r="O60" i="189"/>
  <c r="J168" i="189"/>
  <c r="E124" i="189"/>
  <c r="E119" i="189" s="1"/>
  <c r="P38" i="189"/>
  <c r="P37" i="189" s="1"/>
  <c r="N376" i="189"/>
  <c r="N388" i="189" s="1"/>
  <c r="P135" i="189"/>
  <c r="P134" i="189" s="1"/>
  <c r="P124" i="189" s="1"/>
  <c r="P106" i="189"/>
  <c r="P104" i="189" s="1"/>
  <c r="P94" i="189" s="1"/>
  <c r="E314" i="189"/>
  <c r="P299" i="189"/>
  <c r="P293" i="189" s="1"/>
  <c r="P292" i="189" s="1"/>
  <c r="P242" i="189"/>
  <c r="E236" i="189"/>
  <c r="E231" i="189" s="1"/>
  <c r="P350" i="189"/>
  <c r="E349" i="189"/>
  <c r="J350" i="189"/>
  <c r="J349" i="189" s="1"/>
  <c r="E328" i="189"/>
  <c r="P329" i="189"/>
  <c r="O359" i="189"/>
  <c r="O358" i="189" s="1"/>
  <c r="P353" i="189"/>
  <c r="P333" i="189"/>
  <c r="P330" i="189" s="1"/>
  <c r="L341" i="189"/>
  <c r="J342" i="189"/>
  <c r="P344" i="189"/>
  <c r="P343" i="189" s="1"/>
  <c r="E306" i="189"/>
  <c r="P307" i="189"/>
  <c r="P279" i="189"/>
  <c r="P278" i="189" s="1"/>
  <c r="E359" i="189"/>
  <c r="E358" i="189" s="1"/>
  <c r="J265" i="189"/>
  <c r="O231" i="189"/>
  <c r="O230" i="189" s="1"/>
  <c r="P177" i="189"/>
  <c r="E176" i="189"/>
  <c r="J258" i="189"/>
  <c r="J205" i="189"/>
  <c r="J58" i="189"/>
  <c r="O57" i="189"/>
  <c r="P168" i="189"/>
  <c r="J161" i="189"/>
  <c r="P162" i="189"/>
  <c r="P161" i="189" s="1"/>
  <c r="P120" i="189"/>
  <c r="J38" i="189"/>
  <c r="J37" i="189" s="1"/>
  <c r="P77" i="189"/>
  <c r="P76" i="189" s="1"/>
  <c r="J124" i="189"/>
  <c r="P22" i="189"/>
  <c r="P205" i="189"/>
  <c r="J119" i="189"/>
  <c r="J118" i="189" s="1"/>
  <c r="L118" i="189"/>
  <c r="O44" i="189"/>
  <c r="O43" i="189" s="1"/>
  <c r="F376" i="189"/>
  <c r="F388" i="189" s="1"/>
  <c r="E42" i="189"/>
  <c r="G376" i="189"/>
  <c r="G388" i="189" s="1"/>
  <c r="M376" i="189"/>
  <c r="M388" i="189" s="1"/>
  <c r="P369" i="189"/>
  <c r="P368" i="189" s="1"/>
  <c r="P366" i="189" s="1"/>
  <c r="O326" i="189"/>
  <c r="O319" i="189" s="1"/>
  <c r="O315" i="189" s="1"/>
  <c r="J327" i="189"/>
  <c r="P236" i="189"/>
  <c r="P265" i="189"/>
  <c r="P259" i="189"/>
  <c r="P258" i="189" s="1"/>
  <c r="E198" i="189"/>
  <c r="J93" i="189"/>
  <c r="O92" i="189"/>
  <c r="O91" i="189" s="1"/>
  <c r="O90" i="189" s="1"/>
  <c r="K43" i="189"/>
  <c r="L376" i="189"/>
  <c r="L388" i="189" s="1"/>
  <c r="H376" i="189"/>
  <c r="H388" i="189" s="1"/>
  <c r="I376" i="189"/>
  <c r="I388" i="189" s="1"/>
  <c r="N204" i="165"/>
  <c r="N213" i="165"/>
  <c r="N379" i="165"/>
  <c r="E119" i="190" l="1"/>
  <c r="P120" i="190"/>
  <c r="O253" i="190"/>
  <c r="J254" i="190"/>
  <c r="J253" i="190" s="1"/>
  <c r="P91" i="190"/>
  <c r="Q92" i="190"/>
  <c r="E315" i="190"/>
  <c r="P316" i="190"/>
  <c r="E253" i="190"/>
  <c r="O199" i="190"/>
  <c r="O377" i="190" s="1"/>
  <c r="Q351" i="190"/>
  <c r="P350" i="190"/>
  <c r="E44" i="190"/>
  <c r="J342" i="190"/>
  <c r="P343" i="190"/>
  <c r="K377" i="190"/>
  <c r="O15" i="190"/>
  <c r="J16" i="190"/>
  <c r="J232" i="190"/>
  <c r="J177" i="190"/>
  <c r="P178" i="190"/>
  <c r="O43" i="190"/>
  <c r="J44" i="190"/>
  <c r="J43" i="190" s="1"/>
  <c r="P330" i="190"/>
  <c r="P360" i="190"/>
  <c r="P284" i="190"/>
  <c r="Q285" i="190"/>
  <c r="E118" i="189"/>
  <c r="P119" i="189"/>
  <c r="E376" i="189"/>
  <c r="Q307" i="189"/>
  <c r="P306" i="189"/>
  <c r="P328" i="189"/>
  <c r="Q329" i="189"/>
  <c r="Q350" i="189"/>
  <c r="P349" i="189"/>
  <c r="O197" i="189"/>
  <c r="J198" i="189"/>
  <c r="J197" i="189" s="1"/>
  <c r="J283" i="189"/>
  <c r="P284" i="189"/>
  <c r="O42" i="189"/>
  <c r="J43" i="189"/>
  <c r="J92" i="189"/>
  <c r="J91" i="189" s="1"/>
  <c r="J90" i="189" s="1"/>
  <c r="P93" i="189"/>
  <c r="P92" i="189" s="1"/>
  <c r="P91" i="189" s="1"/>
  <c r="K42" i="189"/>
  <c r="K376" i="189"/>
  <c r="P58" i="189"/>
  <c r="J57" i="189"/>
  <c r="E230" i="189"/>
  <c r="J231" i="189"/>
  <c r="J230" i="189" s="1"/>
  <c r="J15" i="189"/>
  <c r="P253" i="189"/>
  <c r="O314" i="189"/>
  <c r="J315" i="189"/>
  <c r="E197" i="189"/>
  <c r="P198" i="189"/>
  <c r="P327" i="189"/>
  <c r="P326" i="189" s="1"/>
  <c r="P319" i="189" s="1"/>
  <c r="J326" i="189"/>
  <c r="J319" i="189" s="1"/>
  <c r="P176" i="189"/>
  <c r="Q177" i="189"/>
  <c r="P61" i="189"/>
  <c r="J60" i="189"/>
  <c r="P60" i="189" s="1"/>
  <c r="J341" i="189"/>
  <c r="P342" i="189"/>
  <c r="P359" i="189"/>
  <c r="P15" i="189"/>
  <c r="Q16" i="189"/>
  <c r="O376" i="189"/>
  <c r="P254" i="190" l="1"/>
  <c r="P253" i="190" s="1"/>
  <c r="P329" i="190"/>
  <c r="Q330" i="190"/>
  <c r="Q178" i="190"/>
  <c r="P177" i="190"/>
  <c r="E43" i="190"/>
  <c r="P44" i="190"/>
  <c r="E377" i="190"/>
  <c r="Q254" i="190"/>
  <c r="P359" i="190"/>
  <c r="Q360" i="190"/>
  <c r="J15" i="190"/>
  <c r="P16" i="190"/>
  <c r="K392" i="190"/>
  <c r="K389" i="190"/>
  <c r="J231" i="190"/>
  <c r="P232" i="190"/>
  <c r="P342" i="190"/>
  <c r="Q343" i="190"/>
  <c r="Q316" i="190"/>
  <c r="P315" i="190"/>
  <c r="Q120" i="190"/>
  <c r="P119" i="190"/>
  <c r="O392" i="190"/>
  <c r="O389" i="190"/>
  <c r="O198" i="190"/>
  <c r="J199" i="190"/>
  <c r="P358" i="189"/>
  <c r="Q359" i="189"/>
  <c r="P341" i="189"/>
  <c r="Q342" i="189"/>
  <c r="Q198" i="189"/>
  <c r="P197" i="189"/>
  <c r="Q253" i="189"/>
  <c r="P252" i="189"/>
  <c r="P231" i="189"/>
  <c r="K391" i="189"/>
  <c r="K388" i="189"/>
  <c r="J42" i="189"/>
  <c r="P43" i="189"/>
  <c r="F391" i="189"/>
  <c r="F389" i="189"/>
  <c r="E389" i="189"/>
  <c r="E388" i="189"/>
  <c r="O391" i="189"/>
  <c r="O388" i="189"/>
  <c r="Q119" i="189"/>
  <c r="P118" i="189"/>
  <c r="J314" i="189"/>
  <c r="P315" i="189"/>
  <c r="J376" i="189"/>
  <c r="J44" i="189"/>
  <c r="P57" i="189"/>
  <c r="P44" i="189" s="1"/>
  <c r="P90" i="189"/>
  <c r="Q91" i="189"/>
  <c r="P283" i="189"/>
  <c r="Q284" i="189"/>
  <c r="J137" i="188"/>
  <c r="I137" i="188"/>
  <c r="H137" i="188"/>
  <c r="G137" i="188"/>
  <c r="F392" i="190" l="1"/>
  <c r="F390" i="190"/>
  <c r="E390" i="190"/>
  <c r="E389" i="190"/>
  <c r="P231" i="190"/>
  <c r="Q232" i="190"/>
  <c r="Q16" i="190"/>
  <c r="P15" i="190"/>
  <c r="P43" i="190"/>
  <c r="Q44" i="190"/>
  <c r="J198" i="190"/>
  <c r="P199" i="190"/>
  <c r="J377" i="190"/>
  <c r="P42" i="189"/>
  <c r="Q43" i="189"/>
  <c r="P376" i="189"/>
  <c r="P314" i="189"/>
  <c r="Q315" i="189"/>
  <c r="J391" i="189"/>
  <c r="J388" i="189"/>
  <c r="Q231" i="189"/>
  <c r="P230" i="189"/>
  <c r="P389" i="189"/>
  <c r="D34" i="188"/>
  <c r="D29" i="188" s="1"/>
  <c r="C36" i="188"/>
  <c r="P198" i="190" l="1"/>
  <c r="Q199" i="190"/>
  <c r="P377" i="190"/>
  <c r="P390" i="190" s="1"/>
  <c r="J392" i="190"/>
  <c r="J389" i="190"/>
  <c r="Q376" i="189"/>
  <c r="P388" i="189"/>
  <c r="E27" i="172"/>
  <c r="K328" i="165"/>
  <c r="F39" i="172"/>
  <c r="E39" i="172"/>
  <c r="F19" i="172"/>
  <c r="E19" i="172"/>
  <c r="Q377" i="190" l="1"/>
  <c r="P389" i="190"/>
  <c r="J49" i="184"/>
  <c r="K273" i="165"/>
  <c r="F368" i="165"/>
  <c r="F262" i="165"/>
  <c r="F318" i="165"/>
  <c r="F21" i="172" l="1"/>
  <c r="E21" i="172"/>
  <c r="H213" i="165" l="1"/>
  <c r="F213" i="165"/>
  <c r="H163" i="165"/>
  <c r="F261" i="165" l="1"/>
  <c r="G318" i="165" l="1"/>
  <c r="G379" i="165"/>
  <c r="D45" i="172" l="1"/>
  <c r="F161" i="165"/>
  <c r="J35" i="167"/>
  <c r="I35" i="167"/>
  <c r="G262" i="167" l="1"/>
  <c r="K75" i="165"/>
  <c r="G75" i="165"/>
  <c r="F75" i="165"/>
  <c r="G66" i="165"/>
  <c r="F66" i="165"/>
  <c r="G60" i="165"/>
  <c r="F60" i="165"/>
  <c r="G52" i="165"/>
  <c r="F52" i="165"/>
  <c r="D43" i="170"/>
  <c r="D35" i="170"/>
  <c r="D34" i="170"/>
  <c r="D17" i="170"/>
  <c r="D123" i="188"/>
  <c r="D122" i="188"/>
  <c r="D112" i="188"/>
  <c r="F373" i="165" l="1"/>
  <c r="N365" i="165"/>
  <c r="N364" i="165" s="1"/>
  <c r="M365" i="165"/>
  <c r="M364" i="165" s="1"/>
  <c r="L365" i="165"/>
  <c r="L364" i="165" s="1"/>
  <c r="K365" i="165"/>
  <c r="K364" i="165" s="1"/>
  <c r="I365" i="165"/>
  <c r="I364" i="165" s="1"/>
  <c r="H365" i="165"/>
  <c r="H364" i="165" s="1"/>
  <c r="G365" i="165"/>
  <c r="G364" i="165" s="1"/>
  <c r="F365" i="165"/>
  <c r="F364" i="165" s="1"/>
  <c r="O366" i="165"/>
  <c r="J366" i="165" s="1"/>
  <c r="J365" i="165" s="1"/>
  <c r="J364" i="165" s="1"/>
  <c r="E366" i="165"/>
  <c r="E365" i="165" s="1"/>
  <c r="E364" i="165" s="1"/>
  <c r="O365" i="165" l="1"/>
  <c r="O364" i="165" s="1"/>
  <c r="P366" i="165"/>
  <c r="P365" i="165" s="1"/>
  <c r="P364" i="165" s="1"/>
  <c r="F107" i="165" l="1"/>
  <c r="H37" i="167"/>
  <c r="J121" i="167" l="1"/>
  <c r="O161" i="165"/>
  <c r="J161" i="165" s="1"/>
  <c r="I121" i="167" s="1"/>
  <c r="E161" i="165"/>
  <c r="H121" i="167" s="1"/>
  <c r="J90" i="167"/>
  <c r="F108" i="165"/>
  <c r="G108" i="165"/>
  <c r="H108" i="165"/>
  <c r="I108" i="165"/>
  <c r="K108" i="165"/>
  <c r="L108" i="165"/>
  <c r="M108" i="165"/>
  <c r="N108" i="165"/>
  <c r="O109" i="165"/>
  <c r="J109" i="165" s="1"/>
  <c r="J108" i="165" s="1"/>
  <c r="E109" i="165"/>
  <c r="E108" i="165" s="1"/>
  <c r="H90" i="167" l="1"/>
  <c r="P161" i="165"/>
  <c r="G121" i="167"/>
  <c r="I90" i="167"/>
  <c r="O108" i="165"/>
  <c r="P109" i="165"/>
  <c r="L379" i="165"/>
  <c r="O251" i="165"/>
  <c r="L251" i="165"/>
  <c r="F281" i="165"/>
  <c r="G90" i="167" l="1"/>
  <c r="P108" i="165"/>
  <c r="F241" i="165"/>
  <c r="G142" i="167" l="1"/>
  <c r="O186" i="165" l="1"/>
  <c r="J186" i="165" s="1"/>
  <c r="E186" i="165"/>
  <c r="P186" i="165" l="1"/>
  <c r="G228" i="167" l="1"/>
  <c r="G227" i="167"/>
  <c r="G224" i="167"/>
  <c r="N303" i="165" l="1"/>
  <c r="M303" i="165"/>
  <c r="L303" i="165"/>
  <c r="K303" i="165"/>
  <c r="I303" i="165"/>
  <c r="H303" i="165"/>
  <c r="G303" i="165"/>
  <c r="F303" i="165"/>
  <c r="O306" i="165"/>
  <c r="J306" i="165" s="1"/>
  <c r="E306" i="165"/>
  <c r="O326" i="165"/>
  <c r="J326" i="165" s="1"/>
  <c r="E326" i="165"/>
  <c r="P306" i="165" l="1"/>
  <c r="P326" i="165"/>
  <c r="G210" i="167"/>
  <c r="D32" i="108" l="1"/>
  <c r="L29" i="165"/>
  <c r="F48" i="165" l="1"/>
  <c r="F325" i="165"/>
  <c r="J31" i="167"/>
  <c r="O35" i="165"/>
  <c r="O33" i="165" s="1"/>
  <c r="E35" i="165"/>
  <c r="E33" i="165" s="1"/>
  <c r="N275" i="165"/>
  <c r="M275" i="165"/>
  <c r="L275" i="165"/>
  <c r="K275" i="165"/>
  <c r="I275" i="165"/>
  <c r="H275" i="165"/>
  <c r="G275" i="165"/>
  <c r="F275" i="165"/>
  <c r="O278" i="165"/>
  <c r="E278" i="165"/>
  <c r="F98" i="165"/>
  <c r="K97" i="165"/>
  <c r="F97" i="165"/>
  <c r="J91" i="167"/>
  <c r="J24" i="184"/>
  <c r="H24" i="184"/>
  <c r="K27" i="184"/>
  <c r="J278" i="165" l="1"/>
  <c r="P278" i="165" s="1"/>
  <c r="I272" i="165"/>
  <c r="N272" i="165"/>
  <c r="F272" i="165"/>
  <c r="K272" i="165"/>
  <c r="O275" i="165"/>
  <c r="M272" i="165"/>
  <c r="H31" i="167"/>
  <c r="E275" i="165"/>
  <c r="G272" i="165"/>
  <c r="L272" i="165"/>
  <c r="H272" i="165"/>
  <c r="J35" i="165"/>
  <c r="P35" i="165" l="1"/>
  <c r="P33" i="165" s="1"/>
  <c r="J33" i="165"/>
  <c r="I31" i="167"/>
  <c r="G31" i="167" s="1"/>
  <c r="N112" i="165"/>
  <c r="M112" i="165"/>
  <c r="L112" i="165"/>
  <c r="K112" i="165"/>
  <c r="I112" i="165"/>
  <c r="H112" i="165"/>
  <c r="G112" i="165"/>
  <c r="F112" i="165"/>
  <c r="O113" i="165"/>
  <c r="O112" i="165" s="1"/>
  <c r="E113" i="165"/>
  <c r="E112" i="165" s="1"/>
  <c r="K96" i="165"/>
  <c r="F96" i="165"/>
  <c r="F163" i="165"/>
  <c r="H136" i="165"/>
  <c r="J113" i="165" l="1"/>
  <c r="P113" i="165" s="1"/>
  <c r="H91" i="167"/>
  <c r="F45" i="172"/>
  <c r="E45" i="172"/>
  <c r="J112" i="165" l="1"/>
  <c r="I91" i="167"/>
  <c r="G91" i="167" s="1"/>
  <c r="P112" i="165"/>
  <c r="K41" i="165" l="1"/>
  <c r="M206" i="167" l="1"/>
  <c r="M183" i="167"/>
  <c r="G184" i="167"/>
  <c r="M175" i="167"/>
  <c r="G176" i="167"/>
  <c r="J242" i="167" l="1"/>
  <c r="N327" i="165"/>
  <c r="M327" i="165"/>
  <c r="L327" i="165"/>
  <c r="K327" i="165"/>
  <c r="I327" i="165"/>
  <c r="H327" i="165"/>
  <c r="G327" i="165"/>
  <c r="F327" i="165"/>
  <c r="F323" i="165"/>
  <c r="I48" i="184" l="1"/>
  <c r="K48" i="184" s="1"/>
  <c r="J74" i="184" l="1"/>
  <c r="D18" i="188" l="1"/>
  <c r="N46" i="165" l="1"/>
  <c r="K48" i="165" l="1"/>
  <c r="K85" i="165"/>
  <c r="F46" i="165" l="1"/>
  <c r="F36" i="172" l="1"/>
  <c r="E36" i="172"/>
  <c r="F27" i="172"/>
  <c r="C50" i="188" l="1"/>
  <c r="D49" i="188"/>
  <c r="C49" i="188" l="1"/>
  <c r="D38" i="188"/>
  <c r="D33" i="188"/>
  <c r="D19" i="188"/>
  <c r="E102" i="188"/>
  <c r="D95" i="188"/>
  <c r="H246" i="167" l="1"/>
  <c r="F335" i="165"/>
  <c r="K300" i="165" l="1"/>
  <c r="E58" i="188" l="1"/>
  <c r="H42" i="184" l="1"/>
  <c r="H39" i="184"/>
  <c r="H36" i="184"/>
  <c r="H32" i="184"/>
  <c r="H20" i="184"/>
  <c r="G249" i="167"/>
  <c r="M249" i="167"/>
  <c r="F338" i="165"/>
  <c r="O358" i="165"/>
  <c r="O356" i="165"/>
  <c r="C41" i="172"/>
  <c r="C42" i="172"/>
  <c r="O373" i="165" l="1"/>
  <c r="E373" i="165"/>
  <c r="N372" i="165"/>
  <c r="M372" i="165"/>
  <c r="L372" i="165"/>
  <c r="K372" i="165"/>
  <c r="I372" i="165"/>
  <c r="H372" i="165"/>
  <c r="G372" i="165"/>
  <c r="F372" i="165"/>
  <c r="N371" i="165"/>
  <c r="I29" i="184"/>
  <c r="I37" i="184"/>
  <c r="K37" i="184" s="1"/>
  <c r="K227" i="165"/>
  <c r="K204" i="165"/>
  <c r="F13" i="107"/>
  <c r="H13" i="107"/>
  <c r="J13" i="107"/>
  <c r="K13" i="107"/>
  <c r="L13" i="107"/>
  <c r="G213" i="165"/>
  <c r="H205" i="165"/>
  <c r="H204" i="165"/>
  <c r="O213" i="165"/>
  <c r="M213" i="165"/>
  <c r="L213" i="165"/>
  <c r="M379" i="165"/>
  <c r="H371" i="165" l="1"/>
  <c r="O204" i="165"/>
  <c r="I371" i="165"/>
  <c r="F371" i="165"/>
  <c r="K371" i="165"/>
  <c r="E372" i="165"/>
  <c r="M371" i="165"/>
  <c r="G371" i="165"/>
  <c r="L371" i="165"/>
  <c r="J373" i="165"/>
  <c r="O372" i="165"/>
  <c r="K163" i="165"/>
  <c r="H125" i="167"/>
  <c r="H126" i="167"/>
  <c r="G163" i="165"/>
  <c r="H118" i="167"/>
  <c r="G137" i="165"/>
  <c r="H137" i="165"/>
  <c r="N136" i="165"/>
  <c r="E371" i="165" l="1"/>
  <c r="O371" i="165"/>
  <c r="J372" i="165"/>
  <c r="P373" i="165"/>
  <c r="N163" i="165"/>
  <c r="M163" i="165"/>
  <c r="L163" i="165"/>
  <c r="O163" i="165"/>
  <c r="P372" i="165" l="1"/>
  <c r="J371" i="165"/>
  <c r="J39" i="184"/>
  <c r="J38" i="184" s="1"/>
  <c r="I39" i="184"/>
  <c r="I38" i="184" s="1"/>
  <c r="H38" i="184"/>
  <c r="K40" i="184"/>
  <c r="P371" i="165" l="1"/>
  <c r="M17" i="167"/>
  <c r="G20" i="167"/>
  <c r="F260" i="165"/>
  <c r="O271" i="165"/>
  <c r="H282" i="165" l="1"/>
  <c r="J200" i="167"/>
  <c r="F259" i="165"/>
  <c r="O265" i="165"/>
  <c r="E265" i="165"/>
  <c r="J182" i="167"/>
  <c r="O246" i="165"/>
  <c r="E246" i="165"/>
  <c r="N245" i="165"/>
  <c r="M245" i="165"/>
  <c r="L245" i="165"/>
  <c r="K245" i="165"/>
  <c r="I245" i="165"/>
  <c r="H245" i="165"/>
  <c r="G245" i="165"/>
  <c r="F245" i="165"/>
  <c r="E245" i="165" l="1"/>
  <c r="J265" i="165"/>
  <c r="J246" i="165"/>
  <c r="H200" i="167"/>
  <c r="H182" i="167"/>
  <c r="O245" i="165"/>
  <c r="I71" i="184"/>
  <c r="O304" i="165"/>
  <c r="J236" i="165"/>
  <c r="E236" i="165"/>
  <c r="N233" i="165"/>
  <c r="M233" i="165"/>
  <c r="L233" i="165"/>
  <c r="K233" i="165"/>
  <c r="I233" i="165"/>
  <c r="G233" i="165"/>
  <c r="F233" i="165"/>
  <c r="K43" i="184"/>
  <c r="K45" i="184"/>
  <c r="K46" i="184"/>
  <c r="K47" i="184"/>
  <c r="K49" i="184"/>
  <c r="K51" i="184"/>
  <c r="K52" i="184"/>
  <c r="K53" i="184"/>
  <c r="K54" i="184"/>
  <c r="K55" i="184"/>
  <c r="K56" i="184"/>
  <c r="K57" i="184"/>
  <c r="I50" i="184"/>
  <c r="I42" i="184" s="1"/>
  <c r="J44" i="184"/>
  <c r="J42" i="184" s="1"/>
  <c r="J304" i="165" l="1"/>
  <c r="J303" i="165" s="1"/>
  <c r="O303" i="165"/>
  <c r="J245" i="165"/>
  <c r="P265" i="165"/>
  <c r="P246" i="165"/>
  <c r="I200" i="167"/>
  <c r="G200" i="167" s="1"/>
  <c r="H174" i="167"/>
  <c r="G174" i="167" s="1"/>
  <c r="I182" i="167"/>
  <c r="G182" i="167" s="1"/>
  <c r="K44" i="184"/>
  <c r="P236" i="165"/>
  <c r="K50" i="184"/>
  <c r="O188" i="165"/>
  <c r="O180" i="165"/>
  <c r="O185" i="165"/>
  <c r="H31" i="184"/>
  <c r="I33" i="184"/>
  <c r="K33" i="184" s="1"/>
  <c r="I41" i="184"/>
  <c r="H41" i="184"/>
  <c r="H35" i="184"/>
  <c r="H23" i="184"/>
  <c r="H19" i="184"/>
  <c r="D73" i="170"/>
  <c r="H188" i="165"/>
  <c r="H185" i="165"/>
  <c r="P245" i="165" l="1"/>
  <c r="I32" i="184"/>
  <c r="H184" i="165"/>
  <c r="H180" i="165"/>
  <c r="H183" i="165"/>
  <c r="D28" i="108" l="1"/>
  <c r="J54" i="167"/>
  <c r="N62" i="165" l="1"/>
  <c r="N59" i="165"/>
  <c r="O57" i="165"/>
  <c r="N57" i="165"/>
  <c r="N49" i="165"/>
  <c r="N48" i="165"/>
  <c r="K62" i="165"/>
  <c r="K59" i="165"/>
  <c r="J20" i="184"/>
  <c r="J19" i="184" s="1"/>
  <c r="I21" i="184"/>
  <c r="I22" i="184"/>
  <c r="K22" i="184" s="1"/>
  <c r="O59" i="165" l="1"/>
  <c r="O62" i="165"/>
  <c r="I20" i="184"/>
  <c r="I19" i="184" s="1"/>
  <c r="O48" i="165"/>
  <c r="K46" i="165"/>
  <c r="O46" i="165" l="1"/>
  <c r="F67" i="165"/>
  <c r="F65" i="165"/>
  <c r="F62" i="165"/>
  <c r="F59" i="165"/>
  <c r="F57" i="165"/>
  <c r="E53" i="165"/>
  <c r="J53" i="165"/>
  <c r="K51" i="165"/>
  <c r="L51" i="165"/>
  <c r="M51" i="165"/>
  <c r="N51" i="165"/>
  <c r="I51" i="165"/>
  <c r="H51" i="165"/>
  <c r="G51" i="165"/>
  <c r="F51" i="165"/>
  <c r="F50" i="165"/>
  <c r="F49" i="165"/>
  <c r="H49" i="165"/>
  <c r="H46" i="165"/>
  <c r="N348" i="165"/>
  <c r="M348" i="165"/>
  <c r="L348" i="165"/>
  <c r="K348" i="165"/>
  <c r="I348" i="165"/>
  <c r="H348" i="165"/>
  <c r="G348" i="165"/>
  <c r="F348" i="165"/>
  <c r="E348" i="165"/>
  <c r="I54" i="167" l="1"/>
  <c r="H54" i="167"/>
  <c r="P53" i="165"/>
  <c r="O349" i="165"/>
  <c r="J59" i="184"/>
  <c r="I75" i="184"/>
  <c r="I74" i="184"/>
  <c r="K74" i="184" s="1"/>
  <c r="I73" i="184"/>
  <c r="K73" i="184" s="1"/>
  <c r="I72" i="184"/>
  <c r="K72" i="184" s="1"/>
  <c r="K71" i="184"/>
  <c r="I70" i="184"/>
  <c r="K70" i="184" s="1"/>
  <c r="I69" i="184"/>
  <c r="K69" i="184" s="1"/>
  <c r="I68" i="184"/>
  <c r="K68" i="184" s="1"/>
  <c r="I67" i="184"/>
  <c r="K67" i="184" s="1"/>
  <c r="I66" i="184"/>
  <c r="K66" i="184" s="1"/>
  <c r="I65" i="184"/>
  <c r="K65" i="184" s="1"/>
  <c r="I64" i="184"/>
  <c r="K64" i="184" s="1"/>
  <c r="I63" i="184"/>
  <c r="H63" i="184"/>
  <c r="I62" i="184"/>
  <c r="K62" i="184" s="1"/>
  <c r="I61" i="184"/>
  <c r="K61" i="184" s="1"/>
  <c r="I60" i="184"/>
  <c r="G54" i="167" l="1"/>
  <c r="O348" i="165"/>
  <c r="K75" i="184"/>
  <c r="H59" i="184"/>
  <c r="H58" i="184" s="1"/>
  <c r="H101" i="184" s="1"/>
  <c r="L101" i="184" s="1"/>
  <c r="K60" i="184"/>
  <c r="I59" i="184"/>
  <c r="I58" i="184" s="1"/>
  <c r="K63" i="184"/>
  <c r="I26" i="184" l="1"/>
  <c r="I24" i="184" s="1"/>
  <c r="O97" i="165" l="1"/>
  <c r="K26" i="184"/>
  <c r="I23" i="184"/>
  <c r="H106" i="165"/>
  <c r="J80" i="167" l="1"/>
  <c r="H23" i="167"/>
  <c r="H18" i="165"/>
  <c r="J231" i="167"/>
  <c r="I231" i="167"/>
  <c r="H362" i="165"/>
  <c r="H353" i="165"/>
  <c r="H345" i="165"/>
  <c r="H318" i="165"/>
  <c r="H310" i="165"/>
  <c r="H287" i="165"/>
  <c r="H256" i="165"/>
  <c r="H234" i="165"/>
  <c r="H122" i="165"/>
  <c r="H94" i="165"/>
  <c r="H233" i="165" l="1"/>
  <c r="F128" i="165"/>
  <c r="J169" i="167"/>
  <c r="D77" i="170"/>
  <c r="O230" i="165"/>
  <c r="J230" i="165" s="1"/>
  <c r="E84" i="170" s="1"/>
  <c r="E230" i="165"/>
  <c r="E229" i="165" s="1"/>
  <c r="E228" i="165" s="1"/>
  <c r="N229" i="165"/>
  <c r="N228" i="165" s="1"/>
  <c r="M229" i="165"/>
  <c r="M228" i="165" s="1"/>
  <c r="L229" i="165"/>
  <c r="L228" i="165" s="1"/>
  <c r="K229" i="165"/>
  <c r="K228" i="165" s="1"/>
  <c r="I229" i="165"/>
  <c r="I228" i="165" s="1"/>
  <c r="H229" i="165"/>
  <c r="H228" i="165" s="1"/>
  <c r="G229" i="165"/>
  <c r="G228" i="165" s="1"/>
  <c r="F229" i="165"/>
  <c r="F228" i="165" s="1"/>
  <c r="E75" i="170" l="1"/>
  <c r="H169" i="167"/>
  <c r="I169" i="167"/>
  <c r="O229" i="165"/>
  <c r="O228" i="165" s="1"/>
  <c r="J229" i="165"/>
  <c r="J228" i="165" s="1"/>
  <c r="P230" i="165"/>
  <c r="P229" i="165" s="1"/>
  <c r="P228" i="165" s="1"/>
  <c r="G169" i="167" l="1"/>
  <c r="J223" i="167"/>
  <c r="J23" i="184"/>
  <c r="K94" i="165"/>
  <c r="D109" i="188"/>
  <c r="D14" i="170" l="1"/>
  <c r="D22" i="170" s="1"/>
  <c r="S362" i="165"/>
  <c r="F81" i="165" l="1"/>
  <c r="D71" i="170" l="1"/>
  <c r="D25" i="170" l="1"/>
  <c r="D55" i="170"/>
  <c r="D53" i="170"/>
  <c r="J166" i="167" l="1"/>
  <c r="O225" i="165"/>
  <c r="E225" i="165"/>
  <c r="N224" i="165"/>
  <c r="M224" i="165"/>
  <c r="L224" i="165"/>
  <c r="K224" i="165"/>
  <c r="I224" i="165"/>
  <c r="H224" i="165"/>
  <c r="G224" i="165"/>
  <c r="F224" i="165"/>
  <c r="J32" i="184"/>
  <c r="H166" i="167" l="1"/>
  <c r="E224" i="165"/>
  <c r="I223" i="165"/>
  <c r="K223" i="165"/>
  <c r="M223" i="165"/>
  <c r="E223" i="165"/>
  <c r="F223" i="165"/>
  <c r="G223" i="165"/>
  <c r="J225" i="165"/>
  <c r="L223" i="165"/>
  <c r="H223" i="165"/>
  <c r="N223" i="165"/>
  <c r="O224" i="165"/>
  <c r="O328" i="165"/>
  <c r="E328" i="165"/>
  <c r="O327" i="165" l="1"/>
  <c r="E327" i="165"/>
  <c r="H242" i="167"/>
  <c r="P225" i="165"/>
  <c r="O223" i="165"/>
  <c r="J224" i="165"/>
  <c r="I166" i="167"/>
  <c r="G166" i="167" s="1"/>
  <c r="J328" i="165"/>
  <c r="P224" i="165" l="1"/>
  <c r="P223" i="165" s="1"/>
  <c r="J327" i="165"/>
  <c r="I242" i="167"/>
  <c r="P328" i="165"/>
  <c r="G240" i="167"/>
  <c r="J223" i="165"/>
  <c r="G242" i="167" l="1"/>
  <c r="P327" i="165"/>
  <c r="G18" i="167"/>
  <c r="D86" i="170"/>
  <c r="J76" i="167"/>
  <c r="N86" i="165"/>
  <c r="M86" i="165"/>
  <c r="L86" i="165"/>
  <c r="K86" i="165"/>
  <c r="I86" i="165"/>
  <c r="H86" i="165"/>
  <c r="G86" i="165"/>
  <c r="O87" i="165"/>
  <c r="J75" i="167"/>
  <c r="F84" i="165"/>
  <c r="G84" i="165"/>
  <c r="H84" i="165"/>
  <c r="I84" i="165"/>
  <c r="K84" i="165"/>
  <c r="L84" i="165"/>
  <c r="M84" i="165"/>
  <c r="N84" i="165"/>
  <c r="O85" i="165"/>
  <c r="E85" i="165"/>
  <c r="N83" i="165" l="1"/>
  <c r="K83" i="165"/>
  <c r="I83" i="165"/>
  <c r="H83" i="165"/>
  <c r="M83" i="165"/>
  <c r="H75" i="167"/>
  <c r="G83" i="165"/>
  <c r="J87" i="165"/>
  <c r="L83" i="165"/>
  <c r="J85" i="165"/>
  <c r="F83" i="165"/>
  <c r="E87" i="165"/>
  <c r="E84" i="165"/>
  <c r="F86" i="165"/>
  <c r="O86" i="165"/>
  <c r="O84" i="165"/>
  <c r="J84" i="165" l="1"/>
  <c r="P87" i="165"/>
  <c r="H76" i="167"/>
  <c r="J86" i="165"/>
  <c r="P85" i="165"/>
  <c r="I75" i="167"/>
  <c r="G75" i="167" s="1"/>
  <c r="M82" i="165"/>
  <c r="G82" i="165"/>
  <c r="E83" i="165"/>
  <c r="E86" i="165"/>
  <c r="I76" i="167"/>
  <c r="I82" i="165"/>
  <c r="K82" i="165"/>
  <c r="F82" i="165"/>
  <c r="O83" i="165"/>
  <c r="L82" i="165"/>
  <c r="H82" i="165"/>
  <c r="N82" i="165"/>
  <c r="F130" i="188"/>
  <c r="D130" i="188"/>
  <c r="C136" i="188"/>
  <c r="C135" i="188"/>
  <c r="D77" i="188"/>
  <c r="G76" i="167" l="1"/>
  <c r="J83" i="165"/>
  <c r="J82" i="165" s="1"/>
  <c r="P86" i="165"/>
  <c r="D54" i="188"/>
  <c r="D73" i="188"/>
  <c r="E130" i="188"/>
  <c r="O82" i="165"/>
  <c r="E82" i="165"/>
  <c r="P84" i="165"/>
  <c r="D68" i="188"/>
  <c r="P83" i="165" l="1"/>
  <c r="P82" i="165" l="1"/>
  <c r="D47" i="170" l="1"/>
  <c r="D49" i="170" s="1"/>
  <c r="Q362" i="165" l="1"/>
  <c r="J128" i="167" l="1"/>
  <c r="O168" i="165"/>
  <c r="E168" i="165"/>
  <c r="N166" i="165"/>
  <c r="M166" i="165"/>
  <c r="L166" i="165"/>
  <c r="K166" i="165"/>
  <c r="I166" i="165"/>
  <c r="H166" i="165"/>
  <c r="G166" i="165"/>
  <c r="F166" i="165"/>
  <c r="J168" i="165" l="1"/>
  <c r="I128" i="167" s="1"/>
  <c r="H128" i="167"/>
  <c r="N147" i="165"/>
  <c r="M147" i="165"/>
  <c r="L147" i="165"/>
  <c r="K147" i="165"/>
  <c r="I147" i="165"/>
  <c r="H147" i="165"/>
  <c r="G147" i="165"/>
  <c r="F147" i="165"/>
  <c r="P168" i="165" l="1"/>
  <c r="G128" i="167"/>
  <c r="O158" i="165"/>
  <c r="E158" i="165"/>
  <c r="O155" i="165"/>
  <c r="E155" i="165"/>
  <c r="O151" i="165"/>
  <c r="E151" i="165"/>
  <c r="O148" i="165"/>
  <c r="E148" i="165"/>
  <c r="J151" i="165" l="1"/>
  <c r="J158" i="165"/>
  <c r="J155" i="165"/>
  <c r="E147" i="165"/>
  <c r="O147" i="165"/>
  <c r="J148" i="165"/>
  <c r="J92" i="167"/>
  <c r="P151" i="165" l="1"/>
  <c r="P158" i="165"/>
  <c r="P155" i="165"/>
  <c r="P148" i="165"/>
  <c r="J147" i="165"/>
  <c r="O115" i="165"/>
  <c r="J115" i="165" s="1"/>
  <c r="E115" i="165"/>
  <c r="N114" i="165"/>
  <c r="N111" i="165" s="1"/>
  <c r="M114" i="165"/>
  <c r="M111" i="165" s="1"/>
  <c r="L114" i="165"/>
  <c r="L111" i="165" s="1"/>
  <c r="K114" i="165"/>
  <c r="K111" i="165" s="1"/>
  <c r="I114" i="165"/>
  <c r="I111" i="165" s="1"/>
  <c r="H114" i="165"/>
  <c r="H111" i="165" s="1"/>
  <c r="G114" i="165"/>
  <c r="G111" i="165" s="1"/>
  <c r="F114" i="165"/>
  <c r="F111" i="165" s="1"/>
  <c r="I92" i="167" l="1"/>
  <c r="P147" i="165"/>
  <c r="E114" i="165"/>
  <c r="E111" i="165" s="1"/>
  <c r="H92" i="167"/>
  <c r="J114" i="165"/>
  <c r="J111" i="165" s="1"/>
  <c r="P115" i="165"/>
  <c r="O114" i="165"/>
  <c r="O111" i="165" s="1"/>
  <c r="G92" i="167" l="1"/>
  <c r="P114" i="165"/>
  <c r="P111" i="165" s="1"/>
  <c r="J73" i="167" l="1"/>
  <c r="O81" i="165"/>
  <c r="E81" i="165"/>
  <c r="N79" i="165"/>
  <c r="M79" i="165"/>
  <c r="L79" i="165"/>
  <c r="I79" i="165"/>
  <c r="H79" i="165"/>
  <c r="G79" i="165"/>
  <c r="F79" i="165"/>
  <c r="C129" i="188"/>
  <c r="C121" i="188"/>
  <c r="C120" i="188"/>
  <c r="C119" i="188"/>
  <c r="C118" i="188"/>
  <c r="C122" i="188"/>
  <c r="F109" i="188"/>
  <c r="E109" i="188"/>
  <c r="C113" i="188"/>
  <c r="C111" i="188"/>
  <c r="H73" i="167" l="1"/>
  <c r="J81" i="165"/>
  <c r="C131" i="188"/>
  <c r="E117" i="188"/>
  <c r="C85" i="188"/>
  <c r="C20" i="188"/>
  <c r="C19" i="188"/>
  <c r="C18" i="188"/>
  <c r="P81" i="165" l="1"/>
  <c r="I73" i="167"/>
  <c r="G73" i="167" s="1"/>
  <c r="C107" i="188"/>
  <c r="C124" i="188"/>
  <c r="C123" i="188"/>
  <c r="F117" i="188"/>
  <c r="C130" i="188"/>
  <c r="D106" i="188"/>
  <c r="E99" i="188"/>
  <c r="F94" i="188"/>
  <c r="E94" i="188"/>
  <c r="C103" i="188"/>
  <c r="C110" i="188"/>
  <c r="C112" i="188"/>
  <c r="C114" i="188"/>
  <c r="C115" i="188"/>
  <c r="C116" i="188"/>
  <c r="C125" i="188"/>
  <c r="C127" i="188"/>
  <c r="C128" i="188"/>
  <c r="C132" i="188"/>
  <c r="C133" i="188"/>
  <c r="C134" i="188"/>
  <c r="C101" i="188"/>
  <c r="C89" i="188"/>
  <c r="C90" i="188"/>
  <c r="C91" i="188"/>
  <c r="C92" i="188"/>
  <c r="E88" i="188"/>
  <c r="D82" i="188"/>
  <c r="F82" i="188"/>
  <c r="E82" i="188"/>
  <c r="C73" i="188"/>
  <c r="D65" i="188"/>
  <c r="F15" i="188"/>
  <c r="C62" i="188"/>
  <c r="C61" i="188"/>
  <c r="C60" i="188"/>
  <c r="E59" i="188"/>
  <c r="C54" i="188"/>
  <c r="D51" i="188"/>
  <c r="C38" i="188"/>
  <c r="C53" i="188"/>
  <c r="C52" i="188"/>
  <c r="D27" i="188"/>
  <c r="D25" i="188"/>
  <c r="D17" i="188"/>
  <c r="D22" i="188"/>
  <c r="C23" i="188"/>
  <c r="C22" i="188" l="1"/>
  <c r="D16" i="188"/>
  <c r="D37" i="188"/>
  <c r="F63" i="188"/>
  <c r="C106" i="188"/>
  <c r="F108" i="188"/>
  <c r="C95" i="188"/>
  <c r="C27" i="188"/>
  <c r="E87" i="188"/>
  <c r="C99" i="188"/>
  <c r="D64" i="188"/>
  <c r="D24" i="188"/>
  <c r="D94" i="188"/>
  <c r="C25" i="188"/>
  <c r="C102" i="188"/>
  <c r="C17" i="188"/>
  <c r="C88" i="188"/>
  <c r="C51" i="188"/>
  <c r="C64" i="188" l="1"/>
  <c r="E63" i="188"/>
  <c r="C16" i="188"/>
  <c r="D93" i="188"/>
  <c r="C94" i="188"/>
  <c r="C24" i="188"/>
  <c r="J148" i="167"/>
  <c r="N192" i="165"/>
  <c r="M192" i="165"/>
  <c r="L192" i="165"/>
  <c r="K192" i="165"/>
  <c r="I192" i="165"/>
  <c r="H192" i="165"/>
  <c r="G192" i="165"/>
  <c r="F192" i="165"/>
  <c r="O193" i="165"/>
  <c r="E193" i="165"/>
  <c r="J77" i="167"/>
  <c r="K72" i="165"/>
  <c r="O90" i="165"/>
  <c r="E90" i="165"/>
  <c r="N89" i="165"/>
  <c r="M89" i="165"/>
  <c r="L89" i="165"/>
  <c r="K89" i="165"/>
  <c r="I89" i="165"/>
  <c r="H89" i="165"/>
  <c r="G89" i="165"/>
  <c r="F89" i="165"/>
  <c r="K73" i="165"/>
  <c r="D42" i="170"/>
  <c r="D126" i="188"/>
  <c r="N191" i="165" l="1"/>
  <c r="M88" i="165"/>
  <c r="N88" i="165"/>
  <c r="F88" i="165"/>
  <c r="H148" i="167"/>
  <c r="H77" i="167"/>
  <c r="I88" i="165"/>
  <c r="F191" i="165"/>
  <c r="G191" i="165"/>
  <c r="L88" i="165"/>
  <c r="H191" i="165"/>
  <c r="E89" i="165"/>
  <c r="E192" i="165"/>
  <c r="C126" i="188"/>
  <c r="D117" i="188"/>
  <c r="H88" i="165"/>
  <c r="M191" i="165"/>
  <c r="I191" i="165"/>
  <c r="G88" i="165"/>
  <c r="K88" i="165"/>
  <c r="J90" i="165"/>
  <c r="L191" i="165"/>
  <c r="J193" i="165"/>
  <c r="O192" i="165"/>
  <c r="O89" i="165"/>
  <c r="E88" i="165" l="1"/>
  <c r="P90" i="165"/>
  <c r="D108" i="188"/>
  <c r="C117" i="188"/>
  <c r="J89" i="165"/>
  <c r="E83" i="170"/>
  <c r="I77" i="167"/>
  <c r="G77" i="167" s="1"/>
  <c r="O88" i="165"/>
  <c r="J192" i="165"/>
  <c r="I148" i="167"/>
  <c r="G148" i="167" s="1"/>
  <c r="P193" i="165"/>
  <c r="D105" i="188" l="1"/>
  <c r="P89" i="165"/>
  <c r="P88" i="165" s="1"/>
  <c r="P192" i="165"/>
  <c r="J88" i="165"/>
  <c r="F105" i="188" l="1"/>
  <c r="C100" i="188"/>
  <c r="F99" i="188"/>
  <c r="E98" i="188"/>
  <c r="C97" i="188"/>
  <c r="C96" i="188"/>
  <c r="D87" i="188"/>
  <c r="C86" i="188"/>
  <c r="C84" i="188"/>
  <c r="C83" i="188"/>
  <c r="C82" i="188"/>
  <c r="C81" i="188"/>
  <c r="C80" i="188"/>
  <c r="D79" i="188"/>
  <c r="C78" i="188"/>
  <c r="C77" i="188"/>
  <c r="C76" i="188"/>
  <c r="C75" i="188"/>
  <c r="C74" i="188"/>
  <c r="C71" i="188"/>
  <c r="C70" i="188"/>
  <c r="C69" i="188"/>
  <c r="C68" i="188"/>
  <c r="C67" i="188"/>
  <c r="C66" i="188"/>
  <c r="C65" i="188"/>
  <c r="D59" i="188"/>
  <c r="C58" i="188"/>
  <c r="C57" i="188"/>
  <c r="C56" i="188"/>
  <c r="C55" i="188"/>
  <c r="C48" i="188"/>
  <c r="C47" i="188"/>
  <c r="C46" i="188"/>
  <c r="C45" i="188"/>
  <c r="C44" i="188"/>
  <c r="C43" i="188"/>
  <c r="C42" i="188"/>
  <c r="C41" i="188"/>
  <c r="C40" i="188"/>
  <c r="C39" i="188"/>
  <c r="C35" i="188"/>
  <c r="C34" i="188" s="1"/>
  <c r="C33" i="188"/>
  <c r="D32" i="188"/>
  <c r="C31" i="188"/>
  <c r="D30" i="188"/>
  <c r="C28" i="188"/>
  <c r="C26" i="188"/>
  <c r="C21" i="188"/>
  <c r="C87" i="188" l="1"/>
  <c r="D72" i="188"/>
  <c r="C32" i="188"/>
  <c r="E15" i="188"/>
  <c r="C59" i="188"/>
  <c r="F98" i="188"/>
  <c r="C30" i="188"/>
  <c r="C79" i="188"/>
  <c r="E108" i="188"/>
  <c r="C109" i="188"/>
  <c r="C98" i="188"/>
  <c r="E93" i="188"/>
  <c r="D15" i="188" l="1"/>
  <c r="C15" i="188" s="1"/>
  <c r="D63" i="188"/>
  <c r="F93" i="188"/>
  <c r="C29" i="188"/>
  <c r="C93" i="188"/>
  <c r="E104" i="188"/>
  <c r="E137" i="188" s="1"/>
  <c r="C72" i="188"/>
  <c r="C108" i="188"/>
  <c r="E105" i="188"/>
  <c r="C105" i="188" s="1"/>
  <c r="C37" i="188"/>
  <c r="F104" i="188" l="1"/>
  <c r="F137" i="188" s="1"/>
  <c r="D104" i="188"/>
  <c r="C104" i="188" s="1"/>
  <c r="C63" i="188"/>
  <c r="D137" i="188" l="1"/>
  <c r="C39" i="172"/>
  <c r="C38" i="172" s="1"/>
  <c r="F38" i="172"/>
  <c r="E38" i="172"/>
  <c r="D38" i="172"/>
  <c r="D37" i="172" s="1"/>
  <c r="C19" i="172"/>
  <c r="C18" i="172"/>
  <c r="F17" i="172"/>
  <c r="E17" i="172"/>
  <c r="E16" i="172" s="1"/>
  <c r="D17" i="172"/>
  <c r="G41" i="167"/>
  <c r="N138" i="165"/>
  <c r="M138" i="165"/>
  <c r="L138" i="165"/>
  <c r="I138" i="165"/>
  <c r="H138" i="165"/>
  <c r="G138" i="165"/>
  <c r="F138" i="165"/>
  <c r="J69" i="167"/>
  <c r="I69" i="167"/>
  <c r="J68" i="167"/>
  <c r="N71" i="165"/>
  <c r="M71" i="165"/>
  <c r="L71" i="165"/>
  <c r="K71" i="165"/>
  <c r="I71" i="165"/>
  <c r="H71" i="165"/>
  <c r="G71" i="165"/>
  <c r="F71" i="165"/>
  <c r="O73" i="165"/>
  <c r="E73" i="165"/>
  <c r="C137" i="188" l="1"/>
  <c r="K138" i="165"/>
  <c r="H68" i="167"/>
  <c r="J73" i="165"/>
  <c r="F369" i="165"/>
  <c r="J238" i="167"/>
  <c r="J239" i="167"/>
  <c r="N322" i="165"/>
  <c r="M322" i="165"/>
  <c r="L322" i="165"/>
  <c r="K322" i="165"/>
  <c r="I322" i="165"/>
  <c r="H322" i="165"/>
  <c r="G322" i="165"/>
  <c r="F322" i="165"/>
  <c r="O323" i="165"/>
  <c r="E323" i="165"/>
  <c r="M245" i="167"/>
  <c r="G245" i="167"/>
  <c r="J235" i="167" l="1"/>
  <c r="F367" i="165"/>
  <c r="O322" i="165"/>
  <c r="H238" i="167"/>
  <c r="J323" i="165"/>
  <c r="E322" i="165"/>
  <c r="E138" i="165"/>
  <c r="I68" i="167"/>
  <c r="G68" i="167" s="1"/>
  <c r="P73" i="165"/>
  <c r="O138" i="165"/>
  <c r="F332" i="165"/>
  <c r="N332" i="165"/>
  <c r="M332" i="165"/>
  <c r="L332" i="165"/>
  <c r="K332" i="165"/>
  <c r="I332" i="165"/>
  <c r="H332" i="165"/>
  <c r="G332" i="165"/>
  <c r="O333" i="165"/>
  <c r="E333" i="165"/>
  <c r="P138" i="165" l="1"/>
  <c r="J138" i="165"/>
  <c r="P323" i="165"/>
  <c r="G114" i="167"/>
  <c r="J333" i="165"/>
  <c r="O332" i="165"/>
  <c r="K245" i="167"/>
  <c r="E332" i="165"/>
  <c r="J322" i="165"/>
  <c r="I238" i="167"/>
  <c r="G238" i="167" l="1"/>
  <c r="P322" i="165"/>
  <c r="J36" i="184"/>
  <c r="P333" i="165"/>
  <c r="L245" i="167"/>
  <c r="J332" i="165"/>
  <c r="D19" i="108"/>
  <c r="P332" i="165" l="1"/>
  <c r="F47" i="165"/>
  <c r="J46" i="167"/>
  <c r="I46" i="167"/>
  <c r="E80" i="165"/>
  <c r="E79" i="165"/>
  <c r="J67" i="167"/>
  <c r="O72" i="165"/>
  <c r="E72" i="165"/>
  <c r="J52" i="167"/>
  <c r="K47" i="165"/>
  <c r="I47" i="165"/>
  <c r="O50" i="165"/>
  <c r="E50" i="165"/>
  <c r="K79" i="165" l="1"/>
  <c r="J72" i="167"/>
  <c r="G47" i="165"/>
  <c r="H52" i="167"/>
  <c r="H47" i="165"/>
  <c r="O80" i="165"/>
  <c r="H72" i="167"/>
  <c r="J72" i="165"/>
  <c r="O71" i="165"/>
  <c r="E71" i="165"/>
  <c r="H67" i="167"/>
  <c r="J50" i="165"/>
  <c r="O79" i="165" l="1"/>
  <c r="P50" i="165"/>
  <c r="P72" i="165"/>
  <c r="J80" i="165"/>
  <c r="I67" i="167"/>
  <c r="G67" i="167" s="1"/>
  <c r="J71" i="165"/>
  <c r="I52" i="167"/>
  <c r="G52" i="167" s="1"/>
  <c r="P80" i="165" l="1"/>
  <c r="J79" i="165"/>
  <c r="I72" i="167"/>
  <c r="G72" i="167" s="1"/>
  <c r="P71" i="165"/>
  <c r="J226" i="167"/>
  <c r="E304" i="165"/>
  <c r="E303" i="165" s="1"/>
  <c r="P79" i="165" l="1"/>
  <c r="H302" i="165"/>
  <c r="N302" i="165"/>
  <c r="I302" i="165"/>
  <c r="G302" i="165"/>
  <c r="M302" i="165"/>
  <c r="L302" i="165"/>
  <c r="H226" i="167"/>
  <c r="F302" i="165"/>
  <c r="K302" i="165"/>
  <c r="O302" i="165" l="1"/>
  <c r="E302" i="165"/>
  <c r="I226" i="167"/>
  <c r="G226" i="167" s="1"/>
  <c r="P304" i="165"/>
  <c r="P303" i="165" s="1"/>
  <c r="J302" i="165" l="1"/>
  <c r="P302" i="165" l="1"/>
  <c r="J99" i="184"/>
  <c r="J265" i="167"/>
  <c r="I265" i="167"/>
  <c r="H266" i="167"/>
  <c r="G266" i="167" s="1"/>
  <c r="J66" i="167" l="1"/>
  <c r="O70" i="165"/>
  <c r="E70" i="165"/>
  <c r="N68" i="165"/>
  <c r="M68" i="165"/>
  <c r="L68" i="165"/>
  <c r="K68" i="165"/>
  <c r="I68" i="165"/>
  <c r="H68" i="165"/>
  <c r="G68" i="165"/>
  <c r="J25" i="167"/>
  <c r="M25" i="167" s="1"/>
  <c r="J25" i="165"/>
  <c r="E25" i="165"/>
  <c r="N23" i="165"/>
  <c r="M23" i="165"/>
  <c r="L23" i="165"/>
  <c r="K23" i="165"/>
  <c r="I23" i="165"/>
  <c r="H23" i="165"/>
  <c r="G23" i="165"/>
  <c r="F23" i="165"/>
  <c r="I25" i="167" l="1"/>
  <c r="L25" i="167" s="1"/>
  <c r="H66" i="167"/>
  <c r="J70" i="165"/>
  <c r="P25" i="165"/>
  <c r="H25" i="167"/>
  <c r="P70" i="165" l="1"/>
  <c r="I66" i="167"/>
  <c r="G66" i="167" s="1"/>
  <c r="K25" i="167"/>
  <c r="G25" i="167"/>
  <c r="D46" i="172" l="1"/>
  <c r="E47" i="172"/>
  <c r="E46" i="172" s="1"/>
  <c r="F46" i="172" s="1"/>
  <c r="E23" i="172"/>
  <c r="E22" i="172" s="1"/>
  <c r="D22" i="172"/>
  <c r="C45" i="172"/>
  <c r="C21" i="172"/>
  <c r="F33" i="172"/>
  <c r="E33" i="172"/>
  <c r="D33" i="172"/>
  <c r="D32" i="172" s="1"/>
  <c r="D26" i="172"/>
  <c r="D25" i="172" s="1"/>
  <c r="F16" i="172"/>
  <c r="D31" i="172" l="1"/>
  <c r="F47" i="172"/>
  <c r="C23" i="172"/>
  <c r="F23" i="172"/>
  <c r="F22" i="172" s="1"/>
  <c r="C46" i="172"/>
  <c r="C47" i="172"/>
  <c r="C22" i="172"/>
  <c r="C17" i="172"/>
  <c r="D16" i="172"/>
  <c r="C16" i="172" l="1"/>
  <c r="C34" i="172" l="1"/>
  <c r="C33" i="172" s="1"/>
  <c r="C36" i="172"/>
  <c r="F26" i="172"/>
  <c r="F25" i="172" s="1"/>
  <c r="E26" i="172"/>
  <c r="E25" i="172" s="1"/>
  <c r="J93" i="184" l="1"/>
  <c r="J92" i="184" s="1"/>
  <c r="J86" i="184"/>
  <c r="I36" i="184"/>
  <c r="I35" i="184" s="1"/>
  <c r="I31" i="184"/>
  <c r="I101" i="184" l="1"/>
  <c r="M101" i="184" s="1"/>
  <c r="H29" i="184"/>
  <c r="H28" i="184" s="1"/>
  <c r="I28" i="184"/>
  <c r="J12" i="184"/>
  <c r="J11" i="184" s="1"/>
  <c r="J85" i="184"/>
  <c r="J31" i="184"/>
  <c r="J83" i="184"/>
  <c r="J82" i="184" s="1"/>
  <c r="J90" i="184"/>
  <c r="J89" i="184" s="1"/>
  <c r="J77" i="184"/>
  <c r="J76" i="184" s="1"/>
  <c r="J29" i="184"/>
  <c r="J28" i="184" s="1"/>
  <c r="J35" i="184" l="1"/>
  <c r="J58" i="184"/>
  <c r="J41" i="184"/>
  <c r="J98" i="184"/>
  <c r="F35" i="172"/>
  <c r="F32" i="172" s="1"/>
  <c r="E35" i="172"/>
  <c r="E32" i="172" s="1"/>
  <c r="C40" i="172"/>
  <c r="C37" i="172" s="1"/>
  <c r="C28" i="172"/>
  <c r="C27" i="172"/>
  <c r="J101" i="184" l="1"/>
  <c r="N101" i="184" s="1"/>
  <c r="C26" i="172"/>
  <c r="C25" i="172" s="1"/>
  <c r="C35" i="172"/>
  <c r="C32" i="172" s="1"/>
  <c r="G138" i="188" s="1"/>
  <c r="N270" i="165"/>
  <c r="M270" i="165"/>
  <c r="L270" i="165"/>
  <c r="I270" i="165"/>
  <c r="H270" i="165"/>
  <c r="G270" i="165"/>
  <c r="C31" i="172" l="1"/>
  <c r="H269" i="165"/>
  <c r="L269" i="165"/>
  <c r="I269" i="165"/>
  <c r="M269" i="165"/>
  <c r="G269" i="165"/>
  <c r="N269" i="165"/>
  <c r="J71" i="167" l="1"/>
  <c r="O76" i="165"/>
  <c r="K191" i="165" l="1"/>
  <c r="E76" i="165"/>
  <c r="J76" i="165"/>
  <c r="E118" i="165"/>
  <c r="O118" i="165"/>
  <c r="J118" i="165" s="1"/>
  <c r="H71" i="167" l="1"/>
  <c r="I71" i="167"/>
  <c r="K270" i="165"/>
  <c r="P76" i="165"/>
  <c r="P118" i="165"/>
  <c r="G71" i="167" l="1"/>
  <c r="K269" i="165"/>
  <c r="G251" i="167" l="1"/>
  <c r="G42" i="167" l="1"/>
  <c r="G39" i="167" l="1"/>
  <c r="G38" i="167"/>
  <c r="G37" i="167"/>
  <c r="G36" i="167"/>
  <c r="E42" i="165"/>
  <c r="G250" i="167"/>
  <c r="K35" i="167" l="1"/>
  <c r="O42" i="165"/>
  <c r="M35" i="167"/>
  <c r="E71" i="170"/>
  <c r="J42" i="165" l="1"/>
  <c r="F78" i="165"/>
  <c r="P42" i="165" l="1"/>
  <c r="L35" i="167"/>
  <c r="N54" i="165"/>
  <c r="M54" i="165"/>
  <c r="L54" i="165"/>
  <c r="I54" i="165"/>
  <c r="H54" i="165"/>
  <c r="G54" i="165"/>
  <c r="F54" i="165"/>
  <c r="E56" i="165"/>
  <c r="J180" i="167"/>
  <c r="O242" i="165"/>
  <c r="E242" i="165"/>
  <c r="K54" i="165" l="1"/>
  <c r="H180" i="167"/>
  <c r="E54" i="165"/>
  <c r="O56" i="165"/>
  <c r="H55" i="167"/>
  <c r="J242" i="165"/>
  <c r="J55" i="167"/>
  <c r="J56" i="165" l="1"/>
  <c r="O54" i="165"/>
  <c r="P242" i="165"/>
  <c r="I180" i="167"/>
  <c r="G180" i="167" s="1"/>
  <c r="J54" i="165" l="1"/>
  <c r="P56" i="165"/>
  <c r="I55" i="167"/>
  <c r="G55" i="167" s="1"/>
  <c r="P54" i="165"/>
  <c r="J219" i="167" l="1"/>
  <c r="J217" i="167"/>
  <c r="N286" i="165" l="1"/>
  <c r="M286" i="165"/>
  <c r="L286" i="165"/>
  <c r="K286" i="165"/>
  <c r="I286" i="165"/>
  <c r="G286" i="165"/>
  <c r="O289" i="165"/>
  <c r="E289" i="165"/>
  <c r="O295" i="165"/>
  <c r="E295" i="165"/>
  <c r="J295" i="165" l="1"/>
  <c r="H217" i="167"/>
  <c r="J289" i="165"/>
  <c r="H219" i="167"/>
  <c r="N171" i="165"/>
  <c r="M171" i="165"/>
  <c r="L171" i="165"/>
  <c r="I171" i="165"/>
  <c r="H171" i="165"/>
  <c r="G171" i="165"/>
  <c r="F171" i="165"/>
  <c r="G100" i="167"/>
  <c r="P295" i="165" l="1"/>
  <c r="K171" i="165"/>
  <c r="H170" i="165"/>
  <c r="M170" i="165"/>
  <c r="I170" i="165"/>
  <c r="N170" i="165"/>
  <c r="P289" i="165"/>
  <c r="I217" i="167"/>
  <c r="F170" i="165"/>
  <c r="O172" i="165"/>
  <c r="J129" i="167"/>
  <c r="G170" i="165"/>
  <c r="L170" i="165"/>
  <c r="I219" i="167"/>
  <c r="G219" i="167" s="1"/>
  <c r="K170" i="165" l="1"/>
  <c r="J172" i="165"/>
  <c r="G217" i="167"/>
  <c r="O171" i="165"/>
  <c r="J171" i="165" l="1"/>
  <c r="I129" i="167"/>
  <c r="O170" i="165"/>
  <c r="J109" i="167"/>
  <c r="O133" i="165"/>
  <c r="E133" i="165"/>
  <c r="J101" i="167"/>
  <c r="J102" i="167"/>
  <c r="N121" i="165"/>
  <c r="M121" i="165"/>
  <c r="L121" i="165"/>
  <c r="I121" i="165"/>
  <c r="G121" i="165"/>
  <c r="J124" i="165"/>
  <c r="E124" i="165"/>
  <c r="J170" i="165" l="1"/>
  <c r="I102" i="167"/>
  <c r="H109" i="167"/>
  <c r="J133" i="165"/>
  <c r="K121" i="165"/>
  <c r="P124" i="165"/>
  <c r="H102" i="167"/>
  <c r="I109" i="167" l="1"/>
  <c r="G109" i="167" s="1"/>
  <c r="G102" i="167"/>
  <c r="P133" i="165"/>
  <c r="F283" i="165"/>
  <c r="G283" i="165"/>
  <c r="H283" i="165"/>
  <c r="J185" i="167"/>
  <c r="O249" i="165"/>
  <c r="E249" i="165"/>
  <c r="F270" i="165" l="1"/>
  <c r="O270" i="165"/>
  <c r="H185" i="167"/>
  <c r="J249" i="165"/>
  <c r="P249" i="165" l="1"/>
  <c r="F269" i="165"/>
  <c r="O269" i="165"/>
  <c r="I185" i="167"/>
  <c r="G185" i="167" s="1"/>
  <c r="F121" i="165" l="1"/>
  <c r="J149" i="167" l="1"/>
  <c r="O194" i="165" l="1"/>
  <c r="E194" i="165"/>
  <c r="L190" i="165"/>
  <c r="G138" i="167"/>
  <c r="O191" i="165" l="1"/>
  <c r="E191" i="165"/>
  <c r="M190" i="165"/>
  <c r="K190" i="165"/>
  <c r="I190" i="165"/>
  <c r="N190" i="165"/>
  <c r="F190" i="165"/>
  <c r="H149" i="167"/>
  <c r="G190" i="165"/>
  <c r="H190" i="165"/>
  <c r="J194" i="165"/>
  <c r="J191" i="165" l="1"/>
  <c r="E190" i="165"/>
  <c r="O190" i="165"/>
  <c r="I149" i="167"/>
  <c r="G149" i="167" s="1"/>
  <c r="P194" i="165"/>
  <c r="P191" i="165" l="1"/>
  <c r="J190" i="165"/>
  <c r="P190" i="165" l="1"/>
  <c r="G260" i="167"/>
  <c r="D33" i="108"/>
  <c r="F286" i="165" l="1"/>
  <c r="J29" i="167"/>
  <c r="J31" i="165" l="1"/>
  <c r="J29" i="165"/>
  <c r="O28" i="165"/>
  <c r="L28" i="165"/>
  <c r="F28" i="165"/>
  <c r="N28" i="165"/>
  <c r="M28" i="165"/>
  <c r="K28" i="165"/>
  <c r="I28" i="165"/>
  <c r="H28" i="165"/>
  <c r="G28" i="165"/>
  <c r="E31" i="165"/>
  <c r="I29" i="167" l="1"/>
  <c r="H29" i="167"/>
  <c r="J28" i="165"/>
  <c r="P31" i="165"/>
  <c r="J233" i="167"/>
  <c r="G29" i="167" l="1"/>
  <c r="O314" i="165"/>
  <c r="E314" i="165"/>
  <c r="N313" i="165"/>
  <c r="M313" i="165"/>
  <c r="L313" i="165"/>
  <c r="K313" i="165"/>
  <c r="I313" i="165"/>
  <c r="H313" i="165"/>
  <c r="G313" i="165"/>
  <c r="F313" i="165"/>
  <c r="L312" i="165" l="1"/>
  <c r="N312" i="165"/>
  <c r="H312" i="165"/>
  <c r="M312" i="165"/>
  <c r="F17" i="153"/>
  <c r="F312" i="165"/>
  <c r="K312" i="165"/>
  <c r="J314" i="165"/>
  <c r="G312" i="165"/>
  <c r="I312" i="165"/>
  <c r="E313" i="165"/>
  <c r="H233" i="167"/>
  <c r="O313" i="165"/>
  <c r="J313" i="165" l="1"/>
  <c r="P314" i="165"/>
  <c r="E312" i="165"/>
  <c r="O312" i="165"/>
  <c r="I233" i="167"/>
  <c r="G233" i="167" s="1"/>
  <c r="J312" i="165" l="1"/>
  <c r="P313" i="165"/>
  <c r="P312" i="165" l="1"/>
  <c r="J252" i="167" l="1"/>
  <c r="J244" i="167" s="1"/>
  <c r="O341" i="165" l="1"/>
  <c r="E341" i="165"/>
  <c r="N340" i="165"/>
  <c r="M340" i="165"/>
  <c r="L340" i="165"/>
  <c r="K340" i="165"/>
  <c r="I340" i="165"/>
  <c r="H340" i="165"/>
  <c r="G340" i="165"/>
  <c r="F340" i="165"/>
  <c r="M339" i="165" l="1"/>
  <c r="N339" i="165"/>
  <c r="H339" i="165"/>
  <c r="I339" i="165"/>
  <c r="F339" i="165"/>
  <c r="K339" i="165"/>
  <c r="H252" i="167"/>
  <c r="H244" i="167" s="1"/>
  <c r="G339" i="165"/>
  <c r="L339" i="165"/>
  <c r="J341" i="165"/>
  <c r="O340" i="165"/>
  <c r="E340" i="165"/>
  <c r="E85" i="170" l="1"/>
  <c r="E339" i="165"/>
  <c r="J340" i="165"/>
  <c r="I252" i="167"/>
  <c r="I244" i="167" s="1"/>
  <c r="P341" i="165"/>
  <c r="O339" i="165"/>
  <c r="G252" i="167" l="1"/>
  <c r="P340" i="165"/>
  <c r="J339" i="165"/>
  <c r="P339" i="165" l="1"/>
  <c r="J116" i="167" l="1"/>
  <c r="N141" i="165"/>
  <c r="M141" i="165"/>
  <c r="L141" i="165"/>
  <c r="K141" i="165"/>
  <c r="I141" i="165"/>
  <c r="H141" i="165"/>
  <c r="G141" i="165"/>
  <c r="F141" i="165"/>
  <c r="J110" i="167"/>
  <c r="J108" i="167"/>
  <c r="E141" i="165" l="1"/>
  <c r="O141" i="165"/>
  <c r="J141" i="165" l="1"/>
  <c r="F17" i="165" l="1"/>
  <c r="P141" i="165"/>
  <c r="J197" i="167"/>
  <c r="M198" i="167" s="1"/>
  <c r="G199" i="167"/>
  <c r="P16" i="107" l="1"/>
  <c r="P15" i="107" s="1"/>
  <c r="P14" i="107" s="1"/>
  <c r="L16" i="107"/>
  <c r="L15" i="107" s="1"/>
  <c r="L14" i="107" s="1"/>
  <c r="K16" i="107"/>
  <c r="K15" i="107" s="1"/>
  <c r="K14" i="107" s="1"/>
  <c r="J16" i="107"/>
  <c r="J15" i="107" s="1"/>
  <c r="J14" i="107" s="1"/>
  <c r="H16" i="107"/>
  <c r="H15" i="107" s="1"/>
  <c r="H14" i="107" s="1"/>
  <c r="F16" i="107"/>
  <c r="F15" i="107" s="1"/>
  <c r="F14" i="107" s="1"/>
  <c r="N375" i="165"/>
  <c r="M375" i="165"/>
  <c r="L375" i="165"/>
  <c r="K375" i="165"/>
  <c r="I375" i="165"/>
  <c r="H375" i="165"/>
  <c r="G375" i="165"/>
  <c r="F375" i="165"/>
  <c r="N369" i="165"/>
  <c r="M369" i="165"/>
  <c r="L369" i="165"/>
  <c r="K369" i="165"/>
  <c r="I369" i="165"/>
  <c r="H369" i="165"/>
  <c r="G369" i="165"/>
  <c r="O368" i="165"/>
  <c r="N361" i="165"/>
  <c r="M361" i="165"/>
  <c r="L361" i="165"/>
  <c r="K361" i="165"/>
  <c r="I361" i="165"/>
  <c r="G361" i="165"/>
  <c r="O355" i="165"/>
  <c r="N355" i="165"/>
  <c r="M355" i="165"/>
  <c r="L355" i="165"/>
  <c r="K355" i="165"/>
  <c r="I355" i="165"/>
  <c r="H355" i="165"/>
  <c r="G355" i="165"/>
  <c r="F355" i="165"/>
  <c r="N357" i="165"/>
  <c r="M357" i="165"/>
  <c r="L357" i="165"/>
  <c r="K357" i="165"/>
  <c r="I357" i="165"/>
  <c r="H357" i="165"/>
  <c r="G357" i="165"/>
  <c r="F357" i="165"/>
  <c r="N352" i="165"/>
  <c r="M352" i="165"/>
  <c r="L352" i="165"/>
  <c r="K352" i="165"/>
  <c r="I352" i="165"/>
  <c r="G352" i="165"/>
  <c r="F352" i="165"/>
  <c r="N344" i="165"/>
  <c r="M344" i="165"/>
  <c r="L344" i="165"/>
  <c r="K344" i="165"/>
  <c r="I344" i="165"/>
  <c r="G344" i="165"/>
  <c r="N64" i="165"/>
  <c r="M64" i="165"/>
  <c r="L64" i="165"/>
  <c r="K64" i="165"/>
  <c r="I64" i="165"/>
  <c r="M61" i="165"/>
  <c r="K61" i="165"/>
  <c r="I61" i="165"/>
  <c r="M58" i="165"/>
  <c r="K58" i="165"/>
  <c r="I58" i="165"/>
  <c r="N337" i="165"/>
  <c r="M337" i="165"/>
  <c r="L337" i="165"/>
  <c r="I337" i="165"/>
  <c r="H337" i="165"/>
  <c r="G337" i="165"/>
  <c r="N324" i="165"/>
  <c r="N321" i="165" s="1"/>
  <c r="M324" i="165"/>
  <c r="M321" i="165" s="1"/>
  <c r="L324" i="165"/>
  <c r="L321" i="165" s="1"/>
  <c r="K324" i="165"/>
  <c r="K321" i="165" s="1"/>
  <c r="I324" i="165"/>
  <c r="I321" i="165" s="1"/>
  <c r="H324" i="165"/>
  <c r="H321" i="165" s="1"/>
  <c r="G324" i="165"/>
  <c r="G321" i="165" s="1"/>
  <c r="F324" i="165"/>
  <c r="F321" i="165" s="1"/>
  <c r="N317" i="165"/>
  <c r="M317" i="165"/>
  <c r="L317" i="165"/>
  <c r="K317" i="165"/>
  <c r="I317" i="165"/>
  <c r="G317" i="165"/>
  <c r="N309" i="165"/>
  <c r="M309" i="165"/>
  <c r="L309" i="165"/>
  <c r="K309" i="165"/>
  <c r="I309" i="165"/>
  <c r="G309" i="165"/>
  <c r="N296" i="165"/>
  <c r="M296" i="165"/>
  <c r="L296" i="165"/>
  <c r="K296" i="165"/>
  <c r="I296" i="165"/>
  <c r="H296" i="165"/>
  <c r="G296" i="165"/>
  <c r="F296" i="165"/>
  <c r="N291" i="165"/>
  <c r="M291" i="165"/>
  <c r="L291" i="165"/>
  <c r="I291" i="165"/>
  <c r="H291" i="165"/>
  <c r="G291" i="165"/>
  <c r="F291" i="165"/>
  <c r="I367" i="165" l="1"/>
  <c r="N367" i="165"/>
  <c r="K367" i="165"/>
  <c r="L367" i="165"/>
  <c r="G367" i="165"/>
  <c r="H367" i="165"/>
  <c r="M367" i="165"/>
  <c r="L374" i="165"/>
  <c r="G374" i="165"/>
  <c r="K45" i="165"/>
  <c r="I45" i="165"/>
  <c r="M308" i="165"/>
  <c r="G334" i="165"/>
  <c r="M334" i="165"/>
  <c r="H374" i="165"/>
  <c r="M374" i="165"/>
  <c r="G290" i="165"/>
  <c r="I290" i="165"/>
  <c r="F294" i="165"/>
  <c r="G308" i="165"/>
  <c r="F290" i="165"/>
  <c r="L290" i="165"/>
  <c r="G294" i="165"/>
  <c r="L294" i="165"/>
  <c r="I308" i="165"/>
  <c r="N308" i="165"/>
  <c r="H334" i="165"/>
  <c r="N334" i="165"/>
  <c r="I374" i="165"/>
  <c r="N374" i="165"/>
  <c r="M290" i="165"/>
  <c r="M294" i="165"/>
  <c r="K308" i="165"/>
  <c r="I334" i="165"/>
  <c r="J368" i="165"/>
  <c r="F374" i="165"/>
  <c r="K374" i="165"/>
  <c r="H294" i="165"/>
  <c r="H290" i="165"/>
  <c r="N290" i="165"/>
  <c r="I294" i="165"/>
  <c r="N294" i="165"/>
  <c r="L308" i="165"/>
  <c r="L334" i="165"/>
  <c r="K294" i="165"/>
  <c r="H354" i="165"/>
  <c r="K354" i="165"/>
  <c r="G354" i="165"/>
  <c r="L354" i="165"/>
  <c r="I354" i="165"/>
  <c r="M354" i="165"/>
  <c r="F354" i="165"/>
  <c r="N354" i="165"/>
  <c r="N280" i="165"/>
  <c r="M280" i="165"/>
  <c r="L280" i="165"/>
  <c r="K280" i="165"/>
  <c r="I280" i="165"/>
  <c r="F280" i="165"/>
  <c r="N267" i="165"/>
  <c r="M267" i="165"/>
  <c r="L267" i="165"/>
  <c r="K267" i="165"/>
  <c r="I267" i="165"/>
  <c r="H267" i="165"/>
  <c r="G267" i="165"/>
  <c r="F267" i="165"/>
  <c r="N260" i="165"/>
  <c r="M260" i="165"/>
  <c r="L260" i="165"/>
  <c r="K260" i="165"/>
  <c r="I260" i="165"/>
  <c r="H260" i="165"/>
  <c r="G260" i="165"/>
  <c r="N255" i="165"/>
  <c r="M255" i="165"/>
  <c r="L255" i="165"/>
  <c r="K255" i="165"/>
  <c r="I255" i="165"/>
  <c r="G255" i="165"/>
  <c r="N250" i="165"/>
  <c r="M250" i="165"/>
  <c r="L250" i="165"/>
  <c r="K250" i="165"/>
  <c r="I250" i="165"/>
  <c r="H250" i="165"/>
  <c r="G250" i="165"/>
  <c r="F250" i="165"/>
  <c r="N238" i="165"/>
  <c r="M238" i="165"/>
  <c r="L238" i="165"/>
  <c r="I238" i="165"/>
  <c r="H238" i="165"/>
  <c r="G238" i="165"/>
  <c r="F238" i="165"/>
  <c r="N226" i="165"/>
  <c r="M226" i="165"/>
  <c r="L226" i="165"/>
  <c r="K226" i="165"/>
  <c r="I226" i="165"/>
  <c r="H226" i="165"/>
  <c r="G226" i="165"/>
  <c r="F226" i="165"/>
  <c r="N220" i="165"/>
  <c r="M220" i="165"/>
  <c r="L220" i="165"/>
  <c r="K220" i="165"/>
  <c r="I220" i="165"/>
  <c r="H220" i="165"/>
  <c r="G220" i="165"/>
  <c r="F220" i="165"/>
  <c r="N215" i="165"/>
  <c r="M215" i="165"/>
  <c r="L215" i="165"/>
  <c r="I215" i="165"/>
  <c r="H215" i="165"/>
  <c r="G215" i="165"/>
  <c r="M212" i="165"/>
  <c r="I212" i="165"/>
  <c r="G212" i="165"/>
  <c r="N210" i="165"/>
  <c r="M210" i="165"/>
  <c r="L210" i="165"/>
  <c r="K210" i="165"/>
  <c r="I210" i="165"/>
  <c r="H210" i="165"/>
  <c r="G210" i="165"/>
  <c r="N207" i="165"/>
  <c r="M207" i="165"/>
  <c r="L207" i="165"/>
  <c r="K207" i="165"/>
  <c r="I207" i="165"/>
  <c r="H207" i="165"/>
  <c r="G207" i="165"/>
  <c r="M203" i="165"/>
  <c r="I203" i="165"/>
  <c r="G203" i="165"/>
  <c r="N201" i="165"/>
  <c r="M201" i="165"/>
  <c r="L201" i="165"/>
  <c r="K201" i="165"/>
  <c r="I201" i="165"/>
  <c r="G201" i="165"/>
  <c r="N196" i="165"/>
  <c r="M196" i="165"/>
  <c r="L196" i="165"/>
  <c r="K196" i="165"/>
  <c r="I196" i="165"/>
  <c r="H196" i="165"/>
  <c r="G196" i="165"/>
  <c r="F196" i="165"/>
  <c r="N187" i="165"/>
  <c r="M187" i="165"/>
  <c r="K187" i="165"/>
  <c r="I187" i="165"/>
  <c r="G187" i="165"/>
  <c r="M179" i="165"/>
  <c r="K179" i="165"/>
  <c r="I179" i="165"/>
  <c r="N174" i="165"/>
  <c r="M174" i="165"/>
  <c r="L174" i="165"/>
  <c r="K174" i="165"/>
  <c r="I174" i="165"/>
  <c r="H174" i="165"/>
  <c r="G174" i="165"/>
  <c r="F174" i="165"/>
  <c r="M162" i="165"/>
  <c r="I162" i="165"/>
  <c r="N144" i="165"/>
  <c r="M144" i="165"/>
  <c r="L144" i="165"/>
  <c r="K144" i="165"/>
  <c r="I144" i="165"/>
  <c r="H144" i="165"/>
  <c r="G144" i="165"/>
  <c r="M135" i="165"/>
  <c r="K135" i="165"/>
  <c r="I135" i="165"/>
  <c r="F135" i="165"/>
  <c r="N126" i="165"/>
  <c r="M126" i="165"/>
  <c r="L126" i="165"/>
  <c r="K126" i="165"/>
  <c r="I126" i="165"/>
  <c r="H126" i="165"/>
  <c r="G126" i="165"/>
  <c r="L360" i="165" l="1"/>
  <c r="M360" i="165"/>
  <c r="K360" i="165"/>
  <c r="N360" i="165"/>
  <c r="G360" i="165"/>
  <c r="I360" i="165"/>
  <c r="H320" i="165"/>
  <c r="L320" i="165"/>
  <c r="F320" i="165"/>
  <c r="N320" i="165"/>
  <c r="M320" i="165"/>
  <c r="G320" i="165"/>
  <c r="K320" i="165"/>
  <c r="I320" i="165"/>
  <c r="K259" i="165"/>
  <c r="N219" i="165"/>
  <c r="I259" i="165"/>
  <c r="G259" i="165"/>
  <c r="L259" i="165"/>
  <c r="N259" i="165"/>
  <c r="H259" i="165"/>
  <c r="M259" i="165"/>
  <c r="I222" i="165"/>
  <c r="K222" i="165"/>
  <c r="L222" i="165"/>
  <c r="M222" i="165"/>
  <c r="N222" i="165"/>
  <c r="M125" i="165"/>
  <c r="F222" i="165"/>
  <c r="G222" i="165"/>
  <c r="H222" i="165"/>
  <c r="I125" i="165"/>
  <c r="N293" i="165"/>
  <c r="H293" i="165"/>
  <c r="I331" i="165"/>
  <c r="M331" i="165"/>
  <c r="K293" i="165"/>
  <c r="I293" i="165"/>
  <c r="G331" i="165"/>
  <c r="L331" i="165"/>
  <c r="M293" i="165"/>
  <c r="N331" i="165"/>
  <c r="L293" i="165"/>
  <c r="H331" i="165"/>
  <c r="G293" i="165"/>
  <c r="F293" i="165"/>
  <c r="F165" i="165"/>
  <c r="K165" i="165"/>
  <c r="F173" i="165"/>
  <c r="K173" i="165"/>
  <c r="I181" i="165"/>
  <c r="F195" i="165"/>
  <c r="K195" i="165"/>
  <c r="M200" i="165"/>
  <c r="I219" i="165"/>
  <c r="G237" i="165"/>
  <c r="M237" i="165"/>
  <c r="L279" i="165"/>
  <c r="F351" i="165"/>
  <c r="L351" i="165"/>
  <c r="M347" i="165"/>
  <c r="L347" i="165"/>
  <c r="G165" i="165"/>
  <c r="L165" i="165"/>
  <c r="G173" i="165"/>
  <c r="L173" i="165"/>
  <c r="G195" i="165"/>
  <c r="L195" i="165"/>
  <c r="F219" i="165"/>
  <c r="K219" i="165"/>
  <c r="H237" i="165"/>
  <c r="N237" i="165"/>
  <c r="F279" i="165"/>
  <c r="M279" i="165"/>
  <c r="M351" i="165"/>
  <c r="G351" i="165"/>
  <c r="N347" i="165"/>
  <c r="K347" i="165"/>
  <c r="H165" i="165"/>
  <c r="M165" i="165"/>
  <c r="H173" i="165"/>
  <c r="M173" i="165"/>
  <c r="M181" i="165"/>
  <c r="H195" i="165"/>
  <c r="M195" i="165"/>
  <c r="G219" i="165"/>
  <c r="L219" i="165"/>
  <c r="I237" i="165"/>
  <c r="I279" i="165"/>
  <c r="N279" i="165"/>
  <c r="I351" i="165"/>
  <c r="H347" i="165"/>
  <c r="G347" i="165"/>
  <c r="I165" i="165"/>
  <c r="N165" i="165"/>
  <c r="I173" i="165"/>
  <c r="N173" i="165"/>
  <c r="G181" i="165"/>
  <c r="I195" i="165"/>
  <c r="N195" i="165"/>
  <c r="H219" i="165"/>
  <c r="M219" i="165"/>
  <c r="F237" i="165"/>
  <c r="L237" i="165"/>
  <c r="K279" i="165"/>
  <c r="N351" i="165"/>
  <c r="K351" i="165"/>
  <c r="I347" i="165"/>
  <c r="F347" i="165"/>
  <c r="I247" i="165"/>
  <c r="F247" i="165"/>
  <c r="K247" i="165"/>
  <c r="G247" i="165"/>
  <c r="L247" i="165"/>
  <c r="N247" i="165"/>
  <c r="G200" i="165"/>
  <c r="H247" i="165"/>
  <c r="M247" i="165"/>
  <c r="I206" i="165"/>
  <c r="M206" i="165"/>
  <c r="G206" i="165"/>
  <c r="I200" i="165"/>
  <c r="N116" i="165"/>
  <c r="M116" i="165"/>
  <c r="L116" i="165"/>
  <c r="I116" i="165"/>
  <c r="H116" i="165"/>
  <c r="G116" i="165"/>
  <c r="F116" i="165"/>
  <c r="N105" i="165"/>
  <c r="M105" i="165"/>
  <c r="L105" i="165"/>
  <c r="K105" i="165"/>
  <c r="I105" i="165"/>
  <c r="N103" i="165"/>
  <c r="M103" i="165"/>
  <c r="L103" i="165"/>
  <c r="K103" i="165"/>
  <c r="I103" i="165"/>
  <c r="H103" i="165"/>
  <c r="G103" i="165"/>
  <c r="F103" i="165"/>
  <c r="N101" i="165"/>
  <c r="M101" i="165"/>
  <c r="L101" i="165"/>
  <c r="K101" i="165"/>
  <c r="I101" i="165"/>
  <c r="H101" i="165"/>
  <c r="G101" i="165"/>
  <c r="F101" i="165"/>
  <c r="O100" i="165"/>
  <c r="N93" i="165"/>
  <c r="M93" i="165"/>
  <c r="L93" i="165"/>
  <c r="K93" i="165"/>
  <c r="I93" i="165"/>
  <c r="N77" i="165"/>
  <c r="M77" i="165"/>
  <c r="L77" i="165"/>
  <c r="K77" i="165"/>
  <c r="I77" i="165"/>
  <c r="H77" i="165"/>
  <c r="G77" i="165"/>
  <c r="F77" i="165"/>
  <c r="N39" i="165"/>
  <c r="M39" i="165"/>
  <c r="L39" i="165"/>
  <c r="K39" i="165"/>
  <c r="I39" i="165"/>
  <c r="H39" i="165"/>
  <c r="G39" i="165"/>
  <c r="F39" i="165"/>
  <c r="E37" i="165"/>
  <c r="N36" i="165"/>
  <c r="M36" i="165"/>
  <c r="L36" i="165"/>
  <c r="K36" i="165"/>
  <c r="I36" i="165"/>
  <c r="H36" i="165"/>
  <c r="G36" i="165"/>
  <c r="F36" i="165"/>
  <c r="N26" i="165"/>
  <c r="M26" i="165"/>
  <c r="K26" i="165"/>
  <c r="I26" i="165"/>
  <c r="H26" i="165"/>
  <c r="G26" i="165"/>
  <c r="F26" i="165"/>
  <c r="N17" i="165"/>
  <c r="M17" i="165"/>
  <c r="L17" i="165"/>
  <c r="I17" i="165"/>
  <c r="J63" i="167"/>
  <c r="J62" i="167"/>
  <c r="J60" i="167"/>
  <c r="M60" i="167" s="1"/>
  <c r="J59" i="167"/>
  <c r="G32" i="165" l="1"/>
  <c r="L32" i="165"/>
  <c r="H32" i="165"/>
  <c r="M32" i="165"/>
  <c r="I32" i="165"/>
  <c r="N32" i="165"/>
  <c r="F32" i="165"/>
  <c r="K32" i="165"/>
  <c r="K244" i="165"/>
  <c r="N244" i="165"/>
  <c r="F244" i="165"/>
  <c r="M244" i="165"/>
  <c r="L244" i="165"/>
  <c r="I244" i="165"/>
  <c r="H244" i="165"/>
  <c r="G244" i="165"/>
  <c r="N266" i="165"/>
  <c r="M199" i="165"/>
  <c r="G199" i="165"/>
  <c r="I199" i="165"/>
  <c r="I44" i="165"/>
  <c r="K44" i="165"/>
  <c r="F110" i="165"/>
  <c r="G110" i="165"/>
  <c r="H110" i="165"/>
  <c r="I110" i="165"/>
  <c r="L110" i="165"/>
  <c r="M110" i="165"/>
  <c r="N110" i="165"/>
  <c r="H266" i="165"/>
  <c r="L266" i="165"/>
  <c r="K266" i="165"/>
  <c r="M266" i="165"/>
  <c r="I266" i="165"/>
  <c r="I178" i="165"/>
  <c r="M178" i="165"/>
  <c r="G266" i="165"/>
  <c r="N285" i="165"/>
  <c r="F266" i="165"/>
  <c r="I22" i="165"/>
  <c r="N22" i="165"/>
  <c r="E36" i="165"/>
  <c r="N38" i="165"/>
  <c r="F22" i="165"/>
  <c r="K22" i="165"/>
  <c r="F38" i="165"/>
  <c r="K38" i="165"/>
  <c r="G316" i="165"/>
  <c r="M285" i="165"/>
  <c r="M316" i="165"/>
  <c r="I169" i="165"/>
  <c r="M330" i="165"/>
  <c r="G343" i="165"/>
  <c r="H169" i="165"/>
  <c r="I330" i="165"/>
  <c r="I316" i="165"/>
  <c r="N343" i="165"/>
  <c r="L169" i="165"/>
  <c r="M343" i="165"/>
  <c r="G22" i="165"/>
  <c r="G38" i="165"/>
  <c r="I343" i="165"/>
  <c r="L316" i="165"/>
  <c r="L343" i="165"/>
  <c r="K169" i="165"/>
  <c r="L38" i="165"/>
  <c r="H22" i="165"/>
  <c r="H38" i="165"/>
  <c r="M38" i="165"/>
  <c r="J100" i="165"/>
  <c r="L285" i="165"/>
  <c r="H330" i="165"/>
  <c r="N169" i="165"/>
  <c r="K316" i="165"/>
  <c r="G285" i="165"/>
  <c r="M169" i="165"/>
  <c r="K343" i="165"/>
  <c r="I285" i="165"/>
  <c r="L330" i="165"/>
  <c r="G169" i="165"/>
  <c r="G330" i="165"/>
  <c r="I38" i="165"/>
  <c r="N316" i="165"/>
  <c r="N330" i="165"/>
  <c r="F169" i="165"/>
  <c r="M22" i="165"/>
  <c r="I95" i="165"/>
  <c r="I92" i="165" s="1"/>
  <c r="N95" i="165"/>
  <c r="N92" i="165" s="1"/>
  <c r="L26" i="165"/>
  <c r="L95" i="165"/>
  <c r="L92" i="165" s="1"/>
  <c r="K95" i="165"/>
  <c r="M95" i="165"/>
  <c r="M92" i="165" s="1"/>
  <c r="G61" i="167"/>
  <c r="J58" i="167"/>
  <c r="J57" i="167"/>
  <c r="N254" i="165" l="1"/>
  <c r="E32" i="165"/>
  <c r="K254" i="165"/>
  <c r="L254" i="165"/>
  <c r="M120" i="165"/>
  <c r="M254" i="165"/>
  <c r="I254" i="165"/>
  <c r="M16" i="165"/>
  <c r="M232" i="165"/>
  <c r="N16" i="165"/>
  <c r="I16" i="165"/>
  <c r="G232" i="165"/>
  <c r="I120" i="165"/>
  <c r="I232" i="165"/>
  <c r="L22" i="165"/>
  <c r="L232" i="165"/>
  <c r="N232" i="165"/>
  <c r="J53" i="167"/>
  <c r="L16" i="165" l="1"/>
  <c r="O66" i="165"/>
  <c r="G58" i="165"/>
  <c r="F58" i="165"/>
  <c r="J60" i="165"/>
  <c r="E60" i="165"/>
  <c r="O52" i="165"/>
  <c r="E52" i="165"/>
  <c r="J65" i="167"/>
  <c r="E51" i="165" l="1"/>
  <c r="O51" i="165"/>
  <c r="E66" i="165"/>
  <c r="H58" i="167"/>
  <c r="J66" i="165"/>
  <c r="I58" i="167"/>
  <c r="F64" i="165"/>
  <c r="G64" i="165"/>
  <c r="H53" i="167"/>
  <c r="P60" i="165"/>
  <c r="F68" i="165"/>
  <c r="O69" i="165"/>
  <c r="J50" i="167"/>
  <c r="M50" i="167" s="1"/>
  <c r="J64" i="167"/>
  <c r="M47" i="165" l="1"/>
  <c r="O68" i="165"/>
  <c r="G58" i="167"/>
  <c r="I63" i="167"/>
  <c r="H63" i="167"/>
  <c r="E69" i="165"/>
  <c r="P66" i="165"/>
  <c r="J47" i="167"/>
  <c r="M47" i="167" s="1"/>
  <c r="J69" i="165"/>
  <c r="J52" i="165"/>
  <c r="O67" i="165"/>
  <c r="E67" i="165"/>
  <c r="H61" i="165"/>
  <c r="F61" i="165"/>
  <c r="J70" i="167"/>
  <c r="O75" i="165"/>
  <c r="J51" i="165" l="1"/>
  <c r="M45" i="165"/>
  <c r="F45" i="165"/>
  <c r="P69" i="165"/>
  <c r="G63" i="167"/>
  <c r="H64" i="167"/>
  <c r="E68" i="165"/>
  <c r="J67" i="165"/>
  <c r="I65" i="167"/>
  <c r="G61" i="165"/>
  <c r="E75" i="165"/>
  <c r="J75" i="165"/>
  <c r="H65" i="167"/>
  <c r="I53" i="167"/>
  <c r="G53" i="167" s="1"/>
  <c r="J68" i="165"/>
  <c r="P52" i="165"/>
  <c r="O363" i="165"/>
  <c r="E363" i="165"/>
  <c r="I264" i="167"/>
  <c r="H344" i="165"/>
  <c r="O346" i="165"/>
  <c r="E346" i="165"/>
  <c r="F317" i="165"/>
  <c r="O319" i="165"/>
  <c r="E319" i="165"/>
  <c r="F309" i="165"/>
  <c r="O311" i="165"/>
  <c r="E311" i="165"/>
  <c r="F285" i="165"/>
  <c r="O288" i="165"/>
  <c r="E288" i="165"/>
  <c r="F255" i="165"/>
  <c r="O257" i="165"/>
  <c r="E257" i="165"/>
  <c r="O123" i="165"/>
  <c r="E123" i="165"/>
  <c r="P51" i="165" l="1"/>
  <c r="G45" i="165"/>
  <c r="M44" i="165"/>
  <c r="F44" i="165"/>
  <c r="P68" i="165"/>
  <c r="P67" i="165"/>
  <c r="P75" i="165"/>
  <c r="H237" i="167"/>
  <c r="H216" i="167"/>
  <c r="J311" i="165"/>
  <c r="H191" i="167"/>
  <c r="G191" i="167" s="1"/>
  <c r="J288" i="165"/>
  <c r="F308" i="165"/>
  <c r="H256" i="167"/>
  <c r="G256" i="167" s="1"/>
  <c r="F361" i="165"/>
  <c r="F360" i="165" s="1"/>
  <c r="I70" i="167"/>
  <c r="G65" i="167"/>
  <c r="J257" i="165"/>
  <c r="J346" i="165"/>
  <c r="H232" i="167"/>
  <c r="H230" i="167" s="1"/>
  <c r="J319" i="165"/>
  <c r="F344" i="165"/>
  <c r="H267" i="167"/>
  <c r="J123" i="165"/>
  <c r="H343" i="165"/>
  <c r="J363" i="165"/>
  <c r="H70" i="167"/>
  <c r="I64" i="167"/>
  <c r="G64" i="167" s="1"/>
  <c r="F316" i="165"/>
  <c r="H101" i="167"/>
  <c r="J264" i="167"/>
  <c r="G44" i="165" l="1"/>
  <c r="P319" i="165"/>
  <c r="G232" i="167"/>
  <c r="P346" i="165"/>
  <c r="P363" i="165"/>
  <c r="P288" i="165"/>
  <c r="P123" i="165"/>
  <c r="G237" i="167"/>
  <c r="G70" i="167"/>
  <c r="G216" i="167"/>
  <c r="G267" i="167"/>
  <c r="H265" i="167"/>
  <c r="H264" i="167" s="1"/>
  <c r="P311" i="165"/>
  <c r="P257" i="165"/>
  <c r="I101" i="167"/>
  <c r="G101" i="167" s="1"/>
  <c r="F343" i="165"/>
  <c r="O235" i="165"/>
  <c r="E235" i="165"/>
  <c r="G265" i="167" l="1"/>
  <c r="G264" i="167" s="1"/>
  <c r="H173" i="167"/>
  <c r="G173" i="167" s="1"/>
  <c r="J235" i="165"/>
  <c r="F232" i="165"/>
  <c r="P235" i="165" l="1"/>
  <c r="O20" i="165"/>
  <c r="E20" i="165"/>
  <c r="J20" i="165" l="1"/>
  <c r="H21" i="167"/>
  <c r="G21" i="167" s="1"/>
  <c r="P20" i="165" l="1"/>
  <c r="K116" i="165" l="1"/>
  <c r="K110" i="165" l="1"/>
  <c r="K92" i="165" s="1"/>
  <c r="F254" i="165"/>
  <c r="F40" i="172" l="1"/>
  <c r="F37" i="172" s="1"/>
  <c r="E40" i="172"/>
  <c r="E37" i="172" l="1"/>
  <c r="F31" i="172"/>
  <c r="J390" i="165" l="1"/>
  <c r="E31" i="172"/>
  <c r="K238" i="165"/>
  <c r="K237" i="165" l="1"/>
  <c r="J167" i="167"/>
  <c r="K232" i="165" l="1"/>
  <c r="K17" i="165" l="1"/>
  <c r="K16" i="165" l="1"/>
  <c r="O227" i="165"/>
  <c r="E227" i="165"/>
  <c r="F212" i="165"/>
  <c r="H212" i="165" l="1"/>
  <c r="H167" i="167"/>
  <c r="E226" i="165"/>
  <c r="J227" i="165"/>
  <c r="O226" i="165"/>
  <c r="E222" i="165" l="1"/>
  <c r="O222" i="165"/>
  <c r="P227" i="165"/>
  <c r="H206" i="165"/>
  <c r="I167" i="167"/>
  <c r="G167" i="167" s="1"/>
  <c r="J226" i="165"/>
  <c r="J222" i="165" l="1"/>
  <c r="P226" i="165"/>
  <c r="P20" i="107"/>
  <c r="I17" i="107"/>
  <c r="I13" i="107" s="1"/>
  <c r="P222" i="165" l="1"/>
  <c r="I12" i="107"/>
  <c r="I20" i="107" s="1"/>
  <c r="I16" i="107"/>
  <c r="I15" i="107" s="1"/>
  <c r="I14" i="107" s="1"/>
  <c r="D78" i="170"/>
  <c r="D69" i="170"/>
  <c r="D66" i="170"/>
  <c r="F337" i="165" l="1"/>
  <c r="H361" i="165" l="1"/>
  <c r="H360" i="165" s="1"/>
  <c r="K337" i="165"/>
  <c r="F334" i="165"/>
  <c r="J263" i="167"/>
  <c r="J261" i="167"/>
  <c r="F331" i="165" l="1"/>
  <c r="H352" i="165"/>
  <c r="K334" i="165"/>
  <c r="J259" i="167"/>
  <c r="J257" i="167"/>
  <c r="H257" i="167"/>
  <c r="G255" i="167"/>
  <c r="K331" i="165" l="1"/>
  <c r="H317" i="165"/>
  <c r="H351" i="165"/>
  <c r="F330" i="165"/>
  <c r="J254" i="167"/>
  <c r="J230" i="167"/>
  <c r="I230" i="167"/>
  <c r="J213" i="167"/>
  <c r="J211" i="167"/>
  <c r="J212" i="167"/>
  <c r="J208" i="167"/>
  <c r="H208" i="167"/>
  <c r="J204" i="167"/>
  <c r="J202" i="167"/>
  <c r="J201" i="167"/>
  <c r="J195" i="167"/>
  <c r="J194" i="167"/>
  <c r="J193" i="167"/>
  <c r="J192" i="167"/>
  <c r="O283" i="165"/>
  <c r="J283" i="165" s="1"/>
  <c r="O281" i="165"/>
  <c r="O282" i="165"/>
  <c r="J186" i="167"/>
  <c r="J181" i="167"/>
  <c r="J178" i="167"/>
  <c r="J177" i="167"/>
  <c r="H286" i="165" l="1"/>
  <c r="H255" i="165"/>
  <c r="H309" i="165"/>
  <c r="H316" i="165"/>
  <c r="H232" i="165"/>
  <c r="K330" i="165"/>
  <c r="J281" i="165"/>
  <c r="O280" i="165"/>
  <c r="I213" i="167"/>
  <c r="J171" i="167"/>
  <c r="J189" i="167"/>
  <c r="J188" i="167" s="1"/>
  <c r="M188" i="167" s="1"/>
  <c r="J155" i="167"/>
  <c r="L203" i="165"/>
  <c r="I211" i="167" l="1"/>
  <c r="L200" i="165"/>
  <c r="O279" i="165"/>
  <c r="H308" i="165"/>
  <c r="N203" i="165"/>
  <c r="N212" i="165"/>
  <c r="L212" i="165"/>
  <c r="H285" i="165"/>
  <c r="K212" i="165"/>
  <c r="K215" i="165"/>
  <c r="L206" i="165" l="1"/>
  <c r="N200" i="165"/>
  <c r="N206" i="165"/>
  <c r="K203" i="165"/>
  <c r="K206" i="165"/>
  <c r="J154" i="167"/>
  <c r="P13" i="107"/>
  <c r="P12" i="107" s="1"/>
  <c r="F201" i="165"/>
  <c r="E376" i="165"/>
  <c r="I177" i="165"/>
  <c r="J150" i="167"/>
  <c r="L199" i="165" l="1"/>
  <c r="N199" i="165"/>
  <c r="N179" i="165"/>
  <c r="H201" i="165"/>
  <c r="O179" i="165"/>
  <c r="F207" i="165"/>
  <c r="K200" i="165"/>
  <c r="L179" i="165"/>
  <c r="F210" i="165"/>
  <c r="L187" i="165"/>
  <c r="E78" i="170"/>
  <c r="F215" i="165"/>
  <c r="E375" i="165"/>
  <c r="H203" i="165"/>
  <c r="N181" i="165"/>
  <c r="F203" i="165"/>
  <c r="O197" i="165"/>
  <c r="E197" i="165"/>
  <c r="E73" i="170" s="1"/>
  <c r="K199" i="165" l="1"/>
  <c r="F206" i="165"/>
  <c r="L181" i="165"/>
  <c r="H187" i="165"/>
  <c r="F200" i="165"/>
  <c r="H200" i="165"/>
  <c r="E374" i="165"/>
  <c r="N178" i="165"/>
  <c r="F187" i="165"/>
  <c r="E196" i="165"/>
  <c r="J197" i="165"/>
  <c r="O196" i="165"/>
  <c r="H150" i="167"/>
  <c r="J139" i="167"/>
  <c r="J136" i="167"/>
  <c r="J134" i="167"/>
  <c r="H199" i="165" l="1"/>
  <c r="F199" i="165"/>
  <c r="L178" i="165"/>
  <c r="E195" i="165"/>
  <c r="P197" i="165"/>
  <c r="O195" i="165"/>
  <c r="I150" i="167"/>
  <c r="G150" i="167" s="1"/>
  <c r="J196" i="165"/>
  <c r="K181" i="165"/>
  <c r="F181" i="165"/>
  <c r="G209" i="167"/>
  <c r="G207" i="167"/>
  <c r="G205" i="167"/>
  <c r="G203" i="167"/>
  <c r="G198" i="167"/>
  <c r="G190" i="167"/>
  <c r="G179" i="167"/>
  <c r="G172" i="167"/>
  <c r="J170" i="167"/>
  <c r="K178" i="165" l="1"/>
  <c r="J195" i="165"/>
  <c r="H179" i="165"/>
  <c r="F179" i="165"/>
  <c r="H181" i="165"/>
  <c r="G179" i="165"/>
  <c r="P196" i="165"/>
  <c r="O19" i="165"/>
  <c r="E19" i="165"/>
  <c r="J19" i="165" l="1"/>
  <c r="G178" i="165"/>
  <c r="F178" i="165"/>
  <c r="P195" i="165"/>
  <c r="H178" i="165"/>
  <c r="J120" i="167"/>
  <c r="P19" i="165" l="1"/>
  <c r="L162" i="165"/>
  <c r="L135" i="165"/>
  <c r="N162" i="165"/>
  <c r="N135" i="165"/>
  <c r="J130" i="167"/>
  <c r="J127" i="167"/>
  <c r="J124" i="167"/>
  <c r="J119" i="167"/>
  <c r="J117" i="167"/>
  <c r="J115" i="167"/>
  <c r="J112" i="167"/>
  <c r="J111" i="167"/>
  <c r="J107" i="167"/>
  <c r="J106" i="167"/>
  <c r="J105" i="167"/>
  <c r="J104" i="167"/>
  <c r="J103" i="167"/>
  <c r="L125" i="165" l="1"/>
  <c r="N125" i="165"/>
  <c r="J83" i="167"/>
  <c r="J82" i="167"/>
  <c r="N120" i="165" l="1"/>
  <c r="L120" i="165"/>
  <c r="H135" i="165"/>
  <c r="G162" i="165"/>
  <c r="H121" i="165"/>
  <c r="H162" i="165"/>
  <c r="G135" i="165"/>
  <c r="J122" i="167"/>
  <c r="K162" i="165"/>
  <c r="K125" i="165" l="1"/>
  <c r="G125" i="165"/>
  <c r="H125" i="165"/>
  <c r="H105" i="165"/>
  <c r="G105" i="165"/>
  <c r="F105" i="165"/>
  <c r="K120" i="165" l="1"/>
  <c r="G120" i="165"/>
  <c r="F95" i="165"/>
  <c r="F93" i="165"/>
  <c r="G93" i="165"/>
  <c r="H93" i="165"/>
  <c r="G95" i="165"/>
  <c r="H95" i="165"/>
  <c r="H120" i="165"/>
  <c r="K291" i="165"/>
  <c r="F92" i="165" l="1"/>
  <c r="H92" i="165"/>
  <c r="G92" i="165"/>
  <c r="K290" i="165"/>
  <c r="F16" i="165"/>
  <c r="L58" i="165"/>
  <c r="N58" i="165" l="1"/>
  <c r="L61" i="165"/>
  <c r="O58" i="165"/>
  <c r="N61" i="165"/>
  <c r="K285" i="165"/>
  <c r="N47" i="165" l="1"/>
  <c r="L47" i="165"/>
  <c r="L45" i="165" l="1"/>
  <c r="N45" i="165"/>
  <c r="J45" i="167"/>
  <c r="G46" i="167"/>
  <c r="L44" i="165" l="1"/>
  <c r="N44" i="165"/>
  <c r="M45" i="167"/>
  <c r="J56" i="167" l="1"/>
  <c r="H58" i="165"/>
  <c r="H64" i="165" l="1"/>
  <c r="J34" i="167"/>
  <c r="M34" i="167" s="1"/>
  <c r="O41" i="165"/>
  <c r="E41" i="165"/>
  <c r="J26" i="167"/>
  <c r="M26" i="167" s="1"/>
  <c r="H45" i="165" l="1"/>
  <c r="J41" i="165"/>
  <c r="E69" i="170"/>
  <c r="H34" i="167"/>
  <c r="P41" i="165" l="1"/>
  <c r="H44" i="165"/>
  <c r="I34" i="167"/>
  <c r="L34" i="167" s="1"/>
  <c r="K34" i="167"/>
  <c r="G34" i="167" l="1"/>
  <c r="G19" i="167"/>
  <c r="G17" i="165"/>
  <c r="H17" i="165" l="1"/>
  <c r="G16" i="165"/>
  <c r="H280" i="165"/>
  <c r="G280" i="165"/>
  <c r="H279" i="165" l="1"/>
  <c r="G279" i="165"/>
  <c r="H16" i="165"/>
  <c r="O175" i="165"/>
  <c r="E175" i="165"/>
  <c r="O167" i="165"/>
  <c r="E167" i="165"/>
  <c r="O164" i="165"/>
  <c r="E164" i="165"/>
  <c r="H124" i="167" s="1"/>
  <c r="O146" i="165"/>
  <c r="E146" i="165"/>
  <c r="O145" i="165"/>
  <c r="O143" i="165"/>
  <c r="E143" i="165"/>
  <c r="O142" i="165"/>
  <c r="E142" i="165"/>
  <c r="O140" i="165"/>
  <c r="E140" i="165"/>
  <c r="O137" i="165"/>
  <c r="E137" i="165"/>
  <c r="O136" i="165"/>
  <c r="E136" i="165"/>
  <c r="O134" i="165"/>
  <c r="E134" i="165"/>
  <c r="O132" i="165"/>
  <c r="E132" i="165"/>
  <c r="O131" i="165"/>
  <c r="E131" i="165"/>
  <c r="O130" i="165"/>
  <c r="E130" i="165"/>
  <c r="O129" i="165"/>
  <c r="E129" i="165"/>
  <c r="O128" i="165"/>
  <c r="E128" i="165"/>
  <c r="O127" i="165"/>
  <c r="O122" i="165"/>
  <c r="E122" i="165"/>
  <c r="H117" i="167" l="1"/>
  <c r="O166" i="165"/>
  <c r="E166" i="165"/>
  <c r="E135" i="165"/>
  <c r="J140" i="165"/>
  <c r="J143" i="165"/>
  <c r="J128" i="165"/>
  <c r="H105" i="167"/>
  <c r="H107" i="167"/>
  <c r="H110" i="167"/>
  <c r="H112" i="167"/>
  <c r="H116" i="167"/>
  <c r="H254" i="165"/>
  <c r="J131" i="165"/>
  <c r="J137" i="165"/>
  <c r="J142" i="165"/>
  <c r="O121" i="165"/>
  <c r="J130" i="165"/>
  <c r="J132" i="165"/>
  <c r="J129" i="165"/>
  <c r="J134" i="165"/>
  <c r="E121" i="165"/>
  <c r="H106" i="167"/>
  <c r="H108" i="167"/>
  <c r="H115" i="167"/>
  <c r="J164" i="165"/>
  <c r="G254" i="165"/>
  <c r="E127" i="165"/>
  <c r="F126" i="165"/>
  <c r="E145" i="165"/>
  <c r="F144" i="165"/>
  <c r="E163" i="165"/>
  <c r="F162" i="165"/>
  <c r="J122" i="165"/>
  <c r="H130" i="167"/>
  <c r="E174" i="165"/>
  <c r="J175" i="165"/>
  <c r="O174" i="165"/>
  <c r="H127" i="167"/>
  <c r="J167" i="165"/>
  <c r="J163" i="165"/>
  <c r="O162" i="165"/>
  <c r="H120" i="167"/>
  <c r="J146" i="165"/>
  <c r="J145" i="165"/>
  <c r="O144" i="165"/>
  <c r="H111" i="167"/>
  <c r="J136" i="165"/>
  <c r="O135" i="165"/>
  <c r="J127" i="165"/>
  <c r="O126" i="165"/>
  <c r="H104" i="167"/>
  <c r="P131" i="165" l="1"/>
  <c r="P143" i="165"/>
  <c r="I124" i="167"/>
  <c r="J166" i="165"/>
  <c r="P146" i="165"/>
  <c r="F125" i="165"/>
  <c r="O125" i="165"/>
  <c r="P140" i="165"/>
  <c r="P130" i="165"/>
  <c r="P128" i="165"/>
  <c r="P137" i="165"/>
  <c r="P129" i="165"/>
  <c r="P142" i="165"/>
  <c r="P132" i="165"/>
  <c r="H122" i="167"/>
  <c r="P134" i="165"/>
  <c r="P164" i="165"/>
  <c r="P136" i="165"/>
  <c r="O165" i="165"/>
  <c r="O173" i="165"/>
  <c r="J121" i="165"/>
  <c r="E144" i="165"/>
  <c r="I105" i="167"/>
  <c r="I106" i="167"/>
  <c r="I112" i="167"/>
  <c r="I104" i="167"/>
  <c r="I117" i="167"/>
  <c r="P167" i="165"/>
  <c r="P175" i="165"/>
  <c r="P127" i="165"/>
  <c r="E165" i="165"/>
  <c r="E173" i="165"/>
  <c r="E162" i="165"/>
  <c r="H103" i="167"/>
  <c r="I110" i="167"/>
  <c r="I108" i="167"/>
  <c r="I116" i="167"/>
  <c r="I107" i="167"/>
  <c r="I115" i="167"/>
  <c r="P145" i="165"/>
  <c r="H119" i="167"/>
  <c r="P122" i="165"/>
  <c r="P163" i="165"/>
  <c r="E126" i="165"/>
  <c r="I130" i="167"/>
  <c r="G130" i="167" s="1"/>
  <c r="J174" i="165"/>
  <c r="I127" i="167"/>
  <c r="I122" i="167"/>
  <c r="J162" i="165"/>
  <c r="I120" i="167"/>
  <c r="I119" i="167"/>
  <c r="J144" i="165"/>
  <c r="I111" i="167"/>
  <c r="J135" i="165"/>
  <c r="I103" i="167"/>
  <c r="J126" i="165"/>
  <c r="E358" i="165"/>
  <c r="J356" i="165"/>
  <c r="E356" i="165"/>
  <c r="O353" i="165"/>
  <c r="E353" i="165"/>
  <c r="O345" i="165"/>
  <c r="E345" i="165"/>
  <c r="O325" i="165"/>
  <c r="E325" i="165"/>
  <c r="O318" i="165"/>
  <c r="E318" i="165"/>
  <c r="O310" i="165"/>
  <c r="E310" i="165"/>
  <c r="E283" i="165"/>
  <c r="J282" i="165"/>
  <c r="E282" i="165"/>
  <c r="E281" i="165"/>
  <c r="O274" i="165"/>
  <c r="E274" i="165"/>
  <c r="O273" i="165"/>
  <c r="E273" i="165"/>
  <c r="E271" i="165"/>
  <c r="O268" i="165"/>
  <c r="E268" i="165"/>
  <c r="O264" i="165"/>
  <c r="E264" i="165"/>
  <c r="O263" i="165"/>
  <c r="E263" i="165"/>
  <c r="O262" i="165"/>
  <c r="E262" i="165"/>
  <c r="O261" i="165"/>
  <c r="E261" i="165"/>
  <c r="O258" i="165"/>
  <c r="E258" i="165"/>
  <c r="O256" i="165"/>
  <c r="E256" i="165"/>
  <c r="M253" i="165"/>
  <c r="L253" i="165"/>
  <c r="K253" i="165"/>
  <c r="I253" i="165"/>
  <c r="H253" i="165"/>
  <c r="G253" i="165"/>
  <c r="F253" i="165"/>
  <c r="N253" i="165"/>
  <c r="E251" i="165"/>
  <c r="O248" i="165"/>
  <c r="E248" i="165"/>
  <c r="O243" i="165"/>
  <c r="E243" i="165"/>
  <c r="O241" i="165"/>
  <c r="E241" i="165"/>
  <c r="O240" i="165"/>
  <c r="E240" i="165"/>
  <c r="O239" i="165"/>
  <c r="E239" i="165"/>
  <c r="O234" i="165"/>
  <c r="E234" i="165"/>
  <c r="M231" i="165"/>
  <c r="L231" i="165"/>
  <c r="K231" i="165"/>
  <c r="M170" i="167" s="1"/>
  <c r="H231" i="165"/>
  <c r="F231" i="165"/>
  <c r="N231" i="165"/>
  <c r="I231" i="165"/>
  <c r="G231" i="165"/>
  <c r="K175" i="167" l="1"/>
  <c r="E272" i="165"/>
  <c r="O272" i="165"/>
  <c r="O233" i="165"/>
  <c r="E233" i="165"/>
  <c r="E280" i="165"/>
  <c r="P166" i="165"/>
  <c r="J165" i="165"/>
  <c r="J125" i="165"/>
  <c r="P126" i="165"/>
  <c r="H239" i="167"/>
  <c r="H235" i="167" s="1"/>
  <c r="P174" i="165"/>
  <c r="E270" i="165"/>
  <c r="P135" i="165"/>
  <c r="E172" i="165"/>
  <c r="J241" i="165"/>
  <c r="H177" i="167"/>
  <c r="H181" i="167"/>
  <c r="H192" i="167"/>
  <c r="H194" i="167"/>
  <c r="H197" i="167"/>
  <c r="K198" i="167" s="1"/>
  <c r="J274" i="165"/>
  <c r="J173" i="165"/>
  <c r="P121" i="165"/>
  <c r="J240" i="165"/>
  <c r="J243" i="165"/>
  <c r="J258" i="165"/>
  <c r="J262" i="165"/>
  <c r="J264" i="165"/>
  <c r="E309" i="165"/>
  <c r="E344" i="165"/>
  <c r="J349" i="165"/>
  <c r="O169" i="165"/>
  <c r="H195" i="167"/>
  <c r="O309" i="165"/>
  <c r="O344" i="165"/>
  <c r="E352" i="165"/>
  <c r="P144" i="165"/>
  <c r="H178" i="167"/>
  <c r="J263" i="165"/>
  <c r="H206" i="167"/>
  <c r="K206" i="167" s="1"/>
  <c r="P162" i="165"/>
  <c r="F120" i="165"/>
  <c r="F377" i="165" s="1"/>
  <c r="E317" i="165"/>
  <c r="E255" i="165"/>
  <c r="J276" i="165"/>
  <c r="J318" i="165"/>
  <c r="O317" i="165"/>
  <c r="J325" i="165"/>
  <c r="O324" i="165"/>
  <c r="O321" i="165" s="1"/>
  <c r="E355" i="165"/>
  <c r="J268" i="165"/>
  <c r="O267" i="165"/>
  <c r="I261" i="167"/>
  <c r="J355" i="165"/>
  <c r="H263" i="167"/>
  <c r="E357" i="165"/>
  <c r="J251" i="165"/>
  <c r="O250" i="165"/>
  <c r="J271" i="165"/>
  <c r="I212" i="167"/>
  <c r="J280" i="165"/>
  <c r="E324" i="165"/>
  <c r="E321" i="165" s="1"/>
  <c r="J353" i="165"/>
  <c r="O352" i="165"/>
  <c r="J358" i="165"/>
  <c r="O357" i="165"/>
  <c r="H212" i="167"/>
  <c r="H204" i="167"/>
  <c r="J273" i="165"/>
  <c r="H202" i="167"/>
  <c r="H201" i="167"/>
  <c r="E267" i="165"/>
  <c r="O255" i="165"/>
  <c r="J261" i="165"/>
  <c r="O260" i="165"/>
  <c r="H193" i="167"/>
  <c r="E260" i="165"/>
  <c r="J248" i="165"/>
  <c r="H186" i="167"/>
  <c r="E250" i="165"/>
  <c r="H183" i="167"/>
  <c r="K183" i="167" s="1"/>
  <c r="J239" i="165"/>
  <c r="O238" i="165"/>
  <c r="E238" i="165"/>
  <c r="J310" i="165"/>
  <c r="J345" i="165"/>
  <c r="J234" i="165"/>
  <c r="H213" i="167"/>
  <c r="G213" i="167" s="1"/>
  <c r="P283" i="165"/>
  <c r="J256" i="165"/>
  <c r="H211" i="167"/>
  <c r="G211" i="167" s="1"/>
  <c r="P281" i="165"/>
  <c r="P282" i="165"/>
  <c r="P356" i="165"/>
  <c r="L175" i="167" l="1"/>
  <c r="J275" i="165"/>
  <c r="L206" i="167"/>
  <c r="L183" i="167"/>
  <c r="G175" i="167"/>
  <c r="E259" i="165"/>
  <c r="J233" i="165"/>
  <c r="O259" i="165"/>
  <c r="F33" i="108"/>
  <c r="Q349" i="165"/>
  <c r="J348" i="165"/>
  <c r="P173" i="165"/>
  <c r="P125" i="165"/>
  <c r="P263" i="165"/>
  <c r="P262" i="165"/>
  <c r="I239" i="167"/>
  <c r="I235" i="167" s="1"/>
  <c r="P258" i="165"/>
  <c r="P241" i="165"/>
  <c r="G212" i="167"/>
  <c r="J270" i="165"/>
  <c r="E269" i="165"/>
  <c r="P349" i="165"/>
  <c r="P172" i="165"/>
  <c r="E171" i="165"/>
  <c r="H129" i="167"/>
  <c r="G129" i="167" s="1"/>
  <c r="P274" i="165"/>
  <c r="P243" i="165"/>
  <c r="P264" i="165"/>
  <c r="P240" i="165"/>
  <c r="I257" i="167"/>
  <c r="G257" i="167" s="1"/>
  <c r="H254" i="167"/>
  <c r="O237" i="165"/>
  <c r="P268" i="165"/>
  <c r="J317" i="165"/>
  <c r="O308" i="165"/>
  <c r="P355" i="165"/>
  <c r="J309" i="165"/>
  <c r="P239" i="165"/>
  <c r="P261" i="165"/>
  <c r="E279" i="165"/>
  <c r="J279" i="165"/>
  <c r="O247" i="165"/>
  <c r="I197" i="167"/>
  <c r="I192" i="167"/>
  <c r="G192" i="167" s="1"/>
  <c r="I177" i="167"/>
  <c r="G177" i="167" s="1"/>
  <c r="P165" i="165"/>
  <c r="P273" i="165"/>
  <c r="J352" i="165"/>
  <c r="J250" i="165"/>
  <c r="I195" i="167"/>
  <c r="G195" i="167" s="1"/>
  <c r="O120" i="165"/>
  <c r="O354" i="165"/>
  <c r="O347" i="165"/>
  <c r="E308" i="165"/>
  <c r="I194" i="167"/>
  <c r="G194" i="167" s="1"/>
  <c r="I181" i="167"/>
  <c r="G181" i="167" s="1"/>
  <c r="J169" i="165"/>
  <c r="G206" i="167"/>
  <c r="I178" i="167"/>
  <c r="G178" i="167" s="1"/>
  <c r="I202" i="167"/>
  <c r="G202" i="167" s="1"/>
  <c r="P248" i="165"/>
  <c r="E247" i="165"/>
  <c r="H259" i="167"/>
  <c r="I208" i="167"/>
  <c r="G208" i="167" s="1"/>
  <c r="P353" i="165"/>
  <c r="I186" i="167"/>
  <c r="G186" i="167" s="1"/>
  <c r="G261" i="167"/>
  <c r="P251" i="165"/>
  <c r="P318" i="165"/>
  <c r="P271" i="165"/>
  <c r="P310" i="165"/>
  <c r="I263" i="167"/>
  <c r="G263" i="167" s="1"/>
  <c r="J357" i="165"/>
  <c r="J324" i="165"/>
  <c r="J321" i="165" s="1"/>
  <c r="P325" i="165"/>
  <c r="I201" i="167"/>
  <c r="G201" i="167" s="1"/>
  <c r="J267" i="165"/>
  <c r="P358" i="165"/>
  <c r="P276" i="165"/>
  <c r="E354" i="165"/>
  <c r="P345" i="165"/>
  <c r="J344" i="165"/>
  <c r="P280" i="165"/>
  <c r="I204" i="167"/>
  <c r="G204" i="167" s="1"/>
  <c r="H171" i="167"/>
  <c r="H170" i="167" s="1"/>
  <c r="I193" i="167"/>
  <c r="G193" i="167" s="1"/>
  <c r="J260" i="165"/>
  <c r="P256" i="165"/>
  <c r="J255" i="165"/>
  <c r="G183" i="167"/>
  <c r="E237" i="165"/>
  <c r="J238" i="165"/>
  <c r="P234" i="165"/>
  <c r="H189" i="167"/>
  <c r="H188" i="167" s="1"/>
  <c r="J272" i="165" l="1"/>
  <c r="P275" i="165"/>
  <c r="E320" i="165"/>
  <c r="O320" i="165"/>
  <c r="P233" i="165"/>
  <c r="P272" i="165"/>
  <c r="G197" i="167"/>
  <c r="G189" i="167" s="1"/>
  <c r="L198" i="167"/>
  <c r="O244" i="165"/>
  <c r="J259" i="165"/>
  <c r="E244" i="165"/>
  <c r="G17" i="153"/>
  <c r="P348" i="165"/>
  <c r="E170" i="165"/>
  <c r="G239" i="167"/>
  <c r="G235" i="167" s="1"/>
  <c r="P171" i="165"/>
  <c r="J247" i="165"/>
  <c r="E266" i="165"/>
  <c r="P260" i="165"/>
  <c r="H98" i="167"/>
  <c r="P270" i="165"/>
  <c r="J269" i="165"/>
  <c r="O266" i="165"/>
  <c r="P238" i="165"/>
  <c r="I254" i="167"/>
  <c r="O351" i="165"/>
  <c r="J347" i="165"/>
  <c r="P279" i="165"/>
  <c r="P357" i="165"/>
  <c r="J354" i="165"/>
  <c r="E347" i="165"/>
  <c r="P255" i="165"/>
  <c r="E351" i="165"/>
  <c r="J237" i="165"/>
  <c r="P324" i="165"/>
  <c r="P321" i="165" s="1"/>
  <c r="P352" i="165"/>
  <c r="P344" i="165"/>
  <c r="P309" i="165"/>
  <c r="P250" i="165"/>
  <c r="O343" i="165"/>
  <c r="J343" i="165" s="1"/>
  <c r="P267" i="165"/>
  <c r="P317" i="165"/>
  <c r="I259" i="167"/>
  <c r="G259" i="167"/>
  <c r="G254" i="167"/>
  <c r="I189" i="167"/>
  <c r="I188" i="167" s="1"/>
  <c r="G188" i="167" s="1"/>
  <c r="I171" i="167"/>
  <c r="I170" i="167" s="1"/>
  <c r="O301" i="165"/>
  <c r="E301" i="165"/>
  <c r="O300" i="165"/>
  <c r="E300" i="165"/>
  <c r="O299" i="165"/>
  <c r="E299" i="165"/>
  <c r="O298" i="165"/>
  <c r="E298" i="165"/>
  <c r="E297" i="165"/>
  <c r="O292" i="165"/>
  <c r="E292" i="165"/>
  <c r="O287" i="165"/>
  <c r="E287" i="165"/>
  <c r="N284" i="165"/>
  <c r="M284" i="165"/>
  <c r="I284" i="165"/>
  <c r="H284" i="165"/>
  <c r="G284" i="165"/>
  <c r="F284" i="165"/>
  <c r="E232" i="165" l="1"/>
  <c r="P259" i="165"/>
  <c r="J320" i="165"/>
  <c r="E169" i="165"/>
  <c r="H223" i="167"/>
  <c r="J292" i="165"/>
  <c r="J244" i="165"/>
  <c r="G171" i="167"/>
  <c r="G170" i="167" s="1"/>
  <c r="E316" i="165"/>
  <c r="K235" i="167" s="1"/>
  <c r="J266" i="165"/>
  <c r="P170" i="165"/>
  <c r="E254" i="165"/>
  <c r="P237" i="165"/>
  <c r="O254" i="165"/>
  <c r="J254" i="165" s="1"/>
  <c r="J253" i="165" s="1"/>
  <c r="P269" i="165"/>
  <c r="E231" i="165"/>
  <c r="K170" i="167" s="1"/>
  <c r="O232" i="165"/>
  <c r="P247" i="165"/>
  <c r="E286" i="165"/>
  <c r="J299" i="165"/>
  <c r="J301" i="165"/>
  <c r="E343" i="165"/>
  <c r="P354" i="165"/>
  <c r="O286" i="165"/>
  <c r="E291" i="165"/>
  <c r="J298" i="165"/>
  <c r="J300" i="165"/>
  <c r="P347" i="165"/>
  <c r="O316" i="165"/>
  <c r="O291" i="165"/>
  <c r="J287" i="165"/>
  <c r="E296" i="165"/>
  <c r="L284" i="165"/>
  <c r="O297" i="165"/>
  <c r="K284" i="165"/>
  <c r="E120" i="165" l="1"/>
  <c r="P169" i="165"/>
  <c r="P244" i="165"/>
  <c r="P320" i="165"/>
  <c r="P299" i="165"/>
  <c r="I223" i="167"/>
  <c r="G223" i="167" s="1"/>
  <c r="P300" i="165"/>
  <c r="O253" i="165"/>
  <c r="P254" i="165"/>
  <c r="Q254" i="165" s="1"/>
  <c r="L188" i="167"/>
  <c r="E253" i="165"/>
  <c r="K188" i="167"/>
  <c r="P298" i="165"/>
  <c r="O231" i="165"/>
  <c r="J232" i="165"/>
  <c r="P301" i="165"/>
  <c r="J286" i="165"/>
  <c r="O290" i="165"/>
  <c r="E290" i="165"/>
  <c r="J291" i="165"/>
  <c r="E294" i="165"/>
  <c r="P266" i="165"/>
  <c r="P292" i="165"/>
  <c r="P287" i="165"/>
  <c r="O296" i="165"/>
  <c r="J297" i="165"/>
  <c r="P253" i="165" l="1"/>
  <c r="E293" i="165"/>
  <c r="J231" i="165"/>
  <c r="L170" i="167" s="1"/>
  <c r="P232" i="165"/>
  <c r="Q232" i="165" s="1"/>
  <c r="P286" i="165"/>
  <c r="P291" i="165"/>
  <c r="J290" i="165"/>
  <c r="O294" i="165"/>
  <c r="P297" i="165"/>
  <c r="J296" i="165"/>
  <c r="E285" i="165" l="1"/>
  <c r="E284" i="165" s="1"/>
  <c r="O293" i="165"/>
  <c r="P231" i="165"/>
  <c r="P296" i="165"/>
  <c r="P290" i="165"/>
  <c r="J294" i="165"/>
  <c r="J293" i="165" l="1"/>
  <c r="P294" i="165"/>
  <c r="O285" i="165"/>
  <c r="J168" i="167"/>
  <c r="H168" i="167"/>
  <c r="P293" i="165" l="1"/>
  <c r="O284" i="165"/>
  <c r="J285" i="165"/>
  <c r="P285" i="165" l="1"/>
  <c r="Q285" i="165" s="1"/>
  <c r="J284" i="165"/>
  <c r="M248" i="167"/>
  <c r="G247" i="167"/>
  <c r="M246" i="167"/>
  <c r="G246" i="167"/>
  <c r="J229" i="167"/>
  <c r="M229" i="167" s="1"/>
  <c r="J165" i="167"/>
  <c r="J164" i="167"/>
  <c r="J163" i="167"/>
  <c r="J162" i="167"/>
  <c r="J161" i="167"/>
  <c r="J158" i="167"/>
  <c r="J157" i="167"/>
  <c r="J156" i="167"/>
  <c r="J153" i="167"/>
  <c r="G147" i="167"/>
  <c r="G146" i="167"/>
  <c r="J145" i="167"/>
  <c r="G144" i="167"/>
  <c r="J143" i="167"/>
  <c r="J140" i="167"/>
  <c r="G141" i="167"/>
  <c r="J135" i="167"/>
  <c r="G126" i="167"/>
  <c r="G125" i="167"/>
  <c r="G123" i="167"/>
  <c r="G118" i="167"/>
  <c r="J96" i="167"/>
  <c r="H96" i="167"/>
  <c r="G95" i="167"/>
  <c r="J89" i="167"/>
  <c r="J88" i="167"/>
  <c r="J87" i="167"/>
  <c r="J86" i="167"/>
  <c r="G85" i="167"/>
  <c r="J84" i="167"/>
  <c r="J81" i="167"/>
  <c r="J74" i="167"/>
  <c r="J44" i="167" s="1"/>
  <c r="G51" i="167"/>
  <c r="G48" i="167"/>
  <c r="G35" i="167"/>
  <c r="J33" i="167"/>
  <c r="M33" i="167" s="1"/>
  <c r="J32" i="167"/>
  <c r="M32" i="167" s="1"/>
  <c r="J27" i="167"/>
  <c r="M27" i="167" s="1"/>
  <c r="G22" i="167"/>
  <c r="O376" i="165"/>
  <c r="O370" i="165"/>
  <c r="O362" i="165"/>
  <c r="G359" i="165"/>
  <c r="E362" i="165"/>
  <c r="N359" i="165"/>
  <c r="M359" i="165"/>
  <c r="L359" i="165"/>
  <c r="K359" i="165"/>
  <c r="I359" i="165"/>
  <c r="H359" i="165"/>
  <c r="G350" i="165"/>
  <c r="N350" i="165"/>
  <c r="M350" i="165"/>
  <c r="L350" i="165"/>
  <c r="K350" i="165"/>
  <c r="I350" i="165"/>
  <c r="F350" i="165"/>
  <c r="N342" i="165"/>
  <c r="M342" i="165"/>
  <c r="I342" i="165"/>
  <c r="H342" i="165"/>
  <c r="G342" i="165"/>
  <c r="O338" i="165"/>
  <c r="O336" i="165"/>
  <c r="O335" i="165"/>
  <c r="E335" i="165"/>
  <c r="N329" i="165"/>
  <c r="M329" i="165"/>
  <c r="I329" i="165"/>
  <c r="H329" i="165"/>
  <c r="G329" i="165"/>
  <c r="L329" i="165"/>
  <c r="G315" i="165"/>
  <c r="N315" i="165"/>
  <c r="M315" i="165"/>
  <c r="I315" i="165"/>
  <c r="H315" i="165"/>
  <c r="N307" i="165"/>
  <c r="M307" i="165"/>
  <c r="L307" i="165"/>
  <c r="K307" i="165"/>
  <c r="I307" i="165"/>
  <c r="F307" i="165"/>
  <c r="O221" i="165"/>
  <c r="O218" i="165"/>
  <c r="E218" i="165"/>
  <c r="O217" i="165"/>
  <c r="E217" i="165"/>
  <c r="O216" i="165"/>
  <c r="O214" i="165"/>
  <c r="J213" i="165"/>
  <c r="E213" i="165"/>
  <c r="O211" i="165"/>
  <c r="E211" i="165"/>
  <c r="O209" i="165"/>
  <c r="O208" i="165"/>
  <c r="E208" i="165"/>
  <c r="E205" i="165"/>
  <c r="E204" i="165"/>
  <c r="O202" i="165"/>
  <c r="N198" i="165"/>
  <c r="M198" i="165"/>
  <c r="L198" i="165"/>
  <c r="I198" i="165"/>
  <c r="O189" i="165"/>
  <c r="E189" i="165"/>
  <c r="E188" i="165"/>
  <c r="E185" i="165"/>
  <c r="O184" i="165"/>
  <c r="E184" i="165"/>
  <c r="O183" i="165"/>
  <c r="E183" i="165"/>
  <c r="O182" i="165"/>
  <c r="H177" i="165"/>
  <c r="E180" i="165"/>
  <c r="N177" i="165"/>
  <c r="M177" i="165"/>
  <c r="L177" i="165"/>
  <c r="G177" i="165"/>
  <c r="M119" i="165"/>
  <c r="L119" i="165"/>
  <c r="I119" i="165"/>
  <c r="I96" i="167"/>
  <c r="E117" i="165"/>
  <c r="O107" i="165"/>
  <c r="O106" i="165"/>
  <c r="E106" i="165"/>
  <c r="O104" i="165"/>
  <c r="O102" i="165"/>
  <c r="E100" i="165"/>
  <c r="O99" i="165"/>
  <c r="E99" i="165"/>
  <c r="O98" i="165"/>
  <c r="J97" i="165"/>
  <c r="E97" i="165"/>
  <c r="E96" i="165"/>
  <c r="O94" i="165"/>
  <c r="N91" i="165"/>
  <c r="M91" i="165"/>
  <c r="L91" i="165"/>
  <c r="I91" i="165"/>
  <c r="O78" i="165"/>
  <c r="E78" i="165"/>
  <c r="O65" i="165"/>
  <c r="O63" i="165"/>
  <c r="E62" i="165"/>
  <c r="E59" i="165"/>
  <c r="E57" i="165"/>
  <c r="O49" i="165"/>
  <c r="E49" i="165"/>
  <c r="E48" i="165"/>
  <c r="E46" i="165"/>
  <c r="M43" i="165"/>
  <c r="I43" i="165"/>
  <c r="O40" i="165"/>
  <c r="O37" i="165"/>
  <c r="E29" i="165"/>
  <c r="O27" i="165"/>
  <c r="E27" i="165"/>
  <c r="O21" i="165"/>
  <c r="E18" i="165"/>
  <c r="G15" i="165"/>
  <c r="H84" i="167" l="1"/>
  <c r="H145" i="167"/>
  <c r="H80" i="167"/>
  <c r="H143" i="167"/>
  <c r="O77" i="165"/>
  <c r="E77" i="165"/>
  <c r="O47" i="165"/>
  <c r="E47" i="165"/>
  <c r="O36" i="165"/>
  <c r="O39" i="165"/>
  <c r="O64" i="165"/>
  <c r="H83" i="167"/>
  <c r="O103" i="165"/>
  <c r="E116" i="165"/>
  <c r="H136" i="167"/>
  <c r="O201" i="165"/>
  <c r="O220" i="165"/>
  <c r="E361" i="165"/>
  <c r="O375" i="165"/>
  <c r="O26" i="165"/>
  <c r="H59" i="167"/>
  <c r="O337" i="165"/>
  <c r="P284" i="165"/>
  <c r="E28" i="165"/>
  <c r="P100" i="165"/>
  <c r="H139" i="167"/>
  <c r="H155" i="167"/>
  <c r="E210" i="165"/>
  <c r="O212" i="165"/>
  <c r="O361" i="165"/>
  <c r="H45" i="167"/>
  <c r="O93" i="165"/>
  <c r="O101" i="165"/>
  <c r="O187" i="165"/>
  <c r="O210" i="165"/>
  <c r="O369" i="165"/>
  <c r="H47" i="167"/>
  <c r="K47" i="167" s="1"/>
  <c r="H56" i="167"/>
  <c r="P29" i="165"/>
  <c r="O61" i="165"/>
  <c r="E187" i="165"/>
  <c r="H134" i="167"/>
  <c r="E179" i="165"/>
  <c r="O215" i="165"/>
  <c r="O207" i="165"/>
  <c r="H154" i="167"/>
  <c r="E203" i="165"/>
  <c r="O105" i="165"/>
  <c r="E58" i="165"/>
  <c r="H57" i="167"/>
  <c r="H50" i="167"/>
  <c r="K50" i="167" s="1"/>
  <c r="H27" i="167"/>
  <c r="K27" i="167" s="1"/>
  <c r="H26" i="167"/>
  <c r="K26" i="167" s="1"/>
  <c r="J133" i="167"/>
  <c r="N15" i="165"/>
  <c r="I15" i="165"/>
  <c r="I377" i="165"/>
  <c r="I389" i="165" s="1"/>
  <c r="M15" i="165"/>
  <c r="M377" i="165"/>
  <c r="K342" i="165"/>
  <c r="K315" i="165"/>
  <c r="F329" i="165"/>
  <c r="G248" i="167"/>
  <c r="G244" i="167" s="1"/>
  <c r="H243" i="167"/>
  <c r="J104" i="165"/>
  <c r="E107" i="165"/>
  <c r="I243" i="167"/>
  <c r="K177" i="165"/>
  <c r="E202" i="165"/>
  <c r="J202" i="165"/>
  <c r="J37" i="165"/>
  <c r="J62" i="165"/>
  <c r="J217" i="165"/>
  <c r="L43" i="165"/>
  <c r="E98" i="165"/>
  <c r="J370" i="165"/>
  <c r="J253" i="167"/>
  <c r="M253" i="167" s="1"/>
  <c r="J211" i="165"/>
  <c r="J336" i="165"/>
  <c r="O342" i="165"/>
  <c r="J185" i="165"/>
  <c r="J184" i="165"/>
  <c r="J204" i="165"/>
  <c r="H350" i="165"/>
  <c r="E21" i="165"/>
  <c r="E24" i="165"/>
  <c r="J27" i="165"/>
  <c r="J40" i="165"/>
  <c r="J49" i="165"/>
  <c r="J59" i="165"/>
  <c r="J63" i="165"/>
  <c r="G91" i="165"/>
  <c r="I81" i="167"/>
  <c r="E102" i="165"/>
  <c r="N119" i="165"/>
  <c r="J182" i="165"/>
  <c r="H140" i="167"/>
  <c r="J209" i="165"/>
  <c r="H163" i="167"/>
  <c r="J218" i="165"/>
  <c r="H221" i="167"/>
  <c r="H222" i="167"/>
  <c r="E307" i="165"/>
  <c r="H229" i="167"/>
  <c r="K229" i="167" s="1"/>
  <c r="E336" i="165"/>
  <c r="J338" i="165"/>
  <c r="J362" i="165"/>
  <c r="J376" i="165"/>
  <c r="E40" i="165"/>
  <c r="J183" i="165"/>
  <c r="J189" i="165"/>
  <c r="H218" i="167"/>
  <c r="J335" i="165"/>
  <c r="N43" i="165"/>
  <c r="J99" i="165"/>
  <c r="J102" i="165"/>
  <c r="H88" i="167"/>
  <c r="J107" i="165"/>
  <c r="J188" i="165"/>
  <c r="E216" i="165"/>
  <c r="E221" i="165"/>
  <c r="G307" i="165"/>
  <c r="L342" i="165"/>
  <c r="O18" i="165"/>
  <c r="E63" i="165"/>
  <c r="J78" i="165"/>
  <c r="J98" i="165"/>
  <c r="E182" i="165"/>
  <c r="E209" i="165"/>
  <c r="J214" i="165"/>
  <c r="H164" i="167"/>
  <c r="H225" i="167"/>
  <c r="J24" i="167"/>
  <c r="J16" i="167" s="1"/>
  <c r="M15" i="167" s="1"/>
  <c r="J65" i="165"/>
  <c r="F91" i="165"/>
  <c r="H91" i="165"/>
  <c r="J21" i="165"/>
  <c r="E65" i="165"/>
  <c r="H74" i="167"/>
  <c r="E94" i="165"/>
  <c r="J94" i="165"/>
  <c r="E104" i="165"/>
  <c r="J106" i="165"/>
  <c r="G119" i="165"/>
  <c r="G198" i="165"/>
  <c r="H198" i="165"/>
  <c r="J208" i="165"/>
  <c r="H158" i="167"/>
  <c r="I159" i="167"/>
  <c r="J216" i="165"/>
  <c r="J221" i="165"/>
  <c r="H220" i="167"/>
  <c r="H307" i="165"/>
  <c r="E350" i="165"/>
  <c r="G96" i="167"/>
  <c r="K246" i="167"/>
  <c r="G49" i="167"/>
  <c r="G137" i="167"/>
  <c r="G160" i="167"/>
  <c r="J258" i="167"/>
  <c r="M258" i="167" s="1"/>
  <c r="H81" i="167"/>
  <c r="P97" i="165"/>
  <c r="F315" i="165"/>
  <c r="J46" i="165"/>
  <c r="L315" i="165"/>
  <c r="L377" i="165"/>
  <c r="O96" i="165"/>
  <c r="H119" i="165"/>
  <c r="F119" i="165"/>
  <c r="H156" i="167"/>
  <c r="G17" i="167"/>
  <c r="H15" i="165"/>
  <c r="E214" i="165"/>
  <c r="F198" i="165"/>
  <c r="K329" i="165"/>
  <c r="E338" i="165"/>
  <c r="O205" i="165"/>
  <c r="H159" i="167"/>
  <c r="P213" i="165"/>
  <c r="J225" i="167"/>
  <c r="F342" i="165"/>
  <c r="J159" i="167"/>
  <c r="J152" i="167" s="1"/>
  <c r="J93" i="167"/>
  <c r="O24" i="165"/>
  <c r="O117" i="165"/>
  <c r="J218" i="167"/>
  <c r="O315" i="165"/>
  <c r="E370" i="165"/>
  <c r="G23" i="167"/>
  <c r="G99" i="167"/>
  <c r="J243" i="167"/>
  <c r="E181" i="165" l="1"/>
  <c r="E178" i="165" s="1"/>
  <c r="H215" i="167"/>
  <c r="O32" i="165"/>
  <c r="L249" i="167"/>
  <c r="K249" i="167"/>
  <c r="O367" i="165"/>
  <c r="E110" i="165"/>
  <c r="J77" i="165"/>
  <c r="K45" i="167"/>
  <c r="E23" i="165"/>
  <c r="O23" i="165"/>
  <c r="E26" i="165"/>
  <c r="O45" i="165"/>
  <c r="K215" i="167"/>
  <c r="O334" i="165"/>
  <c r="P28" i="165"/>
  <c r="J187" i="165"/>
  <c r="I83" i="167"/>
  <c r="G83" i="167" s="1"/>
  <c r="J361" i="165"/>
  <c r="J201" i="165"/>
  <c r="E105" i="165"/>
  <c r="E369" i="165"/>
  <c r="J212" i="165"/>
  <c r="I136" i="167"/>
  <c r="G136" i="167" s="1"/>
  <c r="J337" i="165"/>
  <c r="I60" i="167"/>
  <c r="L60" i="167" s="1"/>
  <c r="J26" i="165"/>
  <c r="J369" i="165"/>
  <c r="I59" i="167"/>
  <c r="G59" i="167" s="1"/>
  <c r="E201" i="165"/>
  <c r="J103" i="165"/>
  <c r="O181" i="165"/>
  <c r="E207" i="165"/>
  <c r="E220" i="165"/>
  <c r="J93" i="165"/>
  <c r="E101" i="165"/>
  <c r="I139" i="167"/>
  <c r="G139" i="167" s="1"/>
  <c r="J210" i="165"/>
  <c r="J36" i="165"/>
  <c r="O374" i="165"/>
  <c r="O219" i="165"/>
  <c r="O38" i="165"/>
  <c r="E212" i="165"/>
  <c r="J220" i="165"/>
  <c r="E93" i="165"/>
  <c r="O17" i="165"/>
  <c r="E215" i="165"/>
  <c r="J101" i="165"/>
  <c r="J375" i="165"/>
  <c r="I50" i="167"/>
  <c r="L50" i="167" s="1"/>
  <c r="K22" i="167"/>
  <c r="E103" i="165"/>
  <c r="I82" i="167"/>
  <c r="O116" i="165"/>
  <c r="E337" i="165"/>
  <c r="M24" i="167"/>
  <c r="E39" i="165"/>
  <c r="J39" i="165"/>
  <c r="E61" i="165"/>
  <c r="H60" i="167"/>
  <c r="J58" i="165"/>
  <c r="I57" i="167"/>
  <c r="G57" i="167" s="1"/>
  <c r="O95" i="165"/>
  <c r="E64" i="165"/>
  <c r="H62" i="167"/>
  <c r="J64" i="165"/>
  <c r="I62" i="167"/>
  <c r="J215" i="165"/>
  <c r="P335" i="165"/>
  <c r="O206" i="165"/>
  <c r="J207" i="165"/>
  <c r="I154" i="167"/>
  <c r="G154" i="167" s="1"/>
  <c r="O203" i="165"/>
  <c r="J105" i="165"/>
  <c r="H82" i="167"/>
  <c r="I45" i="167"/>
  <c r="I27" i="167"/>
  <c r="L27" i="167" s="1"/>
  <c r="I26" i="167"/>
  <c r="L26" i="167" s="1"/>
  <c r="E17" i="165"/>
  <c r="J61" i="165"/>
  <c r="E66" i="170"/>
  <c r="K15" i="165"/>
  <c r="K377" i="165"/>
  <c r="F43" i="165"/>
  <c r="H43" i="165"/>
  <c r="H377" i="165"/>
  <c r="G43" i="165"/>
  <c r="G377" i="165"/>
  <c r="N377" i="165"/>
  <c r="N389" i="165" s="1"/>
  <c r="M243" i="167"/>
  <c r="J234" i="167"/>
  <c r="M235" i="167"/>
  <c r="P37" i="165"/>
  <c r="I153" i="167"/>
  <c r="I140" i="167"/>
  <c r="G140" i="167" s="1"/>
  <c r="I87" i="167"/>
  <c r="P217" i="165"/>
  <c r="G108" i="167"/>
  <c r="P208" i="165"/>
  <c r="P99" i="165"/>
  <c r="P49" i="165"/>
  <c r="H89" i="167"/>
  <c r="I32" i="167"/>
  <c r="L32" i="167" s="1"/>
  <c r="F177" i="165"/>
  <c r="P189" i="165"/>
  <c r="I158" i="167"/>
  <c r="G158" i="167" s="1"/>
  <c r="P106" i="165"/>
  <c r="P185" i="165"/>
  <c r="P209" i="165"/>
  <c r="P218" i="165"/>
  <c r="P59" i="165"/>
  <c r="P184" i="165"/>
  <c r="J57" i="165"/>
  <c r="L248" i="167"/>
  <c r="G106" i="167"/>
  <c r="P362" i="165"/>
  <c r="H32" i="167"/>
  <c r="G243" i="167"/>
  <c r="P102" i="165"/>
  <c r="P211" i="165"/>
  <c r="I84" i="167"/>
  <c r="G84" i="167" s="1"/>
  <c r="P376" i="165"/>
  <c r="P204" i="165"/>
  <c r="P188" i="165"/>
  <c r="P21" i="165"/>
  <c r="J180" i="165"/>
  <c r="H153" i="167"/>
  <c r="G81" i="167"/>
  <c r="H258" i="167"/>
  <c r="K258" i="167" s="1"/>
  <c r="P202" i="165"/>
  <c r="P63" i="165"/>
  <c r="G159" i="167"/>
  <c r="P62" i="165"/>
  <c r="P104" i="165"/>
  <c r="H87" i="167"/>
  <c r="P40" i="165"/>
  <c r="K248" i="167"/>
  <c r="H33" i="167"/>
  <c r="K33" i="167" s="1"/>
  <c r="P27" i="165"/>
  <c r="P221" i="165"/>
  <c r="H162" i="167"/>
  <c r="P78" i="165"/>
  <c r="I163" i="167"/>
  <c r="G163" i="167" s="1"/>
  <c r="P182" i="165"/>
  <c r="H157" i="167"/>
  <c r="H135" i="167"/>
  <c r="H133" i="167" s="1"/>
  <c r="P336" i="165"/>
  <c r="I143" i="167"/>
  <c r="G143" i="167" s="1"/>
  <c r="P98" i="165"/>
  <c r="I74" i="167"/>
  <c r="G74" i="167" s="1"/>
  <c r="P65" i="165"/>
  <c r="J132" i="167"/>
  <c r="M132" i="167" s="1"/>
  <c r="I88" i="167"/>
  <c r="G88" i="167" s="1"/>
  <c r="P94" i="165"/>
  <c r="M389" i="165"/>
  <c r="G119" i="167"/>
  <c r="I161" i="167"/>
  <c r="J342" i="165"/>
  <c r="J48" i="165"/>
  <c r="G120" i="167"/>
  <c r="G112" i="167"/>
  <c r="H24" i="167"/>
  <c r="J24" i="165"/>
  <c r="G107" i="167"/>
  <c r="I162" i="167"/>
  <c r="I220" i="167"/>
  <c r="G220" i="167" s="1"/>
  <c r="G105" i="167"/>
  <c r="I89" i="167"/>
  <c r="I86" i="167"/>
  <c r="G110" i="167"/>
  <c r="H86" i="167"/>
  <c r="H165" i="167"/>
  <c r="J205" i="165"/>
  <c r="P107" i="165"/>
  <c r="P216" i="165"/>
  <c r="J43" i="167"/>
  <c r="P183" i="165"/>
  <c r="I156" i="167"/>
  <c r="G156" i="167" s="1"/>
  <c r="J18" i="165"/>
  <c r="L246" i="167"/>
  <c r="I145" i="167"/>
  <c r="G145" i="167" s="1"/>
  <c r="I157" i="167"/>
  <c r="I135" i="167"/>
  <c r="J117" i="165"/>
  <c r="I93" i="167" s="1"/>
  <c r="G93" i="167" s="1"/>
  <c r="I165" i="167"/>
  <c r="G124" i="167"/>
  <c r="I164" i="167"/>
  <c r="G164" i="167" s="1"/>
  <c r="G117" i="167"/>
  <c r="G111" i="167"/>
  <c r="I33" i="167"/>
  <c r="L33" i="167" s="1"/>
  <c r="G104" i="167"/>
  <c r="H253" i="167"/>
  <c r="K253" i="167" s="1"/>
  <c r="J98" i="167"/>
  <c r="J97" i="167" s="1"/>
  <c r="M97" i="167" s="1"/>
  <c r="K119" i="165"/>
  <c r="K198" i="165"/>
  <c r="J316" i="165"/>
  <c r="P370" i="165"/>
  <c r="O307" i="165"/>
  <c r="J308" i="165"/>
  <c r="K43" i="165"/>
  <c r="J79" i="167"/>
  <c r="J151" i="167"/>
  <c r="P338" i="165"/>
  <c r="J96" i="165"/>
  <c r="L15" i="165"/>
  <c r="O350" i="165"/>
  <c r="J351" i="165"/>
  <c r="H161" i="167"/>
  <c r="P214" i="165"/>
  <c r="F15" i="165"/>
  <c r="K91" i="165"/>
  <c r="P46" i="165"/>
  <c r="O360" i="165" l="1"/>
  <c r="J315" i="165"/>
  <c r="L235" i="167"/>
  <c r="J32" i="165"/>
  <c r="I80" i="167"/>
  <c r="J334" i="165"/>
  <c r="L17" i="167"/>
  <c r="J367" i="165"/>
  <c r="E45" i="165"/>
  <c r="H152" i="167"/>
  <c r="H151" i="167" s="1"/>
  <c r="O110" i="165"/>
  <c r="O92" i="165" s="1"/>
  <c r="O44" i="165"/>
  <c r="J44" i="165" s="1"/>
  <c r="H389" i="165"/>
  <c r="O22" i="165"/>
  <c r="H44" i="167"/>
  <c r="P77" i="165"/>
  <c r="J23" i="165"/>
  <c r="J47" i="165"/>
  <c r="E200" i="165"/>
  <c r="O331" i="165"/>
  <c r="K392" i="165"/>
  <c r="P308" i="165"/>
  <c r="Q308" i="165" s="1"/>
  <c r="G50" i="167"/>
  <c r="K389" i="165"/>
  <c r="E22" i="165"/>
  <c r="J181" i="165"/>
  <c r="P58" i="165"/>
  <c r="E206" i="165"/>
  <c r="E95" i="165"/>
  <c r="E92" i="165" s="1"/>
  <c r="P212" i="165"/>
  <c r="I155" i="167"/>
  <c r="G155" i="167" s="1"/>
  <c r="P93" i="165"/>
  <c r="P220" i="165"/>
  <c r="P187" i="165"/>
  <c r="P210" i="165"/>
  <c r="P361" i="165"/>
  <c r="P36" i="165"/>
  <c r="E38" i="165"/>
  <c r="P26" i="165"/>
  <c r="P101" i="165"/>
  <c r="J219" i="165"/>
  <c r="O178" i="165"/>
  <c r="O177" i="165" s="1"/>
  <c r="J17" i="165"/>
  <c r="P103" i="165"/>
  <c r="P201" i="165"/>
  <c r="P375" i="165"/>
  <c r="E334" i="165"/>
  <c r="P369" i="165"/>
  <c r="I47" i="167"/>
  <c r="L47" i="167" s="1"/>
  <c r="J38" i="165"/>
  <c r="J374" i="165"/>
  <c r="E219" i="165"/>
  <c r="J116" i="165"/>
  <c r="H16" i="167"/>
  <c r="K15" i="167" s="1"/>
  <c r="P337" i="165"/>
  <c r="I56" i="167"/>
  <c r="G56" i="167" s="1"/>
  <c r="E177" i="165"/>
  <c r="K32" i="167"/>
  <c r="G32" i="167"/>
  <c r="P61" i="165"/>
  <c r="J206" i="165"/>
  <c r="P64" i="165"/>
  <c r="G62" i="167"/>
  <c r="K60" i="167"/>
  <c r="G60" i="167"/>
  <c r="K24" i="167"/>
  <c r="P215" i="165"/>
  <c r="P207" i="165"/>
  <c r="O200" i="165"/>
  <c r="J203" i="165"/>
  <c r="J95" i="165"/>
  <c r="I134" i="167"/>
  <c r="I133" i="167" s="1"/>
  <c r="J179" i="165"/>
  <c r="L45" i="167"/>
  <c r="P105" i="165"/>
  <c r="P39" i="165"/>
  <c r="G26" i="167"/>
  <c r="J78" i="167"/>
  <c r="M78" i="167" s="1"/>
  <c r="H214" i="167"/>
  <c r="H132" i="167"/>
  <c r="G153" i="167"/>
  <c r="J15" i="167"/>
  <c r="G87" i="167"/>
  <c r="I221" i="167"/>
  <c r="G221" i="167" s="1"/>
  <c r="P57" i="165"/>
  <c r="G89" i="167"/>
  <c r="I218" i="167"/>
  <c r="P48" i="165"/>
  <c r="G82" i="167"/>
  <c r="G234" i="167"/>
  <c r="G27" i="167"/>
  <c r="P180" i="165"/>
  <c r="H79" i="167"/>
  <c r="G115" i="167"/>
  <c r="G33" i="167"/>
  <c r="G86" i="167"/>
  <c r="G116" i="167"/>
  <c r="G135" i="167"/>
  <c r="G162" i="167"/>
  <c r="G157" i="167"/>
  <c r="M43" i="167"/>
  <c r="P18" i="165"/>
  <c r="G122" i="167"/>
  <c r="G161" i="167"/>
  <c r="G165" i="167"/>
  <c r="I258" i="167"/>
  <c r="L258" i="167" s="1"/>
  <c r="I229" i="167"/>
  <c r="L229" i="167" s="1"/>
  <c r="G231" i="167"/>
  <c r="G230" i="167" s="1"/>
  <c r="P24" i="165"/>
  <c r="L389" i="165"/>
  <c r="I253" i="167"/>
  <c r="L253" i="167" s="1"/>
  <c r="G258" i="167"/>
  <c r="P205" i="165"/>
  <c r="J220" i="167"/>
  <c r="I222" i="167"/>
  <c r="G222" i="167" s="1"/>
  <c r="G127" i="167"/>
  <c r="I24" i="167"/>
  <c r="I16" i="167" s="1"/>
  <c r="P117" i="165"/>
  <c r="I225" i="167"/>
  <c r="G225" i="167" s="1"/>
  <c r="G389" i="165"/>
  <c r="G253" i="167"/>
  <c r="P96" i="165"/>
  <c r="J307" i="165"/>
  <c r="E119" i="165"/>
  <c r="O119" i="165"/>
  <c r="J120" i="165"/>
  <c r="H234" i="167"/>
  <c r="P316" i="165"/>
  <c r="Q316" i="165" s="1"/>
  <c r="E315" i="165"/>
  <c r="G45" i="167"/>
  <c r="E342" i="165"/>
  <c r="P343" i="165"/>
  <c r="Q343" i="165" s="1"/>
  <c r="J350" i="165"/>
  <c r="P351" i="165"/>
  <c r="Q351" i="165" s="1"/>
  <c r="H97" i="167"/>
  <c r="K97" i="167" s="1"/>
  <c r="J360" i="165" l="1"/>
  <c r="I215" i="167"/>
  <c r="L215" i="167" s="1"/>
  <c r="P32" i="165"/>
  <c r="J331" i="165"/>
  <c r="G80" i="167"/>
  <c r="G79" i="167" s="1"/>
  <c r="I79" i="167"/>
  <c r="O330" i="165"/>
  <c r="O329" i="165" s="1"/>
  <c r="O199" i="165"/>
  <c r="O198" i="165" s="1"/>
  <c r="D89" i="170"/>
  <c r="E89" i="170" s="1"/>
  <c r="E199" i="165"/>
  <c r="E198" i="165" s="1"/>
  <c r="D90" i="170"/>
  <c r="J110" i="165"/>
  <c r="J92" i="165" s="1"/>
  <c r="E44" i="165"/>
  <c r="P44" i="165" s="1"/>
  <c r="Q44" i="165" s="1"/>
  <c r="J119" i="165"/>
  <c r="P120" i="165"/>
  <c r="Q120" i="165" s="1"/>
  <c r="O16" i="165"/>
  <c r="J16" i="165" s="1"/>
  <c r="L15" i="167" s="1"/>
  <c r="I44" i="167"/>
  <c r="I43" i="167" s="1"/>
  <c r="L43" i="167" s="1"/>
  <c r="O43" i="165"/>
  <c r="J45" i="165"/>
  <c r="P47" i="165"/>
  <c r="P23" i="165"/>
  <c r="E331" i="165"/>
  <c r="P181" i="165"/>
  <c r="G33" i="108"/>
  <c r="G47" i="167"/>
  <c r="K132" i="167"/>
  <c r="E16" i="165"/>
  <c r="J178" i="165"/>
  <c r="P178" i="165" s="1"/>
  <c r="Q178" i="165" s="1"/>
  <c r="P334" i="165"/>
  <c r="E91" i="165"/>
  <c r="P17" i="165"/>
  <c r="J22" i="165"/>
  <c r="J200" i="165"/>
  <c r="P179" i="165"/>
  <c r="P374" i="165"/>
  <c r="P203" i="165"/>
  <c r="P38" i="165"/>
  <c r="O359" i="165"/>
  <c r="J359" i="165"/>
  <c r="P219" i="165"/>
  <c r="P116" i="165"/>
  <c r="H43" i="167"/>
  <c r="H268" i="167"/>
  <c r="L267" i="167" s="1"/>
  <c r="P206" i="165"/>
  <c r="G134" i="167"/>
  <c r="P95" i="165"/>
  <c r="H78" i="167"/>
  <c r="G229" i="167"/>
  <c r="G218" i="167"/>
  <c r="G215" i="167" s="1"/>
  <c r="H15" i="167"/>
  <c r="I234" i="167"/>
  <c r="L24" i="167"/>
  <c r="J221" i="167"/>
  <c r="I132" i="167"/>
  <c r="G24" i="167"/>
  <c r="G16" i="167" s="1"/>
  <c r="I98" i="167"/>
  <c r="I97" i="167" s="1"/>
  <c r="L97" i="167" s="1"/>
  <c r="G103" i="167"/>
  <c r="J222" i="167"/>
  <c r="P342" i="165"/>
  <c r="P350" i="165"/>
  <c r="P307" i="165"/>
  <c r="P315" i="165"/>
  <c r="J43" i="165"/>
  <c r="J215" i="167" l="1"/>
  <c r="J268" i="167" s="1"/>
  <c r="N267" i="167" s="1"/>
  <c r="J330" i="165"/>
  <c r="J329" i="165" s="1"/>
  <c r="L243" i="167" s="1"/>
  <c r="P110" i="165"/>
  <c r="P92" i="165" s="1"/>
  <c r="K78" i="167"/>
  <c r="J15" i="165"/>
  <c r="O15" i="165"/>
  <c r="P16" i="165"/>
  <c r="Q16" i="165" s="1"/>
  <c r="P45" i="165"/>
  <c r="G44" i="167"/>
  <c r="G43" i="167" s="1"/>
  <c r="E330" i="165"/>
  <c r="E329" i="165" s="1"/>
  <c r="K243" i="167" s="1"/>
  <c r="P331" i="165"/>
  <c r="K43" i="167"/>
  <c r="J177" i="165"/>
  <c r="L132" i="167"/>
  <c r="O377" i="165"/>
  <c r="E43" i="165"/>
  <c r="J199" i="165"/>
  <c r="P199" i="165" s="1"/>
  <c r="Q199" i="165" s="1"/>
  <c r="E15" i="165"/>
  <c r="P200" i="165"/>
  <c r="P22" i="165"/>
  <c r="O91" i="165"/>
  <c r="G133" i="167"/>
  <c r="G132" i="167" s="1"/>
  <c r="I78" i="167"/>
  <c r="G78" i="167"/>
  <c r="G15" i="167"/>
  <c r="I214" i="167"/>
  <c r="G98" i="167"/>
  <c r="G97" i="167" s="1"/>
  <c r="I15" i="167"/>
  <c r="P177" i="165"/>
  <c r="P43" i="165"/>
  <c r="P119" i="165"/>
  <c r="P15" i="165" l="1"/>
  <c r="P330" i="165"/>
  <c r="O389" i="165"/>
  <c r="O392" i="165"/>
  <c r="J198" i="165"/>
  <c r="P198" i="165"/>
  <c r="Q92" i="165"/>
  <c r="J91" i="165"/>
  <c r="L78" i="167" s="1"/>
  <c r="J377" i="165"/>
  <c r="G214" i="167"/>
  <c r="M215" i="167"/>
  <c r="J214" i="167"/>
  <c r="J389" i="165" l="1"/>
  <c r="J392" i="165"/>
  <c r="Q330" i="165"/>
  <c r="P329" i="165"/>
  <c r="P91" i="165"/>
  <c r="K164" i="153" l="1"/>
  <c r="I168" i="167" l="1"/>
  <c r="I152" i="167" s="1"/>
  <c r="G168" i="167" l="1"/>
  <c r="I268" i="167"/>
  <c r="M267" i="167" s="1"/>
  <c r="G152" i="167" l="1"/>
  <c r="G268" i="167" s="1"/>
  <c r="K267" i="167" s="1"/>
  <c r="I151" i="167"/>
  <c r="K268" i="167" l="1"/>
  <c r="G151" i="167"/>
  <c r="M19" i="107"/>
  <c r="O19" i="107"/>
  <c r="Q19" i="107" l="1"/>
  <c r="G140" i="107" l="1"/>
  <c r="F136" i="108"/>
  <c r="G139" i="107"/>
  <c r="F135" i="108"/>
  <c r="G137" i="107"/>
  <c r="F133" i="108"/>
  <c r="F134" i="108"/>
  <c r="G138" i="107"/>
  <c r="G135" i="107"/>
  <c r="F131" i="108"/>
  <c r="G136" i="107"/>
  <c r="F132" i="108"/>
  <c r="G133" i="107"/>
  <c r="F129" i="108"/>
  <c r="G132" i="107"/>
  <c r="F128" i="108"/>
  <c r="G131" i="107"/>
  <c r="F127" i="108"/>
  <c r="G130" i="107"/>
  <c r="F126" i="108"/>
  <c r="G129" i="107"/>
  <c r="F125" i="108"/>
  <c r="G128" i="107"/>
  <c r="F124" i="108"/>
  <c r="G127" i="107"/>
  <c r="F123" i="108"/>
  <c r="G126" i="107"/>
  <c r="F122" i="108"/>
  <c r="G125" i="107"/>
  <c r="F121" i="108"/>
  <c r="G124" i="107"/>
  <c r="F120" i="108"/>
  <c r="G123" i="107"/>
  <c r="F119" i="108"/>
  <c r="G121" i="107"/>
  <c r="F117" i="108"/>
  <c r="G81" i="107"/>
  <c r="G79" i="107"/>
  <c r="G78" i="107"/>
  <c r="G77" i="107"/>
  <c r="G76" i="107"/>
  <c r="G74" i="107"/>
  <c r="G73" i="107"/>
  <c r="G72" i="107"/>
  <c r="G71" i="107"/>
  <c r="G70" i="107"/>
  <c r="G69" i="107"/>
  <c r="G68" i="107"/>
  <c r="G67" i="107"/>
  <c r="G66" i="107"/>
  <c r="G65" i="107"/>
  <c r="G64" i="107"/>
  <c r="G63" i="107"/>
  <c r="G62" i="107"/>
  <c r="G61" i="107"/>
  <c r="G60" i="107"/>
  <c r="G59" i="107"/>
  <c r="G58" i="107"/>
  <c r="G57" i="107"/>
  <c r="G56" i="107"/>
  <c r="G54" i="107"/>
  <c r="G18" i="107"/>
  <c r="G148" i="107"/>
  <c r="F144" i="108"/>
  <c r="K167" i="107"/>
  <c r="J163" i="108"/>
  <c r="G16" i="107" l="1"/>
  <c r="G15" i="107" s="1"/>
  <c r="G14" i="107" s="1"/>
  <c r="G13" i="107"/>
  <c r="G12" i="107" s="1"/>
  <c r="O18" i="107"/>
  <c r="K12" i="107"/>
  <c r="K20" i="107" s="1"/>
  <c r="L12" i="107"/>
  <c r="L20" i="107" s="1"/>
  <c r="J12" i="107"/>
  <c r="J20" i="107" s="1"/>
  <c r="H12" i="107"/>
  <c r="O17" i="107"/>
  <c r="N17" i="107"/>
  <c r="M17" i="107"/>
  <c r="O20" i="107" l="1"/>
  <c r="O16" i="107"/>
  <c r="O15" i="107" s="1"/>
  <c r="O14" i="107" s="1"/>
  <c r="L151" i="167"/>
  <c r="G20" i="107"/>
  <c r="M151" i="167"/>
  <c r="H20" i="107"/>
  <c r="O13" i="107"/>
  <c r="O12" i="107" s="1"/>
  <c r="Q17" i="107"/>
  <c r="N18" i="107" l="1"/>
  <c r="N20" i="107" l="1"/>
  <c r="N16" i="107"/>
  <c r="N15" i="107" s="1"/>
  <c r="N14" i="107" s="1"/>
  <c r="N13" i="107"/>
  <c r="N12" i="107" s="1"/>
  <c r="F12" i="107"/>
  <c r="K151" i="167" s="1"/>
  <c r="F20" i="107" l="1"/>
  <c r="D22" i="108"/>
  <c r="E33" i="108" s="1"/>
  <c r="E379" i="165" l="1"/>
  <c r="M18" i="107"/>
  <c r="Q18" i="107" s="1"/>
  <c r="M13" i="107" l="1"/>
  <c r="M12" i="107" s="1"/>
  <c r="M20" i="107" s="1"/>
  <c r="M16" i="107"/>
  <c r="M15" i="107" s="1"/>
  <c r="M14" i="107" s="1"/>
  <c r="Q16" i="107"/>
  <c r="Q15" i="107" s="1"/>
  <c r="Q14" i="107" s="1"/>
  <c r="Q13" i="107" l="1"/>
  <c r="Q12" i="107" s="1"/>
  <c r="Q20" i="107"/>
  <c r="D23" i="170"/>
  <c r="Q379" i="165" l="1"/>
  <c r="D82" i="170"/>
  <c r="E81" i="170"/>
  <c r="D88" i="170" l="1"/>
  <c r="F88" i="170" s="1"/>
  <c r="E90" i="170"/>
  <c r="E368" i="165"/>
  <c r="E367" i="165" l="1"/>
  <c r="P368" i="165"/>
  <c r="F359" i="165"/>
  <c r="E360" i="165" l="1"/>
  <c r="P367" i="165"/>
  <c r="P360" i="165" l="1"/>
  <c r="Q360" i="165" s="1"/>
  <c r="E359" i="165"/>
  <c r="E377" i="165"/>
  <c r="D24" i="172" s="1"/>
  <c r="P377" i="165"/>
  <c r="P359" i="165"/>
  <c r="F389" i="165"/>
  <c r="D20" i="172" l="1"/>
  <c r="Q377" i="165"/>
  <c r="E389" i="165"/>
  <c r="E390" i="165"/>
  <c r="P389" i="165"/>
  <c r="P390" i="165"/>
  <c r="E24" i="172" l="1"/>
  <c r="E20" i="172" s="1"/>
  <c r="D48" i="172"/>
  <c r="D44" i="172" s="1"/>
  <c r="D43" i="172" s="1"/>
  <c r="D49" i="172" s="1"/>
  <c r="D15" i="172"/>
  <c r="D29" i="172" s="1"/>
  <c r="E15" i="172"/>
  <c r="E29" i="172" s="1"/>
  <c r="C24" i="172"/>
  <c r="C20" i="172" s="1"/>
  <c r="C15" i="172" s="1"/>
  <c r="C29" i="172" s="1"/>
  <c r="F24" i="172"/>
  <c r="F20" i="172" s="1"/>
  <c r="F15" i="172" s="1"/>
  <c r="F29" i="172" s="1"/>
  <c r="D50" i="170"/>
  <c r="E50" i="170" s="1"/>
  <c r="E48" i="172" l="1"/>
  <c r="E44" i="172" s="1"/>
  <c r="E43" i="172" s="1"/>
  <c r="E49" i="172" s="1"/>
  <c r="G20" i="172"/>
  <c r="G15" i="172"/>
  <c r="C48" i="172"/>
  <c r="C44" i="172" s="1"/>
  <c r="C43" i="172" s="1"/>
  <c r="C49" i="172" s="1"/>
  <c r="F48" i="172"/>
  <c r="F44" i="172" s="1"/>
  <c r="F43" i="172" s="1"/>
  <c r="F49" i="172" s="1"/>
  <c r="D58" i="170"/>
  <c r="E58" i="170" l="1"/>
  <c r="D45" i="170"/>
  <c r="D26" i="170" s="1"/>
  <c r="E26" i="170" l="1"/>
  <c r="D57" i="170"/>
  <c r="D56" i="170" s="1"/>
  <c r="E56" i="170" s="1"/>
  <c r="E57" i="170" l="1"/>
  <c r="E88" i="170" l="1"/>
  <c r="E76" i="170"/>
</calcChain>
</file>

<file path=xl/sharedStrings.xml><?xml version="1.0" encoding="utf-8"?>
<sst xmlns="http://schemas.openxmlformats.org/spreadsheetml/2006/main" count="6054" uniqueCount="1391">
  <si>
    <t>Департамент освіти та науки Хмельницької міської ради (головний розпорядник)</t>
  </si>
  <si>
    <t>Департамент освіти та науки Хмельницької міської ради (відповідальний виконавець)</t>
  </si>
  <si>
    <t>1</t>
  </si>
  <si>
    <t>2</t>
  </si>
  <si>
    <t>Проведення навчально-тренувальних зборів і змагань з неолімпійських видів спорту</t>
  </si>
  <si>
    <t>4</t>
  </si>
  <si>
    <t>Надання пільг окремим категоріям громадян з оплати послуг зв'язку</t>
  </si>
  <si>
    <t>Компенсаційні виплати на пільговий проїзд автомобільним транспортом окремим категоріям громадян</t>
  </si>
  <si>
    <t>Компенсаційні виплати за пільговий проїзд окремих категорій громадян на залізничному транспорті</t>
  </si>
  <si>
    <t>Компенсаційні виплати на пільговий проїзд електротранспортом окремим категоріям громадян</t>
  </si>
  <si>
    <t>Утримання клубів для підлітків за місцем проживання</t>
  </si>
  <si>
    <t>Разом</t>
  </si>
  <si>
    <t>Загальний фонд</t>
  </si>
  <si>
    <t>з них</t>
  </si>
  <si>
    <t>3</t>
  </si>
  <si>
    <t>комунальні послуги та енергоносії</t>
  </si>
  <si>
    <t>Код ФКВКБ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</si>
  <si>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</si>
  <si>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Управління охорони здоров'я Хмельницької міської ради (головний розпорядник)</t>
  </si>
  <si>
    <t>Багатопрофільна стаціонарна медична допомога населенню</t>
  </si>
  <si>
    <t>Код ТПКВКМБ /
ТКВКБМС</t>
  </si>
  <si>
    <t>1110000</t>
  </si>
  <si>
    <t>1100000</t>
  </si>
  <si>
    <t>Управління молоді та спорту Хмельницької міської ради (головний розпорядник)</t>
  </si>
  <si>
    <t>Управління культури і туризму Хмельницької міської ради (головний розпорядник)</t>
  </si>
  <si>
    <t>1500000</t>
  </si>
  <si>
    <t>1510000</t>
  </si>
  <si>
    <t>Фінансове управління Хмельницької міської ради (головний розпорядник)</t>
  </si>
  <si>
    <t>1115031</t>
  </si>
  <si>
    <t>1115032</t>
  </si>
  <si>
    <t>1115061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</si>
  <si>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</si>
  <si>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1115063</t>
  </si>
  <si>
    <t>Забезпечення діяльності централізованої бухгалтерії</t>
  </si>
  <si>
    <t>Проведення інформаційних заходів з організації проведення аукціонів</t>
  </si>
  <si>
    <t>Виготовлення документації із землеустрою</t>
  </si>
  <si>
    <t>Внески до статутного капіталу суб’єктів господарювання</t>
  </si>
  <si>
    <t>Управління молоді та спорту Хмельницької міської ради (відповідальний виконавець)</t>
  </si>
  <si>
    <t>Управління охорони здоров'я Хмельницької міської ради (відповідальний виконавець)</t>
  </si>
  <si>
    <t>Управління праці та соціального захисту населення Хмельницької міської ради (головний розпорядник)</t>
  </si>
  <si>
    <t>Управління праці та соціального захисту населення Хмельницької міської ради (відповідальний виконавець)</t>
  </si>
  <si>
    <t>Управління культури і туризму Хмельницької міської ради (відповідальний виконавець)</t>
  </si>
  <si>
    <t>Фінансове управління Хмельницької міської ради (відповідальний виконавець)</t>
  </si>
  <si>
    <t>Заходи з енергозбереження</t>
  </si>
  <si>
    <t>0133</t>
  </si>
  <si>
    <t>0180</t>
  </si>
  <si>
    <t>1115011</t>
  </si>
  <si>
    <t>Проведення навчально-тренувальних зборів і змагань з олімпійських видів спорту</t>
  </si>
  <si>
    <t>1115012</t>
  </si>
  <si>
    <t>1115022</t>
  </si>
  <si>
    <t>Утримання та навчально-тренувальна робота комунальних дитячо-юнацьких спортивних шкіл</t>
  </si>
  <si>
    <t>Фінансова підтримка дитячо-юнацьких спортивних шкіл фізкультурно-спортивних товариств</t>
  </si>
  <si>
    <t>1060</t>
  </si>
  <si>
    <t>0540</t>
  </si>
  <si>
    <t>Спеціальний фонд</t>
  </si>
  <si>
    <t>видатки споживання</t>
  </si>
  <si>
    <t>оплата праці</t>
  </si>
  <si>
    <t>видатки розвитку</t>
  </si>
  <si>
    <t>Капітальні видатки</t>
  </si>
  <si>
    <t>Додаток 1</t>
  </si>
  <si>
    <t>Код</t>
  </si>
  <si>
    <t>Податкові надходження</t>
  </si>
  <si>
    <t>Податки на доходи, податки на прибуток, податки на збільшення ринкової вартості</t>
  </si>
  <si>
    <t xml:space="preserve">Податок на доходи фізичних осіб </t>
  </si>
  <si>
    <t xml:space="preserve">Податок на  доходи фізичних осіб, що сплачуються податковими агентами, із доходів платника податку у вигляді заробітної плати </t>
  </si>
  <si>
    <t xml:space="preserve">Податок на  доходи 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 </t>
  </si>
  <si>
    <t xml:space="preserve">Податок на доходи фізичних осіб, що сплачується податковими агентами, із доходів платника податку інших ніж заробітна плата </t>
  </si>
  <si>
    <t xml:space="preserve">Податок на доходи доходів фізичних осіб, що сплачуються фізичними особами за результатами річного декларування </t>
  </si>
  <si>
    <t>Податок на прибуток підприємств</t>
  </si>
  <si>
    <t xml:space="preserve"> Податок на прибуток підприємств та фінансових установ комунальної власності </t>
  </si>
  <si>
    <t>Місцеві  податки і збори</t>
  </si>
  <si>
    <t>Податок на майно</t>
  </si>
  <si>
    <t xml:space="preserve">Податок на нерухоме майно, відмінне від земельної ділянки, сплачений юридичними особами, які є власниками об"єктів житлової нерухомості   </t>
  </si>
  <si>
    <t xml:space="preserve">Податок на нерухоме майно, відмінне від земельної ділянки, сплачений фізичними  особами, які є власниками об"єктів житлової нерухомості   </t>
  </si>
  <si>
    <t xml:space="preserve">Податок на нерухоме майно, відмінне від земельної ділянки, сплачений фізичними  особами, які є власниками об"єктів нежитлової нерухомості   </t>
  </si>
  <si>
    <t xml:space="preserve">Податок на нерухоме майно, відмінне від земельної ділянки, сплачений юридичними особами, які є власниками об"єктів нежитлової нерухомості   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</si>
  <si>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</si>
  <si>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</si>
  <si>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</si>
  <si>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</si>
  <si>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фізичних  осіб</t>
  </si>
  <si>
    <t>Транспортний податок з юридичних осіб</t>
  </si>
  <si>
    <t xml:space="preserve">Туристичний збір </t>
  </si>
  <si>
    <t xml:space="preserve">Туристичний збір, сплачений юридичними особами  </t>
  </si>
  <si>
    <t xml:space="preserve">Туристичний збір, сплачений фізичними особами  </t>
  </si>
  <si>
    <t xml:space="preserve">Єдиний податок  </t>
  </si>
  <si>
    <t>Єдиний податок  з фізичних осіб</t>
  </si>
  <si>
    <t xml:space="preserve">Екологічний податок </t>
  </si>
  <si>
    <t>Надходження від скидів забруднюючих речовин безпосередньо у водні об"єкти</t>
  </si>
  <si>
    <t xml:space="preserve">Надходження від розміщення відходів у спеціально відведених місцях чи на об"єктах, крім розміщення окремих видів відходів як вторинної сировини </t>
  </si>
  <si>
    <t>Неподаткові надходження</t>
  </si>
  <si>
    <t>Частина чистого прибутку (доходу)  комунальних унітарних підприємств та їх об"єднань, що вилучається до відповідного місцевого бюджету</t>
  </si>
  <si>
    <t xml:space="preserve">Плата за розміщення тимчасово вільних коштів </t>
  </si>
  <si>
    <t>Адміністративні штрафи та інші санкції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</si>
  <si>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</t>
  </si>
  <si>
    <t>Адміністративні збори та платежі, доходи від некомерційної господарської діяльності</t>
  </si>
  <si>
    <t xml:space="preserve">Адміністративний збір за державну реєстрацію речових прав на нерухоме майно та їх обтяжень </t>
  </si>
  <si>
    <t xml:space="preserve">Плата за надання інших адміністративних послуг </t>
  </si>
  <si>
    <t xml:space="preserve">Надходження від орендної плати за користування цілісним майновим комплексом та іншим майном, що перебуває в комунальній власності </t>
  </si>
  <si>
    <t xml:space="preserve">Державне мито 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</si>
  <si>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</si>
  <si>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пов`язане з видачею та оформленням закордонних паспортів (посвідок) та паспортів громадян України</t>
  </si>
  <si>
    <t>Інші неподаткові надходження</t>
  </si>
  <si>
    <t xml:space="preserve">Інші надходження </t>
  </si>
  <si>
    <t xml:space="preserve">Надходження коштів пайової участі у розвитку інфраструктури населеного пункту 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</si>
  <si>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</si>
  <si>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</si>
  <si>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</si>
  <si>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Надходження бюджетних установ від додаткової (господарської)  діяльності</t>
  </si>
  <si>
    <t>Плата за оренду майна бюджетних установ</t>
  </si>
  <si>
    <t>Надходження  бюджетних установ від реалізації в установленому порядку майна (крім нерухомого майна)</t>
  </si>
  <si>
    <t>Доходи від операцій з капіталом</t>
  </si>
  <si>
    <t>Надходження від продажу основного капіталу</t>
  </si>
  <si>
    <t xml:space="preserve">Кошти від реалізації безхазяйного майна,знахідок,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 </t>
  </si>
  <si>
    <t xml:space="preserve">Кошти  від відчуження майна, яке належить  Автономній Республіці Крим та майна, що знаходиться у комунальній власності </t>
  </si>
  <si>
    <t>Надходження від продажу землі і нематеріальних активів</t>
  </si>
  <si>
    <t xml:space="preserve">Кошти від продажу землі </t>
  </si>
  <si>
    <t>Кошти від продажу прав на земельні ділянки несільськогосподарського призначення, що перебувають у державній або комунальній власності</t>
  </si>
  <si>
    <t xml:space="preserve">Цільові фонди, утворені Верховною радою Автономної Республіки Крим, органами місцевого самоврядування та місцевими органами виконавчої влади </t>
  </si>
  <si>
    <t xml:space="preserve">Субвенції  </t>
  </si>
  <si>
    <t xml:space="preserve">Освітня субвенція з державного бюджету місцевим бюджетам </t>
  </si>
  <si>
    <t>Додаток 2</t>
  </si>
  <si>
    <t>200000</t>
  </si>
  <si>
    <t>Внутрішнє фінансування</t>
  </si>
  <si>
    <t>208100</t>
  </si>
  <si>
    <t>На початок періоду</t>
  </si>
  <si>
    <t>Передача коштів із загального до бюджету розвитку (спеціального фонду)</t>
  </si>
  <si>
    <t xml:space="preserve">Фінансування за борговими операціями </t>
  </si>
  <si>
    <t xml:space="preserve">Запозичення </t>
  </si>
  <si>
    <t>600000</t>
  </si>
  <si>
    <t>Фінансування за активними операціями</t>
  </si>
  <si>
    <t>Надання кредитів</t>
  </si>
  <si>
    <t>Повернення кредитів</t>
  </si>
  <si>
    <t>Хмельницької міської ради</t>
  </si>
  <si>
    <t xml:space="preserve">Пункти Положення </t>
  </si>
  <si>
    <t>Джерела доходів</t>
  </si>
  <si>
    <t>2.1.1.</t>
  </si>
  <si>
    <t>Кошти за надлишки загальної житлової площі при приватизації державного житлового фонду</t>
  </si>
  <si>
    <t>2.1.2.</t>
  </si>
  <si>
    <t>Кошти за тимчасове користування місцями для розміщення зовнішньої реклами</t>
  </si>
  <si>
    <t>2.1.3.</t>
  </si>
  <si>
    <t>Надходження коштів від забудовників, які без відповідного дозволу здійснили або здійснюють роботи по будівництву, реконструкції, реставрації, капітальному ремонту об"єктів містобудування</t>
  </si>
  <si>
    <t>2.1.5.</t>
  </si>
  <si>
    <t xml:space="preserve">Надходження плати за виготовлення бланків і видачу свідоцтв про право власності на житлове (житлові) приміщення у гуртожитку </t>
  </si>
  <si>
    <t xml:space="preserve">Всього по джерелах доходів : </t>
  </si>
  <si>
    <t>Видатки</t>
  </si>
  <si>
    <t>3.2.1.</t>
  </si>
  <si>
    <t>Фінансове забезпечення проведення міських заходів виконавчим комітетом Хмельницької міської ради та управліннями і відділами міської ради</t>
  </si>
  <si>
    <t>3.2.3.</t>
  </si>
  <si>
    <t>Матеріальне забезпечення проведення сесій міської ради, депутатських днів та інших організаційних заходів з діяльності депутатів міської ради</t>
  </si>
  <si>
    <t>3.2.5.</t>
  </si>
  <si>
    <t>3.2.6.</t>
  </si>
  <si>
    <t>Виплата винагороди головам квартальних комітетів</t>
  </si>
  <si>
    <t>3.2.7.</t>
  </si>
  <si>
    <t>Здійснення заходів з приватизації, відчуження та передачі в оренду майна комунальної власності</t>
  </si>
  <si>
    <t>Адміністративний збір з проведення державної реєстрації юридичних осіб, фізичних осіб - підприємців та громадських формувань</t>
  </si>
  <si>
    <t>0200000</t>
  </si>
  <si>
    <t>0210000</t>
  </si>
  <si>
    <t>Виконавчий комітет Хмельницької міської ради (головний розпорядник)</t>
  </si>
  <si>
    <t>Виконавчий комітет Хмельницької міської ради  (відповідальний виконавець)</t>
  </si>
  <si>
    <t>0600000</t>
  </si>
  <si>
    <t>0610000</t>
  </si>
  <si>
    <t>0700000</t>
  </si>
  <si>
    <t>0710000</t>
  </si>
  <si>
    <t>0800000</t>
  </si>
  <si>
    <t>0810000</t>
  </si>
  <si>
    <t>1200000</t>
  </si>
  <si>
    <t>1210000</t>
  </si>
  <si>
    <t>1600000</t>
  </si>
  <si>
    <t>1610000</t>
  </si>
  <si>
    <t>3600000</t>
  </si>
  <si>
    <t>3610000</t>
  </si>
  <si>
    <t>2800000</t>
  </si>
  <si>
    <t>2810000</t>
  </si>
  <si>
    <t>2700000</t>
  </si>
  <si>
    <t>2710000</t>
  </si>
  <si>
    <t>3700000</t>
  </si>
  <si>
    <t>3710000</t>
  </si>
  <si>
    <t>0490</t>
  </si>
  <si>
    <t>1014010</t>
  </si>
  <si>
    <t>4010</t>
  </si>
  <si>
    <t>4060</t>
  </si>
  <si>
    <t>0821</t>
  </si>
  <si>
    <t>Фінансова підтримка театрів</t>
  </si>
  <si>
    <t>1014030</t>
  </si>
  <si>
    <t>4030</t>
  </si>
  <si>
    <t>0824</t>
  </si>
  <si>
    <t>Забезпечення діяльності бібліотек</t>
  </si>
  <si>
    <t>1014040</t>
  </si>
  <si>
    <t>4040</t>
  </si>
  <si>
    <t>1014060</t>
  </si>
  <si>
    <t>0828</t>
  </si>
  <si>
    <t>Забезпечення діяльності палаців i будинків культури, клубів, центрів дозвілля та iнших клубних закладів</t>
  </si>
  <si>
    <t>0960</t>
  </si>
  <si>
    <t>0829</t>
  </si>
  <si>
    <t>1113121</t>
  </si>
  <si>
    <t>3121</t>
  </si>
  <si>
    <t>1040</t>
  </si>
  <si>
    <t>5011</t>
  </si>
  <si>
    <t>5012</t>
  </si>
  <si>
    <t>5022</t>
  </si>
  <si>
    <t>1113132</t>
  </si>
  <si>
    <t>3132</t>
  </si>
  <si>
    <t>1090</t>
  </si>
  <si>
    <t>5031</t>
  </si>
  <si>
    <t>5032</t>
  </si>
  <si>
    <t>5061</t>
  </si>
  <si>
    <t>0810</t>
  </si>
  <si>
    <t>5063</t>
  </si>
  <si>
    <t>7670</t>
  </si>
  <si>
    <t>0611010</t>
  </si>
  <si>
    <t>1010</t>
  </si>
  <si>
    <t>1020</t>
  </si>
  <si>
    <t>0910</t>
  </si>
  <si>
    <t>Надання дошкільної освіти</t>
  </si>
  <si>
    <t>0611020</t>
  </si>
  <si>
    <t>0921</t>
  </si>
  <si>
    <t>1030</t>
  </si>
  <si>
    <t>1070</t>
  </si>
  <si>
    <t>0922</t>
  </si>
  <si>
    <t>0611090</t>
  </si>
  <si>
    <t>0930</t>
  </si>
  <si>
    <t>0990</t>
  </si>
  <si>
    <t>2010</t>
  </si>
  <si>
    <t>7640</t>
  </si>
  <si>
    <t>0470</t>
  </si>
  <si>
    <t>0712010</t>
  </si>
  <si>
    <t>0731</t>
  </si>
  <si>
    <t>0712030</t>
  </si>
  <si>
    <t>2030</t>
  </si>
  <si>
    <t>0733</t>
  </si>
  <si>
    <t>Лікарсько-акушерська допомога вагітним, породіллям та новонародженим</t>
  </si>
  <si>
    <t>0712080</t>
  </si>
  <si>
    <t>2080</t>
  </si>
  <si>
    <t>0721</t>
  </si>
  <si>
    <t>0712100</t>
  </si>
  <si>
    <t>2100</t>
  </si>
  <si>
    <t>0722</t>
  </si>
  <si>
    <t>Стоматологічна допомога населенню</t>
  </si>
  <si>
    <t>0712111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</si>
  <si>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</si>
  <si>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</si>
  <si>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0763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</si>
  <si>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</si>
  <si>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0210150</t>
  </si>
  <si>
    <t>0150</t>
  </si>
  <si>
    <t>0111</t>
  </si>
  <si>
    <t>Керівництво і управління у відповідній сфері у містах (місті Києві), селищах, селах, об’єднаних територіальних громадах</t>
  </si>
  <si>
    <t>0160</t>
  </si>
  <si>
    <t>Реалізація Національної програми інформатизації</t>
  </si>
  <si>
    <t>0217520</t>
  </si>
  <si>
    <t>7520</t>
  </si>
  <si>
    <t>0460</t>
  </si>
  <si>
    <t>0218410</t>
  </si>
  <si>
    <t>8410</t>
  </si>
  <si>
    <t>0830</t>
  </si>
  <si>
    <t>Фінансова підтримка засобів масової інформації</t>
  </si>
  <si>
    <t>0219710</t>
  </si>
  <si>
    <t>9710</t>
  </si>
  <si>
    <t>0210180</t>
  </si>
  <si>
    <t>Інша діяльність у сфері державного управління</t>
  </si>
  <si>
    <t>Заходи з організації рятування на водах</t>
  </si>
  <si>
    <t>8120</t>
  </si>
  <si>
    <t>0320</t>
  </si>
  <si>
    <t>2717630</t>
  </si>
  <si>
    <t>Реалізація програм і заходів в галузі зовнішньоекономічної діяльності</t>
  </si>
  <si>
    <t>7630</t>
  </si>
  <si>
    <t>Інші заходи, пов'язані з економічною діяльністю</t>
  </si>
  <si>
    <t>2717693</t>
  </si>
  <si>
    <t>7693</t>
  </si>
  <si>
    <t>Сприяння розвитку малого та середнього підприємництва</t>
  </si>
  <si>
    <t>0411</t>
  </si>
  <si>
    <t>2717610</t>
  </si>
  <si>
    <t>7610</t>
  </si>
  <si>
    <t>Реалізація інших заходів щодо соціально-економічного розвитку територій</t>
  </si>
  <si>
    <t>0813160</t>
  </si>
  <si>
    <t>3160</t>
  </si>
  <si>
    <t>3104</t>
  </si>
  <si>
    <t>3105</t>
  </si>
  <si>
    <t>0813104</t>
  </si>
  <si>
    <t>0813105</t>
  </si>
  <si>
    <t>0813031</t>
  </si>
  <si>
    <t>3031</t>
  </si>
  <si>
    <t>Надання інших пільг окремим категоріям громадян відповідно до законодавства</t>
  </si>
  <si>
    <t>0813032</t>
  </si>
  <si>
    <t>3032</t>
  </si>
  <si>
    <t>3035</t>
  </si>
  <si>
    <t>0813033</t>
  </si>
  <si>
    <t>3033</t>
  </si>
  <si>
    <t>0813035</t>
  </si>
  <si>
    <t>0813036</t>
  </si>
  <si>
    <t>3036</t>
  </si>
  <si>
    <t>1216011</t>
  </si>
  <si>
    <t>6011</t>
  </si>
  <si>
    <t>Експлуатація та технічне обслуговування житлового фонду</t>
  </si>
  <si>
    <t>0620</t>
  </si>
  <si>
    <t>1216017</t>
  </si>
  <si>
    <t>6017</t>
  </si>
  <si>
    <t>6013</t>
  </si>
  <si>
    <t>Забезпечення діяльності водопровідно-каналізаційного господарства</t>
  </si>
  <si>
    <t>1216030</t>
  </si>
  <si>
    <t>6030</t>
  </si>
  <si>
    <t>Організація благоустрою населених пунктів</t>
  </si>
  <si>
    <t>7426</t>
  </si>
  <si>
    <t>Інші заходи у сфері електротранспорту</t>
  </si>
  <si>
    <t>0453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</si>
  <si>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</si>
  <si>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</si>
  <si>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0456</t>
  </si>
  <si>
    <t>1217640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</si>
  <si>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</si>
  <si>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</si>
  <si>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0217680</t>
  </si>
  <si>
    <t>7680</t>
  </si>
  <si>
    <t>1216015</t>
  </si>
  <si>
    <t>6015</t>
  </si>
  <si>
    <t>Забезпечення надійної та безперебійної експлуатації ліфтів</t>
  </si>
  <si>
    <t>0443</t>
  </si>
  <si>
    <t>7310</t>
  </si>
  <si>
    <t>3617130</t>
  </si>
  <si>
    <t>7130</t>
  </si>
  <si>
    <t>0421</t>
  </si>
  <si>
    <t>Будівництвоˈ  освітніх установ та закладів</t>
  </si>
  <si>
    <t>1517321</t>
  </si>
  <si>
    <t>7321</t>
  </si>
  <si>
    <t>1517325</t>
  </si>
  <si>
    <t>7325</t>
  </si>
  <si>
    <t>1517330</t>
  </si>
  <si>
    <t>7330</t>
  </si>
  <si>
    <t>№ п/п</t>
  </si>
  <si>
    <t>Код КПКВ</t>
  </si>
  <si>
    <t>Заходи, на які виділяються кошти</t>
  </si>
  <si>
    <t>Проведення експертної грошової оцінки земельної ділянки несільськогосподарського призначення</t>
  </si>
  <si>
    <t>Забезпечення діяльності інших закладів у сфері охорони здоров’я</t>
  </si>
  <si>
    <t>Інші програми та заходи у сфері охорони здоров’я</t>
  </si>
  <si>
    <t>0712151</t>
  </si>
  <si>
    <t>0712152</t>
  </si>
  <si>
    <t>2151</t>
  </si>
  <si>
    <t>2152</t>
  </si>
  <si>
    <t>0813192</t>
  </si>
  <si>
    <t>3192</t>
  </si>
  <si>
    <t>0813241</t>
  </si>
  <si>
    <t>0813242</t>
  </si>
  <si>
    <t>3241</t>
  </si>
  <si>
    <t>3242</t>
  </si>
  <si>
    <t>Забезпечення діяльності інших закладів у сфері соціального захисту і соціального забезпечення</t>
  </si>
  <si>
    <t>Інші заходи у сфері соціального захисту і соціального забезпечення</t>
  </si>
  <si>
    <t>1014081</t>
  </si>
  <si>
    <t>4081</t>
  </si>
  <si>
    <t>1014082</t>
  </si>
  <si>
    <t>4082</t>
  </si>
  <si>
    <t>Інші програми та заходи у сфері освіти</t>
  </si>
  <si>
    <t>7691</t>
  </si>
  <si>
    <t>0217691</t>
  </si>
  <si>
    <t>0610</t>
  </si>
  <si>
    <t>6084</t>
  </si>
  <si>
    <t>1116084</t>
  </si>
  <si>
    <t xml:space="preserve">Кошти від продажу земельних ділянок  несільськогосподарського призначення, що перебувають у державній або комунальній власності </t>
  </si>
  <si>
    <t xml:space="preserve">Дотації з місцевих бюджетів іншим місцевим бюджетам </t>
  </si>
  <si>
    <t>Амбулаторно-поліклінічна допомога населенню, крім первинної медичної допомоги</t>
  </si>
  <si>
    <t>0726</t>
  </si>
  <si>
    <t>3180</t>
  </si>
  <si>
    <t>0813180</t>
  </si>
  <si>
    <t>Проведення навчально-тренувальних зборів і змагань та заходів зі спорту осіб з інвалідністю</t>
  </si>
  <si>
    <t>7370</t>
  </si>
  <si>
    <t>1113133</t>
  </si>
  <si>
    <t>3133</t>
  </si>
  <si>
    <t>Інші заходи та заклади молодіжної політики</t>
  </si>
  <si>
    <t>Управління економіки Хмельницької міської ради (головний розпорядник)</t>
  </si>
  <si>
    <t>Управління економіки Хмельницької міської ради (відповідальний виконавець)</t>
  </si>
  <si>
    <t xml:space="preserve">Зовнішнє фінансування </t>
  </si>
  <si>
    <t xml:space="preserve">Позики, надані міжнародними організаціями </t>
  </si>
  <si>
    <t>Одержано позик</t>
  </si>
  <si>
    <t xml:space="preserve">Погашено позик </t>
  </si>
  <si>
    <t>Зовнішні запозичення</t>
  </si>
  <si>
    <t xml:space="preserve">Погашення </t>
  </si>
  <si>
    <t>0170</t>
  </si>
  <si>
    <t>9770</t>
  </si>
  <si>
    <t>Інші субвенції з місцевого бюджету</t>
  </si>
  <si>
    <t>6082</t>
  </si>
  <si>
    <t>Придбання житла для окремих категорій населення відповідно до законодавства</t>
  </si>
  <si>
    <t>0816082</t>
  </si>
  <si>
    <t>3617650</t>
  </si>
  <si>
    <t>7650</t>
  </si>
  <si>
    <t>Проведення експертної грошової оцінки земельної ділянки чи права на неї</t>
  </si>
  <si>
    <t>Організація та проведення громадських робіт</t>
  </si>
  <si>
    <t>3210</t>
  </si>
  <si>
    <t>1050</t>
  </si>
  <si>
    <t>Управління капітального будівництва Департаменту архітектури, містобудування та земельних ресурсів Хмельницької міської ради (головний розпорядник)</t>
  </si>
  <si>
    <t xml:space="preserve">Плата за встановлення земельного сервітуту </t>
  </si>
  <si>
    <t xml:space="preserve"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 </t>
  </si>
  <si>
    <t>6012</t>
  </si>
  <si>
    <t>Забезпечення діяльності з виробництва, транспортування, постачання теплової енергії</t>
  </si>
  <si>
    <t>Найменування згідно з Класифікацією фінансування бюджету</t>
  </si>
  <si>
    <t xml:space="preserve">Фінансування за типом кредитора </t>
  </si>
  <si>
    <t>Загальне фінансування</t>
  </si>
  <si>
    <t>Х</t>
  </si>
  <si>
    <t xml:space="preserve">Фінансування за типом боргового зобов'язання </t>
  </si>
  <si>
    <t>Усього</t>
  </si>
  <si>
    <t>усього</t>
  </si>
  <si>
    <t>у тому числі бюджет розвитку</t>
  </si>
  <si>
    <t>загальний фонд</t>
  </si>
  <si>
    <t>спеціальний фонд</t>
  </si>
  <si>
    <t>разом</t>
  </si>
  <si>
    <t>Кредитування, усього</t>
  </si>
  <si>
    <t>Код Функціональної класифікації видатків та кредитування бюджету</t>
  </si>
  <si>
    <t>УСЬОГО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</si>
  <si>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</si>
  <si>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</si>
  <si>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</si>
  <si>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</si>
  <si>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</si>
  <si>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</si>
  <si>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</si>
  <si>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</si>
  <si>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</si>
  <si>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</si>
  <si>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</si>
  <si>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</si>
  <si>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(грн)</t>
  </si>
  <si>
    <t>Сума, грн</t>
  </si>
  <si>
    <t>Проведення науково-технічних конференцій і семінарів, організація виставок, фестивалів та інших заходів щодо пропаганди охорони навколишнього природного середовища, видання поліграфічної продукції з екологічної тематики тощо</t>
  </si>
  <si>
    <t>Рішення 19-ї сесії Хмельницької міської ради від 21.02.2001 року №6</t>
  </si>
  <si>
    <t>Рішення 11-ї сесії Хмельницької міської ради від 25.01.2017 року №20</t>
  </si>
  <si>
    <t>Рішення позачергової 10-ї сесії Хмельницької міської ради від 29.12.2016 року №1</t>
  </si>
  <si>
    <t>Оформлення передплати на газети організаціям інвалідів, ветеранів війни і праці, окремим категоріям громадян</t>
  </si>
  <si>
    <t>Рішення позачергової 10-ї сесії Хмельницької міської ради від 29.12.2016 року №4</t>
  </si>
  <si>
    <t>Рішення позачергової 10-ї сесії Хмельницької міської ради від 29.12.2016 року №2</t>
  </si>
  <si>
    <t>7413</t>
  </si>
  <si>
    <t>0451</t>
  </si>
  <si>
    <t>Інші заходи у сфері автотранспорту</t>
  </si>
  <si>
    <t>0810160</t>
  </si>
  <si>
    <t>0710160</t>
  </si>
  <si>
    <t>1510160</t>
  </si>
  <si>
    <t>3610160</t>
  </si>
  <si>
    <t>1610160</t>
  </si>
  <si>
    <t>3710160</t>
  </si>
  <si>
    <t>1210160</t>
  </si>
  <si>
    <t>2810160</t>
  </si>
  <si>
    <t>0817691</t>
  </si>
  <si>
    <t>1217691</t>
  </si>
  <si>
    <t>Рішення 21-ї сесії Хмельницької міської ради від 11.04.2018 року №11</t>
  </si>
  <si>
    <t>у тому числі  бюджет розвитку</t>
  </si>
  <si>
    <t>Офіційні трансферти</t>
  </si>
  <si>
    <t>0813210</t>
  </si>
  <si>
    <t>Забезпечення діяльності інклюзивно-ресурсних центрів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</si>
  <si>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</si>
  <si>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0613140</t>
  </si>
  <si>
    <t>3140</t>
  </si>
  <si>
    <t>1515043</t>
  </si>
  <si>
    <t>5043</t>
  </si>
  <si>
    <t>0717670</t>
  </si>
  <si>
    <t>Програма «Здоров’я хмельничан» на 2017-2021 роки (із змінами і доповненнями)</t>
  </si>
  <si>
    <t>2018 - 2022 роки</t>
  </si>
  <si>
    <t>1517370</t>
  </si>
  <si>
    <t xml:space="preserve">Субвенції з державного бюджету місцевим бюджетам </t>
  </si>
  <si>
    <t>Залишок коштів на 01.01.2020 року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</si>
  <si>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</t>
  </si>
  <si>
    <t>Республіки Крим, органами місцевого самоврядування і місцевими органами виконавчої влади</t>
  </si>
  <si>
    <t>Членські внески до асоціацій органів місцевого самоврядування</t>
  </si>
  <si>
    <t>Субвенція з місцевого бюджету на утримання об'єктів спільного користування чи ліквідацію негативних наслідків діяльності об'єктів спільного користування</t>
  </si>
  <si>
    <t>1900000</t>
  </si>
  <si>
    <t>1910000</t>
  </si>
  <si>
    <t>Управління транспорту та зв'язку Хмельницької міської ради (головний розпорядник)</t>
  </si>
  <si>
    <t>Управління транспорту та зв'язку Хмельницької міської ради (відповідальний виконавець)</t>
  </si>
  <si>
    <t>1910160</t>
  </si>
  <si>
    <t>Програма створення та розвитку індустріального парку "Хмельницький"  (із змінами і доповненнями)</t>
  </si>
  <si>
    <t>Програма
бюджетування за участі громадськості (Бюджет участі) міста Хмельницького на 2020 - 2022 роки</t>
  </si>
  <si>
    <t>Рішення 32-ї сесії Хмельницької міської ради від 26.06.2019 року №9</t>
  </si>
  <si>
    <t>Реверсна дотація</t>
  </si>
  <si>
    <t>Обслуговування місцевого боргу</t>
  </si>
  <si>
    <t xml:space="preserve"> 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</si>
  <si>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</si>
  <si>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Надання реабілітаційних послуг особам з інвалідністю та дітям з інвалідністю</t>
  </si>
  <si>
    <t>Надання пільгових довгострокових кредитів молодим сім'ям та одиноким молодим громадянам на будівництво/придбання житла</t>
  </si>
  <si>
    <t>1118821</t>
  </si>
  <si>
    <t>1118822</t>
  </si>
  <si>
    <t>8821</t>
  </si>
  <si>
    <t>8822</t>
  </si>
  <si>
    <t>Здійснення заходів із землеустрою</t>
  </si>
  <si>
    <t>Будівництвоˈ інших об'єктів комунальної власності</t>
  </si>
  <si>
    <t>Забезпечення діяльності музеїв i виставок</t>
  </si>
  <si>
    <t>Забезпечення діяльності інших закладів в галузі культури і мистецтва</t>
  </si>
  <si>
    <t>Інші заходи в галузі культури і мистецтва</t>
  </si>
  <si>
    <t>Інша діяльність, пов’язана з експлуатацією об’єктів житлово-комунального господарства</t>
  </si>
  <si>
    <t>1917413</t>
  </si>
  <si>
    <t>1917426</t>
  </si>
  <si>
    <t>Будівництвоˈ об'єктів житлово-комунального господарства</t>
  </si>
  <si>
    <t>3.2.4.</t>
  </si>
  <si>
    <t>3.2.10.</t>
  </si>
  <si>
    <t>3.2.15.</t>
  </si>
  <si>
    <t xml:space="preserve">Субвенції з місцевих бюджетів іншим місцевим бюджетам </t>
  </si>
  <si>
    <t>Субвенція з місцевого бюджету на здійснення переданих видатків у сфері освіти за рахунок коштів освітньої субвенції</t>
  </si>
  <si>
    <t>0712144</t>
  </si>
  <si>
    <t>2144</t>
  </si>
  <si>
    <t>Централізовані заходи з лікування хворих на цукровий та нецукровий діабет</t>
  </si>
  <si>
    <t>0813050</t>
  </si>
  <si>
    <t>3050</t>
  </si>
  <si>
    <t>Пільгове медичне обслуговування осіб, які постраждали внаслідок Чорнобильської катастрофи</t>
  </si>
  <si>
    <t>0813090</t>
  </si>
  <si>
    <t>3090</t>
  </si>
  <si>
    <t>Видатки на поховання учасників бойових дій та осіб з інвалідністю внаслідок війни</t>
  </si>
  <si>
    <t>0813171</t>
  </si>
  <si>
    <t>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</si>
  <si>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</si>
  <si>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 xml:space="preserve">Цільові фонди </t>
  </si>
  <si>
    <t>Усього доходів (без врахування міжбюджетних трансфертів)</t>
  </si>
  <si>
    <t>Рішення 34-ї сесії Хмельницької міської ради від 09.10.2019 року №38</t>
  </si>
  <si>
    <t>(код бюджету)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</si>
  <si>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</si>
  <si>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</si>
  <si>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Додаток 3</t>
  </si>
  <si>
    <t>УСЬОГО:</t>
  </si>
  <si>
    <t>Найменування місцевої / регіональної програми</t>
  </si>
  <si>
    <t>Дата і номер документа, яким затверджено місцеву / регіональну програму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</si>
  <si>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</si>
  <si>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0611030</t>
  </si>
  <si>
    <t>Надання позашкільної освіти закладами позашкільної освіти, заходи із позашкільної роботи з дітьми</t>
  </si>
  <si>
    <t>Підготовка кадрів закладами професійної (професійно-технічної) освіти та іншими закладами освіти</t>
  </si>
  <si>
    <t>Забезпечення діяльності інших закладів у сфері освіти</t>
  </si>
  <si>
    <t>Повернення довгострокових кредитів, наданих громадянам на будівництво/реконструкцію/придбання житла</t>
  </si>
  <si>
    <t>1118842</t>
  </si>
  <si>
    <t>8842</t>
  </si>
  <si>
    <t>0712020</t>
  </si>
  <si>
    <t>Спеціалізована стаціонарна медична допомога населенню</t>
  </si>
  <si>
    <t>0732</t>
  </si>
  <si>
    <t>2020</t>
  </si>
  <si>
    <t>0719770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</si>
  <si>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</si>
  <si>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</si>
  <si>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1115062</t>
  </si>
  <si>
    <t>0219800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</si>
  <si>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</si>
  <si>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</si>
  <si>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1517324</t>
  </si>
  <si>
    <t>7324</t>
  </si>
  <si>
    <t>8110</t>
  </si>
  <si>
    <t>Заходи із запобігання та ліквідації надзвичайних ситуацій та наслідків стихійного лиха</t>
  </si>
  <si>
    <t>Придбання обладнання і предметів довгострокового користування</t>
  </si>
  <si>
    <t>2017 - 2022 роки</t>
  </si>
  <si>
    <t>2019 - 2021 роки</t>
  </si>
  <si>
    <t>Реставрація Хмельницького міського будинку культури по вул.Проскурівській, 43 в м. Хмельницькому</t>
  </si>
  <si>
    <t>2015 - 2022 роки</t>
  </si>
  <si>
    <t xml:space="preserve">М. КРИВАК </t>
  </si>
  <si>
    <t xml:space="preserve">Начальник фінансового управління </t>
  </si>
  <si>
    <t xml:space="preserve">С. ЯМЧУК </t>
  </si>
  <si>
    <t xml:space="preserve">Начальник фінансового управління                                                                                                                                                                           С. ЯМЧУК </t>
  </si>
  <si>
    <t xml:space="preserve">Начальник фінансового управління                                                                                                                                                                                                            С. ЯМЧУК </t>
  </si>
  <si>
    <t xml:space="preserve">                    Секретар міської ради </t>
  </si>
  <si>
    <t xml:space="preserve">                                   Начальник фінансового управління                                                                                            Ю. САБІЙ</t>
  </si>
  <si>
    <t xml:space="preserve">Рентна плата та плата за використання ішших природних ресурсів </t>
  </si>
  <si>
    <t xml:space="preserve">Рентна плата за спеціальне використання лісових ресурсів </t>
  </si>
  <si>
    <t>Рентна плата за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</si>
  <si>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 xml:space="preserve">Рентна плата за користування надрами </t>
  </si>
  <si>
    <t xml:space="preserve">Рентна плата за користуваання надрами для видобудування корисних копалин загальнодержавного значення </t>
  </si>
  <si>
    <t>Внутрішні податки на товари та послуги</t>
  </si>
  <si>
    <t>Інші податки та збори</t>
  </si>
  <si>
    <t>Надходження  від викидів забруднюючих речовин в атмосферне повітря стаціонарними джерелами забруднення (за винятком викидів в атмосферне повітря двоокису вуглецю)</t>
  </si>
  <si>
    <t>Доходи від власності та підприємницької діяльності</t>
  </si>
  <si>
    <t>Частина чистого прибутку (доходу)  державних або кумунальних унітраних підприємств та їх обєднань, що вилучається до відповідного бюджету</t>
  </si>
  <si>
    <t>Плата за надання адміністративних послуг</t>
  </si>
  <si>
    <t>Надходження від орендної плати за користування цілісним майновим комплексом та іншим державним майном</t>
  </si>
  <si>
    <t xml:space="preserve">Кошти від реалізації скарбів, майна, одержаного державною або територіальною громадою  в порядку спадкування чи дарування, а також валютні цінності і грошові кошти, власники яких невідомі </t>
  </si>
  <si>
    <t xml:space="preserve">Єдиний податок з сільськогосподарських товаровиробників, у яких частка сільськогосподарського виробництва за попередній податковий (звітний) рік дорівнює або перевищує 75 відсотків </t>
  </si>
  <si>
    <t>Забезпечення екологічно безпечного збирання, перевезення, зберігання, оброблення, утилізації, видалення, знешкодження і захоронення відходів та небезпечних хімічних речовин, в тому числі ліквідація стихійних сміттєзвалищ</t>
  </si>
  <si>
    <t>2018 - 2022роки</t>
  </si>
  <si>
    <t>1400000</t>
  </si>
  <si>
    <t>1410000</t>
  </si>
  <si>
    <t>1410160</t>
  </si>
  <si>
    <t>1410180</t>
  </si>
  <si>
    <t>1416012</t>
  </si>
  <si>
    <t>1416013</t>
  </si>
  <si>
    <t>1416020</t>
  </si>
  <si>
    <t>1416030</t>
  </si>
  <si>
    <t>1417310</t>
  </si>
  <si>
    <t>1417461</t>
  </si>
  <si>
    <t>1417640</t>
  </si>
  <si>
    <t>1417670</t>
  </si>
  <si>
    <t>1417691</t>
  </si>
  <si>
    <t>1418110</t>
  </si>
  <si>
    <t>1418120</t>
  </si>
  <si>
    <t>1418130</t>
  </si>
  <si>
    <t>8130</t>
  </si>
  <si>
    <t>Забезпечення діяльності місцевої пожежної охорони</t>
  </si>
  <si>
    <t>2021 рік</t>
  </si>
  <si>
    <t>Управління комунальної інфраструктури Хмельницької міської ради (головний розпорядник)</t>
  </si>
  <si>
    <t>Управління комунальної інфраструктури Хмельницької міської ради (відповідальний виконавець)</t>
  </si>
  <si>
    <t>Управління житлової політики і майна Хмельницької міської ради (головний розпорядник)</t>
  </si>
  <si>
    <t>Управління житлової політики і майна Хмельницької міської ради (відповідальний виконавець)</t>
  </si>
  <si>
    <t>Індивідуальне навчання, оляг сиротам, субвенція на інелюзію</t>
  </si>
  <si>
    <t>Індивідуальне навчання, одяг сиротам</t>
  </si>
  <si>
    <t>Виплата 1810 грн сиротам при досягненні 18 років</t>
  </si>
  <si>
    <t>РОЗПОДІЛ</t>
  </si>
  <si>
    <t>Найменування головного розпорядника коштів бюджету  Хмельницької міської територіальної громади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</si>
  <si>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доходів та видатків цільового фонду</t>
  </si>
  <si>
    <t>КОШТОРИС</t>
  </si>
  <si>
    <t>природоохоронних заходів,</t>
  </si>
  <si>
    <t>ПЕРЕЛІК</t>
  </si>
  <si>
    <t>КРЕДИТУВАННЯ</t>
  </si>
  <si>
    <t>ФІНАНСУВАННЯ</t>
  </si>
  <si>
    <t>Найменування головного розпорядника коштів бюджету Хмельницької міської територіальної громади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</si>
  <si>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22530000000</t>
  </si>
  <si>
    <t>Державний бюджет України</t>
  </si>
  <si>
    <t>0219770</t>
  </si>
  <si>
    <t>22317200000</t>
  </si>
  <si>
    <t>Районний бюджет Хмельницького району</t>
  </si>
  <si>
    <t>Бюджет Красилівської міської територіальної громади</t>
  </si>
  <si>
    <t>22548000000</t>
  </si>
  <si>
    <t>Бюджет Заслучненської сільської територіальної громади</t>
  </si>
  <si>
    <t>22522000000</t>
  </si>
  <si>
    <t>Бюджет Чорноострівської селищної територіальної громади</t>
  </si>
  <si>
    <t>Програма розвитку освіти Хмельницької міської територіальної громади на 2017-2021 роки (із змінами і доповненнями)</t>
  </si>
  <si>
    <t>Комплексна програма «Піклування» в Хмельницькій міській територіальній громаді на 2017 - 2021 роки (із змінами і доповненнями)</t>
  </si>
  <si>
    <t>0210160</t>
  </si>
  <si>
    <t>Програма утримання та розвитку житлово-комунального господарства та благоустрою Хмельницької міської територіальної громади на 2017-2021 роки. (зі змінами)</t>
  </si>
  <si>
    <t>Рішення позачергової 10-ї сесії  Хмельницької міської ради від 29.12.2016 року № 6</t>
  </si>
  <si>
    <t>Рішення 42-ї сесії Хмельницької міської ради від 17.06.2020 року №39</t>
  </si>
  <si>
    <t>Програма популяризації та ефективного впрвадження програм у сфері житлово-комунального господарства на 2019-2023 роки</t>
  </si>
  <si>
    <t>1019770</t>
  </si>
  <si>
    <t>Програма
підтримки обдарованих дітей м.Хмельницького</t>
  </si>
  <si>
    <t>Комплексна програма реалізації молодіжної політики та розвитку фізичної культури і спорту у Хмельницькій міській територіальній громаді на 2017 - 2021 роки (із змінами і доповненнями)</t>
  </si>
  <si>
    <t>Рішення 29-ї сесії Хмельницької міської ради від 13.02.2019 року №31</t>
  </si>
  <si>
    <t>Рішення 42-ї сесії Хмельницької міської ради від 17.06.2020 року №40</t>
  </si>
  <si>
    <t>Рішення позачергової 46-ї сесії Хмельницької міської ради від 07.10.2020 року №3</t>
  </si>
  <si>
    <t>Плата за гарантії, надані Верховною Радою Автономної Республіки    Крим та міськими радами</t>
  </si>
  <si>
    <t>Додаток №5</t>
  </si>
  <si>
    <t>Додаток №7</t>
  </si>
  <si>
    <t>Додаток 8</t>
  </si>
  <si>
    <t>Додаток  9</t>
  </si>
  <si>
    <t>Найменування трансферту /
Найменування бюджету – надавача міжбюджетного трансферту</t>
  </si>
  <si>
    <t>Код Класифікації доходу бюджету /
Код бюджету</t>
  </si>
  <si>
    <t>І. Трансферти до загального фонду бюджету</t>
  </si>
  <si>
    <t>ІІ. Трансферти до спеціального фонду бюджету</t>
  </si>
  <si>
    <t>УСЬОГО за розділами І, ІІ, у тому числі:</t>
  </si>
  <si>
    <t>Код Програмної класифікації видатків та кредитування місцевого бюджету /
Код бюджету</t>
  </si>
  <si>
    <t>Найменування трансферту /
Найменування бюджету – отримувача міжбюджетного трансферту</t>
  </si>
  <si>
    <t>І. Трансферти із загального фонду бюджету</t>
  </si>
  <si>
    <t>ІІ. Трансферти із спеціального фонду бюджету</t>
  </si>
  <si>
    <t>3719110</t>
  </si>
  <si>
    <t>9110</t>
  </si>
  <si>
    <t>41033900</t>
  </si>
  <si>
    <t>41030000</t>
  </si>
  <si>
    <t>1117670</t>
  </si>
  <si>
    <t>2019 - 2023 роки</t>
  </si>
  <si>
    <t>22100000000</t>
  </si>
  <si>
    <t>Обласний бюджет Хмельницької області</t>
  </si>
  <si>
    <t>41040000</t>
  </si>
  <si>
    <t>41040200</t>
  </si>
  <si>
    <t>41050000</t>
  </si>
  <si>
    <t xml:space="preserve">Субвеції з місцевих бюджетів іншим місцевим бюджетам </t>
  </si>
  <si>
    <t>41051000</t>
  </si>
  <si>
    <t xml:space="preserve">Субвенції з місцевого бюджету на здійснення переданих видатків у сфері освіти за рахунок коштів освітньої субвенції </t>
  </si>
  <si>
    <t>41051200</t>
  </si>
  <si>
    <t>41055000</t>
  </si>
  <si>
    <t xml:space="preserve">Освітня субвенція  </t>
  </si>
  <si>
    <t xml:space="preserve"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дотації з державного бюджету </t>
  </si>
  <si>
    <t xml:space="preserve">Субвенції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 </t>
  </si>
  <si>
    <t xml:space="preserve"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 </t>
  </si>
  <si>
    <t xml:space="preserve">Пальне </t>
  </si>
  <si>
    <t>Акцизний податок з вироблених в Україні підакцизних товарів (продукції)</t>
  </si>
  <si>
    <t>Акцизний податок з ввезених на митну територію  України підакцизних товарів (продукції)</t>
  </si>
  <si>
    <t>0210170</t>
  </si>
  <si>
    <t>0131</t>
  </si>
  <si>
    <t>Підвищення кваліфікації депутатів місцевих рад та посадових осіб місцевого самоврядування</t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</si>
  <si>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об'єктів житлово-комунального господарства</t>
    </r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</si>
  <si>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освітніх установ та закладів</t>
    </r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</si>
  <si>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установ та закладів культури</t>
    </r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</si>
  <si>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споруд, установ та закладів фізичної культури і спорту</t>
    </r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</si>
  <si>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інших об'єктів комунальної власності</t>
    </r>
  </si>
  <si>
    <t>1210170</t>
  </si>
  <si>
    <t>0810170</t>
  </si>
  <si>
    <t>1410170</t>
  </si>
  <si>
    <t>1510170</t>
  </si>
  <si>
    <t>1610170</t>
  </si>
  <si>
    <t>1910170</t>
  </si>
  <si>
    <t>2810170</t>
  </si>
  <si>
    <t>3710170</t>
  </si>
  <si>
    <t>Надання фінансової підтримки громадським об'єднанням ветеранів і осіб з інвалідністю, діяльність яких має соціальну спрямованість</t>
  </si>
  <si>
    <t>1011080</t>
  </si>
  <si>
    <t>1080</t>
  </si>
  <si>
    <t>Утримання та забезпечення діяльності центрів соціальних служб</t>
  </si>
  <si>
    <t>Витрати, пов’язані з наданням та обслуговуванням пільгових довгострокових кредитів, наданих громадянам на будівництво/реконструкцію/ придбання житла</t>
  </si>
  <si>
    <t>Резервний фонд місцевого бюджету</t>
  </si>
  <si>
    <t>0611021</t>
  </si>
  <si>
    <t>1021</t>
  </si>
  <si>
    <t>Надання загальної середньої освіти закладами загальної середньої освіти</t>
  </si>
  <si>
    <t>Надання загальної середньої освіти за рахунок коштів місцевого бюджету</t>
  </si>
  <si>
    <t>0611200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</si>
  <si>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</si>
  <si>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</si>
  <si>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0611160</t>
  </si>
  <si>
    <t>1160</t>
  </si>
  <si>
    <t>Забезпечення діяльності центрів професійного розвитку педагогічних працівників</t>
  </si>
  <si>
    <t>0611022</t>
  </si>
  <si>
    <t>1022</t>
  </si>
  <si>
    <t>0611180</t>
  </si>
  <si>
    <t>1180</t>
  </si>
  <si>
    <t>Виконання заходів, спрямованих на забезпечення якісної, сучасної та доступної загальної середньої освіти «Нова українська школа»</t>
  </si>
  <si>
    <t>0611181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</si>
  <si>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</si>
  <si>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</si>
  <si>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Надання загальної середньої освіти за рахунок освітньої субвенції</t>
  </si>
  <si>
    <t>0611031</t>
  </si>
  <si>
    <t>1031</t>
  </si>
  <si>
    <t>0611070</t>
  </si>
  <si>
    <t>0611091</t>
  </si>
  <si>
    <t>1091</t>
  </si>
  <si>
    <t>Підготовка кадрів закладами професійної (професійно-технічної) освіти та іншими закладами освіти за рахунок коштів місцевого бюджету</t>
  </si>
  <si>
    <t>1092</t>
  </si>
  <si>
    <t>0611092</t>
  </si>
  <si>
    <t>Підготовка кадрів закладами професійної (професійно-технічної) освіти та іншими закладами освіти за рахунок освітньої субвенції</t>
  </si>
  <si>
    <t>1140</t>
  </si>
  <si>
    <t>0611140</t>
  </si>
  <si>
    <t>Інші програми, заклади та заходи у сфері освіти</t>
  </si>
  <si>
    <t>0611141</t>
  </si>
  <si>
    <t>1141</t>
  </si>
  <si>
    <t>0611142</t>
  </si>
  <si>
    <t>1142</t>
  </si>
  <si>
    <t>0611150</t>
  </si>
  <si>
    <t>1150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</si>
  <si>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</si>
  <si>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</si>
  <si>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</si>
  <si>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</si>
  <si>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</si>
  <si>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</si>
  <si>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0210100</t>
  </si>
  <si>
    <t>0100</t>
  </si>
  <si>
    <t>Державне управління</t>
  </si>
  <si>
    <t>0217500</t>
  </si>
  <si>
    <t>7500</t>
  </si>
  <si>
    <t>Зв'язок, телекомунікації та інформатика</t>
  </si>
  <si>
    <t>Інші програми та заходи, пов'язані з економічною діяльністю</t>
  </si>
  <si>
    <t>0217600</t>
  </si>
  <si>
    <t>7600</t>
  </si>
  <si>
    <t>Інша економічна діяльність</t>
  </si>
  <si>
    <t>0217690</t>
  </si>
  <si>
    <t>7690</t>
  </si>
  <si>
    <t>0218000</t>
  </si>
  <si>
    <t>8000</t>
  </si>
  <si>
    <t>Інша діяльність</t>
  </si>
  <si>
    <t>0218400</t>
  </si>
  <si>
    <t>8400</t>
  </si>
  <si>
    <t>Засоби масової інформації</t>
  </si>
  <si>
    <t>0219000</t>
  </si>
  <si>
    <t>9000</t>
  </si>
  <si>
    <t>Міжбюджетні трансферти</t>
  </si>
  <si>
    <t>0219700</t>
  </si>
  <si>
    <t>9700</t>
  </si>
  <si>
    <t>Субвенції з місцевого бюджету іншим місцевим бюджетам на здійснення програм та заходів за рахунок коштів місцевих бюджетів</t>
  </si>
  <si>
    <t>0611000</t>
  </si>
  <si>
    <t>1000</t>
  </si>
  <si>
    <t>Освіта</t>
  </si>
  <si>
    <t>0613000</t>
  </si>
  <si>
    <t>3000</t>
  </si>
  <si>
    <t>Соціальний захист та соціальне забезпечення</t>
  </si>
  <si>
    <t>0710100</t>
  </si>
  <si>
    <t>0712000</t>
  </si>
  <si>
    <t>2000</t>
  </si>
  <si>
    <t>Охорона здоров’я</t>
  </si>
  <si>
    <t>0712110</t>
  </si>
  <si>
    <t>2110</t>
  </si>
  <si>
    <t>Первинна медична допомога населенню</t>
  </si>
  <si>
    <t>0712140</t>
  </si>
  <si>
    <t>2140</t>
  </si>
  <si>
    <t>Програми і централізовані заходи у галузі охорони здоров’я</t>
  </si>
  <si>
    <t>0712150</t>
  </si>
  <si>
    <t>2150</t>
  </si>
  <si>
    <t>Інші програми, заклади та заходи у сфері охорони здоров’я</t>
  </si>
  <si>
    <t>0717600</t>
  </si>
  <si>
    <r>
      <t>Будівництво</t>
    </r>
    <r>
      <rPr>
        <b/>
        <vertAlign val="superscript"/>
        <sz val="11"/>
        <rFont val="Times New Roman"/>
        <family val="1"/>
        <charset val="204"/>
      </rPr>
      <t>1</t>
    </r>
    <r>
      <rPr>
        <sz val="11"/>
        <rFont val="Times New Roman"/>
        <family val="1"/>
        <charset val="204"/>
      </rPr>
      <t>  установ та закладів культури</t>
    </r>
  </si>
  <si>
    <t>0810100</t>
  </si>
  <si>
    <t>0813000</t>
  </si>
  <si>
    <t>0813030</t>
  </si>
  <si>
    <t>3030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</si>
  <si>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</si>
  <si>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0813100</t>
  </si>
  <si>
    <t>3100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</si>
  <si>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</si>
  <si>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0813190</t>
  </si>
  <si>
    <t>3190</t>
  </si>
  <si>
    <t>Соціальний захист ветеранів війни та праці</t>
  </si>
  <si>
    <t>0813240</t>
  </si>
  <si>
    <t>3240</t>
  </si>
  <si>
    <t xml:space="preserve"> Інші заклади та заходи</t>
  </si>
  <si>
    <t>0816000</t>
  </si>
  <si>
    <t>6000</t>
  </si>
  <si>
    <t>Житлово-комунальне господарство</t>
  </si>
  <si>
    <t>0816080</t>
  </si>
  <si>
    <t>6080</t>
  </si>
  <si>
    <t>Реалізація державних та місцевих житлових програм</t>
  </si>
  <si>
    <t>0217000</t>
  </si>
  <si>
    <t>7000</t>
  </si>
  <si>
    <t xml:space="preserve"> Економічна діяльність</t>
  </si>
  <si>
    <t>0717000</t>
  </si>
  <si>
    <t>0817000</t>
  </si>
  <si>
    <t>0817690</t>
  </si>
  <si>
    <t>0817600</t>
  </si>
  <si>
    <t>1011000</t>
  </si>
  <si>
    <t>1014000</t>
  </si>
  <si>
    <t>4000</t>
  </si>
  <si>
    <t>Культура i мистецтво</t>
  </si>
  <si>
    <t>1014080</t>
  </si>
  <si>
    <t>4080</t>
  </si>
  <si>
    <t>Інші заклади та заходи в галузі культури і мистецтва</t>
  </si>
  <si>
    <t>1019000</t>
  </si>
  <si>
    <t>1019700</t>
  </si>
  <si>
    <t>1113000</t>
  </si>
  <si>
    <t>1113120</t>
  </si>
  <si>
    <t>3120</t>
  </si>
  <si>
    <t>Здійснення соціальної роботи з вразливими категоріями населення</t>
  </si>
  <si>
    <t>1113130</t>
  </si>
  <si>
    <t>3130</t>
  </si>
  <si>
    <t>Реалізація державної політики у молодіжній сфері</t>
  </si>
  <si>
    <t>1115000</t>
  </si>
  <si>
    <t>5000</t>
  </si>
  <si>
    <t xml:space="preserve"> Фiзична культура i спорт</t>
  </si>
  <si>
    <t>1115010</t>
  </si>
  <si>
    <t>5010</t>
  </si>
  <si>
    <t>Проведення спортивної роботи в регіоні</t>
  </si>
  <si>
    <t>1115020</t>
  </si>
  <si>
    <t>5020</t>
  </si>
  <si>
    <t>Здійснення фізкультурно-спортивної та реабілітаційної роботи серед осіб з інвалідністю</t>
  </si>
  <si>
    <t>1115030</t>
  </si>
  <si>
    <t>5030</t>
  </si>
  <si>
    <t xml:space="preserve"> Розвиток дитячо-юнацького та резервного спорту</t>
  </si>
  <si>
    <t>1115060</t>
  </si>
  <si>
    <t>5060</t>
  </si>
  <si>
    <t>Інші заходи з розвитку фізичної культури та спорту</t>
  </si>
  <si>
    <t>1116000</t>
  </si>
  <si>
    <t>1116080</t>
  </si>
  <si>
    <t>1117000</t>
  </si>
  <si>
    <t>1117600</t>
  </si>
  <si>
    <t>1210100</t>
  </si>
  <si>
    <t>1216000</t>
  </si>
  <si>
    <t>1216010</t>
  </si>
  <si>
    <t>6010</t>
  </si>
  <si>
    <t>Утримання та ефективна експлуатація об’єктів житлово-комунального господарства</t>
  </si>
  <si>
    <t>1217000</t>
  </si>
  <si>
    <t>Економічна діяльність</t>
  </si>
  <si>
    <t>1217600</t>
  </si>
  <si>
    <t>1217690</t>
  </si>
  <si>
    <t xml:space="preserve"> Інша економічна діяльність</t>
  </si>
  <si>
    <t>1410100</t>
  </si>
  <si>
    <t>1416000</t>
  </si>
  <si>
    <t>1416010</t>
  </si>
  <si>
    <t>1417000</t>
  </si>
  <si>
    <t>1417300</t>
  </si>
  <si>
    <t>7300</t>
  </si>
  <si>
    <t>Будівництво та регіональний розвиток</t>
  </si>
  <si>
    <t>1417400</t>
  </si>
  <si>
    <t>7400</t>
  </si>
  <si>
    <t>Транспорт та транспортна інфраструктура, дорожнє господарство</t>
  </si>
  <si>
    <t>1417600</t>
  </si>
  <si>
    <t>1417690</t>
  </si>
  <si>
    <t>1418000</t>
  </si>
  <si>
    <t>Захист населення і територій від надзвичайних ситуацій техногенного та природного характеру</t>
  </si>
  <si>
    <t>1418100</t>
  </si>
  <si>
    <t>8100</t>
  </si>
  <si>
    <t>1510100</t>
  </si>
  <si>
    <t>1515000</t>
  </si>
  <si>
    <t>1515040</t>
  </si>
  <si>
    <t>5040</t>
  </si>
  <si>
    <t>Підтримка і розвиток спортивної інфраструктури</t>
  </si>
  <si>
    <t>1517000</t>
  </si>
  <si>
    <t>1517300</t>
  </si>
  <si>
    <t>1517320</t>
  </si>
  <si>
    <t>7320</t>
  </si>
  <si>
    <r>
      <t>Будівництво</t>
    </r>
    <r>
      <rPr>
        <b/>
        <i/>
        <vertAlign val="superscript"/>
        <sz val="36"/>
        <rFont val="Times New Roman"/>
        <family val="1"/>
        <charset val="204"/>
      </rPr>
      <t>1</t>
    </r>
    <r>
      <rPr>
        <i/>
        <sz val="36"/>
        <rFont val="Times New Roman"/>
        <family val="1"/>
        <charset val="204"/>
      </rPr>
      <t>  об'єктів соціально-культурного призначення</t>
    </r>
  </si>
  <si>
    <t>1610100</t>
  </si>
  <si>
    <t>1910100</t>
  </si>
  <si>
    <t>1917000</t>
  </si>
  <si>
    <t>1917400</t>
  </si>
  <si>
    <t>1917420</t>
  </si>
  <si>
    <t>7420</t>
  </si>
  <si>
    <t>Забезпечення надання послуг з перевезення пасажирів електротранспортом</t>
  </si>
  <si>
    <t>2717000</t>
  </si>
  <si>
    <t>2717600</t>
  </si>
  <si>
    <t>2717690</t>
  </si>
  <si>
    <t>2810100</t>
  </si>
  <si>
    <t>2818000</t>
  </si>
  <si>
    <t>2818300</t>
  </si>
  <si>
    <t>8300</t>
  </si>
  <si>
    <t>Охорона навколишнього природного середовища</t>
  </si>
  <si>
    <t>3610100</t>
  </si>
  <si>
    <t>3617000</t>
  </si>
  <si>
    <t>3617100</t>
  </si>
  <si>
    <t>7100</t>
  </si>
  <si>
    <t>Сільське, лісове, рибне господарство та мисливство</t>
  </si>
  <si>
    <t>3617600</t>
  </si>
  <si>
    <t xml:space="preserve"> Інші програми та заходи, пов'язані з економічною діяльністю</t>
  </si>
  <si>
    <t>3710100</t>
  </si>
  <si>
    <t>3718000</t>
  </si>
  <si>
    <t>Резервний фонд</t>
  </si>
  <si>
    <t>3719000</t>
  </si>
  <si>
    <t>Дотації з місцевого бюджету іншим бюджетам</t>
  </si>
  <si>
    <t>9100</t>
  </si>
  <si>
    <t>1118000</t>
  </si>
  <si>
    <t xml:space="preserve"> Інша діяльність</t>
  </si>
  <si>
    <t>1118800</t>
  </si>
  <si>
    <t>8800</t>
  </si>
  <si>
    <t>Кредитування</t>
  </si>
  <si>
    <t>1118820</t>
  </si>
  <si>
    <t>8820</t>
  </si>
  <si>
    <t>Рішення 2-ї сесії Хмельницької міської ради від 23.12.2020 року №22</t>
  </si>
  <si>
    <t xml:space="preserve">Цільова програма попередження виникнення надзвичайних ситуацій та забезпечення  пожежної і техногенної безпеки об'єктів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</t>
  </si>
  <si>
    <t>Рішення 2-ї сесії Хмельницької міської ради від 23.12.2020 року №9</t>
  </si>
  <si>
    <t>Програма економічного і соціального розвитку Хмельницької міської територіальної громади на 2021 рік</t>
  </si>
  <si>
    <t>Рішення 2-ї сесії Хмельницької міської ради від 23.12.2020 року №10</t>
  </si>
  <si>
    <t>Програма міжнародного співробітництва та промоції Хмельницької міської територіальної громади на 2021-2025 роки</t>
  </si>
  <si>
    <t>Рішення 2-ї сесії Хмельницької міської ради від 23.12.2020 року №11</t>
  </si>
  <si>
    <t>Програма підтримки книговидання та читацької культури у Хмельницькій міській територіальній громаді на 2021-2025 роки «#ЩодняЧитай українською»</t>
  </si>
  <si>
    <t>Рішення 2-ї сесії Хмельницької міської ради від 23.12.2020 року №31</t>
  </si>
  <si>
    <t>Програма розвитку Хмельницької міської територіальної громади у сфері культури на 2021-2025 роки "Нова лінія культурних змін"</t>
  </si>
  <si>
    <t>Рішення 2-ї сесії Хмельницької міської ради від 23.12.2020 року №32</t>
  </si>
  <si>
    <t>Програма 
підтримки сім'ї на 2021-2025 рр.</t>
  </si>
  <si>
    <t>Рішення 2-ї сесії Хмельницької міської ради від 23.12.2020 року №33</t>
  </si>
  <si>
    <t>Рішення 2-ї сесії Хмельницької міської ради від 23.12.2020 року №36</t>
  </si>
  <si>
    <t>Рішення 2-ї сесії Хмельницької міської ради від 23.12.2020 року №47</t>
  </si>
  <si>
    <t>Програма забезпечення діяльності Хмельницького міського комунального підприємства "Муніципальна дружина" на 2021 - 2022 роки</t>
  </si>
  <si>
    <t>Програма розвитку, підтримки комунальних закладів охорони здоров’я та надання 
медичних послуг понад обсяг, передбачений програмою державних гарантій медичного обслуговування населення Хмельницької міської 
територіальної громади на 2021 - 2023 роки</t>
  </si>
  <si>
    <t>Рішення 2-ї сесії Хмельницької міської ради від 23.12.2020 року №50</t>
  </si>
  <si>
    <t>Програма забезпечення надання адміністративних послуг територіальних органів Міністерства внутрішніх справ України через управління адміністративних послуг Хмельницької міської ради на 2021 рік</t>
  </si>
  <si>
    <t>Рішення 2-ї сесії Хмельницької міської ради від 23.12.2020 року №57</t>
  </si>
  <si>
    <t>Рішення 30-ї сесії Хмельницької  міської  ради від 17.04.2019 року №48</t>
  </si>
  <si>
    <t>Рішення 2-ї сесії Хмельницької міської ради від 23.12.2020 року №67</t>
  </si>
  <si>
    <t>Програма розвитку велоінфраструктури м.Хмельницького на 2017-2025 роки</t>
  </si>
  <si>
    <t>Програма поводження з побутовими відходами "Розумне Довкілля.  Хмельницький" на 2021 - 2022 роки</t>
  </si>
  <si>
    <t>Пільгові довгострокові кредити молодим сім'ям та одиноким молодим громадянам на будівництво/реконструкцію/придбання житла та їх повернення</t>
  </si>
  <si>
    <t>Повернення пільгових довгострокових кредитів, наданих молодим сім'ям та одиноким молодим громадянам на будівництво/реконструкцію/придбання житла</t>
  </si>
  <si>
    <t xml:space="preserve"> Надання пільгових довгострокових кредитів молодим сім'ям та одиноким молодим громадянам на будівництво/реконструкцію/придбання житла</t>
  </si>
  <si>
    <t>99000000000</t>
  </si>
  <si>
    <t>0813170</t>
  </si>
  <si>
    <t>3170</t>
  </si>
  <si>
    <t>Забезпечення реалізації окремих програм для осіб з інвалідністю</t>
  </si>
  <si>
    <t>Програма навчання, підготовки та підвищення кваліфікації посадових осіб місцевого самоврядування, керівних працівників підприємств, установ і організацій Хмельницької міської територіальної громади, членів виконавчого комітету та депутатів міської ради на 2021 рік</t>
  </si>
  <si>
    <t>Рішення 4-ї сесії Хмельницької міської ради від 17.02.2021 року №7</t>
  </si>
  <si>
    <t xml:space="preserve">Управління з питань екології та контролю за благоустроєм  Хмельницької міської ради  (відповідальний виконавець) </t>
  </si>
  <si>
    <t xml:space="preserve">Управління з питань екології та контролю за благоустроєм  Хмельницької міської ради  (головний розпорядник) </t>
  </si>
  <si>
    <t xml:space="preserve">Управління з питань екології та контролю за благоустроєм Хмельницької міської ради  (головний розпорядник) </t>
  </si>
  <si>
    <t xml:space="preserve">Управління з питань екології та контролю за благоустроєм Хмельницької міської ради  (відповідальний виконавець) </t>
  </si>
  <si>
    <t>Програма розвитку міського комунального підприємства «Муніципальна телерадіокомпанія «Місто» на 2021-2023 роки</t>
  </si>
  <si>
    <t>Рішення 4-ї сесії Хмельницької міської ради від 17.02.2021 року №24</t>
  </si>
  <si>
    <t>Рішення 13-ї сесії Хмельницької міської ради від 22.03.2017 року №33</t>
  </si>
  <si>
    <t>Управління капітального будівництва Хмельницької міської ради (головний розпорядник)</t>
  </si>
  <si>
    <t>Управління капітального будівництва Хмельницької міської ради (відповідальний виконавець)</t>
  </si>
  <si>
    <t>Управління архітектури та містобудування Хмельницької міської ради (головний розпорядник)</t>
  </si>
  <si>
    <t>Управління архітектури та містобудування  Хмельницької міської ради  (відповідальний виконавець)</t>
  </si>
  <si>
    <t>Управління земельних ресурсів  Хмельницької міської ради (головний розпорядник)</t>
  </si>
  <si>
    <t>Управління земельних ресурсів Хмельницької міської ради (відповідальний розпорядник)</t>
  </si>
  <si>
    <t>Управління земельних ресурсів Хмельницької міської ради (головний розпорядник)</t>
  </si>
  <si>
    <t xml:space="preserve">які будуть фінансуватися з Фонду охорони навколишнього природного середовища </t>
  </si>
  <si>
    <t>Управління архітектури та містобудування Хмельницької міської ради (відповідальний виконавець)</t>
  </si>
  <si>
    <t>Управління архітектури та містобудування Хмельницької міської ради  (відповідальний виконавець)</t>
  </si>
  <si>
    <t>Управління земельних ресурсів та земельної реформи Хмельницької міської ради (головний розпорядник)</t>
  </si>
  <si>
    <t>Управління земельних ресурсів та земельної реформи  Хмельницької міської ради (відповідальний розпорядник)</t>
  </si>
  <si>
    <t>Інші субвенції з місцевого бюджету, в тому числі:</t>
  </si>
  <si>
    <t xml:space="preserve"> - пільгове медичне обслуговування осіб, які постраждали внаслідок Чорнобильської катастрофи </t>
  </si>
  <si>
    <t xml:space="preserve"> - 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</si>
  <si>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 xml:space="preserve">  - поховання учасників бойових дій та осіб з інвалідністю внаслідок війни</t>
  </si>
  <si>
    <t>Внески до статутного капіталу МКП "Хмельницькводоканал" (Реконструкція водопроводу від  вул.Проскурівська по пров. Проскурівський, вул. Пилипчука до пров. Шевченка в м. Хмельницький)</t>
  </si>
  <si>
    <t>2719000</t>
  </si>
  <si>
    <t>2719700</t>
  </si>
  <si>
    <t>2719770</t>
  </si>
  <si>
    <t>Розробка проектно-кошторисної документації на "Реконструкцію аеродромного комплексу КП «Аеропорт Хмельницький» з подовженням штучної злітно-посадкової смуги на 500 метрів"</t>
  </si>
  <si>
    <t>1617000</t>
  </si>
  <si>
    <t>1617300</t>
  </si>
  <si>
    <t>1617350</t>
  </si>
  <si>
    <t>7350</t>
  </si>
  <si>
    <t>Розроблення схем планування та забудови територій (містобудівної документації)</t>
  </si>
  <si>
    <t>Розроблення звіту про стратегічну екологічну оцінку проєкту містобудівної документації "Коригування (внесення змін) генерального плану м.Хмельтницький"</t>
  </si>
  <si>
    <t>Доопрацювання проєкту містобудівної документації "Коригування (внесення змін) генерального плану м.Хмельницький"</t>
  </si>
  <si>
    <t>0217693</t>
  </si>
  <si>
    <t>1017000</t>
  </si>
  <si>
    <t>1017600</t>
  </si>
  <si>
    <t>1017670</t>
  </si>
  <si>
    <t>1217670</t>
  </si>
  <si>
    <t>0810180</t>
  </si>
  <si>
    <t>0813060</t>
  </si>
  <si>
    <t>3060</t>
  </si>
  <si>
    <t>Оздоровлення громадян, які постраждали внаслідок Чорнобильської катастрофи</t>
  </si>
  <si>
    <t>2012 - 2022 роки</t>
  </si>
  <si>
    <t>0817320</t>
  </si>
  <si>
    <t>0817323</t>
  </si>
  <si>
    <t>7323</t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</si>
  <si>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установ та закладів соціальної сфери</t>
    </r>
  </si>
  <si>
    <t>0817300</t>
  </si>
  <si>
    <t>1517310</t>
  </si>
  <si>
    <t>1510180</t>
  </si>
  <si>
    <t>1216020</t>
  </si>
  <si>
    <t>0611060</t>
  </si>
  <si>
    <t>0611061</t>
  </si>
  <si>
    <t>1061</t>
  </si>
  <si>
    <t xml:space="preserve">Надання загальної середньої освіти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періоді, а також коштів, необхідних для </t>
  </si>
  <si>
    <t>забезпечення безпечного навчального процесу у закладах загальної середньої освіти)</t>
  </si>
  <si>
    <t xml:space="preserve"> Надання загальної середньої освіти закладами загальної середньої освіти</t>
  </si>
  <si>
    <t>Реконструкція будівлі №45/312 (контрольно-технічний пункт), військового містечка №45 військової частини А0661</t>
  </si>
  <si>
    <t>Цільова Програма попередження виникнення надзвичайних ситуацій та забезпечення 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</t>
  </si>
  <si>
    <t>Рішення 4-ї сесії Хмельницької міської ради від 17.02.2021 року №2</t>
  </si>
  <si>
    <t>Програма розвитку  електротранспорту Хмельницької міської територіальної громади  на 2021 - 2025 роки</t>
  </si>
  <si>
    <t>Рішення 3-ї сесії Хмельницької міської ради від 14.01.2021 року №1</t>
  </si>
  <si>
    <t>Реконструкція існуючої будівлі краєзнавчого музею під музейний комплекс історії та культури по вул.Свободи, 22 в м.Хмельницькому</t>
  </si>
  <si>
    <t xml:space="preserve">Реконструкція з добудовою їдальні до існуючого приміщення спеціалізованої загальноосвітньої школи І-ІІІ ступенів №8 по вул. Я. Гальчевського, 34 в м.Хмельницькому </t>
  </si>
  <si>
    <t>2017 - 2025 роки</t>
  </si>
  <si>
    <t>2020 - 2025 роки</t>
  </si>
  <si>
    <t>2015 - 2025 роки</t>
  </si>
  <si>
    <t>0611210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</si>
  <si>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</si>
  <si>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</si>
  <si>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Внески до статутного капіталу міського комунального підприємства - Кінотеатр ім. Т.Г.Шевченка (Виготовлення науково-проектної документації «Реставрація будівлі кінотеатру ім. Т. Г. Шевченка (щойно виявлений об’єкт культурної спадщини) по вул. Проскурівській, 40 у м. Хмельницькому)</t>
  </si>
  <si>
    <t>41051700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</si>
  <si>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</si>
  <si>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41053600</t>
  </si>
  <si>
    <t>Субвенція з місцевого бюджету на здійснення природоохоронних заходів</t>
  </si>
  <si>
    <t xml:space="preserve"> - соціально-економічний розвиток</t>
  </si>
  <si>
    <t>Субвенція з місцевого бюджету на здійснення природоохоронних заходів  (Обласний фонд охорони навколишнього природного середовища)</t>
  </si>
  <si>
    <t>Інші субвенції з місцевого бюджету (соціально-економічний розвиток)</t>
  </si>
  <si>
    <t>Програма національно-патріотичного виховання мешканців Хмельницької міської територіальної громади на 2021-2022 роки</t>
  </si>
  <si>
    <t>Рішення 5-ї сесії Хмельницької міської ради від 21.04.2021 року №6</t>
  </si>
  <si>
    <t>Рішення 5-ї сесії Хмельницької міської ради від 21.04.2021 року №5</t>
  </si>
  <si>
    <t>Рішення 5-ї сесії Хмельницької міської ради від 21.04.2021 року №8</t>
  </si>
  <si>
    <t>Програма організаційно-практичних заходів щодо комплексної підтримки державної установи «Хмельницький слідчий ізолятор» на 2021 – 2025 роки</t>
  </si>
  <si>
    <t>Рішення 5-ї сесії Хмельницької міської ради від 21.04.2021 року №7</t>
  </si>
  <si>
    <t>Рішення 5-ї сесії Хмельницької міської ради від 21.04.2021 року №57</t>
  </si>
  <si>
    <t>Рішення 5-ї сесії Хмельницької міської ради від 21.04.2021 року №55</t>
  </si>
  <si>
    <t>Рішення 5-ї сесії Хмельницької міської ради від 21.04.2021 року №69</t>
  </si>
  <si>
    <t>Програма розвитку та фінансової підтримки комунального підприємства «Чайка» Хмельницької міської ради на 2021-2022 роки</t>
  </si>
  <si>
    <t>Рішення 5-ї сесії Хмельницької міської ради від 21.04.2021 року №74</t>
  </si>
  <si>
    <t>Програма для забезпечення виконання судових рішень на 2021-2025 роки</t>
  </si>
  <si>
    <t>1417460</t>
  </si>
  <si>
    <t>7460</t>
  </si>
  <si>
    <t>Утримання та розвиток автомобільних доріг та дорожньої інфраструктури</t>
  </si>
  <si>
    <t>Реконструкція приміщень НВО №1 по вул. Старокостянтинівське шосе, 3Б в м.Хмельницькому (коригування)</t>
  </si>
  <si>
    <t>Програма співфінансування робіт з ремонту багатоквартирних житлових будинків Хмельницької міської територіальної громади на 2020 - 2024 роки</t>
  </si>
  <si>
    <t>до рішення №</t>
  </si>
  <si>
    <t xml:space="preserve">до рішення №  </t>
  </si>
  <si>
    <t xml:space="preserve">до рішення №      </t>
  </si>
  <si>
    <t>Зовнішні зобов'язання</t>
  </si>
  <si>
    <t xml:space="preserve">Довгострокові зобов'язання </t>
  </si>
  <si>
    <t xml:space="preserve">Середньострокові зобов'язання </t>
  </si>
  <si>
    <t xml:space="preserve">Фінансування за рахунок позик банківських установ </t>
  </si>
  <si>
    <t xml:space="preserve"> Одержано позик </t>
  </si>
  <si>
    <t xml:space="preserve">Фінансування за рахунок інших банків </t>
  </si>
  <si>
    <t xml:space="preserve">Внутрішні запозичення </t>
  </si>
  <si>
    <t xml:space="preserve">Фінансування за рахунок зміни залишків коштів бюджетів </t>
  </si>
  <si>
    <t>Зміни обсягів бюджетних коштів</t>
  </si>
  <si>
    <t xml:space="preserve">На початок періоду </t>
  </si>
  <si>
    <t xml:space="preserve">Інші розрахунки </t>
  </si>
  <si>
    <t xml:space="preserve">Передача коштів із загального до спеціального фонду бюджету </t>
  </si>
  <si>
    <t>Субвенція з державного бюджету місцевим бюджетам на розвиток спортивної інфраструктури</t>
  </si>
  <si>
    <t>41035700</t>
  </si>
  <si>
    <t xml:space="preserve">Виконання експертизи проєкту містобудівної  документації "Коригування (внесення змін) генерального плану м. Хмельницький </t>
  </si>
  <si>
    <t>0217540</t>
  </si>
  <si>
    <t>7540</t>
  </si>
  <si>
    <t>Реалізація заходів, спрямованих на підвищення доступності широкосмугового доступу до Інтернету в сільській місцевості</t>
  </si>
  <si>
    <t>0611182</t>
  </si>
  <si>
    <t>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</si>
  <si>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</si>
  <si>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Субвенція з державного бюджету місцевим бюджетам на реалізацію інфраструктурних проектів та розвиток об’єктів соціально-культурної сфери</t>
  </si>
  <si>
    <t>41032300</t>
  </si>
  <si>
    <t>Субвенція з державного бюджету місцевим бюджетам на реалізацію заходів, спрямованих на підвищення доступності широкосмугового доступу до Інтернету в сільській місцевості</t>
  </si>
  <si>
    <t>41035500</t>
  </si>
  <si>
    <t>41051400</t>
  </si>
  <si>
    <t>Субвенція з місцевого бюджету на забезпечення якісної, сучасної та доступної загальної середньої освіти  "Нова українська школа" за рахунок відповідної субвенції з державного бюджету</t>
  </si>
  <si>
    <t>1517600</t>
  </si>
  <si>
    <t>1517690</t>
  </si>
  <si>
    <t>1517691</t>
  </si>
  <si>
    <t>3.2.8.</t>
  </si>
  <si>
    <t>Будівництво, реконструкція та ремонт інженерно-транспортної та соціальної інфраструктури Хмельницької міської територіальної громади, відповідного мікрорайону/кварталу, в т. ч. і тих, в яких розташовані будинки житлово-будівельних кооперативів (ТОВ "ЖЕО")</t>
  </si>
  <si>
    <t>2011 - 2025 роки</t>
  </si>
  <si>
    <t>2021 - 2022 роки</t>
  </si>
  <si>
    <t>41035600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</si>
  <si>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</si>
  <si>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0611023</t>
  </si>
  <si>
    <t>1023</t>
  </si>
  <si>
    <t xml:space="preserve"> Надання загальної середньої освіти спеціалізованими закладами загальної середньої освіти</t>
  </si>
  <si>
    <t>0611190</t>
  </si>
  <si>
    <t>0611191</t>
  </si>
  <si>
    <t>1190</t>
  </si>
  <si>
    <t>1191</t>
  </si>
  <si>
    <t xml:space="preserve"> Виконання заходів, спрямованих на боротьбу з гострою респіраторною хворобою COVID-19, спричиненою коронавірусом SARS-CoV-2, та її наслідками під час навчального процесу у закладах загальної середньої освіти</t>
  </si>
  <si>
    <t>Співфінансування заходів, що реалізуються за рахунок субвенції з державного бюджету місцевим бюджетам на боротьбу з гострою респіраторною хворобою COVID-19, спричиненою коронавірусом SARS-CoV-2, та її наслідками під час навчального процесу у закладах загальної середньої освіти</t>
  </si>
  <si>
    <t>0611220</t>
  </si>
  <si>
    <t>0611221</t>
  </si>
  <si>
    <t>1220</t>
  </si>
  <si>
    <t>1221</t>
  </si>
  <si>
    <t xml:space="preserve"> Виконання заходів щодо створення навчально-практичних центрів сучасної професійної (професійно-технічної) освіти</t>
  </si>
  <si>
    <t xml:space="preserve"> Співфінансування заходів, що реалізуються за рахунок субвенції з державного бюджету місцевим бюджетам на створення навчально-практичних центрів сучасної професійної (професійно-технічної) освіти</t>
  </si>
  <si>
    <t>Субвенція з державного бюджету місцевим бюджетам на створення мережі спеціалізованихслужб підтрмки осіб, які постраждали від домашнього насильства та  або насильства за ознакою статі</t>
  </si>
  <si>
    <t>2.1.4.</t>
  </si>
  <si>
    <t>Кошти участі замовників у створенні і розвитку інженерно-транспортної та соціальної інфраструктури Хмельницької міської територіальної громади</t>
  </si>
  <si>
    <t>2717300</t>
  </si>
  <si>
    <t>2717370</t>
  </si>
  <si>
    <t>Забезпечення надання послуг з перевезення пасажирів автомобільним транспортом</t>
  </si>
  <si>
    <t>1917410</t>
  </si>
  <si>
    <t>7410</t>
  </si>
  <si>
    <t>Програма розвитку  та вдосконалення міського пасажирського транспорту  міста Хмельницького на 2019 - 2023 роки  (із змінами і доповненнями)</t>
  </si>
  <si>
    <t>0611192</t>
  </si>
  <si>
    <t>1192</t>
  </si>
  <si>
    <t>Виконання заходів, спрямованих на боротьбу з гострою респіраторною хворобою COVID-19, спричиненою коронавірусом SARS-CoV-2, та її наслідками під час навчального процесу у закладах загальної середньої освіти за рахунок субвенції з державного бюджету місцевим бюджетам</t>
  </si>
  <si>
    <t>0813120</t>
  </si>
  <si>
    <t>0813124</t>
  </si>
  <si>
    <t>3124</t>
  </si>
  <si>
    <t>Створення та забезпечення діяльності спеціалізованих служб підтримки осіб, які постраждали від домашнього насильства та/або насильства за ознакою статі</t>
  </si>
  <si>
    <t xml:space="preserve"> Внутрішні зобов'язання </t>
  </si>
  <si>
    <t>41056600</t>
  </si>
  <si>
    <t>Субвенція з місцевого бюджету на заходи, спрямовані на боротьбу з гострою респіраторною хворобою COVID-19, спричиненою коронавірусом SARS-CoV-2, та її наслідками під час навчального процесу у закладах загальної середньої освіти за рахунок відповідної субвенції з державного бюджету</t>
  </si>
  <si>
    <t xml:space="preserve">Субвенція з місцевого  бюджету на заходи, спрямовані на боротьбу з гострою респіраторною хворобою COVID-19, спричиненою коронавірусом  SARS- CoV-2 та її наслідками під час навчального процесу у закладах загальної середньої освіти за рахунок відповідної субвенції з державного бюджету </t>
  </si>
  <si>
    <t>Програма підтримки ОСББ Хмельницької міської територіальної громади на 2020 – 2023 роки (зі змінами)</t>
  </si>
  <si>
    <t xml:space="preserve"> Програма відшкодування частини відсоткових ставок та кредитів, отриманих ОСББ, ЖБК на впровадження відновлювальних джерел енергії та заходів з енергозбереження, термомодернізації багатоквартирних житлових будинків Хмельницької міської теритріальної громади на 2019-2022 роки (зі змінами)</t>
  </si>
  <si>
    <t>2021-2022 роки</t>
  </si>
  <si>
    <t>0619000</t>
  </si>
  <si>
    <t>0619700</t>
  </si>
  <si>
    <t>0619770</t>
  </si>
  <si>
    <t>Розвиток готельного господарства та туризму</t>
  </si>
  <si>
    <t>1017620</t>
  </si>
  <si>
    <t>7620</t>
  </si>
  <si>
    <t>Реалізація програм і заходів в галузі туризму та курортів</t>
  </si>
  <si>
    <t>1017622</t>
  </si>
  <si>
    <t>7622</t>
  </si>
  <si>
    <t>Рішення 5-ї сесії Хмельницької міської ради від 21.04.2021 року №33</t>
  </si>
  <si>
    <t>Програма розвитку інформаційної інфраструктури туристичних послуг на 2021-2023 роки</t>
  </si>
  <si>
    <t xml:space="preserve">Комплексна програма мобілізації зусиль Хмельницької міської ради та Головного управління Державної податкової служби у Хмельницькій області по забезпеченню надходжень до бюджету Хмельницької міської територіальної громади на 2021-2023 роки </t>
  </si>
  <si>
    <t>Програма цифрового розвитку на 2021-2025 роки (із змінами)</t>
  </si>
  <si>
    <t>Рішення 7-ї сесії Хмельницької міської ради від 14.07.2021 року №9</t>
  </si>
  <si>
    <t>Разом  доходів (з врахуванням міжбюджетних трансфертів)</t>
  </si>
  <si>
    <t>Єдиний податок  з юридичних осіб</t>
  </si>
  <si>
    <t xml:space="preserve"> Інші надходження  </t>
  </si>
  <si>
    <t>Програма забезпечення охорони прав і свобод людини, профілактики злочинності та підтримання публічної безпеки і порядку на території Хмельницької міської територіальної громади на 2021 – 2025 роки (із змінами)</t>
  </si>
  <si>
    <t>Субвенція з державного бюджету місцевим бюджетам на створення навчально-практичних центрів сучасної професійної (професійно-технічної) освіти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</si>
  <si>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</si>
  <si>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Субвенція з місцевого бюджету на виплату грошової компенсації за належні для отримання жилі приміщення для сімей осіб, визначених абзацами 5 - 8 пункту 1 статті 10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</si>
  <si>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</si>
  <si>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безпосереденьо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19 - 20 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</si>
  <si>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</si>
  <si>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 xml:space="preserve"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 </t>
  </si>
  <si>
    <t>Субвенція з місцевого бюджету на виплату грошової компенсації за належні для отримання жилі приміщення для сімей осіб, визначених у абзаці чотирнадцятому пункту 1 статті 10 Закону України "Про статус ветеранів війни, гарантії їх соціального захисту", для осіб з інвалідністю I - II групи, які стали особами з інвалідністю внаслідок поранень, каліцтва, контузії чи інших ушкоджень здоров'я, одержаних під час участі у Революції Гідності, визначених пунктом 10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</si>
  <si>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Виконання заходів щодо створення навчально-практичних центрів сучасної професійної (професійно-технічної) освіти за рахунок субвенції з державного бюджету місцевим бюджетам</t>
  </si>
  <si>
    <t>0611222</t>
  </si>
  <si>
    <t>1222</t>
  </si>
  <si>
    <t>Виконання інвестиційних проектів</t>
  </si>
  <si>
    <t>7360</t>
  </si>
  <si>
    <t>0717300</t>
  </si>
  <si>
    <t>0717360</t>
  </si>
  <si>
    <t>0717363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</si>
  <si>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</si>
  <si>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</si>
  <si>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</si>
  <si>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0813220</t>
  </si>
  <si>
    <t>3220</t>
  </si>
  <si>
    <t>Грошова компенсація за належні для отримання жилі приміщення для сімей осіб, визначених абзацами 5-8 пункту 1 статті 10 Закону України "Про статус ветеранів війни, гарантії їх соціального захисту", для осіб з інвалідністю I-II групи, яка настала внаслідок поранення,</t>
  </si>
  <si>
    <t xml:space="preserve">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</t>
  </si>
  <si>
    <t>Донецькій та Луганській областях, забезпеченні їх здійснення, визначених пунктами 11-14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</si>
  <si>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0813221</t>
  </si>
  <si>
    <t>3221</t>
  </si>
  <si>
    <t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</t>
  </si>
  <si>
    <t>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</t>
  </si>
  <si>
    <t>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11-14 частини другої статті 7 або учасниками бойових дій відповідно до пунктів 19-20 частини першої статті 6 Закону</t>
  </si>
  <si>
    <t xml:space="preserve"> України "Про статус ветеранів війни, гарантії їх соціального захисту", та які потребують поліпшення житлових умов</t>
  </si>
  <si>
    <t>0813222</t>
  </si>
  <si>
    <t>3222</t>
  </si>
  <si>
    <t>0813223</t>
  </si>
  <si>
    <t>3223</t>
  </si>
  <si>
    <t>Грошова компенсація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I-II групи</t>
  </si>
  <si>
    <t>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</t>
  </si>
  <si>
    <t>гарантії їх соціального захисту", та які потребують поліпшення житлових умов</t>
  </si>
  <si>
    <t>Грошова компенсація за належні для отримання жилі приміщення для сімей осіб, визначених у абзаці чотирнадцятому пункту 1 статті 10 Закону України "Про статус ветеранів війни, гарантії їх соціального захисту", для осіб з інвалідністю I-II групи, які стали особами з інвалідністю внаслідок</t>
  </si>
  <si>
    <t>поранень, каліцтва, контузії чи інших ушкоджень здоров'я, одержаних під час участі у Революції Гідності, визначених пунктом 10 частини другої статті 7 Закону України "Про статус ветеранів війни, гарантії їх соціального захисту", та які</t>
  </si>
  <si>
    <t>потребують поліпшення житлових умов</t>
  </si>
  <si>
    <t>0813224</t>
  </si>
  <si>
    <t>3224</t>
  </si>
  <si>
    <t>0816083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</si>
  <si>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</si>
  <si>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</si>
  <si>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41034500</t>
  </si>
  <si>
    <t>41050500</t>
  </si>
  <si>
    <t>Субвенція з місцевого бюджету на виплату грошової 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I-II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</t>
  </si>
  <si>
    <t>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умов,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</si>
  <si>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</t>
  </si>
  <si>
    <t>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19 - 20 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</si>
  <si>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41033800</t>
  </si>
  <si>
    <t xml:space="preserve">Субвенція з місцевого бюджету на виплату грошової компенсації за належні для отримання жилі приміщення для сімей осіб, визначених абзацами 5 - 8 пункту 1 статті 10 Закону України «Про статус ветеранів війни, гарантії їх соціального захисту»,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</t>
  </si>
  <si>
    <t>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11 - 14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</si>
  <si>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41050400</t>
  </si>
  <si>
    <t>Субвенція з місцевого бюджету на проєктні,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числа, за рахунок відповідної субвенції з державного бюджету</t>
  </si>
  <si>
    <t>41054200</t>
  </si>
  <si>
    <t>Субвенція з місцевого бюджету на виплату грошової компенсації за належні для отримання жилі приміщення для сімей осіб, визначених у абзаці чотирнадцятому пункту 1 статті 10 Закону України «Про статус ветеранів війни, гарантії їх соціального захисту», для осіб з інвалідністю І – ІІ групи, які стали особами з інвалідністю внаслідок поранень, каліцтва, контузії чи інших ушкоджень здоров’я, одержаних під час участі у Революції Гідності, визначених пунктом 10 частини другої статті 7 Закону України «Про</t>
  </si>
  <si>
    <t xml:space="preserve">статус ветеранів війни, гарантії їх соціального захисту», та які потребують поліпшення житлових умов, за рахунок відповідної субвенції з державного бюджету </t>
  </si>
  <si>
    <t xml:space="preserve">  - для забезпечення функціонування відділення боксу Хмельницької ДЮСШ №2 "Авангард" ФСТ "Україна)</t>
  </si>
  <si>
    <t xml:space="preserve">  - на нове будівництво зовнішніх мереж водопостачання в с. Копистин</t>
  </si>
  <si>
    <t>0617300</t>
  </si>
  <si>
    <t xml:space="preserve">	Економічна діяльність</t>
  </si>
  <si>
    <t>0617000</t>
  </si>
  <si>
    <t>0617320</t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</si>
  <si>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об'єктів соціально-культурного призначення</t>
    </r>
  </si>
  <si>
    <t>0617600</t>
  </si>
  <si>
    <t>0617640</t>
  </si>
  <si>
    <t>Капітальний ремонт приміщень Хмельницької міської ради за адресою: Хмеьницька область, м. Хмельницький, вулиця Пушкіна, 1 (в тому числі виготовлення проєктно-кошторисної документації)</t>
  </si>
  <si>
    <t>Капітальний ремонт системи опалення (з встановленням електричних котлів) адміністративної будівлі управління охорони здоров'я Хмельницької міської ради за адресою: вул. Грушевського, 64 в м. Хмельницькому</t>
  </si>
  <si>
    <t>2021 рsк</t>
  </si>
  <si>
    <t>Інша діяльність у сфері транспорту</t>
  </si>
  <si>
    <t>1917450</t>
  </si>
  <si>
    <t>7450</t>
  </si>
  <si>
    <t>1117300</t>
  </si>
  <si>
    <t>1117320</t>
  </si>
  <si>
    <t>1117325</t>
  </si>
  <si>
    <t>0617321</t>
  </si>
  <si>
    <r>
      <t>Будівництво</t>
    </r>
    <r>
      <rPr>
        <b/>
        <vertAlign val="superscript"/>
        <sz val="11"/>
        <rFont val="Times New Roman"/>
        <family val="1"/>
        <charset val="204"/>
      </rPr>
      <t>1</t>
    </r>
    <r>
      <rPr>
        <sz val="11"/>
        <rFont val="Times New Roman"/>
        <family val="1"/>
        <charset val="204"/>
      </rPr>
      <t>  освітніх установ та закладів</t>
    </r>
  </si>
  <si>
    <t>Інші субвенції з місцевого бюджету (на нове будівництво зовнішніх мереж водопостачання в с. Копистин)</t>
  </si>
  <si>
    <t>41053900</t>
  </si>
  <si>
    <t>Інші субвенції з місцевого бюджету (для забезпечення функціонування відділення боксу Хмельницької ДЮСШ №2 "Авангард" ФСТ "Україна" (на підготовку спортсменів, проведення спортивних змагань, навчально-тренувальних зборів, придбання спортивного інвентаря та обладнання))</t>
  </si>
  <si>
    <t>Реконструкція будівлі Шаровечківської ЗОШ І-ІІІ ст. за адресою: с. Шаровечка, вул. Шкільна, 10 Хмельницького району Хмельницької області (коригування)</t>
  </si>
  <si>
    <t>Реконструкція спортивного майданчика Національної академії Державної прикордонної служби України імені Богдана Хмельницького з влаштування футбольного поля (91 х 46) зі штучним покриттям по вулиці Шевченка, 46, для проведення спільних спортивних заходів та заходів військово-патріотичного виховання молоді міста Хмельницького, пропаганди здорового способу життя, формування відповідного рівня фізичної підготовки та витривалості</t>
  </si>
  <si>
    <t>1119000</t>
  </si>
  <si>
    <t>1119700</t>
  </si>
  <si>
    <t>1119770</t>
  </si>
  <si>
    <t>ДОХОДИ</t>
  </si>
  <si>
    <r>
      <t xml:space="preserve">Найменування згідно
 з </t>
    </r>
    <r>
      <rPr>
        <b/>
        <u/>
        <sz val="10"/>
        <rFont val="Times New Roman"/>
        <family val="1"/>
        <charset val="204"/>
      </rPr>
      <t>Класифікацією доходів бюджету</t>
    </r>
  </si>
  <si>
    <t>бюджету Хмельницької міської територіальної громади  на 2022 рік</t>
  </si>
  <si>
    <t>бюджету Хмельницької міської територіальної громади на 2022 рік</t>
  </si>
  <si>
    <t>видатків бюджету Хмельницької міської територіальної громади на 2022 рік</t>
  </si>
  <si>
    <t>бюджету Хмельницької міської територіальної громади у 2022 році</t>
  </si>
  <si>
    <t>на 2022 рік</t>
  </si>
  <si>
    <t>МІЖБЮДЖЕТНІ ТРАНСФЕРТИ НА 2022 РІК</t>
  </si>
  <si>
    <t xml:space="preserve">          1. Показники міжбюджетних трансфертів з інших бюджетів</t>
  </si>
  <si>
    <t xml:space="preserve">          2. Показники міжбюджетних трансфертів іншим бюджетам</t>
  </si>
  <si>
    <t>ОБСЯГИ</t>
  </si>
  <si>
    <t>капітальних вкладень бюджету у розрізі інвестиційних проектів</t>
  </si>
  <si>
    <t>у 2022 році</t>
  </si>
  <si>
    <t>Найменування інвестиційного проекту</t>
  </si>
  <si>
    <r>
      <t xml:space="preserve">1 </t>
    </r>
    <r>
      <rPr>
        <sz val="20"/>
        <rFont val="Times New Roman"/>
        <family val="1"/>
        <charset val="204"/>
      </rPr>
      <t>Будівни́цтво — будівництво, реконструкція і реставрація об'єктів виробничої, комунікаційної та соціальної інфраструктури за рахунок власних коштів місцевих бюджетів.</t>
    </r>
  </si>
  <si>
    <r>
      <t xml:space="preserve">1 </t>
    </r>
    <r>
      <rPr>
        <sz val="10"/>
        <rFont val="Times New Roman"/>
        <family val="1"/>
        <charset val="204"/>
      </rPr>
      <t>Будівни́цтво — будівництво, реконструкція і реставрація об'єктів виробничої, комунікаційної та соціальної інфраструктури за рахунок власних коштів місцевих бюджетів.</t>
    </r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</si>
  <si>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</si>
  <si>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</si>
  <si>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бюджету Хмельницької міської територіальної громади всього, гривень</t>
  </si>
  <si>
    <t>Обсяг капітальних вкладень бюджету Хмельницької міської територіальної громади у 2022 році, гривень</t>
  </si>
  <si>
    <t>Очікуваний рівень готовності проекту на кінець 2022 року, %</t>
  </si>
  <si>
    <t>витрат бюджету Хмельницької міської територіальної громади на реалізацію місцевих/регіональних</t>
  </si>
  <si>
    <t>програм у 2022 році</t>
  </si>
  <si>
    <t>Хмельницької міської територіальної громади у 2022 році</t>
  </si>
  <si>
    <t>Надання спеціалізованої освіти мистецькими школами</t>
  </si>
  <si>
    <t>Реконструкція відділення невідкладної допомоги та реанімації комунального підприємства "Хмельницька міська дитяча лікарня" Хмельницької міської ради за адресою: м. Хмельницький, вул. Степана Разіна, 1</t>
  </si>
  <si>
    <t>Будівництво Палацу спорту по вул.Прибузькій, 5/1а у м.Хмельницькому (коригування)</t>
  </si>
  <si>
    <t>Будівництво артезіанської свердловини, водонапірної башти та водогону в с.Малашівці Хмельницького району Хмельницької області</t>
  </si>
  <si>
    <t xml:space="preserve"> Реконструкція з добудовою приміщень Хмельницького ліцею №17 під спортивну залу на вул. Героїв Майдану, 5 в м. Хмельницькому (коригування)</t>
  </si>
  <si>
    <t>Реставрація будівлі дитячої музичної школи № 1 ім. Миколи Мозгового по вул. Проскурівській,  18 в м. Хмельницькому</t>
  </si>
  <si>
    <t>Будівництвоˈ споруд, установ та закладів фізичної культури і спорту</t>
  </si>
  <si>
    <t>Будівництво спеціалізованого залу боксу на території спортивного комплексу "Поділля" ДЮСШ №1 по вул. Проскурівській, 81  в м. Хмельницькому (коригування)</t>
  </si>
  <si>
    <t>2018 - 2025 роки</t>
  </si>
  <si>
    <t xml:space="preserve">   Будівництво Льодового палацу  по вул.Прибузькій, 7/3А в м. Хмельницькому</t>
  </si>
  <si>
    <t>2018 - 2024 роки</t>
  </si>
  <si>
    <t>Будівництво внутрішньоквартального проїзду між земельними ділянками по вул. Старокостянтинівське шосе, 2/1 "З" в м. Хмельницькому</t>
  </si>
  <si>
    <t>Реконструкція  вбудовано-прибудованої аптеки під адміністративне приміщення управління адміністративних послуг Хмельницької міської ради  по вул. Кам'янецькій, 38 в м. Хмельницькому</t>
  </si>
  <si>
    <t xml:space="preserve">Будівництво каналізаційних мереж в мікрорайоні "Озерна" в м. Хмельницькому </t>
  </si>
  <si>
    <t>Будівництво вулиці Мельникова (від вул. Зарічанської до вул. Трудової) в м. Хмельницькому (коригування)</t>
  </si>
  <si>
    <t>Будівництво автодорожнього тунелю під залізничними коліями на перегоні Хмельницький - Гречани ПК 12256+71.00 в м. Хмельницькому</t>
  </si>
  <si>
    <t>Нове будівництво зовнішніх  мереж газопостачання індустріального парку  "Хмельницький" по вул. Вінницьке шосе, 18 в м. Хмельницькому</t>
  </si>
  <si>
    <t xml:space="preserve"> Нове будівництво зовнішніх мереж  водопостачання та каналізації індустріального парку  "Хмельницький" по  вул. Вінницьке шосе, 18 в м. Хмельницькому</t>
  </si>
  <si>
    <t>2818340</t>
  </si>
  <si>
    <t>8340</t>
  </si>
  <si>
    <t>Природоохоронні заходи за рахунок цільових фондів</t>
  </si>
  <si>
    <t>Придбання систем, приладів для здійснення контролю за якістю поверхневих та підземних вод на території міста</t>
  </si>
  <si>
    <t>Виготовлення проектів землеустрою щодо встановлення меж прибережних захисних смуг поверхневих водних об‘єктів на території територіальної громади</t>
  </si>
  <si>
    <t>0611033</t>
  </si>
  <si>
    <t>1033</t>
  </si>
  <si>
    <t>Надання загальної середньої освіти спеціалізованими закладами загальної середньої освіти</t>
  </si>
  <si>
    <t>2019 - 2022 роки</t>
  </si>
  <si>
    <t>Реконструкція стадіону Хмельницької середньої загальноосвітньої школи №18 І-ІІІ ступенів ім.В.Чорновола по вул. Купріна, 12 в  м.Хмельницькому</t>
  </si>
  <si>
    <t xml:space="preserve"> Реконструкція парку-пам'ятки садово-паркового мистецтва місцевого значення "Парк ім. М.Чекмана". Ділянка колеса огляду. </t>
  </si>
  <si>
    <t>Нове будівництво парку "Молодіжний" по вул. Бандери в м. Хмельницькому 1-а черга</t>
  </si>
  <si>
    <t>2022 рік</t>
  </si>
  <si>
    <t>Підвищення енергоефективності систем водопостачання та водоочищення: Реконструкція каналізаційних насосних станцій № 2, 7, 12 у місті Хмельницькому</t>
  </si>
  <si>
    <t>Внески до статутного капіталу ХКП "Спецкомунтранс" (Реконструкція "Винос газопроводу високого тиску з тіла полігону твердих побутових відходів м.Хмельницького" (коригування))</t>
  </si>
  <si>
    <t>Внески до статутного капіталу МКП "Хмельницькводоканал" (Будіництво ділянки водопроводу діам. 315 мм по вул. К.Степанкова в м. Хмельницький)</t>
  </si>
  <si>
    <t>Внески до статутного капіталу МКП "Хмельницькводоканал" (Будівництво мереж водовідведення вул.Д.Нечая, вул.Блакитної, пров. Молодіжного в м.Хмельницькому)</t>
  </si>
  <si>
    <t>Внески до статутного капіталу МКП "Хмельницькводоканал" (Нове будівництво зовнішніх мереж водопроводу в  с. Шаровечка Хмельницького району, Хмельницької області (ІІ черга))</t>
  </si>
  <si>
    <t>Внески до статутного капіталу МКП "Хмельницькводоканал" (Реконструкція ділянки водопроводу діаметром 500мм по вул. Тернопільська в м. Хмельницькій)</t>
  </si>
  <si>
    <t>2020 - 2022 роки</t>
  </si>
  <si>
    <t>Будівництво системи водопостачання в с.Бахматівці Хмельницького району Хмельницької області</t>
  </si>
  <si>
    <t>Будівництво другої черги водогону  від с.Чернелівка Красилівського району до м.Хмельницький</t>
  </si>
  <si>
    <t>Внески до статутного капіталу ХКП "Спецкомунтранс" (Нове будівництво нежитлового приміщення за адресою: вул.Заводська, 165 в м.Хмельницькому)</t>
  </si>
  <si>
    <t>Внески до статутного капіталу МКП "Хмельницькводоканал" (Реконструкція напірного каналізаційного колектора діаметром 225 мм від КНС-22, вул.Камянецька, 134/1Д в м.Хмельницький)</t>
  </si>
  <si>
    <t>1210180</t>
  </si>
  <si>
    <t>Проєкт Програми економічного і соціального розвитку Хмельницької міської територіальної громади на 2022 рік</t>
  </si>
  <si>
    <t xml:space="preserve"> Програма співфінансування робіт з реконструкції покрівель багатоквартирних житлових будинків на 2018 - 2022 роки</t>
  </si>
  <si>
    <t>Рішення 22-ї сесії Хмельницької міської ради від 04.07.2018 року №31</t>
  </si>
  <si>
    <t>1217300</t>
  </si>
  <si>
    <t>1217310</t>
  </si>
  <si>
    <t>Інша діяльність у сфері житлово-комунального господарства</t>
  </si>
  <si>
    <t>1416090</t>
  </si>
  <si>
    <t>6090</t>
  </si>
  <si>
    <t>0640</t>
  </si>
  <si>
    <t>Рішення 2-ї сесії Хмельницької міської ради від 23.12.2020 року №23</t>
  </si>
  <si>
    <t>Програма розвитку геоінформаційної системи Хмельницької міської ради на 2021 - 2025 роки</t>
  </si>
  <si>
    <t>2020 - 2023 роки</t>
  </si>
  <si>
    <r>
      <t>Будівництво</t>
    </r>
    <r>
      <rPr>
        <b/>
        <vertAlign val="superscript"/>
        <sz val="11"/>
        <rFont val="Times New Roman"/>
        <family val="1"/>
        <charset val="204"/>
      </rPr>
      <t>1</t>
    </r>
    <r>
      <rPr>
        <sz val="11"/>
        <rFont val="Times New Roman"/>
        <family val="1"/>
        <charset val="204"/>
      </rPr>
      <t>  об'єктів житлово-комунального господарства</t>
    </r>
  </si>
  <si>
    <t>Реконструкція покрівлі житлового будинку по вулиці Інститутська, 13 в м.Хмельницькому</t>
  </si>
  <si>
    <t xml:space="preserve">Програма зайнятості населення Хмельницької міської територіальної громади на 2021 - 2023 роки </t>
  </si>
  <si>
    <t>Реконструкція футбольного поля під штучним покриттям Хмельницької дитячо-юнацької спортивної школи № 1 по вул.Спортивній,17 в м. Хмельницькому</t>
  </si>
  <si>
    <t>Виконання гарантійних зобов'язань за позичальників, що отримали кредити під місцеві гарантії</t>
  </si>
  <si>
    <t>Надання коштів для забезпечення гарантійних зобов'язань за позичальників, що отримали кредити під місцеві гарантії</t>
  </si>
  <si>
    <t>Програма «Громадські ініціативи»
Хмельницької міської територіальної громади на 2021-2025 роки (із змінами)</t>
  </si>
  <si>
    <t xml:space="preserve">Збір за місця для паркування транспортних засобів </t>
  </si>
  <si>
    <t xml:space="preserve">Збір за місця для паркування транспортних засобів, сплачений юридичними особами </t>
  </si>
  <si>
    <t xml:space="preserve"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  </t>
  </si>
  <si>
    <t>Проєкт Програми розвитку освіти Хмельницької міської територіальної громади на 2022 - 2026 роки</t>
  </si>
  <si>
    <t>Видатки, що здійснюються згідно розпоряджень міського голови, рішень міської ради та її виконавчого комітету (в т.ч. оплата подарунків, квітів, сувенірної продукції, брендованої продукції, рамок, грамот, подяк, кубків і т.д.)</t>
  </si>
  <si>
    <t xml:space="preserve">Дотація з місцевого бюджету на здійснення  переданих з державного бюджету видатків з утримання закладів освіти та охорони здоров'я за рахунок відповідної дотації з державного бюджету </t>
  </si>
  <si>
    <t xml:space="preserve">Будівництво центру поводження з тваринами  КП "Надія" по вул. Заводській, 165 в м. Хмельницькому </t>
  </si>
  <si>
    <t>Програма економічного і соціального розвитку Хмельницької міської територіальної громади на 2022 рік</t>
  </si>
  <si>
    <t>Рішення 10-ї сесії Хмельницької міської ради від 15.12.2021 року №8</t>
  </si>
  <si>
    <t>Рішення 10-ї сесії Хмельницької міської ради від 15.12.2021 року №9</t>
  </si>
  <si>
    <t>Програма розвитку підприємництва Хмельницької міської територіальної громади на 2022 - 2025 роки</t>
  </si>
  <si>
    <t>Рішення 10-ї сесії Хмельницької міської ради від 15.12.2021 року №16</t>
  </si>
  <si>
    <t>Програма висвітлення діяльності Хмельницької міської ради
та її виконавчих органів на 2022 рік</t>
  </si>
  <si>
    <t>Програма реалізації молодіжної політики та розвитку фізичної культури і спорту в Хмельницькій міській територіальній громаді на 2022 - 2026 роки</t>
  </si>
  <si>
    <t>Рішення 10-ї сесії Хмельницької міської ради від 15.12.2021 року №25</t>
  </si>
  <si>
    <t>Рішення 10-ї сесії Хмельницької міської ради від 15.12.2021 року №45</t>
  </si>
  <si>
    <t>Програма розвитку освіти Хмельницької міської територіальної громади на 2022 - 2026 роки</t>
  </si>
  <si>
    <t>Рішення 10-ї сесії Хмельницької міської ради від 15.12.2021 року №50</t>
  </si>
  <si>
    <t>Програма підтримки і розвитку житлово-комунальної інфраструктури Хмельницької міської територіальної громади на 2022 - 2027 роки</t>
  </si>
  <si>
    <t>Рішення 10-ї сесії Хмельницької міської ради від 15.12.2021 року №52</t>
  </si>
  <si>
    <t>Рішення 10-ї сесії Хмельницької міської ради від 15.12.2021 року №65</t>
  </si>
  <si>
    <t>Програма фінансової підтримки комунальної установи Хмельницької міської ради "Агенція розвитку Хмельницького" на 2022-2024 роки</t>
  </si>
  <si>
    <t>Нове будівництво зовнішніх мереж водопостачання в с. Копистин Хмельницького району Хмельницької області</t>
  </si>
  <si>
    <t>1917600</t>
  </si>
  <si>
    <t>1917670</t>
  </si>
  <si>
    <t>Внески до статутного капіталу суб'єктів господарювання</t>
  </si>
  <si>
    <t>Програма навчання, підготовки та підвищення кваліфікації посадових осіб місцевого самоврядування, керівних працівників підприємств, установ і організацій Хмельницької міської територіальної громади, членів виконавчого комітету та депутатів міської ради на 2022 рік</t>
  </si>
  <si>
    <t>Рішення 11-ї сесії Хмельницької міської ради від 30.12.2021 року №7</t>
  </si>
  <si>
    <t>Програма соціальної підтримки учасників АТО/ООС, учасників Революції Гідності та членів їх сімей на 2021 - 2025 роки (із змінами)</t>
  </si>
  <si>
    <t>Розвиток спортивної інфраструктури, у тому числі реконструкція, будівельно-ремонтні роботи об'єктів закладів фізичної культури і спорту, що забезпечують розвиток резервного спорту, льодових палаців/арен та стадіонів</t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</si>
  <si>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медичних установ та закладів</t>
    </r>
  </si>
  <si>
    <t>0717322</t>
  </si>
  <si>
    <t>0717320</t>
  </si>
  <si>
    <t>7322</t>
  </si>
  <si>
    <r>
      <t>Будівництво</t>
    </r>
    <r>
      <rPr>
        <b/>
        <vertAlign val="superscript"/>
        <sz val="11"/>
        <rFont val="Times New Roman"/>
        <family val="1"/>
        <charset val="204"/>
      </rPr>
      <t>1</t>
    </r>
    <r>
      <rPr>
        <sz val="11"/>
        <rFont val="Times New Roman"/>
        <family val="1"/>
        <charset val="204"/>
      </rPr>
      <t>  медичних установ та закладів</t>
    </r>
  </si>
  <si>
    <t>Реконструкція системи киснепостачання в КП "Хмельницька міська лікарня" Хмельницької міської ради по провулку  Проскурівський,1 м. Хмельницький (в тому числі виготовлення проєктно-кошторисної документації)</t>
  </si>
  <si>
    <t>1417693</t>
  </si>
  <si>
    <t>Громадський порядок та безпека</t>
  </si>
  <si>
    <t>0218200</t>
  </si>
  <si>
    <t>8200</t>
  </si>
  <si>
    <t>Заходи та роботи з територіальної оборони</t>
  </si>
  <si>
    <t>0380</t>
  </si>
  <si>
    <t>0218240</t>
  </si>
  <si>
    <t>8240</t>
  </si>
  <si>
    <t>Вільний залишок коштів на 01.01.2022  року:</t>
  </si>
  <si>
    <t>Надання грошової допомоги за поданням секретаря ради, або керуючого справами виконавчого комітету на підставі рішення виконавчого комітету Хмельницької міської ради для поховання: загиблих та померлих учасників ООС, загиблих та померлих учасників, які брали участь у відсічі під час захисту державного суверенітету та територіальної цілісності України в період військової агресії Російської Федерації проти України; Почесних громадян міста; інших осіб. Виплата грошової винагороди у розмірі, передбаченому Положенням про звання «Почесний громадянин міста Хмельницького», Положенням «Про почесну відзнаку міської громади «Мужність і відвага»</t>
  </si>
  <si>
    <t>від              2022</t>
  </si>
  <si>
    <t>до рішення №   від  2022 року</t>
  </si>
  <si>
    <t xml:space="preserve">до рішення  №       від                    2022 року </t>
  </si>
  <si>
    <t>Додаток 4
до рішення  №    від               2022 року</t>
  </si>
  <si>
    <t>до рішення №    від            2022 року</t>
  </si>
  <si>
    <t xml:space="preserve">Додаток 6
до рішення №         від               2022 року
</t>
  </si>
  <si>
    <t xml:space="preserve">до рішення  №      від            2022 року </t>
  </si>
  <si>
    <t xml:space="preserve"> від          .2022</t>
  </si>
  <si>
    <t>від                 2022</t>
  </si>
  <si>
    <t>Рішення 15-ї сесії Хмельницької міської ради від 09.03.2022 року №1</t>
  </si>
  <si>
    <t>Рішення 13-ї сесії Хмельницької міської ради від 23.02.2022 року №3</t>
  </si>
  <si>
    <t>Програма шефської допомоги військовим частинам Збройних Сил України, Національної гвардії України, які розташовані на території Хмельницької міської територіальної громади на 2022-2023 роки (із змінами)</t>
  </si>
  <si>
    <t>Програма заходів національного спротиву Хмельницької міської територіальної громади на 2022 рік (із змінами)</t>
  </si>
  <si>
    <t>Комплексна програма «Піклування» в Хмельницькій міській територіальній громаді на 2022 - 2026 роки (із змінами)</t>
  </si>
  <si>
    <t>1517693</t>
  </si>
  <si>
    <t xml:space="preserve">Керуючий справами </t>
  </si>
  <si>
    <t>Ю. САБІЙ</t>
  </si>
  <si>
    <t>1014070</t>
  </si>
  <si>
    <t>4070</t>
  </si>
  <si>
    <t>Фінансова підтримка кінематографії</t>
  </si>
  <si>
    <t>0823</t>
  </si>
  <si>
    <t>0713000</t>
  </si>
  <si>
    <t>0713230</t>
  </si>
  <si>
    <t>3230</t>
  </si>
  <si>
    <t>Видатки, пов’язані з наданням підтримки внутрішньо переміщеним та/або евакуйованим особам у зв’язку із введенням воєнного стану</t>
  </si>
  <si>
    <t>Програма розвитку, підтримки комунальних закладів охорони здоров’я та надання 
медичних послуг понад обсяг, передбачений програмою державних гарантій медичного обслуговування населення Хмельницької міської 
територіальної громади на 2021 - 2023 роки (зі змінами)</t>
  </si>
  <si>
    <t>0813230</t>
  </si>
  <si>
    <t>Програма забезпечення антитерористичного та протидиверсійного захисту важливих державних об’єктів, місць масового перебування людей, об’єктів критичної та транспортної інфраструктури Хмельницької міської територіальної громади  на 2021-2022 роки (із змінами)</t>
  </si>
  <si>
    <t>3717600</t>
  </si>
  <si>
    <t>3717690</t>
  </si>
  <si>
    <t>3717693</t>
  </si>
  <si>
    <t>Програма охорони довкілля Хмельницької міської територіальної громади на 2021-2025 роки (із змінами)</t>
  </si>
  <si>
    <t xml:space="preserve">Акцизний податок з реалізації суб’єктами господарювання роздрібної торгівлі підакцизних товарів (крім тих, що оподатковуються згідно з підпунктом 213.1.14 пункту 213.1  статті 213 Податкового кодексу України) </t>
  </si>
  <si>
    <t xml:space="preserve">Акцизний податок з реалізації виробниками та/або імпортерами, у тому числі в роздрібній торгівлі тютюнових виробів, тютюну та примислових замінників тютюну, рідин, що використовуються в електронних сигаретах, що оподатковується згідно з підпунктом 213.1.14 пункту 213.1  статті 213 Податкового кодексу України </t>
  </si>
  <si>
    <t>Акцизний податок з реалізації суб’єктами господарювання роздрібної торгівлі підакцизними товарами</t>
  </si>
  <si>
    <t>Спрямування коштів на житлове будівництво, реконструкцію та на ремонт житла всіх форм власності, в т. ч. будинків житлово-будівельних кооперативів (ТОВ «ЖЕО»), об'єднань співвласників багатоквартирних будинків, Будинкоуправління №2 КЕВ м.Хмельницький, ТОВ «Керуюча компанія «Домком Хмельницький» та будівель і споруд комунальної власності, ремонт споруд цивільного захисту (укриття, бомбосховища, тощо) комунальної власності</t>
  </si>
  <si>
    <t>Цільова Програма попередження виникнення надзвичайних ситуацій та забезпечення 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(із змінами)</t>
  </si>
  <si>
    <t>Програма профілактики адміністративних правопорушень та покращення забезпечення громадського правопорядку для жителів Хмельницької міської територіальної громади на 2021 - 2022 роки (із змінами)</t>
  </si>
  <si>
    <t>0218230</t>
  </si>
  <si>
    <t>8230</t>
  </si>
  <si>
    <t>Інші заходи громадського порядку та безпеки</t>
  </si>
  <si>
    <t>0813121</t>
  </si>
  <si>
    <t>РІЗНИЦЯ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</si>
</sst>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₴_-;\-* #,##0.00\ _₴_-;_-* &quot;-&quot;??\ _₴_-;_-@_-"/>
    <numFmt numFmtId="165" formatCode="_-* #,##0.00_₴_-;\-* #,##0.00_₴_-;_-* &quot;-&quot;??_₴_-;_-@_-"/>
    <numFmt numFmtId="166" formatCode="#,##0.0"/>
    <numFmt numFmtId="167" formatCode="0.0"/>
    <numFmt numFmtId="168" formatCode="#,##0.00000"/>
    <numFmt numFmtId="169" formatCode="_-* #,##0.00_₴_-;\-* #,##0.00_₴_-;_-* \-??_₴_-;_-@_-"/>
  </numFmts>
  <fonts count="198" x14ac:knownFonts="1"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MS Sans Serif"/>
      <family val="2"/>
      <charset val="204"/>
    </font>
    <font>
      <sz val="10"/>
      <name val="Times New Roman"/>
      <family val="1"/>
      <charset val="204"/>
    </font>
    <font>
      <sz val="10"/>
      <name val="Times New Roman Cyr"/>
      <family val="1"/>
      <charset val="204"/>
    </font>
    <font>
      <b/>
      <sz val="10"/>
      <name val="Times New Roman Cyr"/>
      <family val="1"/>
      <charset val="204"/>
    </font>
    <font>
      <b/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0"/>
      <name val="Courier New"/>
      <family val="3"/>
      <charset val="204"/>
    </font>
    <font>
      <sz val="11"/>
      <color indexed="19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36"/>
      <name val="Times New Roman"/>
      <family val="1"/>
      <charset val="204"/>
    </font>
    <font>
      <sz val="36"/>
      <name val="Times New Roman"/>
      <family val="1"/>
      <charset val="204"/>
    </font>
    <font>
      <b/>
      <sz val="37"/>
      <name val="Times New Roman"/>
      <family val="1"/>
      <charset val="204"/>
    </font>
    <font>
      <sz val="37"/>
      <name val="Times New Roman"/>
      <family val="1"/>
      <charset val="204"/>
    </font>
    <font>
      <sz val="36"/>
      <name val="Arial Cyr"/>
      <charset val="204"/>
    </font>
    <font>
      <b/>
      <sz val="1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i/>
      <sz val="11"/>
      <name val="Times New Roman"/>
      <family val="1"/>
      <charset val="204"/>
    </font>
    <font>
      <sz val="10"/>
      <name val="Arial Cyr"/>
      <charset val="204"/>
    </font>
    <font>
      <sz val="11"/>
      <name val="Times New Roman Cyr"/>
      <charset val="204"/>
    </font>
    <font>
      <i/>
      <sz val="10"/>
      <name val="Arial Cyr"/>
      <charset val="204"/>
    </font>
    <font>
      <sz val="11"/>
      <name val="Arial Cyr"/>
      <charset val="204"/>
    </font>
    <font>
      <b/>
      <sz val="36"/>
      <name val="Times New Roman Cyr"/>
      <family val="1"/>
      <charset val="204"/>
    </font>
    <font>
      <b/>
      <sz val="16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sz val="10"/>
      <name val="Times New Roman CYR"/>
      <charset val="204"/>
    </font>
    <font>
      <sz val="9"/>
      <name val="Times New Roman CYR"/>
      <charset val="204"/>
    </font>
    <font>
      <b/>
      <sz val="12.5"/>
      <name val="Times New Roman"/>
      <family val="1"/>
      <charset val="204"/>
    </font>
    <font>
      <sz val="12"/>
      <name val="Arial Cyr"/>
      <charset val="204"/>
    </font>
    <font>
      <sz val="12.5"/>
      <name val="Times New Roman"/>
      <family val="1"/>
      <charset val="204"/>
    </font>
    <font>
      <b/>
      <i/>
      <sz val="12.5"/>
      <name val="Times New Roman"/>
      <family val="1"/>
      <charset val="204"/>
    </font>
    <font>
      <b/>
      <i/>
      <sz val="10"/>
      <name val="Arial"/>
      <family val="2"/>
      <charset val="204"/>
    </font>
    <font>
      <sz val="28"/>
      <name val="Arial Cyr"/>
      <charset val="204"/>
    </font>
    <font>
      <u/>
      <sz val="10"/>
      <color indexed="12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48"/>
      <name val="Times New Roman Cyr"/>
      <family val="1"/>
      <charset val="204"/>
    </font>
    <font>
      <vertAlign val="superscript"/>
      <sz val="20"/>
      <name val="Times New Roman"/>
      <family val="1"/>
      <charset val="204"/>
    </font>
    <font>
      <sz val="20"/>
      <name val="Times New Roman"/>
      <family val="1"/>
      <charset val="204"/>
    </font>
    <font>
      <sz val="20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family val="2"/>
      <charset val="204"/>
    </font>
    <font>
      <sz val="36"/>
      <name val="Times New Roman Cyr"/>
      <family val="1"/>
      <charset val="204"/>
    </font>
    <font>
      <i/>
      <sz val="10"/>
      <name val="Times New Roman"/>
      <family val="1"/>
      <charset val="204"/>
    </font>
    <font>
      <sz val="50"/>
      <name val="Arial Cyr"/>
      <charset val="204"/>
    </font>
    <font>
      <sz val="11"/>
      <name val="Times New Roman Cyr"/>
      <family val="1"/>
      <charset val="204"/>
    </font>
    <font>
      <b/>
      <sz val="11"/>
      <name val="Times New Roman Cyr"/>
      <family val="1"/>
      <charset val="204"/>
    </font>
    <font>
      <i/>
      <sz val="11"/>
      <name val="Times New Roman Cyr"/>
      <family val="1"/>
      <charset val="204"/>
    </font>
    <font>
      <sz val="22"/>
      <name val="Times New Roman"/>
      <family val="1"/>
      <charset val="204"/>
    </font>
    <font>
      <sz val="36"/>
      <color indexed="8"/>
      <name val="Times New Roman"/>
      <family val="1"/>
      <charset val="204"/>
    </font>
    <font>
      <sz val="72"/>
      <name val="Arial Cyr"/>
      <charset val="204"/>
    </font>
    <font>
      <sz val="11"/>
      <color theme="1"/>
      <name val="Calibri"/>
      <family val="2"/>
      <scheme val="minor"/>
    </font>
    <font>
      <sz val="9"/>
      <name val="Arial Cyr"/>
      <charset val="204"/>
    </font>
    <font>
      <u/>
      <sz val="9"/>
      <color indexed="8"/>
      <name val="Times New Roman"/>
      <family val="1"/>
      <charset val="204"/>
    </font>
    <font>
      <u/>
      <sz val="9"/>
      <name val="Arial Cyr"/>
      <charset val="204"/>
    </font>
    <font>
      <u/>
      <sz val="36"/>
      <color indexed="8"/>
      <name val="Times New Roman"/>
      <family val="1"/>
      <charset val="204"/>
    </font>
    <font>
      <u/>
      <sz val="36"/>
      <name val="Arial Cyr"/>
      <charset val="204"/>
    </font>
    <font>
      <u/>
      <sz val="10"/>
      <color indexed="8"/>
      <name val="Times New Roman"/>
      <family val="1"/>
      <charset val="204"/>
    </font>
    <font>
      <u/>
      <sz val="10"/>
      <name val="Arial Cyr"/>
      <charset val="204"/>
    </font>
    <font>
      <sz val="28"/>
      <name val="Times New Roman Cyr"/>
      <family val="1"/>
      <charset val="204"/>
    </font>
    <font>
      <b/>
      <sz val="36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b/>
      <sz val="10"/>
      <color rgb="FFFF0000"/>
      <name val="Arial Cyr"/>
      <charset val="204"/>
    </font>
    <font>
      <b/>
      <i/>
      <sz val="36"/>
      <color rgb="FFFF0000"/>
      <name val="Times New Roman"/>
      <family val="1"/>
      <charset val="204"/>
    </font>
    <font>
      <sz val="36"/>
      <color rgb="FFFF0000"/>
      <name val="Times New Roman"/>
      <family val="1"/>
      <charset val="204"/>
    </font>
    <font>
      <sz val="37"/>
      <color rgb="FFFF0000"/>
      <name val="Times New Roman"/>
      <family val="1"/>
      <charset val="204"/>
    </font>
    <font>
      <b/>
      <sz val="12.5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37"/>
      <color rgb="FFFF0000"/>
      <name val="Times New Roman"/>
      <family val="1"/>
      <charset val="204"/>
    </font>
    <font>
      <b/>
      <i/>
      <sz val="36"/>
      <name val="Times New Roman"/>
      <family val="1"/>
      <charset val="204"/>
    </font>
    <font>
      <b/>
      <sz val="10"/>
      <name val="Times New Roman CYR"/>
      <charset val="204"/>
    </font>
    <font>
      <i/>
      <sz val="10"/>
      <color rgb="FFFF0000"/>
      <name val="Arial Cyr"/>
      <charset val="204"/>
    </font>
    <font>
      <sz val="36"/>
      <color rgb="FFFF0000"/>
      <name val="Arial Cyr"/>
      <charset val="204"/>
    </font>
    <font>
      <b/>
      <sz val="36"/>
      <color rgb="FFFF0000"/>
      <name val="Arial Cyr"/>
      <charset val="204"/>
    </font>
    <font>
      <b/>
      <sz val="48"/>
      <color rgb="FFFF0000"/>
      <name val="Times New Roman Cyr"/>
      <family val="1"/>
      <charset val="204"/>
    </font>
    <font>
      <b/>
      <sz val="36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FF0000"/>
      <name val="Times New Roman CYR"/>
      <charset val="204"/>
    </font>
    <font>
      <b/>
      <sz val="14"/>
      <color rgb="FFFF0000"/>
      <name val="Times New Roman CYR"/>
      <charset val="204"/>
    </font>
    <font>
      <sz val="12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4"/>
      <color rgb="FFFF0000"/>
      <name val="Times New Roman"/>
      <family val="1"/>
      <charset val="204"/>
    </font>
    <font>
      <b/>
      <i/>
      <sz val="37"/>
      <color rgb="FFFF0000"/>
      <name val="Times New Roman"/>
      <family val="1"/>
      <charset val="204"/>
    </font>
    <font>
      <sz val="36"/>
      <color theme="1"/>
      <name val="Times New Roman"/>
      <family val="1"/>
      <charset val="204"/>
    </font>
    <font>
      <b/>
      <i/>
      <sz val="37"/>
      <name val="Times New Roman"/>
      <family val="1"/>
      <charset val="204"/>
    </font>
    <font>
      <b/>
      <sz val="37"/>
      <color theme="1"/>
      <name val="Times New Roman"/>
      <family val="1"/>
      <charset val="204"/>
    </font>
    <font>
      <sz val="26"/>
      <name val="Times New Roman Cyr"/>
      <family val="1"/>
      <charset val="204"/>
    </font>
    <font>
      <sz val="22"/>
      <name val="Arial Cyr"/>
      <charset val="204"/>
    </font>
    <font>
      <sz val="36"/>
      <color rgb="FF000099"/>
      <name val="Times New Roman"/>
      <family val="1"/>
      <charset val="204"/>
    </font>
    <font>
      <sz val="10"/>
      <color rgb="FFFF0000"/>
      <name val="Times New Roman Cyr"/>
      <family val="1"/>
      <charset val="204"/>
    </font>
    <font>
      <sz val="10"/>
      <color rgb="FF000099"/>
      <name val="Arial Cyr"/>
      <charset val="204"/>
    </font>
    <font>
      <sz val="48"/>
      <name val="Times New Roman Cyr"/>
      <family val="1"/>
      <charset val="204"/>
    </font>
    <font>
      <sz val="37"/>
      <color theme="1"/>
      <name val="Times New Roman"/>
      <family val="1"/>
      <charset val="204"/>
    </font>
    <font>
      <b/>
      <i/>
      <sz val="36"/>
      <color theme="1"/>
      <name val="Times New Roman"/>
      <family val="1"/>
      <charset val="204"/>
    </font>
    <font>
      <sz val="10"/>
      <color theme="1"/>
      <name val="Arial Cyr"/>
      <charset val="204"/>
    </font>
    <font>
      <sz val="36"/>
      <color theme="1"/>
      <name val="Arial Cyr"/>
      <charset val="204"/>
    </font>
    <font>
      <b/>
      <vertAlign val="superscript"/>
      <sz val="36"/>
      <name val="Times New Roman"/>
      <family val="1"/>
      <charset val="204"/>
    </font>
    <font>
      <i/>
      <sz val="36"/>
      <name val="Times New Roman"/>
      <family val="1"/>
      <charset val="204"/>
    </font>
    <font>
      <i/>
      <sz val="37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0"/>
      <name val="Arial Cyr"/>
      <charset val="204"/>
    </font>
    <font>
      <i/>
      <sz val="36"/>
      <color theme="1"/>
      <name val="Times New Roman"/>
      <family val="1"/>
      <charset val="204"/>
    </font>
    <font>
      <b/>
      <i/>
      <sz val="36"/>
      <color rgb="FFFF0000"/>
      <name val="Arial Cyr"/>
      <charset val="204"/>
    </font>
    <font>
      <b/>
      <vertAlign val="superscript"/>
      <sz val="11"/>
      <name val="Times New Roman"/>
      <family val="1"/>
      <charset val="204"/>
    </font>
    <font>
      <i/>
      <sz val="36"/>
      <color rgb="FFFF0000"/>
      <name val="Times New Roman"/>
      <family val="1"/>
      <charset val="204"/>
    </font>
    <font>
      <i/>
      <sz val="37"/>
      <color theme="1"/>
      <name val="Times New Roman"/>
      <family val="1"/>
      <charset val="204"/>
    </font>
    <font>
      <b/>
      <i/>
      <vertAlign val="superscript"/>
      <sz val="36"/>
      <name val="Times New Roman"/>
      <family val="1"/>
      <charset val="204"/>
    </font>
    <font>
      <sz val="35"/>
      <name val="Times New Roman"/>
      <family val="1"/>
      <charset val="204"/>
    </font>
    <font>
      <sz val="34"/>
      <name val="Times New Roman"/>
      <family val="1"/>
      <charset val="204"/>
    </font>
    <font>
      <u/>
      <sz val="10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36"/>
      <color rgb="FF000000"/>
      <name val="Times New Roman"/>
      <family val="1"/>
      <charset val="204"/>
    </font>
    <font>
      <b/>
      <sz val="2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indexed="62"/>
      <name val="Cambria"/>
      <family val="2"/>
      <charset val="204"/>
    </font>
    <font>
      <b/>
      <sz val="36"/>
      <color rgb="FF000099"/>
      <name val="Times New Roman"/>
      <family val="1"/>
      <charset val="204"/>
    </font>
    <font>
      <b/>
      <sz val="10"/>
      <color rgb="FF000099"/>
      <name val="Arial Cyr"/>
      <charset val="204"/>
    </font>
    <font>
      <i/>
      <sz val="10"/>
      <color indexed="8"/>
      <name val="Times New Roman"/>
      <family val="1"/>
      <charset val="204"/>
    </font>
    <font>
      <b/>
      <sz val="28"/>
      <name val="Arial Cyr"/>
      <charset val="204"/>
    </font>
    <font>
      <b/>
      <u/>
      <sz val="16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4"/>
      <color rgb="FF00FFCC"/>
      <name val="Times New Roman"/>
      <family val="1"/>
      <charset val="204"/>
    </font>
    <font>
      <b/>
      <sz val="12"/>
      <color rgb="FF00FFCC"/>
      <name val="Times New Roman"/>
      <family val="1"/>
      <charset val="204"/>
    </font>
    <font>
      <sz val="10"/>
      <color rgb="FF00FFCC"/>
      <name val="Arial Cyr"/>
      <charset val="204"/>
    </font>
    <font>
      <b/>
      <sz val="48"/>
      <color rgb="FF00FFCC"/>
      <name val="Times New Roman Cyr"/>
      <family val="1"/>
      <charset val="204"/>
    </font>
    <font>
      <sz val="36"/>
      <color rgb="FF00FFCC"/>
      <name val="Times New Roman"/>
      <family val="1"/>
      <charset val="204"/>
    </font>
    <font>
      <b/>
      <sz val="10"/>
      <color rgb="FF00FFCC"/>
      <name val="Arial Cyr"/>
      <charset val="204"/>
    </font>
    <font>
      <b/>
      <sz val="36"/>
      <color rgb="FF00FFCC"/>
      <name val="Times New Roman"/>
      <family val="1"/>
      <charset val="204"/>
    </font>
    <font>
      <b/>
      <i/>
      <sz val="36"/>
      <color rgb="FF00FFCC"/>
      <name val="Times New Roman"/>
      <family val="1"/>
      <charset val="204"/>
    </font>
    <font>
      <b/>
      <sz val="10"/>
      <color rgb="FF00FFCC"/>
      <name val="Times New Roman"/>
      <family val="1"/>
      <charset val="204"/>
    </font>
    <font>
      <b/>
      <i/>
      <sz val="10"/>
      <color rgb="FF00FFCC"/>
      <name val="Times New Roman"/>
      <family val="1"/>
      <charset val="204"/>
    </font>
    <font>
      <i/>
      <sz val="10"/>
      <color rgb="FF00FFCC"/>
      <name val="Times New Roman"/>
      <family val="1"/>
      <charset val="204"/>
    </font>
    <font>
      <sz val="10"/>
      <color rgb="FF00FFCC"/>
      <name val="Times New Roman"/>
      <family val="1"/>
      <charset val="204"/>
    </font>
    <font>
      <i/>
      <sz val="36"/>
      <color rgb="FF00FFCC"/>
      <name val="Arial Cyr"/>
      <charset val="204"/>
    </font>
    <font>
      <i/>
      <sz val="10"/>
      <color rgb="FF00FFCC"/>
      <name val="Arial Cyr"/>
      <charset val="204"/>
    </font>
    <font>
      <sz val="36"/>
      <color rgb="FF00FFCC"/>
      <name val="Arial Cyr"/>
      <charset val="204"/>
    </font>
    <font>
      <b/>
      <sz val="36"/>
      <color rgb="FF00FFCC"/>
      <name val="Arial Cyr"/>
      <charset val="204"/>
    </font>
    <font>
      <b/>
      <i/>
      <sz val="10"/>
      <color rgb="FF00FFCC"/>
      <name val="Arial Cyr"/>
      <charset val="204"/>
    </font>
    <font>
      <b/>
      <sz val="37"/>
      <color rgb="FF00FFCC"/>
      <name val="Times New Roman"/>
      <family val="1"/>
      <charset val="204"/>
    </font>
    <font>
      <sz val="37"/>
      <color rgb="FF00FFCC"/>
      <name val="Times New Roman"/>
      <family val="1"/>
      <charset val="204"/>
    </font>
    <font>
      <i/>
      <sz val="37"/>
      <color rgb="FF00FFCC"/>
      <name val="Times New Roman"/>
      <family val="1"/>
      <charset val="204"/>
    </font>
    <font>
      <b/>
      <i/>
      <sz val="37"/>
      <color rgb="FF00FFCC"/>
      <name val="Times New Roman"/>
      <family val="1"/>
      <charset val="204"/>
    </font>
    <font>
      <sz val="12"/>
      <color rgb="FF00FFCC"/>
      <name val="Times New Roman"/>
      <family val="1"/>
      <charset val="204"/>
    </font>
    <font>
      <sz val="48"/>
      <color rgb="FF00FFCC"/>
      <name val="Arial Cyr"/>
      <charset val="204"/>
    </font>
    <font>
      <b/>
      <sz val="16"/>
      <color rgb="FF00FFCC"/>
      <name val="Times New Roman"/>
      <family val="1"/>
      <charset val="204"/>
    </font>
    <font>
      <sz val="36"/>
      <color rgb="FF00FFCC"/>
      <name val="Times New Roman Cyr"/>
      <family val="1"/>
      <charset val="204"/>
    </font>
    <font>
      <sz val="48"/>
      <color rgb="FF00FFCC"/>
      <name val="Times New Roman Cyr"/>
      <family val="1"/>
      <charset val="204"/>
    </font>
    <font>
      <sz val="22"/>
      <color rgb="FF00FFCC"/>
      <name val="Times New Roman Cyr"/>
      <family val="1"/>
      <charset val="204"/>
    </font>
    <font>
      <b/>
      <sz val="10"/>
      <color rgb="FF00FFCC"/>
      <name val="Times New Roman Cyr"/>
      <family val="1"/>
      <charset val="204"/>
    </font>
    <font>
      <sz val="10"/>
      <color rgb="FF00FFCC"/>
      <name val="Times New Roman Cyr"/>
      <family val="1"/>
      <charset val="204"/>
    </font>
    <font>
      <sz val="22"/>
      <color rgb="FF00FFCC"/>
      <name val="Times New Roman"/>
      <family val="1"/>
      <charset val="204"/>
    </font>
    <font>
      <b/>
      <sz val="72"/>
      <color rgb="FF00FFCC"/>
      <name val="Times New Roman"/>
      <family val="1"/>
      <charset val="204"/>
    </font>
    <font>
      <sz val="48"/>
      <color rgb="FF00FFCC"/>
      <name val="Times New Roman"/>
      <family val="1"/>
      <charset val="204"/>
    </font>
    <font>
      <sz val="28"/>
      <color rgb="FF00FFCC"/>
      <name val="Times New Roman"/>
      <family val="1"/>
      <charset val="204"/>
    </font>
    <font>
      <sz val="72"/>
      <name val="Times New Roman"/>
      <family val="1"/>
      <charset val="204"/>
    </font>
  </fonts>
  <fills count="43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4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gradientFill type="path" left="0.5" right="0.5" top="0.5" bottom="0.5">
        <stop position="0">
          <color theme="0"/>
        </stop>
        <stop position="1">
          <color theme="9" tint="0.80001220740379042"/>
        </stop>
      </gradientFill>
    </fill>
    <fill>
      <gradientFill type="path" left="0.5" right="0.5" top="0.5" bottom="0.5">
        <stop position="0">
          <color theme="0"/>
        </stop>
        <stop position="1">
          <color rgb="FFCCFFCC"/>
        </stop>
      </gradientFill>
    </fill>
    <fill>
      <patternFill patternType="solid">
        <fgColor rgb="FFFF0000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rgb="FF00FF99"/>
        <bgColor auto="1"/>
      </patternFill>
    </fill>
    <fill>
      <patternFill patternType="solid">
        <fgColor rgb="FFFFFF99"/>
        <bgColor indexed="64"/>
      </patternFill>
    </fill>
    <fill>
      <patternFill patternType="solid">
        <fgColor rgb="FF00CCFF"/>
        <bgColor indexed="64"/>
      </patternFill>
    </fill>
    <fill>
      <gradientFill degree="270">
        <stop position="0">
          <color theme="0"/>
        </stop>
        <stop position="1">
          <color rgb="FF00CCFF"/>
        </stop>
      </gradientFill>
    </fill>
    <fill>
      <gradientFill degree="90">
        <stop position="0">
          <color theme="0"/>
        </stop>
        <stop position="1">
          <color rgb="FF00CCFF"/>
        </stop>
      </gradientFill>
    </fill>
    <fill>
      <gradientFill degree="90">
        <stop position="0">
          <color theme="0"/>
        </stop>
        <stop position="1">
          <color theme="9" tint="0.59999389629810485"/>
        </stop>
      </gradientFill>
    </fill>
    <fill>
      <gradientFill degree="90">
        <stop position="0">
          <color theme="0"/>
        </stop>
        <stop position="1">
          <color rgb="FF00B0F0"/>
        </stop>
      </gradientFill>
    </fill>
    <fill>
      <gradientFill degree="270">
        <stop position="0">
          <color theme="0"/>
        </stop>
        <stop position="1">
          <color rgb="FFFFFF99"/>
        </stop>
      </gradientFill>
    </fill>
    <fill>
      <patternFill patternType="solid">
        <fgColor rgb="FFCCFF99"/>
        <bgColor indexed="64"/>
      </patternFill>
    </fill>
    <fill>
      <gradientFill degree="270">
        <stop position="0">
          <color theme="0"/>
        </stop>
        <stop position="1">
          <color rgb="FFCCFF99"/>
        </stop>
      </gradientFill>
    </fill>
    <fill>
      <gradientFill degree="90">
        <stop position="0">
          <color theme="0"/>
        </stop>
        <stop position="1">
          <color rgb="FFCCFF99"/>
        </stop>
      </gradientFill>
    </fill>
    <fill>
      <gradientFill degree="90">
        <stop position="0">
          <color rgb="FFCCFF99"/>
        </stop>
        <stop position="1">
          <color rgb="FFCCFF99"/>
        </stop>
      </gradientFill>
    </fill>
    <fill>
      <gradientFill degree="225">
        <stop position="0">
          <color theme="0"/>
        </stop>
        <stop position="1">
          <color rgb="FFFFFF99"/>
        </stop>
      </gradient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/>
      <diagonal/>
    </border>
    <border>
      <left style="double">
        <color theme="0" tint="-0.499984740745262"/>
      </left>
      <right/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thin">
        <color indexed="64"/>
      </bottom>
      <diagonal/>
    </border>
    <border>
      <left/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/>
      <diagonal/>
    </border>
    <border>
      <left/>
      <right style="double">
        <color theme="0" tint="-0.499984740745262"/>
      </right>
      <top style="double">
        <color theme="0" tint="-0.499984740745262"/>
      </top>
      <bottom/>
      <diagonal/>
    </border>
  </borders>
  <cellStyleXfs count="190">
    <xf numFmtId="0" fontId="0" fillId="0" borderId="0"/>
    <xf numFmtId="0" fontId="9" fillId="0" borderId="0"/>
    <xf numFmtId="0" fontId="22" fillId="2" borderId="1" applyNumberFormat="0" applyAlignment="0" applyProtection="0"/>
    <xf numFmtId="0" fontId="30" fillId="3" borderId="0" applyNumberFormat="0" applyBorder="0" applyAlignment="0" applyProtection="0"/>
    <xf numFmtId="0" fontId="23" fillId="0" borderId="2" applyNumberFormat="0" applyFill="0" applyAlignment="0" applyProtection="0"/>
    <xf numFmtId="0" fontId="24" fillId="0" borderId="3" applyNumberFormat="0" applyFill="0" applyAlignment="0" applyProtection="0"/>
    <xf numFmtId="0" fontId="25" fillId="0" borderId="4" applyNumberFormat="0" applyFill="0" applyAlignment="0" applyProtection="0"/>
    <xf numFmtId="0" fontId="25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9" fillId="0" borderId="0"/>
    <xf numFmtId="0" fontId="48" fillId="0" borderId="0"/>
    <xf numFmtId="0" fontId="32" fillId="0" borderId="0"/>
    <xf numFmtId="0" fontId="9" fillId="0" borderId="0"/>
    <xf numFmtId="0" fontId="48" fillId="0" borderId="0"/>
    <xf numFmtId="0" fontId="9" fillId="0" borderId="0"/>
    <xf numFmtId="0" fontId="48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6" fillId="0" borderId="0">
      <alignment vertical="top"/>
    </xf>
    <xf numFmtId="0" fontId="26" fillId="5" borderId="5" applyNumberFormat="0" applyAlignment="0" applyProtection="0"/>
    <xf numFmtId="0" fontId="27" fillId="0" borderId="0" applyNumberFormat="0" applyFill="0" applyBorder="0" applyAlignment="0" applyProtection="0"/>
    <xf numFmtId="0" fontId="9" fillId="0" borderId="0"/>
    <xf numFmtId="0" fontId="48" fillId="0" borderId="0"/>
    <xf numFmtId="0" fontId="11" fillId="0" borderId="0"/>
    <xf numFmtId="0" fontId="56" fillId="0" borderId="0" applyNumberFormat="0" applyFont="0" applyFill="0" applyBorder="0" applyAlignment="0" applyProtection="0">
      <alignment vertical="top"/>
    </xf>
    <xf numFmtId="0" fontId="31" fillId="0" borderId="0"/>
    <xf numFmtId="0" fontId="10" fillId="0" borderId="0" applyNumberFormat="0" applyFont="0" applyFill="0" applyBorder="0" applyAlignment="0" applyProtection="0">
      <alignment vertical="top"/>
    </xf>
    <xf numFmtId="0" fontId="11" fillId="0" borderId="0"/>
    <xf numFmtId="0" fontId="31" fillId="0" borderId="0"/>
    <xf numFmtId="0" fontId="28" fillId="0" borderId="6" applyNumberFormat="0" applyFill="0" applyAlignment="0" applyProtection="0"/>
    <xf numFmtId="0" fontId="33" fillId="4" borderId="0" applyNumberFormat="0" applyBorder="0" applyAlignment="0" applyProtection="0"/>
    <xf numFmtId="0" fontId="31" fillId="0" borderId="0"/>
    <xf numFmtId="0" fontId="29" fillId="0" borderId="0" applyNumberFormat="0" applyFill="0" applyBorder="0" applyAlignment="0" applyProtection="0"/>
    <xf numFmtId="0" fontId="9" fillId="0" borderId="0"/>
    <xf numFmtId="0" fontId="67" fillId="7" borderId="0" applyNumberFormat="0" applyBorder="0" applyAlignment="0" applyProtection="0"/>
    <xf numFmtId="0" fontId="67" fillId="8" borderId="0" applyNumberFormat="0" applyBorder="0" applyAlignment="0" applyProtection="0"/>
    <xf numFmtId="0" fontId="67" fillId="9" borderId="0" applyNumberFormat="0" applyBorder="0" applyAlignment="0" applyProtection="0"/>
    <xf numFmtId="0" fontId="67" fillId="10" borderId="0" applyNumberFormat="0" applyBorder="0" applyAlignment="0" applyProtection="0"/>
    <xf numFmtId="0" fontId="67" fillId="3" borderId="0" applyNumberFormat="0" applyBorder="0" applyAlignment="0" applyProtection="0"/>
    <xf numFmtId="0" fontId="67" fillId="2" borderId="0" applyNumberFormat="0" applyBorder="0" applyAlignment="0" applyProtection="0"/>
    <xf numFmtId="0" fontId="67" fillId="11" borderId="0" applyNumberFormat="0" applyBorder="0" applyAlignment="0" applyProtection="0"/>
    <xf numFmtId="0" fontId="67" fillId="12" borderId="0" applyNumberFormat="0" applyBorder="0" applyAlignment="0" applyProtection="0"/>
    <xf numFmtId="0" fontId="67" fillId="13" borderId="0" applyNumberFormat="0" applyBorder="0" applyAlignment="0" applyProtection="0"/>
    <xf numFmtId="0" fontId="67" fillId="10" borderId="0" applyNumberFormat="0" applyBorder="0" applyAlignment="0" applyProtection="0"/>
    <xf numFmtId="0" fontId="67" fillId="11" borderId="0" applyNumberFormat="0" applyBorder="0" applyAlignment="0" applyProtection="0"/>
    <xf numFmtId="0" fontId="67" fillId="14" borderId="0" applyNumberFormat="0" applyBorder="0" applyAlignment="0" applyProtection="0"/>
    <xf numFmtId="0" fontId="68" fillId="15" borderId="0" applyNumberFormat="0" applyBorder="0" applyAlignment="0" applyProtection="0"/>
    <xf numFmtId="0" fontId="68" fillId="12" borderId="0" applyNumberFormat="0" applyBorder="0" applyAlignment="0" applyProtection="0"/>
    <xf numFmtId="0" fontId="68" fillId="13" borderId="0" applyNumberFormat="0" applyBorder="0" applyAlignment="0" applyProtection="0"/>
    <xf numFmtId="0" fontId="68" fillId="16" borderId="0" applyNumberFormat="0" applyBorder="0" applyAlignment="0" applyProtection="0"/>
    <xf numFmtId="0" fontId="68" fillId="17" borderId="0" applyNumberFormat="0" applyBorder="0" applyAlignment="0" applyProtection="0"/>
    <xf numFmtId="0" fontId="68" fillId="18" borderId="0" applyNumberFormat="0" applyBorder="0" applyAlignment="0" applyProtection="0"/>
    <xf numFmtId="0" fontId="68" fillId="19" borderId="0" applyNumberFormat="0" applyBorder="0" applyAlignment="0" applyProtection="0"/>
    <xf numFmtId="0" fontId="68" fillId="20" borderId="0" applyNumberFormat="0" applyBorder="0" applyAlignment="0" applyProtection="0"/>
    <xf numFmtId="0" fontId="68" fillId="21" borderId="0" applyNumberFormat="0" applyBorder="0" applyAlignment="0" applyProtection="0"/>
    <xf numFmtId="0" fontId="68" fillId="16" borderId="0" applyNumberFormat="0" applyBorder="0" applyAlignment="0" applyProtection="0"/>
    <xf numFmtId="0" fontId="68" fillId="17" borderId="0" applyNumberFormat="0" applyBorder="0" applyAlignment="0" applyProtection="0"/>
    <xf numFmtId="0" fontId="68" fillId="22" borderId="0" applyNumberFormat="0" applyBorder="0" applyAlignment="0" applyProtection="0"/>
    <xf numFmtId="0" fontId="22" fillId="2" borderId="1" applyNumberFormat="0" applyAlignment="0" applyProtection="0"/>
    <xf numFmtId="0" fontId="69" fillId="23" borderId="13" applyNumberFormat="0" applyAlignment="0" applyProtection="0"/>
    <xf numFmtId="0" fontId="70" fillId="23" borderId="1" applyNumberFormat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71" fillId="0" borderId="14" applyNumberFormat="0" applyFill="0" applyAlignment="0" applyProtection="0"/>
    <xf numFmtId="0" fontId="26" fillId="5" borderId="5" applyNumberFormat="0" applyAlignment="0" applyProtection="0"/>
    <xf numFmtId="0" fontId="27" fillId="0" borderId="0" applyNumberFormat="0" applyFill="0" applyBorder="0" applyAlignment="0" applyProtection="0"/>
    <xf numFmtId="0" fontId="72" fillId="4" borderId="0" applyNumberFormat="0" applyBorder="0" applyAlignment="0" applyProtection="0"/>
    <xf numFmtId="0" fontId="73" fillId="8" borderId="0" applyNumberFormat="0" applyBorder="0" applyAlignment="0" applyProtection="0"/>
    <xf numFmtId="0" fontId="74" fillId="0" borderId="0" applyNumberFormat="0" applyFill="0" applyBorder="0" applyAlignment="0" applyProtection="0"/>
    <xf numFmtId="0" fontId="67" fillId="24" borderId="15" applyNumberFormat="0" applyFont="0" applyAlignment="0" applyProtection="0"/>
    <xf numFmtId="0" fontId="28" fillId="0" borderId="6" applyNumberFormat="0" applyFill="0" applyAlignment="0" applyProtection="0"/>
    <xf numFmtId="0" fontId="29" fillId="0" borderId="0" applyNumberFormat="0" applyFill="0" applyBorder="0" applyAlignment="0" applyProtection="0"/>
    <xf numFmtId="0" fontId="30" fillId="9" borderId="0" applyNumberFormat="0" applyBorder="0" applyAlignment="0" applyProtection="0"/>
    <xf numFmtId="0" fontId="82" fillId="0" borderId="0"/>
    <xf numFmtId="0" fontId="9" fillId="0" borderId="0"/>
    <xf numFmtId="0" fontId="8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2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67" fillId="0" borderId="0"/>
    <xf numFmtId="0" fontId="22" fillId="4" borderId="1" applyNumberFormat="0" applyAlignment="0" applyProtection="0"/>
    <xf numFmtId="0" fontId="23" fillId="0" borderId="2" applyNumberFormat="0" applyFill="0" applyAlignment="0" applyProtection="0"/>
    <xf numFmtId="0" fontId="24" fillId="0" borderId="3" applyNumberFormat="0" applyFill="0" applyAlignment="0" applyProtection="0"/>
    <xf numFmtId="0" fontId="25" fillId="0" borderId="4" applyNumberFormat="0" applyFill="0" applyAlignment="0" applyProtection="0"/>
    <xf numFmtId="0" fontId="25" fillId="0" borderId="0" applyNumberFormat="0" applyFill="0" applyBorder="0" applyAlignment="0" applyProtection="0"/>
    <xf numFmtId="0" fontId="29" fillId="0" borderId="27" applyNumberFormat="0" applyFill="0" applyAlignment="0" applyProtection="0"/>
    <xf numFmtId="0" fontId="157" fillId="0" borderId="0" applyNumberFormat="0" applyFill="0" applyBorder="0" applyAlignment="0" applyProtection="0"/>
    <xf numFmtId="0" fontId="46" fillId="0" borderId="0"/>
    <xf numFmtId="0" fontId="67" fillId="0" borderId="0"/>
    <xf numFmtId="0" fontId="92" fillId="0" borderId="0"/>
    <xf numFmtId="0" fontId="56" fillId="0" borderId="0"/>
    <xf numFmtId="0" fontId="1" fillId="0" borderId="0"/>
    <xf numFmtId="0" fontId="1" fillId="0" borderId="0"/>
    <xf numFmtId="0" fontId="56" fillId="0" borderId="0"/>
    <xf numFmtId="0" fontId="82" fillId="0" borderId="0"/>
    <xf numFmtId="0" fontId="56" fillId="0" borderId="0"/>
    <xf numFmtId="0" fontId="82" fillId="0" borderId="0"/>
    <xf numFmtId="0" fontId="11" fillId="0" borderId="0"/>
    <xf numFmtId="0" fontId="15" fillId="0" borderId="0"/>
    <xf numFmtId="0" fontId="56" fillId="0" borderId="0"/>
    <xf numFmtId="0" fontId="67" fillId="0" borderId="0"/>
    <xf numFmtId="0" fontId="67" fillId="0" borderId="0"/>
    <xf numFmtId="0" fontId="15" fillId="0" borderId="0"/>
    <xf numFmtId="0" fontId="15" fillId="0" borderId="0"/>
    <xf numFmtId="0" fontId="67" fillId="0" borderId="0"/>
    <xf numFmtId="0" fontId="9" fillId="0" borderId="0"/>
    <xf numFmtId="0" fontId="1" fillId="0" borderId="0"/>
    <xf numFmtId="0" fontId="1" fillId="0" borderId="0"/>
    <xf numFmtId="0" fontId="82" fillId="0" borderId="0"/>
    <xf numFmtId="0" fontId="156" fillId="0" borderId="0"/>
    <xf numFmtId="165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6" fillId="0" borderId="0"/>
    <xf numFmtId="0" fontId="1" fillId="0" borderId="0"/>
    <xf numFmtId="0" fontId="1" fillId="0" borderId="0"/>
    <xf numFmtId="0" fontId="15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82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2" borderId="1" applyNumberFormat="0" applyAlignment="0" applyProtection="0"/>
    <xf numFmtId="0" fontId="1" fillId="0" borderId="0"/>
    <xf numFmtId="0" fontId="1" fillId="0" borderId="0"/>
    <xf numFmtId="0" fontId="28" fillId="0" borderId="6" applyNumberFormat="0" applyFill="0" applyAlignment="0" applyProtection="0"/>
    <xf numFmtId="0" fontId="26" fillId="5" borderId="5" applyNumberFormat="0" applyAlignment="0" applyProtection="0"/>
    <xf numFmtId="0" fontId="27" fillId="0" borderId="0" applyNumberFormat="0" applyFill="0" applyBorder="0" applyAlignment="0" applyProtection="0"/>
    <xf numFmtId="0" fontId="156" fillId="0" borderId="0"/>
    <xf numFmtId="0" fontId="9" fillId="0" borderId="0"/>
    <xf numFmtId="0" fontId="11" fillId="0" borderId="0"/>
    <xf numFmtId="0" fontId="29" fillId="0" borderId="0" applyNumberFormat="0" applyFill="0" applyBorder="0" applyAlignment="0" applyProtection="0"/>
  </cellStyleXfs>
  <cellXfs count="1082">
    <xf numFmtId="0" fontId="0" fillId="0" borderId="0" xfId="0"/>
    <xf numFmtId="0" fontId="12" fillId="0" borderId="0" xfId="0" applyFont="1" applyAlignment="1">
      <alignment vertical="center"/>
    </xf>
    <xf numFmtId="0" fontId="14" fillId="0" borderId="0" xfId="0" applyFont="1"/>
    <xf numFmtId="4" fontId="12" fillId="0" borderId="0" xfId="0" applyNumberFormat="1" applyFont="1" applyAlignment="1">
      <alignment vertical="center"/>
    </xf>
    <xf numFmtId="4" fontId="13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0" fontId="15" fillId="0" borderId="0" xfId="35" applyFont="1"/>
    <xf numFmtId="0" fontId="11" fillId="0" borderId="0" xfId="35"/>
    <xf numFmtId="4" fontId="52" fillId="0" borderId="0" xfId="0" applyNumberFormat="1" applyFont="1" applyAlignment="1">
      <alignment vertical="center"/>
    </xf>
    <xf numFmtId="0" fontId="52" fillId="0" borderId="0" xfId="0" applyFont="1" applyAlignment="1">
      <alignment vertical="center"/>
    </xf>
    <xf numFmtId="0" fontId="11" fillId="0" borderId="0" xfId="39"/>
    <xf numFmtId="0" fontId="34" fillId="0" borderId="0" xfId="39" applyFont="1" applyAlignment="1">
      <alignment horizontal="center" vertical="center"/>
    </xf>
    <xf numFmtId="0" fontId="16" fillId="0" borderId="0" xfId="39" applyFont="1"/>
    <xf numFmtId="0" fontId="21" fillId="0" borderId="0" xfId="0" applyFont="1"/>
    <xf numFmtId="0" fontId="58" fillId="0" borderId="0" xfId="35" applyFont="1"/>
    <xf numFmtId="0" fontId="54" fillId="0" borderId="0" xfId="35" applyFont="1"/>
    <xf numFmtId="0" fontId="59" fillId="0" borderId="0" xfId="35" applyFont="1"/>
    <xf numFmtId="0" fontId="56" fillId="0" borderId="0" xfId="36">
      <alignment vertical="top"/>
    </xf>
    <xf numFmtId="2" fontId="56" fillId="0" borderId="0" xfId="36" applyNumberFormat="1" applyAlignment="1">
      <alignment horizontal="center" vertical="top"/>
    </xf>
    <xf numFmtId="0" fontId="62" fillId="0" borderId="0" xfId="36" applyFont="1" applyAlignment="1">
      <alignment horizontal="center" vertical="top" wrapText="1"/>
    </xf>
    <xf numFmtId="2" fontId="62" fillId="0" borderId="0" xfId="36" applyNumberFormat="1" applyFont="1" applyAlignment="1">
      <alignment horizontal="center" vertical="top" wrapText="1"/>
    </xf>
    <xf numFmtId="167" fontId="15" fillId="0" borderId="0" xfId="36" applyNumberFormat="1" applyFont="1" applyAlignment="1">
      <alignment horizontal="center" vertical="top"/>
    </xf>
    <xf numFmtId="0" fontId="64" fillId="0" borderId="0" xfId="38" applyFont="1" applyAlignment="1" applyProtection="1">
      <alignment horizontal="left" vertical="center" wrapText="1"/>
      <protection locked="0"/>
    </xf>
    <xf numFmtId="0" fontId="62" fillId="0" borderId="0" xfId="36" applyFont="1" applyAlignment="1">
      <alignment horizontal="left" vertical="top" wrapText="1"/>
    </xf>
    <xf numFmtId="0" fontId="50" fillId="0" borderId="0" xfId="0" applyFont="1"/>
    <xf numFmtId="0" fontId="11" fillId="0" borderId="0" xfId="0" applyFont="1"/>
    <xf numFmtId="0" fontId="15" fillId="0" borderId="0" xfId="0" applyFont="1"/>
    <xf numFmtId="2" fontId="15" fillId="0" borderId="0" xfId="36" applyNumberFormat="1" applyFont="1">
      <alignment vertical="top"/>
    </xf>
    <xf numFmtId="0" fontId="79" fillId="0" borderId="0" xfId="0" applyFont="1" applyAlignment="1">
      <alignment horizontal="center" vertical="center"/>
    </xf>
    <xf numFmtId="4" fontId="79" fillId="0" borderId="0" xfId="0" applyNumberFormat="1" applyFont="1" applyAlignment="1">
      <alignment horizontal="center" vertical="center"/>
    </xf>
    <xf numFmtId="4" fontId="83" fillId="0" borderId="0" xfId="0" applyNumberFormat="1" applyFont="1" applyAlignment="1">
      <alignment vertical="center"/>
    </xf>
    <xf numFmtId="4" fontId="14" fillId="0" borderId="0" xfId="0" applyNumberFormat="1" applyFont="1"/>
    <xf numFmtId="0" fontId="84" fillId="0" borderId="0" xfId="35" applyFont="1"/>
    <xf numFmtId="0" fontId="85" fillId="0" borderId="0" xfId="0" applyFont="1"/>
    <xf numFmtId="0" fontId="43" fillId="0" borderId="0" xfId="0" applyFont="1"/>
    <xf numFmtId="0" fontId="34" fillId="0" borderId="0" xfId="35" applyFont="1" applyAlignment="1">
      <alignment horizontal="center" vertical="center" wrapText="1"/>
    </xf>
    <xf numFmtId="4" fontId="35" fillId="0" borderId="0" xfId="35" applyNumberFormat="1" applyFont="1" applyAlignment="1">
      <alignment horizontal="center" vertical="center"/>
    </xf>
    <xf numFmtId="0" fontId="86" fillId="0" borderId="0" xfId="0" applyFont="1" applyAlignment="1">
      <alignment vertical="center"/>
    </xf>
    <xf numFmtId="4" fontId="87" fillId="0" borderId="0" xfId="0" applyNumberFormat="1" applyFont="1" applyAlignment="1">
      <alignment vertical="center"/>
    </xf>
    <xf numFmtId="4" fontId="88" fillId="0" borderId="0" xfId="0" applyNumberFormat="1" applyFont="1" applyAlignment="1">
      <alignment vertical="center"/>
    </xf>
    <xf numFmtId="0" fontId="88" fillId="0" borderId="0" xfId="0" applyFont="1" applyAlignment="1">
      <alignment vertical="center"/>
    </xf>
    <xf numFmtId="4" fontId="86" fillId="0" borderId="0" xfId="0" applyNumberFormat="1" applyFont="1" applyAlignment="1">
      <alignment vertical="center"/>
    </xf>
    <xf numFmtId="0" fontId="87" fillId="0" borderId="0" xfId="0" applyFont="1" applyAlignment="1">
      <alignment vertical="center"/>
    </xf>
    <xf numFmtId="0" fontId="49" fillId="0" borderId="0" xfId="35" applyFont="1"/>
    <xf numFmtId="0" fontId="80" fillId="0" borderId="0" xfId="0" applyFont="1" applyAlignment="1">
      <alignment horizontal="center" vertical="center"/>
    </xf>
    <xf numFmtId="4" fontId="80" fillId="0" borderId="0" xfId="0" applyNumberFormat="1" applyFont="1" applyAlignment="1">
      <alignment horizontal="center" vertical="center"/>
    </xf>
    <xf numFmtId="4" fontId="80" fillId="0" borderId="0" xfId="0" applyNumberFormat="1" applyFont="1" applyAlignment="1">
      <alignment horizontal="left" vertical="center"/>
    </xf>
    <xf numFmtId="2" fontId="18" fillId="0" borderId="0" xfId="36" applyNumberFormat="1" applyFont="1">
      <alignment vertical="top"/>
    </xf>
    <xf numFmtId="0" fontId="18" fillId="0" borderId="0" xfId="36" applyFont="1">
      <alignment vertical="top"/>
    </xf>
    <xf numFmtId="0" fontId="15" fillId="0" borderId="0" xfId="39" applyFont="1"/>
    <xf numFmtId="0" fontId="83" fillId="0" borderId="0" xfId="0" applyFont="1" applyAlignment="1">
      <alignment vertical="center"/>
    </xf>
    <xf numFmtId="0" fontId="9" fillId="0" borderId="0" xfId="0" applyFont="1"/>
    <xf numFmtId="4" fontId="9" fillId="0" borderId="0" xfId="0" applyNumberFormat="1" applyFont="1"/>
    <xf numFmtId="0" fontId="91" fillId="0" borderId="0" xfId="0" applyFont="1"/>
    <xf numFmtId="0" fontId="91" fillId="0" borderId="0" xfId="36" applyFont="1">
      <alignment vertical="top"/>
    </xf>
    <xf numFmtId="0" fontId="91" fillId="0" borderId="0" xfId="35" applyFont="1"/>
    <xf numFmtId="0" fontId="43" fillId="0" borderId="0" xfId="36" applyFont="1">
      <alignment vertical="top"/>
    </xf>
    <xf numFmtId="0" fontId="43" fillId="0" borderId="0" xfId="35" applyFont="1"/>
    <xf numFmtId="0" fontId="0" fillId="0" borderId="0" xfId="0" applyFont="1"/>
    <xf numFmtId="0" fontId="0" fillId="0" borderId="0" xfId="0" applyAlignment="1">
      <alignment vertical="center"/>
    </xf>
    <xf numFmtId="0" fontId="58" fillId="0" borderId="0" xfId="35" applyFont="1"/>
    <xf numFmtId="0" fontId="60" fillId="0" borderId="0" xfId="36" applyFont="1" applyAlignment="1">
      <alignment horizontal="center" vertical="top"/>
    </xf>
    <xf numFmtId="0" fontId="0" fillId="0" borderId="0" xfId="0" applyAlignment="1">
      <alignment vertical="top"/>
    </xf>
    <xf numFmtId="0" fontId="56" fillId="0" borderId="0" xfId="36">
      <alignment vertical="top"/>
    </xf>
    <xf numFmtId="0" fontId="60" fillId="0" borderId="0" xfId="36" applyFont="1" applyAlignment="1">
      <alignment horizontal="center" vertical="center"/>
    </xf>
    <xf numFmtId="0" fontId="58" fillId="0" borderId="0" xfId="35" applyFont="1"/>
    <xf numFmtId="0" fontId="43" fillId="27" borderId="0" xfId="35" applyFont="1" applyFill="1" applyAlignment="1">
      <alignment horizontal="center" vertical="center"/>
    </xf>
    <xf numFmtId="0" fontId="11" fillId="0" borderId="0" xfId="35" applyFill="1"/>
    <xf numFmtId="0" fontId="0" fillId="0" borderId="0" xfId="0"/>
    <xf numFmtId="0" fontId="35" fillId="0" borderId="0" xfId="0" applyFont="1" applyFill="1" applyBorder="1" applyAlignment="1">
      <alignment horizontal="center" vertical="center"/>
    </xf>
    <xf numFmtId="4" fontId="35" fillId="0" borderId="0" xfId="0" applyNumberFormat="1" applyFont="1" applyFill="1" applyBorder="1" applyAlignment="1">
      <alignment horizontal="center" vertical="center"/>
    </xf>
    <xf numFmtId="0" fontId="58" fillId="0" borderId="0" xfId="35" applyFont="1" applyFill="1"/>
    <xf numFmtId="0" fontId="60" fillId="0" borderId="0" xfId="0" applyFont="1" applyFill="1" applyBorder="1" applyAlignment="1">
      <alignment horizontal="center" vertical="center"/>
    </xf>
    <xf numFmtId="2" fontId="60" fillId="0" borderId="0" xfId="36" applyNumberFormat="1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/>
    </xf>
    <xf numFmtId="4" fontId="60" fillId="0" borderId="0" xfId="36" applyNumberFormat="1" applyFont="1" applyFill="1" applyBorder="1" applyAlignment="1">
      <alignment horizontal="center" vertical="center" wrapText="1"/>
    </xf>
    <xf numFmtId="2" fontId="56" fillId="0" borderId="0" xfId="36" applyNumberFormat="1" applyFill="1" applyAlignment="1">
      <alignment horizontal="center" vertical="top"/>
    </xf>
    <xf numFmtId="0" fontId="34" fillId="0" borderId="0" xfId="35" applyFont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/>
    </xf>
    <xf numFmtId="4" fontId="34" fillId="0" borderId="0" xfId="0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left" vertical="center"/>
    </xf>
    <xf numFmtId="0" fontId="0" fillId="0" borderId="0" xfId="0"/>
    <xf numFmtId="0" fontId="41" fillId="0" borderId="0" xfId="0" applyFont="1" applyAlignment="1">
      <alignment horizontal="center" vertical="center"/>
    </xf>
    <xf numFmtId="0" fontId="41" fillId="0" borderId="0" xfId="0" applyFont="1" applyAlignment="1">
      <alignment vertical="center"/>
    </xf>
    <xf numFmtId="0" fontId="40" fillId="0" borderId="0" xfId="0" applyFont="1" applyAlignment="1">
      <alignment horizontal="center" vertical="center"/>
    </xf>
    <xf numFmtId="0" fontId="76" fillId="0" borderId="0" xfId="0" applyFont="1" applyAlignment="1">
      <alignment horizontal="left" vertical="center"/>
    </xf>
    <xf numFmtId="0" fontId="78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4" fontId="34" fillId="0" borderId="0" xfId="0" applyNumberFormat="1" applyFont="1" applyAlignment="1">
      <alignment horizontal="center" vertical="center"/>
    </xf>
    <xf numFmtId="0" fontId="0" fillId="0" borderId="0" xfId="0"/>
    <xf numFmtId="0" fontId="41" fillId="0" borderId="0" xfId="39" applyFont="1"/>
    <xf numFmtId="0" fontId="34" fillId="0" borderId="0" xfId="39" applyFont="1"/>
    <xf numFmtId="0" fontId="51" fillId="0" borderId="0" xfId="0" applyFont="1"/>
    <xf numFmtId="0" fontId="34" fillId="0" borderId="0" xfId="39" applyFont="1" applyFill="1"/>
    <xf numFmtId="0" fontId="34" fillId="0" borderId="0" xfId="0" applyFont="1" applyFill="1" applyAlignment="1">
      <alignment horizontal="left" vertical="center"/>
    </xf>
    <xf numFmtId="0" fontId="62" fillId="0" borderId="0" xfId="35" applyFont="1" applyAlignment="1">
      <alignment horizontal="center" vertical="center"/>
    </xf>
    <xf numFmtId="0" fontId="62" fillId="0" borderId="0" xfId="35" applyFont="1" applyFill="1" applyAlignment="1">
      <alignment horizontal="center" vertical="center"/>
    </xf>
    <xf numFmtId="0" fontId="15" fillId="0" borderId="0" xfId="39" applyFont="1" applyFill="1"/>
    <xf numFmtId="0" fontId="0" fillId="0" borderId="0" xfId="0"/>
    <xf numFmtId="0" fontId="58" fillId="0" borderId="0" xfId="35" applyFont="1"/>
    <xf numFmtId="0" fontId="6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6" fillId="0" borderId="0" xfId="36">
      <alignment vertical="top"/>
    </xf>
    <xf numFmtId="0" fontId="0" fillId="0" borderId="0" xfId="0"/>
    <xf numFmtId="0" fontId="0" fillId="0" borderId="0" xfId="0"/>
    <xf numFmtId="0" fontId="102" fillId="0" borderId="0" xfId="0" applyFont="1"/>
    <xf numFmtId="0" fontId="103" fillId="0" borderId="0" xfId="0" applyFont="1"/>
    <xf numFmtId="0" fontId="112" fillId="0" borderId="0" xfId="0" applyFont="1"/>
    <xf numFmtId="0" fontId="113" fillId="0" borderId="0" xfId="0" applyFont="1"/>
    <xf numFmtId="0" fontId="118" fillId="0" borderId="0" xfId="35" applyFont="1"/>
    <xf numFmtId="0" fontId="119" fillId="0" borderId="0" xfId="35" applyFont="1" applyAlignment="1">
      <alignment horizontal="center" vertical="center"/>
    </xf>
    <xf numFmtId="0" fontId="118" fillId="0" borderId="0" xfId="35" applyFont="1" applyFill="1"/>
    <xf numFmtId="0" fontId="102" fillId="0" borderId="0" xfId="0" applyFont="1"/>
    <xf numFmtId="0" fontId="106" fillId="0" borderId="0" xfId="0" applyFont="1"/>
    <xf numFmtId="0" fontId="120" fillId="0" borderId="0" xfId="36" applyFont="1">
      <alignment vertical="top"/>
    </xf>
    <xf numFmtId="0" fontId="121" fillId="0" borderId="0" xfId="36" applyFont="1">
      <alignment vertical="top"/>
    </xf>
    <xf numFmtId="0" fontId="107" fillId="0" borderId="0" xfId="36" applyFont="1" applyAlignment="1">
      <alignment horizontal="center"/>
    </xf>
    <xf numFmtId="0" fontId="107" fillId="0" borderId="0" xfId="0" applyFont="1" applyAlignment="1">
      <alignment horizontal="center"/>
    </xf>
    <xf numFmtId="0" fontId="107" fillId="0" borderId="0" xfId="36" applyFont="1" applyAlignment="1">
      <alignment horizontal="center" vertical="top"/>
    </xf>
    <xf numFmtId="2" fontId="122" fillId="0" borderId="0" xfId="36" applyNumberFormat="1" applyFont="1" applyFill="1" applyAlignment="1">
      <alignment horizontal="center" vertical="top"/>
    </xf>
    <xf numFmtId="0" fontId="108" fillId="0" borderId="0" xfId="39" applyFont="1" applyFill="1"/>
    <xf numFmtId="0" fontId="117" fillId="0" borderId="0" xfId="35" applyFont="1" applyFill="1" applyAlignment="1">
      <alignment horizontal="center" vertical="center"/>
    </xf>
    <xf numFmtId="0" fontId="106" fillId="0" borderId="0" xfId="36" applyFont="1">
      <alignment vertical="top"/>
    </xf>
    <xf numFmtId="0" fontId="0" fillId="0" borderId="0" xfId="0"/>
    <xf numFmtId="0" fontId="102" fillId="0" borderId="0" xfId="0" applyFont="1"/>
    <xf numFmtId="0" fontId="11" fillId="0" borderId="0" xfId="35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11" fillId="26" borderId="0" xfId="35" applyFont="1" applyFill="1"/>
    <xf numFmtId="0" fontId="34" fillId="0" borderId="17" xfId="35" applyFont="1" applyFill="1" applyBorder="1" applyAlignment="1">
      <alignment horizontal="center" vertical="center" wrapText="1"/>
    </xf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41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102" fillId="0" borderId="0" xfId="0" applyFont="1"/>
    <xf numFmtId="0" fontId="58" fillId="0" borderId="0" xfId="35" applyFont="1"/>
    <xf numFmtId="49" fontId="40" fillId="0" borderId="17" xfId="0" applyNumberFormat="1" applyFont="1" applyFill="1" applyBorder="1" applyAlignment="1">
      <alignment horizontal="center" vertical="center" wrapText="1"/>
    </xf>
    <xf numFmtId="0" fontId="0" fillId="0" borderId="0" xfId="0"/>
    <xf numFmtId="0" fontId="102" fillId="0" borderId="0" xfId="0" applyFont="1"/>
    <xf numFmtId="0" fontId="102" fillId="0" borderId="0" xfId="0" applyFont="1" applyFill="1"/>
    <xf numFmtId="0" fontId="0" fillId="0" borderId="0" xfId="0"/>
    <xf numFmtId="0" fontId="16" fillId="0" borderId="0" xfId="0" applyFont="1" applyAlignme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11" fillId="0" borderId="0" xfId="35" applyFont="1" applyAlignment="1">
      <alignment horizontal="center" vertical="center"/>
    </xf>
    <xf numFmtId="0" fontId="11" fillId="6" borderId="0" xfId="35" applyFont="1" applyFill="1"/>
    <xf numFmtId="0" fontId="11" fillId="25" borderId="0" xfId="35" applyFont="1" applyFill="1"/>
    <xf numFmtId="0" fontId="11" fillId="0" borderId="0" xfId="35" applyFont="1" applyFill="1" applyAlignment="1">
      <alignment horizontal="center" vertical="center"/>
    </xf>
    <xf numFmtId="0" fontId="11" fillId="27" borderId="0" xfId="35" applyFont="1" applyFill="1" applyAlignment="1">
      <alignment horizontal="center" vertical="center"/>
    </xf>
    <xf numFmtId="0" fontId="102" fillId="0" borderId="0" xfId="0" applyFont="1"/>
    <xf numFmtId="0" fontId="0" fillId="0" borderId="0" xfId="0"/>
    <xf numFmtId="0" fontId="102" fillId="0" borderId="0" xfId="0" applyFont="1"/>
    <xf numFmtId="0" fontId="152" fillId="0" borderId="0" xfId="0" applyFont="1" applyAlignment="1">
      <alignment horizontal="left" vertical="center"/>
    </xf>
    <xf numFmtId="0" fontId="153" fillId="0" borderId="0" xfId="0" applyFont="1" applyAlignment="1">
      <alignment horizontal="left" vertical="center"/>
    </xf>
    <xf numFmtId="0" fontId="76" fillId="0" borderId="0" xfId="0" applyFont="1" applyFill="1" applyAlignment="1">
      <alignment horizontal="left" vertical="center"/>
    </xf>
    <xf numFmtId="0" fontId="78" fillId="0" borderId="0" xfId="0" applyFont="1" applyFill="1" applyAlignment="1">
      <alignment horizontal="left" vertical="center"/>
    </xf>
    <xf numFmtId="4" fontId="40" fillId="0" borderId="0" xfId="36" applyNumberFormat="1" applyFont="1" applyFill="1" applyBorder="1" applyAlignment="1">
      <alignment horizontal="center" vertical="center" wrapText="1"/>
    </xf>
    <xf numFmtId="0" fontId="34" fillId="0" borderId="0" xfId="0" applyFont="1" applyFill="1"/>
    <xf numFmtId="4" fontId="40" fillId="0" borderId="0" xfId="0" applyNumberFormat="1" applyFont="1" applyAlignment="1">
      <alignment vertical="center"/>
    </xf>
    <xf numFmtId="4" fontId="41" fillId="0" borderId="0" xfId="0" applyNumberFormat="1" applyFont="1" applyAlignment="1">
      <alignment vertical="center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wrapText="1"/>
    </xf>
    <xf numFmtId="0" fontId="17" fillId="0" borderId="0" xfId="35" applyFont="1" applyAlignment="1">
      <alignment horizontal="center" vertical="center" wrapText="1"/>
    </xf>
    <xf numFmtId="0" fontId="34" fillId="0" borderId="0" xfId="35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55" fillId="0" borderId="0" xfId="0" applyFont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152" fillId="0" borderId="0" xfId="0" applyFont="1" applyAlignment="1">
      <alignment horizontal="justify" vertical="center"/>
    </xf>
    <xf numFmtId="0" fontId="41" fillId="0" borderId="0" xfId="0" applyFont="1"/>
    <xf numFmtId="0" fontId="34" fillId="0" borderId="0" xfId="0" applyFont="1"/>
    <xf numFmtId="0" fontId="153" fillId="0" borderId="0" xfId="0" applyFont="1" applyAlignment="1">
      <alignment horizontal="justify" vertical="center"/>
    </xf>
    <xf numFmtId="0" fontId="80" fillId="0" borderId="0" xfId="0" applyFont="1" applyAlignment="1">
      <alignment horizontal="right" vertical="center"/>
    </xf>
    <xf numFmtId="0" fontId="0" fillId="0" borderId="0" xfId="0"/>
    <xf numFmtId="0" fontId="102" fillId="0" borderId="0" xfId="0" applyFont="1"/>
    <xf numFmtId="4" fontId="11" fillId="0" borderId="0" xfId="39" applyNumberFormat="1"/>
    <xf numFmtId="0" fontId="19" fillId="0" borderId="26" xfId="39" applyFont="1" applyFill="1" applyBorder="1" applyAlignment="1">
      <alignment horizontal="center" vertical="center" wrapText="1"/>
    </xf>
    <xf numFmtId="0" fontId="11" fillId="0" borderId="0" xfId="39" applyAlignment="1">
      <alignment vertical="center"/>
    </xf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49" fontId="41" fillId="0" borderId="17" xfId="0" applyNumberFormat="1" applyFont="1" applyFill="1" applyBorder="1" applyAlignment="1">
      <alignment horizontal="center" vertical="center" wrapText="1"/>
    </xf>
    <xf numFmtId="4" fontId="21" fillId="29" borderId="26" xfId="39" applyNumberFormat="1" applyFont="1" applyFill="1" applyBorder="1" applyAlignment="1">
      <alignment horizontal="center" vertical="center" wrapText="1"/>
    </xf>
    <xf numFmtId="4" fontId="38" fillId="29" borderId="26" xfId="39" applyNumberFormat="1" applyFont="1" applyFill="1" applyBorder="1" applyAlignment="1">
      <alignment horizontal="center" vertical="center" wrapText="1"/>
    </xf>
    <xf numFmtId="0" fontId="11" fillId="29" borderId="26" xfId="39" applyFont="1" applyFill="1" applyBorder="1" applyAlignment="1">
      <alignment horizontal="center" vertical="center" wrapText="1"/>
    </xf>
    <xf numFmtId="0" fontId="11" fillId="29" borderId="26" xfId="39" applyFont="1" applyFill="1" applyBorder="1" applyAlignment="1">
      <alignment vertical="center" wrapText="1"/>
    </xf>
    <xf numFmtId="4" fontId="39" fillId="29" borderId="26" xfId="39" applyNumberFormat="1" applyFont="1" applyFill="1" applyBorder="1" applyAlignment="1">
      <alignment horizontal="center" vertical="center" wrapText="1"/>
    </xf>
    <xf numFmtId="4" fontId="11" fillId="29" borderId="26" xfId="39" applyNumberFormat="1" applyFont="1" applyFill="1" applyBorder="1" applyAlignment="1">
      <alignment horizontal="center" vertical="center" wrapText="1"/>
    </xf>
    <xf numFmtId="4" fontId="160" fillId="29" borderId="26" xfId="39" applyNumberFormat="1" applyFont="1" applyFill="1" applyBorder="1" applyAlignment="1">
      <alignment horizontal="center" vertical="center" wrapText="1"/>
    </xf>
    <xf numFmtId="0" fontId="84" fillId="29" borderId="26" xfId="39" applyFont="1" applyFill="1" applyBorder="1" applyAlignment="1">
      <alignment vertical="center" wrapText="1"/>
    </xf>
    <xf numFmtId="4" fontId="84" fillId="29" borderId="26" xfId="39" applyNumberFormat="1" applyFont="1" applyFill="1" applyBorder="1" applyAlignment="1">
      <alignment horizontal="center" vertical="center" wrapText="1"/>
    </xf>
    <xf numFmtId="0" fontId="9" fillId="29" borderId="0" xfId="0" applyFont="1" applyFill="1"/>
    <xf numFmtId="4" fontId="19" fillId="29" borderId="26" xfId="0" applyNumberFormat="1" applyFont="1" applyFill="1" applyBorder="1" applyAlignment="1">
      <alignment horizontal="center" vertical="center" wrapText="1"/>
    </xf>
    <xf numFmtId="4" fontId="9" fillId="29" borderId="0" xfId="0" applyNumberFormat="1" applyFont="1" applyFill="1"/>
    <xf numFmtId="0" fontId="37" fillId="29" borderId="26" xfId="0" applyFont="1" applyFill="1" applyBorder="1" applyAlignment="1">
      <alignment horizontal="center" vertical="center" wrapText="1"/>
    </xf>
    <xf numFmtId="0" fontId="37" fillId="29" borderId="26" xfId="0" applyFont="1" applyFill="1" applyBorder="1" applyAlignment="1">
      <alignment horizontal="left" vertical="center" wrapText="1"/>
    </xf>
    <xf numFmtId="4" fontId="37" fillId="29" borderId="26" xfId="0" applyNumberFormat="1" applyFont="1" applyFill="1" applyBorder="1" applyAlignment="1">
      <alignment horizontal="center" vertical="center" wrapText="1"/>
    </xf>
    <xf numFmtId="0" fontId="11" fillId="29" borderId="26" xfId="0" applyFont="1" applyFill="1" applyBorder="1" applyAlignment="1">
      <alignment horizontal="center" vertical="center" wrapText="1"/>
    </xf>
    <xf numFmtId="0" fontId="11" fillId="29" borderId="26" xfId="0" applyFont="1" applyFill="1" applyBorder="1" applyAlignment="1">
      <alignment horizontal="left" vertical="center" wrapText="1"/>
    </xf>
    <xf numFmtId="4" fontId="11" fillId="29" borderId="26" xfId="0" applyNumberFormat="1" applyFont="1" applyFill="1" applyBorder="1" applyAlignment="1">
      <alignment horizontal="center" vertical="center" wrapText="1"/>
    </xf>
    <xf numFmtId="4" fontId="9" fillId="29" borderId="0" xfId="0" applyNumberFormat="1" applyFont="1" applyFill="1" applyAlignment="1">
      <alignment horizontal="center" vertical="center"/>
    </xf>
    <xf numFmtId="4" fontId="14" fillId="29" borderId="0" xfId="0" applyNumberFormat="1" applyFont="1" applyFill="1"/>
    <xf numFmtId="0" fontId="12" fillId="29" borderId="0" xfId="0" applyFont="1" applyFill="1" applyAlignment="1">
      <alignment vertical="center"/>
    </xf>
    <xf numFmtId="0" fontId="41" fillId="29" borderId="0" xfId="0" applyFont="1" applyFill="1" applyAlignment="1">
      <alignment vertical="center"/>
    </xf>
    <xf numFmtId="0" fontId="102" fillId="29" borderId="0" xfId="0" applyFont="1" applyFill="1"/>
    <xf numFmtId="0" fontId="0" fillId="29" borderId="0" xfId="0" applyFill="1"/>
    <xf numFmtId="0" fontId="41" fillId="29" borderId="0" xfId="0" applyFont="1" applyFill="1" applyAlignment="1">
      <alignment horizontal="right" vertical="center"/>
    </xf>
    <xf numFmtId="49" fontId="40" fillId="29" borderId="17" xfId="0" applyNumberFormat="1" applyFont="1" applyFill="1" applyBorder="1" applyAlignment="1">
      <alignment horizontal="center" vertical="center" wrapText="1"/>
    </xf>
    <xf numFmtId="0" fontId="105" fillId="29" borderId="0" xfId="38" applyFont="1" applyFill="1" applyBorder="1" applyAlignment="1" applyProtection="1">
      <alignment horizontal="center" vertical="center" wrapText="1"/>
      <protection locked="0"/>
    </xf>
    <xf numFmtId="0" fontId="14" fillId="29" borderId="0" xfId="0" applyFont="1" applyFill="1"/>
    <xf numFmtId="49" fontId="110" fillId="29" borderId="17" xfId="0" applyNumberFormat="1" applyFont="1" applyFill="1" applyBorder="1" applyAlignment="1">
      <alignment horizontal="center" vertical="center" wrapText="1"/>
    </xf>
    <xf numFmtId="0" fontId="103" fillId="29" borderId="0" xfId="0" applyFont="1" applyFill="1"/>
    <xf numFmtId="4" fontId="40" fillId="29" borderId="0" xfId="0" applyNumberFormat="1" applyFont="1" applyFill="1" applyAlignment="1">
      <alignment horizontal="left" vertical="center"/>
    </xf>
    <xf numFmtId="4" fontId="42" fillId="29" borderId="17" xfId="0" applyNumberFormat="1" applyFont="1" applyFill="1" applyBorder="1" applyAlignment="1">
      <alignment horizontal="center" vertical="center" wrapText="1"/>
    </xf>
    <xf numFmtId="4" fontId="110" fillId="29" borderId="0" xfId="0" applyNumberFormat="1" applyFont="1" applyFill="1" applyAlignment="1">
      <alignment horizontal="left" vertical="center"/>
    </xf>
    <xf numFmtId="0" fontId="141" fillId="29" borderId="0" xfId="0" applyFont="1" applyFill="1"/>
    <xf numFmtId="49" fontId="41" fillId="29" borderId="17" xfId="0" applyNumberFormat="1" applyFont="1" applyFill="1" applyBorder="1" applyAlignment="1">
      <alignment horizontal="center" vertical="center" wrapText="1"/>
    </xf>
    <xf numFmtId="4" fontId="43" fillId="29" borderId="17" xfId="38" applyNumberFormat="1" applyFont="1" applyFill="1" applyBorder="1" applyAlignment="1" applyProtection="1">
      <alignment horizontal="center" vertical="center" wrapText="1"/>
      <protection locked="0"/>
    </xf>
    <xf numFmtId="4" fontId="43" fillId="29" borderId="17" xfId="38" applyNumberFormat="1" applyFont="1" applyFill="1" applyBorder="1" applyAlignment="1">
      <alignment horizontal="center" vertical="center" wrapText="1"/>
    </xf>
    <xf numFmtId="4" fontId="43" fillId="29" borderId="17" xfId="0" applyNumberFormat="1" applyFont="1" applyFill="1" applyBorder="1" applyAlignment="1">
      <alignment horizontal="center" vertical="center"/>
    </xf>
    <xf numFmtId="4" fontId="116" fillId="29" borderId="0" xfId="0" applyNumberFormat="1" applyFont="1" applyFill="1" applyAlignment="1">
      <alignment horizontal="left" vertical="center"/>
    </xf>
    <xf numFmtId="49" fontId="124" fillId="29" borderId="17" xfId="0" applyNumberFormat="1" applyFont="1" applyFill="1" applyBorder="1" applyAlignment="1">
      <alignment horizontal="center" vertical="center" wrapText="1"/>
    </xf>
    <xf numFmtId="4" fontId="126" fillId="29" borderId="17" xfId="0" applyNumberFormat="1" applyFont="1" applyFill="1" applyBorder="1" applyAlignment="1">
      <alignment horizontal="center" vertical="center" wrapText="1"/>
    </xf>
    <xf numFmtId="4" fontId="133" fillId="29" borderId="17" xfId="0" applyNumberFormat="1" applyFont="1" applyFill="1" applyBorder="1" applyAlignment="1">
      <alignment horizontal="center" vertical="center"/>
    </xf>
    <xf numFmtId="4" fontId="101" fillId="29" borderId="0" xfId="0" applyNumberFormat="1" applyFont="1" applyFill="1" applyAlignment="1">
      <alignment horizontal="left" vertical="center"/>
    </xf>
    <xf numFmtId="4" fontId="133" fillId="29" borderId="17" xfId="0" applyNumberFormat="1" applyFont="1" applyFill="1" applyBorder="1" applyAlignment="1">
      <alignment horizontal="center" vertical="center" wrapText="1"/>
    </xf>
    <xf numFmtId="4" fontId="104" fillId="29" borderId="0" xfId="0" applyNumberFormat="1" applyFont="1" applyFill="1" applyAlignment="1">
      <alignment horizontal="left" vertical="center"/>
    </xf>
    <xf numFmtId="4" fontId="125" fillId="29" borderId="17" xfId="0" applyNumberFormat="1" applyFont="1" applyFill="1" applyBorder="1" applyAlignment="1">
      <alignment horizontal="center" vertical="center" wrapText="1"/>
    </xf>
    <xf numFmtId="4" fontId="145" fillId="29" borderId="0" xfId="0" applyNumberFormat="1" applyFont="1" applyFill="1" applyAlignment="1">
      <alignment horizontal="left" vertical="center"/>
    </xf>
    <xf numFmtId="0" fontId="50" fillId="29" borderId="0" xfId="0" applyFont="1" applyFill="1"/>
    <xf numFmtId="4" fontId="124" fillId="29" borderId="0" xfId="0" applyNumberFormat="1" applyFont="1" applyFill="1" applyAlignment="1">
      <alignment horizontal="left" vertical="center"/>
    </xf>
    <xf numFmtId="0" fontId="0" fillId="29" borderId="0" xfId="0" applyFont="1" applyFill="1"/>
    <xf numFmtId="4" fontId="139" fillId="29" borderId="17" xfId="0" applyNumberFormat="1" applyFont="1" applyFill="1" applyBorder="1" applyAlignment="1">
      <alignment horizontal="center" vertical="center" wrapText="1"/>
    </xf>
    <xf numFmtId="4" fontId="105" fillId="29" borderId="0" xfId="0" applyNumberFormat="1" applyFont="1" applyFill="1" applyAlignment="1">
      <alignment horizontal="left" vertical="center"/>
    </xf>
    <xf numFmtId="0" fontId="112" fillId="29" borderId="0" xfId="0" applyFont="1" applyFill="1"/>
    <xf numFmtId="4" fontId="43" fillId="29" borderId="17" xfId="0" applyNumberFormat="1" applyFont="1" applyFill="1" applyBorder="1" applyAlignment="1">
      <alignment horizontal="center" vertical="center" wrapText="1"/>
    </xf>
    <xf numFmtId="49" fontId="138" fillId="29" borderId="17" xfId="0" applyNumberFormat="1" applyFont="1" applyFill="1" applyBorder="1" applyAlignment="1">
      <alignment horizontal="center" vertical="center" wrapText="1"/>
    </xf>
    <xf numFmtId="4" fontId="41" fillId="29" borderId="0" xfId="0" applyNumberFormat="1" applyFont="1" applyFill="1" applyAlignment="1">
      <alignment horizontal="left" vertical="center"/>
    </xf>
    <xf numFmtId="4" fontId="65" fillId="29" borderId="0" xfId="0" applyNumberFormat="1" applyFont="1" applyFill="1"/>
    <xf numFmtId="49" fontId="138" fillId="29" borderId="0" xfId="0" applyNumberFormat="1" applyFont="1" applyFill="1" applyBorder="1" applyAlignment="1">
      <alignment horizontal="center" wrapText="1"/>
    </xf>
    <xf numFmtId="49" fontId="138" fillId="29" borderId="19" xfId="0" applyNumberFormat="1" applyFont="1" applyFill="1" applyBorder="1" applyAlignment="1">
      <alignment horizontal="center" vertical="top" wrapText="1"/>
    </xf>
    <xf numFmtId="4" fontId="114" fillId="29" borderId="0" xfId="0" applyNumberFormat="1" applyFont="1" applyFill="1" applyAlignment="1">
      <alignment horizontal="left" vertical="center"/>
    </xf>
    <xf numFmtId="0" fontId="41" fillId="29" borderId="17" xfId="38" applyFont="1" applyFill="1" applyBorder="1" applyAlignment="1" applyProtection="1">
      <alignment horizontal="center" vertical="center" wrapText="1"/>
      <protection locked="0"/>
    </xf>
    <xf numFmtId="4" fontId="143" fillId="29" borderId="0" xfId="0" applyNumberFormat="1" applyFont="1" applyFill="1" applyAlignment="1">
      <alignment horizontal="left" vertical="center"/>
    </xf>
    <xf numFmtId="49" fontId="105" fillId="29" borderId="17" xfId="0" applyNumberFormat="1" applyFont="1" applyFill="1" applyBorder="1" applyAlignment="1">
      <alignment horizontal="center" vertical="center" wrapText="1"/>
    </xf>
    <xf numFmtId="4" fontId="109" fillId="29" borderId="17" xfId="0" applyNumberFormat="1" applyFont="1" applyFill="1" applyBorder="1" applyAlignment="1">
      <alignment horizontal="center" vertical="center" wrapText="1"/>
    </xf>
    <xf numFmtId="4" fontId="106" fillId="29" borderId="17" xfId="0" applyNumberFormat="1" applyFont="1" applyFill="1" applyBorder="1" applyAlignment="1">
      <alignment horizontal="center" vertical="center" wrapText="1"/>
    </xf>
    <xf numFmtId="4" fontId="106" fillId="29" borderId="17" xfId="0" applyNumberFormat="1" applyFont="1" applyFill="1" applyBorder="1" applyAlignment="1">
      <alignment horizontal="center" vertical="center"/>
    </xf>
    <xf numFmtId="4" fontId="42" fillId="29" borderId="0" xfId="0" applyNumberFormat="1" applyFont="1" applyFill="1" applyAlignment="1">
      <alignment horizontal="center" vertical="center" wrapText="1"/>
    </xf>
    <xf numFmtId="4" fontId="42" fillId="29" borderId="0" xfId="0" applyNumberFormat="1" applyFont="1" applyFill="1" applyAlignment="1">
      <alignment horizontal="left" vertical="center" wrapText="1"/>
    </xf>
    <xf numFmtId="4" fontId="109" fillId="29" borderId="0" xfId="0" applyNumberFormat="1" applyFont="1" applyFill="1" applyAlignment="1">
      <alignment horizontal="center" vertical="center" wrapText="1"/>
    </xf>
    <xf numFmtId="4" fontId="43" fillId="29" borderId="0" xfId="0" applyNumberFormat="1" applyFont="1" applyFill="1" applyAlignment="1">
      <alignment horizontal="left" vertical="center" wrapText="1"/>
    </xf>
    <xf numFmtId="4" fontId="43" fillId="29" borderId="0" xfId="0" applyNumberFormat="1" applyFont="1" applyFill="1" applyAlignment="1">
      <alignment horizontal="center" vertical="center" wrapText="1"/>
    </xf>
    <xf numFmtId="0" fontId="41" fillId="29" borderId="17" xfId="0" applyFont="1" applyFill="1" applyBorder="1" applyAlignment="1">
      <alignment horizontal="center" vertical="center" wrapText="1"/>
    </xf>
    <xf numFmtId="4" fontId="109" fillId="29" borderId="0" xfId="0" applyNumberFormat="1" applyFont="1" applyFill="1" applyAlignment="1">
      <alignment horizontal="left" vertical="center" wrapText="1"/>
    </xf>
    <xf numFmtId="4" fontId="123" fillId="29" borderId="0" xfId="0" applyNumberFormat="1" applyFont="1" applyFill="1" applyAlignment="1">
      <alignment horizontal="left" vertical="center" wrapText="1"/>
    </xf>
    <xf numFmtId="49" fontId="41" fillId="29" borderId="18" xfId="0" applyNumberFormat="1" applyFont="1" applyFill="1" applyBorder="1" applyAlignment="1">
      <alignment horizontal="center" wrapText="1"/>
    </xf>
    <xf numFmtId="49" fontId="41" fillId="29" borderId="0" xfId="0" applyNumberFormat="1" applyFont="1" applyFill="1" applyBorder="1" applyAlignment="1">
      <alignment horizontal="center" vertical="center" wrapText="1"/>
    </xf>
    <xf numFmtId="49" fontId="41" fillId="29" borderId="19" xfId="0" applyNumberFormat="1" applyFont="1" applyFill="1" applyBorder="1" applyAlignment="1">
      <alignment horizontal="center" vertical="top" wrapText="1"/>
    </xf>
    <xf numFmtId="4" fontId="139" fillId="29" borderId="0" xfId="0" applyNumberFormat="1" applyFont="1" applyFill="1" applyAlignment="1">
      <alignment horizontal="left" vertical="center" wrapText="1"/>
    </xf>
    <xf numFmtId="0" fontId="41" fillId="29" borderId="0" xfId="38" applyFont="1" applyFill="1" applyBorder="1" applyAlignment="1" applyProtection="1">
      <alignment horizontal="center" wrapText="1"/>
      <protection locked="0"/>
    </xf>
    <xf numFmtId="0" fontId="41" fillId="29" borderId="19" xfId="38" applyFont="1" applyFill="1" applyBorder="1" applyAlignment="1" applyProtection="1">
      <alignment horizontal="center" vertical="top" wrapText="1"/>
      <protection locked="0"/>
    </xf>
    <xf numFmtId="4" fontId="42" fillId="29" borderId="17" xfId="38" applyNumberFormat="1" applyFont="1" applyFill="1" applyBorder="1" applyAlignment="1" applyProtection="1">
      <alignment horizontal="center" vertical="center" wrapText="1"/>
      <protection locked="0"/>
    </xf>
    <xf numFmtId="4" fontId="125" fillId="29" borderId="0" xfId="0" applyNumberFormat="1" applyFont="1" applyFill="1" applyAlignment="1">
      <alignment horizontal="left" vertical="center" wrapText="1"/>
    </xf>
    <xf numFmtId="4" fontId="126" fillId="29" borderId="0" xfId="0" applyNumberFormat="1" applyFont="1" applyFill="1" applyAlignment="1">
      <alignment horizontal="center" vertical="center" wrapText="1"/>
    </xf>
    <xf numFmtId="4" fontId="75" fillId="29" borderId="0" xfId="0" applyNumberFormat="1" applyFont="1" applyFill="1" applyAlignment="1">
      <alignment vertical="center"/>
    </xf>
    <xf numFmtId="4" fontId="105" fillId="29" borderId="0" xfId="0" applyNumberFormat="1" applyFont="1" applyFill="1" applyAlignment="1">
      <alignment horizontal="center" vertical="center"/>
    </xf>
    <xf numFmtId="0" fontId="13" fillId="29" borderId="0" xfId="0" applyFont="1" applyFill="1" applyAlignment="1">
      <alignment vertical="center"/>
    </xf>
    <xf numFmtId="0" fontId="130" fillId="29" borderId="0" xfId="0" applyFont="1" applyFill="1" applyAlignment="1">
      <alignment vertical="center"/>
    </xf>
    <xf numFmtId="4" fontId="13" fillId="29" borderId="0" xfId="0" applyNumberFormat="1" applyFont="1" applyFill="1" applyAlignment="1">
      <alignment vertical="center"/>
    </xf>
    <xf numFmtId="4" fontId="12" fillId="29" borderId="0" xfId="0" applyNumberFormat="1" applyFont="1" applyFill="1" applyAlignment="1">
      <alignment vertical="center"/>
    </xf>
    <xf numFmtId="0" fontId="132" fillId="29" borderId="0" xfId="0" applyFont="1" applyFill="1" applyAlignment="1">
      <alignment vertical="center"/>
    </xf>
    <xf numFmtId="4" fontId="83" fillId="29" borderId="0" xfId="0" applyNumberFormat="1" applyFont="1" applyFill="1" applyAlignment="1">
      <alignment vertical="center"/>
    </xf>
    <xf numFmtId="168" fontId="52" fillId="29" borderId="0" xfId="0" applyNumberFormat="1" applyFont="1" applyFill="1" applyAlignment="1">
      <alignment vertical="center"/>
    </xf>
    <xf numFmtId="4" fontId="40" fillId="30" borderId="0" xfId="36" applyNumberFormat="1" applyFont="1" applyFill="1" applyBorder="1" applyAlignment="1">
      <alignment horizontal="center" vertical="center" wrapText="1"/>
    </xf>
    <xf numFmtId="4" fontId="115" fillId="29" borderId="0" xfId="0" applyNumberFormat="1" applyFont="1" applyFill="1" applyAlignment="1">
      <alignment vertical="center"/>
    </xf>
    <xf numFmtId="0" fontId="40" fillId="29" borderId="0" xfId="0" applyFont="1" applyFill="1" applyAlignment="1">
      <alignment horizontal="right" vertical="center"/>
    </xf>
    <xf numFmtId="0" fontId="83" fillId="29" borderId="0" xfId="0" applyFont="1" applyFill="1" applyAlignment="1">
      <alignment vertical="center"/>
    </xf>
    <xf numFmtId="4" fontId="127" fillId="29" borderId="0" xfId="0" applyNumberFormat="1" applyFont="1" applyFill="1" applyAlignment="1">
      <alignment vertical="center"/>
    </xf>
    <xf numFmtId="4" fontId="100" fillId="29" borderId="0" xfId="0" applyNumberFormat="1" applyFont="1" applyFill="1" applyAlignment="1">
      <alignment vertical="center"/>
    </xf>
    <xf numFmtId="4" fontId="52" fillId="29" borderId="0" xfId="0" applyNumberFormat="1" applyFont="1" applyFill="1" applyAlignment="1">
      <alignment vertical="center"/>
    </xf>
    <xf numFmtId="0" fontId="85" fillId="29" borderId="0" xfId="0" applyFont="1" applyFill="1"/>
    <xf numFmtId="10" fontId="52" fillId="29" borderId="0" xfId="0" applyNumberFormat="1" applyFont="1" applyFill="1" applyAlignment="1">
      <alignment vertical="center"/>
    </xf>
    <xf numFmtId="0" fontId="52" fillId="29" borderId="0" xfId="0" applyFont="1" applyFill="1" applyAlignment="1">
      <alignment vertical="center"/>
    </xf>
    <xf numFmtId="4" fontId="124" fillId="29" borderId="17" xfId="0" applyNumberFormat="1" applyFont="1" applyFill="1" applyBorder="1" applyAlignment="1">
      <alignment horizontal="center" vertical="center" wrapText="1"/>
    </xf>
    <xf numFmtId="4" fontId="41" fillId="29" borderId="17" xfId="0" applyNumberFormat="1" applyFont="1" applyFill="1" applyBorder="1" applyAlignment="1">
      <alignment horizontal="center" vertical="center" wrapText="1"/>
    </xf>
    <xf numFmtId="0" fontId="11" fillId="29" borderId="0" xfId="35" applyFont="1" applyFill="1"/>
    <xf numFmtId="49" fontId="34" fillId="29" borderId="17" xfId="0" applyNumberFormat="1" applyFont="1" applyFill="1" applyBorder="1" applyAlignment="1">
      <alignment horizontal="center" vertical="center" wrapText="1"/>
    </xf>
    <xf numFmtId="0" fontId="34" fillId="29" borderId="17" xfId="18" applyFont="1" applyFill="1" applyBorder="1" applyAlignment="1">
      <alignment horizontal="center" vertical="center" wrapText="1"/>
    </xf>
    <xf numFmtId="0" fontId="35" fillId="29" borderId="17" xfId="35" applyFont="1" applyFill="1" applyBorder="1" applyAlignment="1">
      <alignment horizontal="center" vertical="center" wrapText="1"/>
    </xf>
    <xf numFmtId="4" fontId="35" fillId="29" borderId="17" xfId="35" applyNumberFormat="1" applyFont="1" applyFill="1" applyBorder="1" applyAlignment="1">
      <alignment horizontal="center" vertical="center" wrapText="1"/>
    </xf>
    <xf numFmtId="4" fontId="34" fillId="29" borderId="17" xfId="0" applyNumberFormat="1" applyFont="1" applyFill="1" applyBorder="1" applyAlignment="1">
      <alignment horizontal="center" vertical="center" wrapText="1"/>
    </xf>
    <xf numFmtId="166" fontId="34" fillId="29" borderId="17" xfId="30" applyNumberFormat="1" applyFont="1" applyFill="1" applyBorder="1" applyAlignment="1">
      <alignment horizontal="center" vertical="center"/>
    </xf>
    <xf numFmtId="4" fontId="34" fillId="29" borderId="17" xfId="30" applyNumberFormat="1" applyFont="1" applyFill="1" applyBorder="1" applyAlignment="1">
      <alignment horizontal="center" vertical="center"/>
    </xf>
    <xf numFmtId="9" fontId="34" fillId="29" borderId="17" xfId="0" applyNumberFormat="1" applyFont="1" applyFill="1" applyBorder="1" applyAlignment="1">
      <alignment horizontal="center" vertical="center" wrapText="1"/>
    </xf>
    <xf numFmtId="4" fontId="11" fillId="29" borderId="0" xfId="35" applyNumberFormat="1" applyFont="1" applyFill="1"/>
    <xf numFmtId="0" fontId="19" fillId="29" borderId="0" xfId="35" applyFont="1" applyFill="1" applyAlignment="1">
      <alignment horizontal="left" vertical="center"/>
    </xf>
    <xf numFmtId="0" fontId="154" fillId="29" borderId="0" xfId="35" applyFont="1" applyFill="1" applyAlignment="1">
      <alignment horizontal="left" vertical="center"/>
    </xf>
    <xf numFmtId="4" fontId="11" fillId="29" borderId="0" xfId="35" applyNumberFormat="1" applyFont="1" applyFill="1" applyAlignment="1">
      <alignment horizontal="left" vertical="center"/>
    </xf>
    <xf numFmtId="4" fontId="34" fillId="29" borderId="0" xfId="0" applyNumberFormat="1" applyFont="1" applyFill="1" applyBorder="1" applyAlignment="1">
      <alignment horizontal="center" vertical="center" wrapText="1"/>
    </xf>
    <xf numFmtId="0" fontId="34" fillId="29" borderId="17" xfId="100" applyFont="1" applyFill="1" applyBorder="1" applyAlignment="1">
      <alignment horizontal="center" vertical="center" wrapText="1"/>
    </xf>
    <xf numFmtId="9" fontId="34" fillId="29" borderId="17" xfId="30" applyNumberFormat="1" applyFont="1" applyFill="1" applyBorder="1" applyAlignment="1">
      <alignment horizontal="center" vertical="center"/>
    </xf>
    <xf numFmtId="0" fontId="84" fillId="29" borderId="0" xfId="35" applyFont="1" applyFill="1"/>
    <xf numFmtId="0" fontId="151" fillId="29" borderId="0" xfId="35" applyFont="1" applyFill="1" applyAlignment="1">
      <alignment vertical="center"/>
    </xf>
    <xf numFmtId="4" fontId="15" fillId="29" borderId="0" xfId="35" applyNumberFormat="1" applyFont="1" applyFill="1" applyAlignment="1">
      <alignment horizontal="center" vertical="center"/>
    </xf>
    <xf numFmtId="0" fontId="34" fillId="29" borderId="17" xfId="40" applyFont="1" applyFill="1" applyBorder="1" applyAlignment="1">
      <alignment horizontal="center" vertical="center" wrapText="1"/>
    </xf>
    <xf numFmtId="0" fontId="34" fillId="29" borderId="7" xfId="40" applyFont="1" applyFill="1" applyBorder="1" applyAlignment="1">
      <alignment horizontal="center" vertical="center" wrapText="1"/>
    </xf>
    <xf numFmtId="4" fontId="34" fillId="29" borderId="7" xfId="0" applyNumberFormat="1" applyFont="1" applyFill="1" applyBorder="1" applyAlignment="1">
      <alignment horizontal="center" vertical="center" wrapText="1"/>
    </xf>
    <xf numFmtId="0" fontId="34" fillId="29" borderId="28" xfId="40" applyFont="1" applyFill="1" applyBorder="1" applyAlignment="1">
      <alignment horizontal="center" vertical="center" wrapText="1"/>
    </xf>
    <xf numFmtId="166" fontId="124" fillId="29" borderId="17" xfId="30" applyNumberFormat="1" applyFont="1" applyFill="1" applyBorder="1" applyAlignment="1">
      <alignment horizontal="center" vertical="center" wrapText="1"/>
    </xf>
    <xf numFmtId="4" fontId="124" fillId="29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29" borderId="17" xfId="38" applyNumberFormat="1" applyFont="1" applyFill="1" applyBorder="1" applyAlignment="1" applyProtection="1">
      <alignment horizontal="center" vertical="center" wrapText="1"/>
      <protection locked="0"/>
    </xf>
    <xf numFmtId="166" fontId="41" fillId="29" borderId="17" xfId="30" applyNumberFormat="1" applyFont="1" applyFill="1" applyBorder="1" applyAlignment="1">
      <alignment horizontal="center" vertical="center" wrapText="1"/>
    </xf>
    <xf numFmtId="4" fontId="149" fillId="29" borderId="17" xfId="0" applyNumberFormat="1" applyFont="1" applyFill="1" applyBorder="1" applyAlignment="1">
      <alignment horizontal="center" vertical="center" wrapText="1"/>
    </xf>
    <xf numFmtId="4" fontId="41" fillId="29" borderId="20" xfId="0" applyNumberFormat="1" applyFont="1" applyFill="1" applyBorder="1" applyAlignment="1">
      <alignment horizontal="center" vertical="center" wrapText="1"/>
    </xf>
    <xf numFmtId="4" fontId="105" fillId="29" borderId="17" xfId="0" applyNumberFormat="1" applyFont="1" applyFill="1" applyBorder="1" applyAlignment="1">
      <alignment horizontal="center" vertical="center" wrapText="1"/>
    </xf>
    <xf numFmtId="4" fontId="41" fillId="29" borderId="18" xfId="0" applyNumberFormat="1" applyFont="1" applyFill="1" applyBorder="1" applyAlignment="1">
      <alignment horizontal="center" vertical="center" wrapText="1"/>
    </xf>
    <xf numFmtId="4" fontId="41" fillId="29" borderId="17" xfId="38" applyNumberFormat="1" applyFont="1" applyFill="1" applyBorder="1" applyAlignment="1">
      <alignment horizontal="center" vertical="center" wrapText="1"/>
    </xf>
    <xf numFmtId="4" fontId="148" fillId="29" borderId="17" xfId="38" applyNumberFormat="1" applyFont="1" applyFill="1" applyBorder="1" applyAlignment="1" applyProtection="1">
      <alignment horizontal="center" vertical="center" wrapText="1"/>
      <protection locked="0"/>
    </xf>
    <xf numFmtId="0" fontId="107" fillId="29" borderId="0" xfId="36" applyFont="1" applyFill="1" applyAlignment="1">
      <alignment horizontal="center" vertical="top"/>
    </xf>
    <xf numFmtId="0" fontId="60" fillId="29" borderId="0" xfId="36" applyFont="1" applyFill="1" applyAlignment="1">
      <alignment horizontal="center" vertical="top"/>
    </xf>
    <xf numFmtId="0" fontId="16" fillId="29" borderId="0" xfId="36" applyFont="1" applyFill="1" applyAlignment="1">
      <alignment horizontal="center" vertical="top"/>
    </xf>
    <xf numFmtId="2" fontId="121" fillId="29" borderId="0" xfId="36" applyNumberFormat="1" applyFont="1" applyFill="1" applyAlignment="1">
      <alignment horizontal="center" vertical="top"/>
    </xf>
    <xf numFmtId="2" fontId="56" fillId="29" borderId="0" xfId="36" applyNumberFormat="1" applyFill="1" applyAlignment="1">
      <alignment horizontal="center" vertical="top"/>
    </xf>
    <xf numFmtId="2" fontId="15" fillId="29" borderId="17" xfId="36" applyNumberFormat="1" applyFont="1" applyFill="1" applyBorder="1" applyAlignment="1">
      <alignment horizontal="center" vertical="center" wrapText="1"/>
    </xf>
    <xf numFmtId="4" fontId="15" fillId="29" borderId="17" xfId="36" applyNumberFormat="1" applyFont="1" applyFill="1" applyBorder="1" applyAlignment="1">
      <alignment horizontal="center" vertical="center"/>
    </xf>
    <xf numFmtId="2" fontId="62" fillId="29" borderId="17" xfId="36" applyNumberFormat="1" applyFont="1" applyFill="1" applyBorder="1" applyAlignment="1">
      <alignment horizontal="center" vertical="center" wrapText="1"/>
    </xf>
    <xf numFmtId="0" fontId="9" fillId="29" borderId="17" xfId="0" applyFont="1" applyFill="1" applyBorder="1" applyAlignment="1">
      <alignment horizontal="center"/>
    </xf>
    <xf numFmtId="0" fontId="11" fillId="0" borderId="0" xfId="39" applyFill="1"/>
    <xf numFmtId="0" fontId="34" fillId="0" borderId="0" xfId="39" applyFont="1" applyFill="1" applyAlignment="1">
      <alignment horizontal="center" vertical="center"/>
    </xf>
    <xf numFmtId="0" fontId="53" fillId="0" borderId="0" xfId="39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 applyAlignment="1"/>
    <xf numFmtId="0" fontId="20" fillId="0" borderId="0" xfId="39" applyFont="1" applyFill="1" applyAlignment="1">
      <alignment vertical="center"/>
    </xf>
    <xf numFmtId="0" fontId="11" fillId="0" borderId="0" xfId="39" applyFont="1" applyFill="1" applyAlignment="1">
      <alignment horizontal="right" vertical="center"/>
    </xf>
    <xf numFmtId="0" fontId="11" fillId="0" borderId="0" xfId="39" applyFill="1" applyAlignment="1">
      <alignment vertical="center" wrapText="1"/>
    </xf>
    <xf numFmtId="0" fontId="34" fillId="0" borderId="0" xfId="39" applyFont="1" applyFill="1" applyAlignment="1">
      <alignment wrapText="1"/>
    </xf>
    <xf numFmtId="0" fontId="57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left"/>
    </xf>
    <xf numFmtId="0" fontId="9" fillId="0" borderId="0" xfId="0" applyFont="1" applyFill="1"/>
    <xf numFmtId="0" fontId="39" fillId="0" borderId="0" xfId="0" applyFont="1" applyFill="1" applyAlignment="1">
      <alignment horizontal="right"/>
    </xf>
    <xf numFmtId="0" fontId="55" fillId="0" borderId="26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top" wrapText="1"/>
    </xf>
    <xf numFmtId="0" fontId="12" fillId="0" borderId="0" xfId="0" applyFont="1" applyFill="1" applyAlignment="1">
      <alignment vertical="center"/>
    </xf>
    <xf numFmtId="0" fontId="41" fillId="0" borderId="0" xfId="0" applyFont="1" applyFill="1" applyAlignment="1">
      <alignment vertical="center"/>
    </xf>
    <xf numFmtId="0" fontId="40" fillId="0" borderId="0" xfId="0" applyFont="1" applyFill="1" applyAlignment="1">
      <alignment horizontal="center" vertical="center"/>
    </xf>
    <xf numFmtId="0" fontId="41" fillId="0" borderId="0" xfId="0" applyFont="1" applyFill="1" applyAlignment="1">
      <alignment horizontal="center" vertical="center"/>
    </xf>
    <xf numFmtId="0" fontId="41" fillId="0" borderId="0" xfId="0" applyFont="1" applyFill="1" applyAlignment="1">
      <alignment horizontal="right" vertical="center"/>
    </xf>
    <xf numFmtId="0" fontId="40" fillId="0" borderId="17" xfId="0" applyFont="1" applyFill="1" applyBorder="1" applyAlignment="1">
      <alignment horizontal="center" vertical="top" wrapText="1"/>
    </xf>
    <xf numFmtId="0" fontId="20" fillId="0" borderId="0" xfId="35" applyFont="1" applyFill="1" applyAlignment="1">
      <alignment horizontal="center" vertical="center" wrapText="1"/>
    </xf>
    <xf numFmtId="0" fontId="39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58" fillId="0" borderId="0" xfId="35" applyFont="1" applyFill="1" applyAlignment="1">
      <alignment horizontal="center"/>
    </xf>
    <xf numFmtId="0" fontId="20" fillId="0" borderId="0" xfId="35" applyFont="1" applyFill="1" applyAlignment="1">
      <alignment horizontal="right"/>
    </xf>
    <xf numFmtId="0" fontId="17" fillId="0" borderId="0" xfId="35" applyFont="1" applyFill="1" applyAlignment="1">
      <alignment horizontal="center" vertical="center" wrapText="1"/>
    </xf>
    <xf numFmtId="0" fontId="17" fillId="0" borderId="0" xfId="35" applyFont="1" applyFill="1" applyAlignment="1">
      <alignment horizontal="center"/>
    </xf>
    <xf numFmtId="0" fontId="11" fillId="0" borderId="0" xfId="35" applyFill="1" applyBorder="1" applyAlignment="1">
      <alignment horizontal="right" vertical="center"/>
    </xf>
    <xf numFmtId="0" fontId="58" fillId="0" borderId="11" xfId="35" applyFont="1" applyFill="1" applyBorder="1"/>
    <xf numFmtId="0" fontId="58" fillId="0" borderId="12" xfId="35" applyFont="1" applyFill="1" applyBorder="1"/>
    <xf numFmtId="0" fontId="19" fillId="0" borderId="17" xfId="35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/>
    </xf>
    <xf numFmtId="0" fontId="111" fillId="0" borderId="17" xfId="35" applyFont="1" applyFill="1" applyBorder="1" applyAlignment="1">
      <alignment horizontal="center" vertical="top" wrapText="1"/>
    </xf>
    <xf numFmtId="0" fontId="12" fillId="28" borderId="0" xfId="0" applyFont="1" applyFill="1" applyAlignment="1">
      <alignment vertical="center"/>
    </xf>
    <xf numFmtId="0" fontId="128" fillId="28" borderId="0" xfId="0" applyFont="1" applyFill="1"/>
    <xf numFmtId="0" fontId="0" fillId="28" borderId="0" xfId="0" applyFill="1"/>
    <xf numFmtId="0" fontId="14" fillId="28" borderId="0" xfId="0" applyFont="1" applyFill="1"/>
    <xf numFmtId="49" fontId="158" fillId="28" borderId="17" xfId="0" applyNumberFormat="1" applyFont="1" applyFill="1" applyBorder="1" applyAlignment="1">
      <alignment horizontal="center" vertical="center" wrapText="1"/>
    </xf>
    <xf numFmtId="4" fontId="158" fillId="28" borderId="24" xfId="0" applyNumberFormat="1" applyFont="1" applyFill="1" applyBorder="1" applyAlignment="1">
      <alignment horizontal="center" vertical="center" wrapText="1"/>
    </xf>
    <xf numFmtId="49" fontId="129" fillId="28" borderId="17" xfId="0" applyNumberFormat="1" applyFont="1" applyFill="1" applyBorder="1" applyAlignment="1">
      <alignment horizontal="center" vertical="center" wrapText="1"/>
    </xf>
    <xf numFmtId="4" fontId="129" fillId="28" borderId="24" xfId="0" applyNumberFormat="1" applyFont="1" applyFill="1" applyBorder="1" applyAlignment="1">
      <alignment horizontal="center" vertical="center" wrapText="1"/>
    </xf>
    <xf numFmtId="4" fontId="129" fillId="28" borderId="17" xfId="0" applyNumberFormat="1" applyFont="1" applyFill="1" applyBorder="1" applyAlignment="1">
      <alignment horizontal="center" vertical="center" wrapText="1"/>
    </xf>
    <xf numFmtId="49" fontId="124" fillId="28" borderId="17" xfId="0" applyNumberFormat="1" applyFont="1" applyFill="1" applyBorder="1" applyAlignment="1">
      <alignment horizontal="center" vertical="center" wrapText="1"/>
    </xf>
    <xf numFmtId="4" fontId="124" fillId="28" borderId="17" xfId="0" applyNumberFormat="1" applyFont="1" applyFill="1" applyBorder="1" applyAlignment="1">
      <alignment horizontal="center" vertical="center" wrapText="1"/>
    </xf>
    <xf numFmtId="4" fontId="41" fillId="28" borderId="17" xfId="0" applyNumberFormat="1" applyFont="1" applyFill="1" applyBorder="1" applyAlignment="1">
      <alignment horizontal="center" vertical="center" wrapText="1"/>
    </xf>
    <xf numFmtId="4" fontId="40" fillId="28" borderId="17" xfId="0" applyNumberFormat="1" applyFont="1" applyFill="1" applyBorder="1" applyAlignment="1">
      <alignment horizontal="center" vertical="center" wrapText="1"/>
    </xf>
    <xf numFmtId="0" fontId="161" fillId="28" borderId="0" xfId="0" applyFont="1" applyFill="1"/>
    <xf numFmtId="49" fontId="129" fillId="28" borderId="17" xfId="0" applyNumberFormat="1" applyFont="1" applyFill="1" applyBorder="1" applyAlignment="1">
      <alignment horizontal="left" vertical="center" wrapText="1"/>
    </xf>
    <xf numFmtId="49" fontId="124" fillId="28" borderId="17" xfId="0" applyNumberFormat="1" applyFont="1" applyFill="1" applyBorder="1" applyAlignment="1">
      <alignment horizontal="left" vertical="center" wrapText="1"/>
    </xf>
    <xf numFmtId="0" fontId="89" fillId="0" borderId="0" xfId="0" applyFont="1" applyFill="1" applyAlignment="1">
      <alignment vertical="center"/>
    </xf>
    <xf numFmtId="0" fontId="89" fillId="0" borderId="0" xfId="0" applyFont="1" applyFill="1" applyAlignment="1">
      <alignment horizontal="center" vertical="center"/>
    </xf>
    <xf numFmtId="0" fontId="90" fillId="0" borderId="0" xfId="0" applyFont="1" applyFill="1" applyAlignment="1">
      <alignment horizontal="center" vertical="top"/>
    </xf>
    <xf numFmtId="0" fontId="41" fillId="0" borderId="17" xfId="0" applyFont="1" applyFill="1" applyBorder="1" applyAlignment="1">
      <alignment horizontal="center" vertical="top" wrapText="1"/>
    </xf>
    <xf numFmtId="0" fontId="40" fillId="0" borderId="17" xfId="0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left" vertical="center" wrapText="1"/>
    </xf>
    <xf numFmtId="0" fontId="11" fillId="0" borderId="0" xfId="35" applyFont="1" applyFill="1"/>
    <xf numFmtId="0" fontId="34" fillId="0" borderId="17" xfId="0" applyFont="1" applyFill="1" applyBorder="1" applyAlignment="1">
      <alignment horizontal="center" vertical="center" wrapText="1"/>
    </xf>
    <xf numFmtId="0" fontId="0" fillId="0" borderId="0" xfId="0"/>
    <xf numFmtId="4" fontId="41" fillId="29" borderId="17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98" fillId="0" borderId="0" xfId="0" applyFont="1" applyFill="1" applyBorder="1" applyAlignment="1">
      <alignment horizontal="center"/>
    </xf>
    <xf numFmtId="0" fontId="39" fillId="0" borderId="0" xfId="0" applyFont="1" applyFill="1" applyBorder="1" applyAlignment="1">
      <alignment horizontal="center" vertical="top"/>
    </xf>
    <xf numFmtId="4" fontId="41" fillId="29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29" borderId="17" xfId="38" applyNumberFormat="1" applyFont="1" applyFill="1" applyBorder="1" applyAlignment="1">
      <alignment horizontal="center" vertical="center" wrapText="1"/>
    </xf>
    <xf numFmtId="0" fontId="102" fillId="0" borderId="0" xfId="0" applyFont="1"/>
    <xf numFmtId="0" fontId="41" fillId="0" borderId="0" xfId="0" applyFont="1" applyFill="1"/>
    <xf numFmtId="0" fontId="41" fillId="0" borderId="0" xfId="0" applyFont="1" applyFill="1" applyAlignment="1">
      <alignment horizontal="left" vertical="center"/>
    </xf>
    <xf numFmtId="0" fontId="41" fillId="0" borderId="0" xfId="39" applyFont="1" applyFill="1"/>
    <xf numFmtId="4" fontId="40" fillId="31" borderId="7" xfId="36" applyNumberFormat="1" applyFont="1" applyFill="1" applyBorder="1" applyAlignment="1">
      <alignment horizontal="center" vertical="center" wrapText="1"/>
    </xf>
    <xf numFmtId="2" fontId="40" fillId="34" borderId="17" xfId="0" applyNumberFormat="1" applyFont="1" applyFill="1" applyBorder="1" applyAlignment="1">
      <alignment horizontal="center" vertical="center"/>
    </xf>
    <xf numFmtId="4" fontId="42" fillId="34" borderId="17" xfId="0" applyNumberFormat="1" applyFont="1" applyFill="1" applyBorder="1" applyAlignment="1">
      <alignment horizontal="center" vertical="center"/>
    </xf>
    <xf numFmtId="4" fontId="42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4" fontId="42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3" fillId="0" borderId="17" xfId="38" applyNumberFormat="1" applyFont="1" applyFill="1" applyBorder="1" applyAlignment="1" applyProtection="1">
      <alignment horizontal="center" vertical="center" wrapText="1"/>
      <protection locked="0"/>
    </xf>
    <xf numFmtId="49" fontId="124" fillId="0" borderId="17" xfId="0" applyNumberFormat="1" applyFont="1" applyFill="1" applyBorder="1" applyAlignment="1">
      <alignment horizontal="center" vertical="center" wrapText="1"/>
    </xf>
    <xf numFmtId="4" fontId="126" fillId="0" borderId="17" xfId="0" applyNumberFormat="1" applyFont="1" applyFill="1" applyBorder="1" applyAlignment="1">
      <alignment horizontal="center" vertical="center" wrapText="1"/>
    </xf>
    <xf numFmtId="4" fontId="133" fillId="0" borderId="17" xfId="38" applyNumberFormat="1" applyFont="1" applyFill="1" applyBorder="1" applyAlignment="1" applyProtection="1">
      <alignment horizontal="center" vertical="center" wrapText="1"/>
      <protection locked="0"/>
    </xf>
    <xf numFmtId="166" fontId="124" fillId="0" borderId="17" xfId="3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166" fontId="41" fillId="0" borderId="17" xfId="30" applyNumberFormat="1" applyFont="1" applyFill="1" applyBorder="1" applyAlignment="1">
      <alignment horizontal="center" vertical="center" wrapText="1"/>
    </xf>
    <xf numFmtId="166" fontId="41" fillId="27" borderId="17" xfId="30" applyNumberFormat="1" applyFont="1" applyFill="1" applyBorder="1" applyAlignment="1">
      <alignment horizontal="center" vertical="center" wrapText="1"/>
    </xf>
    <xf numFmtId="4" fontId="41" fillId="27" borderId="17" xfId="0" applyNumberFormat="1" applyFont="1" applyFill="1" applyBorder="1" applyAlignment="1">
      <alignment horizontal="center" vertical="center" wrapText="1"/>
    </xf>
    <xf numFmtId="166" fontId="124" fillId="27" borderId="17" xfId="30" applyNumberFormat="1" applyFont="1" applyFill="1" applyBorder="1" applyAlignment="1">
      <alignment horizontal="center" vertical="center" wrapText="1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7" xfId="38" applyNumberFormat="1" applyFont="1" applyFill="1" applyBorder="1" applyAlignment="1">
      <alignment horizontal="center" vertical="center" wrapText="1"/>
    </xf>
    <xf numFmtId="4" fontId="43" fillId="0" borderId="17" xfId="38" applyNumberFormat="1" applyFont="1" applyFill="1" applyBorder="1" applyAlignment="1">
      <alignment horizontal="center" vertical="center" wrapText="1"/>
    </xf>
    <xf numFmtId="4" fontId="133" fillId="0" borderId="17" xfId="38" applyNumberFormat="1" applyFont="1" applyFill="1" applyBorder="1" applyAlignment="1">
      <alignment horizontal="center" vertical="center" wrapText="1"/>
    </xf>
    <xf numFmtId="4" fontId="126" fillId="0" borderId="17" xfId="38" applyNumberFormat="1" applyFont="1" applyFill="1" applyBorder="1" applyAlignment="1">
      <alignment horizontal="center" vertical="center" wrapText="1"/>
    </xf>
    <xf numFmtId="4" fontId="133" fillId="0" borderId="17" xfId="0" applyNumberFormat="1" applyFont="1" applyFill="1" applyBorder="1" applyAlignment="1">
      <alignment horizontal="center" vertical="center"/>
    </xf>
    <xf numFmtId="4" fontId="124" fillId="0" borderId="17" xfId="0" applyNumberFormat="1" applyFont="1" applyFill="1" applyBorder="1" applyAlignment="1">
      <alignment horizontal="center" vertical="center" wrapText="1"/>
    </xf>
    <xf numFmtId="4" fontId="124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133" fillId="0" borderId="17" xfId="0" applyNumberFormat="1" applyFont="1" applyFill="1" applyBorder="1" applyAlignment="1">
      <alignment horizontal="center" vertical="center" wrapText="1"/>
    </xf>
    <xf numFmtId="49" fontId="116" fillId="0" borderId="17" xfId="0" applyNumberFormat="1" applyFont="1" applyFill="1" applyBorder="1" applyAlignment="1">
      <alignment horizontal="center" vertical="center" wrapText="1"/>
    </xf>
    <xf numFmtId="49" fontId="110" fillId="0" borderId="17" xfId="0" applyNumberFormat="1" applyFont="1" applyFill="1" applyBorder="1" applyAlignment="1">
      <alignment horizontal="center" vertical="center" wrapText="1"/>
    </xf>
    <xf numFmtId="4" fontId="125" fillId="0" borderId="17" xfId="0" applyNumberFormat="1" applyFont="1" applyFill="1" applyBorder="1" applyAlignment="1">
      <alignment horizontal="center" vertical="center" wrapText="1"/>
    </xf>
    <xf numFmtId="49" fontId="134" fillId="0" borderId="17" xfId="0" applyNumberFormat="1" applyFont="1" applyFill="1" applyBorder="1" applyAlignment="1">
      <alignment horizontal="center" vertical="center" wrapText="1"/>
    </xf>
    <xf numFmtId="49" fontId="142" fillId="0" borderId="17" xfId="0" applyNumberFormat="1" applyFont="1" applyFill="1" applyBorder="1" applyAlignment="1">
      <alignment horizontal="center" vertical="center" wrapText="1"/>
    </xf>
    <xf numFmtId="49" fontId="142" fillId="0" borderId="18" xfId="0" applyNumberFormat="1" applyFont="1" applyFill="1" applyBorder="1" applyAlignment="1">
      <alignment horizontal="center" vertical="center" wrapText="1"/>
    </xf>
    <xf numFmtId="4" fontId="139" fillId="0" borderId="17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center" vertical="center" wrapText="1"/>
    </xf>
    <xf numFmtId="0" fontId="124" fillId="0" borderId="18" xfId="38" applyFont="1" applyFill="1" applyBorder="1" applyAlignment="1" applyProtection="1">
      <alignment horizontal="center" wrapText="1"/>
      <protection locked="0"/>
    </xf>
    <xf numFmtId="4" fontId="126" fillId="0" borderId="17" xfId="0" applyNumberFormat="1" applyFont="1" applyFill="1" applyBorder="1" applyAlignment="1">
      <alignment horizontal="center" vertical="center" wrapText="1"/>
    </xf>
    <xf numFmtId="0" fontId="124" fillId="0" borderId="0" xfId="38" applyFont="1" applyFill="1" applyBorder="1" applyAlignment="1" applyProtection="1">
      <alignment horizontal="center" vertical="top" wrapText="1"/>
      <protection locked="0"/>
    </xf>
    <xf numFmtId="49" fontId="129" fillId="0" borderId="17" xfId="0" applyNumberFormat="1" applyFont="1" applyFill="1" applyBorder="1" applyAlignment="1">
      <alignment horizontal="center" vertical="center" wrapText="1"/>
    </xf>
    <xf numFmtId="49" fontId="129" fillId="0" borderId="17" xfId="0" applyNumberFormat="1" applyFont="1" applyFill="1" applyBorder="1" applyAlignment="1">
      <alignment horizontal="left" vertical="center" wrapText="1"/>
    </xf>
    <xf numFmtId="4" fontId="129" fillId="0" borderId="17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left" vertical="center" wrapText="1"/>
    </xf>
    <xf numFmtId="4" fontId="42" fillId="0" borderId="17" xfId="38" applyNumberFormat="1" applyFont="1" applyFill="1" applyBorder="1" applyAlignment="1">
      <alignment horizontal="center" vertical="center" wrapText="1"/>
    </xf>
    <xf numFmtId="0" fontId="138" fillId="0" borderId="17" xfId="38" applyFont="1" applyFill="1" applyBorder="1" applyAlignment="1" applyProtection="1">
      <alignment horizontal="center" vertical="center" wrapText="1"/>
      <protection locked="0"/>
    </xf>
    <xf numFmtId="49" fontId="41" fillId="0" borderId="17" xfId="0" applyNumberFormat="1" applyFont="1" applyFill="1" applyBorder="1" applyAlignment="1">
      <alignment horizontal="center" vertical="center" wrapText="1"/>
    </xf>
    <xf numFmtId="0" fontId="41" fillId="0" borderId="0" xfId="38" applyFont="1" applyFill="1" applyBorder="1" applyAlignment="1" applyProtection="1">
      <alignment horizontal="center" wrapText="1"/>
      <protection locked="0"/>
    </xf>
    <xf numFmtId="4" fontId="42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0" fontId="41" fillId="0" borderId="19" xfId="38" applyFont="1" applyFill="1" applyBorder="1" applyAlignment="1" applyProtection="1">
      <alignment horizontal="center" vertical="top" wrapText="1"/>
      <protection locked="0"/>
    </xf>
    <xf numFmtId="49" fontId="138" fillId="0" borderId="17" xfId="0" applyNumberFormat="1" applyFont="1" applyFill="1" applyBorder="1" applyAlignment="1">
      <alignment horizontal="center" vertical="center" wrapText="1"/>
    </xf>
    <xf numFmtId="4" fontId="139" fillId="0" borderId="17" xfId="38" applyNumberFormat="1" applyFont="1" applyFill="1" applyBorder="1" applyAlignment="1" applyProtection="1">
      <alignment horizontal="center" vertical="center" wrapText="1"/>
      <protection locked="0"/>
    </xf>
    <xf numFmtId="0" fontId="41" fillId="0" borderId="18" xfId="38" applyFont="1" applyFill="1" applyBorder="1" applyAlignment="1" applyProtection="1">
      <alignment horizontal="center" wrapText="1"/>
      <protection locked="0"/>
    </xf>
    <xf numFmtId="0" fontId="41" fillId="0" borderId="0" xfId="38" applyFont="1" applyFill="1" applyBorder="1" applyAlignment="1" applyProtection="1">
      <alignment horizontal="center" vertical="top" wrapText="1"/>
      <protection locked="0"/>
    </xf>
    <xf numFmtId="49" fontId="47" fillId="32" borderId="17" xfId="0" applyNumberFormat="1" applyFont="1" applyFill="1" applyBorder="1" applyAlignment="1">
      <alignment horizontal="center" vertical="center" wrapText="1"/>
    </xf>
    <xf numFmtId="0" fontId="47" fillId="32" borderId="17" xfId="38" applyFont="1" applyFill="1" applyBorder="1" applyAlignment="1" applyProtection="1">
      <alignment horizontal="center" vertical="center" wrapText="1"/>
      <protection locked="0"/>
    </xf>
    <xf numFmtId="49" fontId="35" fillId="33" borderId="17" xfId="0" applyNumberFormat="1" applyFont="1" applyFill="1" applyBorder="1" applyAlignment="1">
      <alignment horizontal="center" vertical="center" wrapText="1"/>
    </xf>
    <xf numFmtId="0" fontId="35" fillId="33" borderId="17" xfId="38" applyFont="1" applyFill="1" applyBorder="1" applyAlignment="1" applyProtection="1">
      <alignment horizontal="center" vertical="center" wrapText="1"/>
      <protection locked="0"/>
    </xf>
    <xf numFmtId="4" fontId="47" fillId="32" borderId="17" xfId="0" applyNumberFormat="1" applyFont="1" applyFill="1" applyBorder="1" applyAlignment="1">
      <alignment horizontal="center" vertical="center" wrapText="1"/>
    </xf>
    <xf numFmtId="4" fontId="35" fillId="33" borderId="17" xfId="0" applyNumberFormat="1" applyFont="1" applyFill="1" applyBorder="1" applyAlignment="1">
      <alignment horizontal="center" vertical="center" wrapText="1"/>
    </xf>
    <xf numFmtId="0" fontId="41" fillId="0" borderId="17" xfId="38" applyFont="1" applyFill="1" applyBorder="1" applyAlignment="1" applyProtection="1">
      <alignment horizontal="center" vertical="center" wrapText="1"/>
      <protection locked="0"/>
    </xf>
    <xf numFmtId="49" fontId="34" fillId="0" borderId="17" xfId="0" applyNumberFormat="1" applyFont="1" applyFill="1" applyBorder="1" applyAlignment="1">
      <alignment horizontal="center" vertical="center" wrapText="1"/>
    </xf>
    <xf numFmtId="0" fontId="34" fillId="0" borderId="17" xfId="100" applyFont="1" applyBorder="1" applyAlignment="1">
      <alignment horizontal="center" vertical="center" wrapText="1"/>
    </xf>
    <xf numFmtId="166" fontId="34" fillId="0" borderId="17" xfId="30" applyNumberFormat="1" applyFont="1" applyBorder="1" applyAlignment="1">
      <alignment horizontal="center" vertical="center"/>
    </xf>
    <xf numFmtId="4" fontId="34" fillId="0" borderId="17" xfId="30" applyNumberFormat="1" applyFont="1" applyBorder="1" applyAlignment="1">
      <alignment horizontal="center" vertical="center"/>
    </xf>
    <xf numFmtId="9" fontId="34" fillId="0" borderId="17" xfId="0" applyNumberFormat="1" applyFont="1" applyBorder="1" applyAlignment="1">
      <alignment horizontal="center" vertical="center" wrapText="1"/>
    </xf>
    <xf numFmtId="4" fontId="34" fillId="0" borderId="17" xfId="0" applyNumberFormat="1" applyFont="1" applyBorder="1" applyAlignment="1">
      <alignment horizontal="center" vertical="center" wrapText="1"/>
    </xf>
    <xf numFmtId="4" fontId="149" fillId="0" borderId="17" xfId="0" applyNumberFormat="1" applyFont="1" applyFill="1" applyBorder="1" applyAlignment="1">
      <alignment horizontal="center" vertical="center" wrapText="1"/>
    </xf>
    <xf numFmtId="4" fontId="41" fillId="0" borderId="18" xfId="0" applyNumberFormat="1" applyFont="1" applyFill="1" applyBorder="1" applyAlignment="1">
      <alignment horizontal="center" vertical="center" wrapText="1"/>
    </xf>
    <xf numFmtId="49" fontId="34" fillId="0" borderId="17" xfId="18" applyNumberFormat="1" applyFont="1" applyBorder="1" applyAlignment="1">
      <alignment horizontal="center" vertical="center" wrapText="1"/>
    </xf>
    <xf numFmtId="0" fontId="34" fillId="0" borderId="17" xfId="18" applyFont="1" applyBorder="1" applyAlignment="1">
      <alignment horizontal="center" vertical="center" wrapText="1"/>
    </xf>
    <xf numFmtId="9" fontId="34" fillId="0" borderId="17" xfId="30" applyNumberFormat="1" applyFont="1" applyBorder="1" applyAlignment="1">
      <alignment horizontal="center" vertical="center"/>
    </xf>
    <xf numFmtId="0" fontId="34" fillId="0" borderId="17" xfId="92" applyFont="1" applyBorder="1" applyAlignment="1">
      <alignment horizontal="center" vertical="center" wrapText="1"/>
    </xf>
    <xf numFmtId="0" fontId="34" fillId="0" borderId="17" xfId="40" applyFont="1" applyBorder="1" applyAlignment="1">
      <alignment horizontal="center" vertical="center" wrapText="1"/>
    </xf>
    <xf numFmtId="0" fontId="34" fillId="0" borderId="17" xfId="84" applyFont="1" applyBorder="1" applyAlignment="1">
      <alignment horizontal="center" vertical="center" wrapText="1"/>
    </xf>
    <xf numFmtId="0" fontId="16" fillId="0" borderId="0" xfId="0" applyFont="1" applyFill="1" applyAlignment="1"/>
    <xf numFmtId="0" fontId="39" fillId="0" borderId="0" xfId="0" applyFont="1" applyFill="1" applyAlignment="1">
      <alignment horizontal="center" vertical="top"/>
    </xf>
    <xf numFmtId="0" fontId="16" fillId="0" borderId="17" xfId="0" applyFont="1" applyFill="1" applyBorder="1" applyAlignment="1">
      <alignment horizontal="center" vertical="top" wrapText="1"/>
    </xf>
    <xf numFmtId="0" fontId="16" fillId="0" borderId="17" xfId="35" applyFont="1" applyFill="1" applyBorder="1" applyAlignment="1">
      <alignment horizontal="center" vertical="top" wrapText="1"/>
    </xf>
    <xf numFmtId="0" fontId="16" fillId="0" borderId="17" xfId="0" applyFont="1" applyFill="1" applyBorder="1" applyAlignment="1">
      <alignment horizontal="center" vertical="top"/>
    </xf>
    <xf numFmtId="0" fontId="15" fillId="0" borderId="17" xfId="0" applyFont="1" applyFill="1" applyBorder="1" applyAlignment="1">
      <alignment horizontal="center" vertical="center"/>
    </xf>
    <xf numFmtId="49" fontId="15" fillId="0" borderId="17" xfId="0" applyNumberFormat="1" applyFont="1" applyFill="1" applyBorder="1" applyAlignment="1">
      <alignment horizontal="center" vertical="center" wrapText="1"/>
    </xf>
    <xf numFmtId="4" fontId="15" fillId="0" borderId="7" xfId="0" applyNumberFormat="1" applyFont="1" applyFill="1" applyBorder="1" applyAlignment="1">
      <alignment horizontal="center" vertical="center"/>
    </xf>
    <xf numFmtId="2" fontId="16" fillId="34" borderId="17" xfId="0" applyNumberFormat="1" applyFont="1" applyFill="1" applyBorder="1" applyAlignment="1">
      <alignment horizontal="center" vertical="center"/>
    </xf>
    <xf numFmtId="4" fontId="16" fillId="34" borderId="17" xfId="0" applyNumberFormat="1" applyFont="1" applyFill="1" applyBorder="1" applyAlignment="1">
      <alignment horizontal="center" vertical="center"/>
    </xf>
    <xf numFmtId="4" fontId="125" fillId="0" borderId="17" xfId="38" applyNumberFormat="1" applyFont="1" applyFill="1" applyBorder="1" applyAlignment="1" applyProtection="1">
      <alignment horizontal="center" vertical="center" wrapText="1"/>
      <protection locked="0"/>
    </xf>
    <xf numFmtId="49" fontId="41" fillId="0" borderId="18" xfId="0" applyNumberFormat="1" applyFont="1" applyFill="1" applyBorder="1" applyAlignment="1">
      <alignment horizontal="center" vertical="center" wrapText="1"/>
    </xf>
    <xf numFmtId="4" fontId="43" fillId="0" borderId="18" xfId="0" applyNumberFormat="1" applyFont="1" applyFill="1" applyBorder="1" applyAlignment="1">
      <alignment horizontal="center" vertical="center" wrapText="1"/>
    </xf>
    <xf numFmtId="0" fontId="19" fillId="0" borderId="26" xfId="0" applyFont="1" applyFill="1" applyBorder="1" applyAlignment="1">
      <alignment horizontal="left" vertical="center" wrapText="1"/>
    </xf>
    <xf numFmtId="0" fontId="76" fillId="0" borderId="0" xfId="0" applyFont="1" applyFill="1" applyAlignment="1">
      <alignment horizontal="left" vertical="center"/>
    </xf>
    <xf numFmtId="0" fontId="78" fillId="0" borderId="0" xfId="0" applyFont="1" applyFill="1" applyAlignment="1">
      <alignment horizontal="left" vertical="center"/>
    </xf>
    <xf numFmtId="4" fontId="42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0" fontId="41" fillId="0" borderId="0" xfId="0" applyFont="1" applyFill="1" applyAlignment="1">
      <alignment vertical="center"/>
    </xf>
    <xf numFmtId="4" fontId="43" fillId="0" borderId="17" xfId="0" applyNumberFormat="1" applyFont="1" applyFill="1" applyBorder="1" applyAlignment="1">
      <alignment horizontal="center" vertical="center"/>
    </xf>
    <xf numFmtId="49" fontId="124" fillId="0" borderId="21" xfId="0" applyNumberFormat="1" applyFont="1" applyFill="1" applyBorder="1" applyAlignment="1">
      <alignment horizontal="left" vertical="center" wrapText="1"/>
    </xf>
    <xf numFmtId="4" fontId="41" fillId="0" borderId="18" xfId="0" applyNumberFormat="1" applyFont="1" applyFill="1" applyBorder="1" applyAlignment="1">
      <alignment horizontal="center" vertical="center" wrapText="1"/>
    </xf>
    <xf numFmtId="166" fontId="34" fillId="0" borderId="17" xfId="30" applyNumberFormat="1" applyFont="1" applyFill="1" applyBorder="1" applyAlignment="1">
      <alignment horizontal="center" vertical="center" wrapText="1"/>
    </xf>
    <xf numFmtId="166" fontId="34" fillId="0" borderId="17" xfId="30" applyNumberFormat="1" applyFont="1" applyFill="1" applyBorder="1" applyAlignment="1">
      <alignment horizontal="center" vertical="center"/>
    </xf>
    <xf numFmtId="4" fontId="34" fillId="0" borderId="17" xfId="0" applyNumberFormat="1" applyFont="1" applyFill="1" applyBorder="1" applyAlignment="1">
      <alignment horizontal="center" vertical="center" wrapText="1"/>
    </xf>
    <xf numFmtId="9" fontId="34" fillId="0" borderId="17" xfId="0" applyNumberFormat="1" applyFont="1" applyFill="1" applyBorder="1" applyAlignment="1">
      <alignment horizontal="center" vertical="center" wrapText="1"/>
    </xf>
    <xf numFmtId="4" fontId="34" fillId="0" borderId="17" xfId="30" applyNumberFormat="1" applyFont="1" applyFill="1" applyBorder="1" applyAlignment="1">
      <alignment horizontal="center" vertical="center"/>
    </xf>
    <xf numFmtId="9" fontId="47" fillId="32" borderId="17" xfId="0" applyNumberFormat="1" applyFont="1" applyFill="1" applyBorder="1" applyAlignment="1">
      <alignment horizontal="center" vertical="center" wrapText="1"/>
    </xf>
    <xf numFmtId="9" fontId="35" fillId="33" borderId="17" xfId="0" applyNumberFormat="1" applyFont="1" applyFill="1" applyBorder="1" applyAlignment="1">
      <alignment horizontal="center" vertical="center" wrapText="1"/>
    </xf>
    <xf numFmtId="4" fontId="43" fillId="0" borderId="18" xfId="0" applyNumberFormat="1" applyFont="1" applyFill="1" applyBorder="1" applyAlignment="1">
      <alignment horizontal="center" vertical="center"/>
    </xf>
    <xf numFmtId="2" fontId="15" fillId="0" borderId="17" xfId="36" applyNumberFormat="1" applyFont="1" applyFill="1" applyBorder="1" applyAlignment="1">
      <alignment horizontal="center" vertical="center" wrapText="1"/>
    </xf>
    <xf numFmtId="4" fontId="15" fillId="0" borderId="17" xfId="36" applyNumberFormat="1" applyFont="1" applyFill="1" applyBorder="1" applyAlignment="1">
      <alignment horizontal="center" vertical="center"/>
    </xf>
    <xf numFmtId="0" fontId="99" fillId="0" borderId="0" xfId="0" applyFont="1" applyFill="1" applyBorder="1" applyAlignment="1">
      <alignment horizontal="center" vertical="center"/>
    </xf>
    <xf numFmtId="0" fontId="60" fillId="0" borderId="0" xfId="36" applyFont="1" applyFill="1" applyAlignment="1">
      <alignment horizontal="center" vertical="center"/>
    </xf>
    <xf numFmtId="0" fontId="56" fillId="0" borderId="0" xfId="36" applyFill="1" applyAlignment="1">
      <alignment vertical="center"/>
    </xf>
    <xf numFmtId="0" fontId="15" fillId="0" borderId="0" xfId="36" applyFont="1" applyFill="1" applyAlignment="1">
      <alignment horizontal="right" vertical="center"/>
    </xf>
    <xf numFmtId="0" fontId="15" fillId="0" borderId="0" xfId="0" applyFont="1" applyFill="1" applyAlignment="1">
      <alignment horizontal="justify" vertical="center"/>
    </xf>
    <xf numFmtId="0" fontId="0" fillId="0" borderId="17" xfId="0" applyFill="1" applyBorder="1" applyAlignment="1">
      <alignment horizontal="center"/>
    </xf>
    <xf numFmtId="4" fontId="63" fillId="0" borderId="17" xfId="36" applyNumberFormat="1" applyFont="1" applyFill="1" applyBorder="1" applyAlignment="1">
      <alignment horizontal="center" vertical="center" wrapText="1"/>
    </xf>
    <xf numFmtId="9" fontId="34" fillId="0" borderId="17" xfId="30" applyNumberFormat="1" applyFont="1" applyFill="1" applyBorder="1" applyAlignment="1">
      <alignment horizontal="center" vertical="center"/>
    </xf>
    <xf numFmtId="49" fontId="34" fillId="0" borderId="17" xfId="0" applyNumberFormat="1" applyFont="1" applyBorder="1" applyAlignment="1">
      <alignment horizontal="center" vertical="center" wrapText="1"/>
    </xf>
    <xf numFmtId="4" fontId="34" fillId="0" borderId="22" xfId="30" applyNumberFormat="1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center" wrapText="1"/>
    </xf>
    <xf numFmtId="0" fontId="34" fillId="0" borderId="17" xfId="45" applyFont="1" applyBorder="1" applyAlignment="1">
      <alignment horizontal="center" vertical="center" wrapText="1"/>
    </xf>
    <xf numFmtId="0" fontId="40" fillId="0" borderId="17" xfId="38" applyFont="1" applyFill="1" applyBorder="1" applyAlignment="1" applyProtection="1">
      <alignment horizontal="center" vertical="center" wrapText="1"/>
      <protection locked="0"/>
    </xf>
    <xf numFmtId="4" fontId="146" fillId="0" borderId="17" xfId="0" applyNumberFormat="1" applyFont="1" applyFill="1" applyBorder="1" applyAlignment="1">
      <alignment horizontal="center" vertical="center" wrapText="1"/>
    </xf>
    <xf numFmtId="0" fontId="41" fillId="0" borderId="17" xfId="0" applyFont="1" applyFill="1" applyBorder="1" applyAlignment="1">
      <alignment horizontal="center" vertical="center" wrapText="1"/>
    </xf>
    <xf numFmtId="4" fontId="41" fillId="0" borderId="24" xfId="38" applyNumberFormat="1" applyFont="1" applyFill="1" applyBorder="1" applyAlignment="1" applyProtection="1">
      <alignment horizontal="center" vertical="center" wrapText="1"/>
      <protection locked="0"/>
    </xf>
    <xf numFmtId="166" fontId="149" fillId="0" borderId="17" xfId="30" applyNumberFormat="1" applyFont="1" applyFill="1" applyBorder="1" applyAlignment="1">
      <alignment horizontal="center" vertical="center" wrapText="1"/>
    </xf>
    <xf numFmtId="4" fontId="41" fillId="0" borderId="18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8" xfId="38" applyNumberFormat="1" applyFont="1" applyFill="1" applyBorder="1" applyAlignment="1">
      <alignment horizontal="center" vertical="center" wrapText="1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7" xfId="38" applyNumberFormat="1" applyFont="1" applyFill="1" applyBorder="1" applyAlignment="1">
      <alignment horizontal="center" vertical="center" wrapText="1"/>
    </xf>
    <xf numFmtId="0" fontId="40" fillId="0" borderId="19" xfId="38" applyFont="1" applyFill="1" applyBorder="1" applyAlignment="1" applyProtection="1">
      <alignment horizontal="center" vertical="top" wrapText="1"/>
      <protection locked="0"/>
    </xf>
    <xf numFmtId="0" fontId="110" fillId="0" borderId="19" xfId="38" applyFont="1" applyFill="1" applyBorder="1" applyAlignment="1" applyProtection="1">
      <alignment horizontal="center" vertical="top" wrapText="1"/>
      <protection locked="0"/>
    </xf>
    <xf numFmtId="2" fontId="164" fillId="29" borderId="0" xfId="36" applyNumberFormat="1" applyFont="1" applyFill="1" applyAlignment="1">
      <alignment horizontal="center" vertical="top"/>
    </xf>
    <xf numFmtId="4" fontId="165" fillId="29" borderId="10" xfId="0" applyNumberFormat="1" applyFont="1" applyFill="1" applyBorder="1" applyAlignment="1">
      <alignment horizontal="center" vertical="center"/>
    </xf>
    <xf numFmtId="0" fontId="166" fillId="0" borderId="0" xfId="0" applyFont="1"/>
    <xf numFmtId="0" fontId="34" fillId="0" borderId="17" xfId="18" applyFont="1" applyFill="1" applyBorder="1" applyAlignment="1">
      <alignment horizontal="center" vertical="center" wrapText="1"/>
    </xf>
    <xf numFmtId="4" fontId="42" fillId="0" borderId="18" xfId="0" applyNumberFormat="1" applyFont="1" applyFill="1" applyBorder="1" applyAlignment="1">
      <alignment horizontal="center" vertical="center" wrapText="1"/>
    </xf>
    <xf numFmtId="4" fontId="40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138" fillId="0" borderId="17" xfId="38" applyNumberFormat="1" applyFont="1" applyFill="1" applyBorder="1" applyAlignment="1" applyProtection="1">
      <alignment horizontal="center" vertical="center" wrapText="1"/>
      <protection locked="0"/>
    </xf>
    <xf numFmtId="49" fontId="138" fillId="0" borderId="17" xfId="0" applyNumberFormat="1" applyFont="1" applyFill="1" applyBorder="1" applyAlignment="1">
      <alignment horizontal="center" vertical="center"/>
    </xf>
    <xf numFmtId="49" fontId="41" fillId="0" borderId="17" xfId="0" applyNumberFormat="1" applyFont="1" applyFill="1" applyBorder="1" applyAlignment="1">
      <alignment horizontal="center" vertical="center"/>
    </xf>
    <xf numFmtId="49" fontId="34" fillId="0" borderId="17" xfId="35" applyNumberFormat="1" applyFont="1" applyFill="1" applyBorder="1" applyAlignment="1">
      <alignment horizontal="center" vertical="center" wrapText="1"/>
    </xf>
    <xf numFmtId="4" fontId="34" fillId="0" borderId="17" xfId="35" applyNumberFormat="1" applyFont="1" applyFill="1" applyBorder="1" applyAlignment="1">
      <alignment horizontal="center" vertical="center"/>
    </xf>
    <xf numFmtId="49" fontId="47" fillId="0" borderId="17" xfId="0" applyNumberFormat="1" applyFont="1" applyFill="1" applyBorder="1" applyAlignment="1">
      <alignment horizontal="center" vertical="center" wrapText="1"/>
    </xf>
    <xf numFmtId="0" fontId="47" fillId="0" borderId="17" xfId="38" applyFont="1" applyFill="1" applyBorder="1" applyAlignment="1" applyProtection="1">
      <alignment horizontal="center" vertical="center" wrapText="1"/>
      <protection locked="0"/>
    </xf>
    <xf numFmtId="4" fontId="47" fillId="0" borderId="17" xfId="0" applyNumberFormat="1" applyFont="1" applyFill="1" applyBorder="1" applyAlignment="1">
      <alignment horizontal="center" vertical="center" wrapText="1"/>
    </xf>
    <xf numFmtId="49" fontId="35" fillId="0" borderId="17" xfId="0" applyNumberFormat="1" applyFont="1" applyFill="1" applyBorder="1" applyAlignment="1">
      <alignment horizontal="center" vertical="center" wrapText="1"/>
    </xf>
    <xf numFmtId="0" fontId="35" fillId="0" borderId="17" xfId="38" applyFont="1" applyFill="1" applyBorder="1" applyAlignment="1" applyProtection="1">
      <alignment horizontal="center" vertical="center" wrapText="1"/>
      <protection locked="0"/>
    </xf>
    <xf numFmtId="4" fontId="35" fillId="0" borderId="17" xfId="0" applyNumberFormat="1" applyFont="1" applyFill="1" applyBorder="1" applyAlignment="1">
      <alignment horizontal="center" vertical="center" wrapText="1"/>
    </xf>
    <xf numFmtId="49" fontId="140" fillId="0" borderId="17" xfId="0" applyNumberFormat="1" applyFont="1" applyFill="1" applyBorder="1" applyAlignment="1">
      <alignment horizontal="center" vertical="center" wrapText="1"/>
    </xf>
    <xf numFmtId="0" fontId="140" fillId="0" borderId="17" xfId="38" applyFont="1" applyFill="1" applyBorder="1" applyAlignment="1" applyProtection="1">
      <alignment horizontal="center" vertical="center" wrapText="1"/>
      <protection locked="0"/>
    </xf>
    <xf numFmtId="4" fontId="140" fillId="0" borderId="17" xfId="0" applyNumberFormat="1" applyFont="1" applyFill="1" applyBorder="1" applyAlignment="1">
      <alignment horizontal="center" vertical="center" wrapText="1"/>
    </xf>
    <xf numFmtId="0" fontId="110" fillId="0" borderId="17" xfId="0" applyFont="1" applyFill="1" applyBorder="1" applyAlignment="1">
      <alignment horizontal="center" vertical="center" wrapText="1"/>
    </xf>
    <xf numFmtId="0" fontId="138" fillId="0" borderId="17" xfId="0" applyFont="1" applyFill="1" applyBorder="1" applyAlignment="1">
      <alignment horizontal="center" vertical="center" wrapText="1"/>
    </xf>
    <xf numFmtId="4" fontId="125" fillId="0" borderId="17" xfId="0" applyNumberFormat="1" applyFont="1" applyFill="1" applyBorder="1" applyAlignment="1">
      <alignment horizontal="center" vertical="center"/>
    </xf>
    <xf numFmtId="0" fontId="19" fillId="0" borderId="26" xfId="0" applyFont="1" applyFill="1" applyBorder="1" applyAlignment="1">
      <alignment horizontal="center" vertical="center" wrapText="1"/>
    </xf>
    <xf numFmtId="4" fontId="19" fillId="0" borderId="26" xfId="0" applyNumberFormat="1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left" vertical="center" wrapText="1"/>
    </xf>
    <xf numFmtId="4" fontId="11" fillId="0" borderId="26" xfId="0" applyNumberFormat="1" applyFont="1" applyFill="1" applyBorder="1" applyAlignment="1">
      <alignment horizontal="center" vertical="center" wrapText="1"/>
    </xf>
    <xf numFmtId="0" fontId="84" fillId="0" borderId="26" xfId="0" applyFont="1" applyFill="1" applyBorder="1" applyAlignment="1">
      <alignment horizontal="center" vertical="center" wrapText="1"/>
    </xf>
    <xf numFmtId="0" fontId="84" fillId="0" borderId="26" xfId="0" applyFont="1" applyFill="1" applyBorder="1" applyAlignment="1">
      <alignment horizontal="left" vertical="center" wrapText="1"/>
    </xf>
    <xf numFmtId="4" fontId="84" fillId="0" borderId="26" xfId="0" applyNumberFormat="1" applyFont="1" applyFill="1" applyBorder="1" applyAlignment="1">
      <alignment horizontal="center" vertical="center" wrapText="1"/>
    </xf>
    <xf numFmtId="0" fontId="37" fillId="0" borderId="26" xfId="0" applyFont="1" applyFill="1" applyBorder="1" applyAlignment="1">
      <alignment horizontal="center" vertical="center" wrapText="1"/>
    </xf>
    <xf numFmtId="0" fontId="37" fillId="0" borderId="26" xfId="0" applyFont="1" applyFill="1" applyBorder="1" applyAlignment="1">
      <alignment horizontal="left" vertical="center" wrapText="1"/>
    </xf>
    <xf numFmtId="4" fontId="37" fillId="0" borderId="26" xfId="0" applyNumberFormat="1" applyFont="1" applyFill="1" applyBorder="1" applyAlignment="1">
      <alignment horizontal="center" vertical="center" wrapText="1"/>
    </xf>
    <xf numFmtId="4" fontId="19" fillId="0" borderId="26" xfId="0" applyNumberFormat="1" applyFont="1" applyFill="1" applyBorder="1" applyAlignment="1">
      <alignment horizontal="left" vertical="center" wrapText="1"/>
    </xf>
    <xf numFmtId="4" fontId="37" fillId="0" borderId="26" xfId="0" applyNumberFormat="1" applyFont="1" applyFill="1" applyBorder="1" applyAlignment="1">
      <alignment horizontal="left" vertical="center" wrapText="1"/>
    </xf>
    <xf numFmtId="0" fontId="19" fillId="35" borderId="26" xfId="0" applyFont="1" applyFill="1" applyBorder="1" applyAlignment="1">
      <alignment horizontal="center" vertical="center" wrapText="1"/>
    </xf>
    <xf numFmtId="0" fontId="19" fillId="35" borderId="26" xfId="0" applyFont="1" applyFill="1" applyBorder="1" applyAlignment="1">
      <alignment horizontal="left" vertical="center" wrapText="1"/>
    </xf>
    <xf numFmtId="4" fontId="19" fillId="35" borderId="26" xfId="0" applyNumberFormat="1" applyFont="1" applyFill="1" applyBorder="1" applyAlignment="1">
      <alignment horizontal="center" vertical="center" wrapText="1"/>
    </xf>
    <xf numFmtId="4" fontId="110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34" fillId="36" borderId="17" xfId="0" applyNumberFormat="1" applyFont="1" applyFill="1" applyBorder="1" applyAlignment="1">
      <alignment horizontal="center" vertical="center"/>
    </xf>
    <xf numFmtId="4" fontId="167" fillId="29" borderId="0" xfId="0" applyNumberFormat="1" applyFont="1" applyFill="1" applyAlignment="1">
      <alignment vertical="center"/>
    </xf>
    <xf numFmtId="0" fontId="166" fillId="0" borderId="0" xfId="0" applyFont="1" applyFill="1"/>
    <xf numFmtId="0" fontId="166" fillId="29" borderId="0" xfId="0" applyFont="1" applyFill="1"/>
    <xf numFmtId="49" fontId="168" fillId="29" borderId="0" xfId="0" applyNumberFormat="1" applyFont="1" applyFill="1" applyAlignment="1">
      <alignment horizontal="center" vertical="center" wrapText="1"/>
    </xf>
    <xf numFmtId="0" fontId="169" fillId="29" borderId="0" xfId="0" applyFont="1" applyFill="1"/>
    <xf numFmtId="4" fontId="170" fillId="29" borderId="0" xfId="0" applyNumberFormat="1" applyFont="1" applyFill="1" applyAlignment="1">
      <alignment horizontal="left" vertical="center"/>
    </xf>
    <xf numFmtId="4" fontId="171" fillId="29" borderId="0" xfId="0" applyNumberFormat="1" applyFont="1" applyFill="1" applyAlignment="1">
      <alignment horizontal="left" vertical="center"/>
    </xf>
    <xf numFmtId="0" fontId="172" fillId="29" borderId="0" xfId="0" applyFont="1" applyFill="1"/>
    <xf numFmtId="0" fontId="173" fillId="29" borderId="0" xfId="0" applyFont="1" applyFill="1"/>
    <xf numFmtId="0" fontId="174" fillId="29" borderId="0" xfId="0" applyFont="1" applyFill="1"/>
    <xf numFmtId="0" fontId="175" fillId="29" borderId="0" xfId="0" applyFont="1" applyFill="1"/>
    <xf numFmtId="4" fontId="176" fillId="29" borderId="0" xfId="0" applyNumberFormat="1" applyFont="1" applyFill="1" applyAlignment="1">
      <alignment horizontal="center" vertical="center"/>
    </xf>
    <xf numFmtId="0" fontId="177" fillId="29" borderId="0" xfId="0" applyFont="1" applyFill="1"/>
    <xf numFmtId="4" fontId="178" fillId="29" borderId="0" xfId="0" applyNumberFormat="1" applyFont="1" applyFill="1"/>
    <xf numFmtId="4" fontId="179" fillId="29" borderId="0" xfId="0" applyNumberFormat="1" applyFont="1" applyFill="1" applyAlignment="1">
      <alignment horizontal="left" vertical="center"/>
    </xf>
    <xf numFmtId="0" fontId="180" fillId="29" borderId="0" xfId="0" applyFont="1" applyFill="1"/>
    <xf numFmtId="4" fontId="181" fillId="29" borderId="0" xfId="0" applyNumberFormat="1" applyFont="1" applyFill="1" applyAlignment="1">
      <alignment horizontal="center" vertical="center" wrapText="1"/>
    </xf>
    <xf numFmtId="4" fontId="182" fillId="29" borderId="0" xfId="0" applyNumberFormat="1" applyFont="1" applyFill="1" applyAlignment="1">
      <alignment horizontal="center" vertical="center" wrapText="1"/>
    </xf>
    <xf numFmtId="4" fontId="183" fillId="29" borderId="0" xfId="0" applyNumberFormat="1" applyFont="1" applyFill="1" applyAlignment="1">
      <alignment horizontal="center" vertical="center" wrapText="1"/>
    </xf>
    <xf numFmtId="4" fontId="181" fillId="29" borderId="0" xfId="0" applyNumberFormat="1" applyFont="1" applyFill="1" applyAlignment="1">
      <alignment horizontal="left" vertical="center" wrapText="1"/>
    </xf>
    <xf numFmtId="4" fontId="184" fillId="29" borderId="0" xfId="0" applyNumberFormat="1" applyFont="1" applyFill="1" applyAlignment="1">
      <alignment horizontal="left" vertical="center" wrapText="1"/>
    </xf>
    <xf numFmtId="0" fontId="185" fillId="29" borderId="0" xfId="0" applyFont="1" applyFill="1"/>
    <xf numFmtId="4" fontId="168" fillId="29" borderId="0" xfId="0" applyNumberFormat="1" applyFont="1" applyFill="1" applyAlignment="1">
      <alignment horizontal="center" vertical="center"/>
    </xf>
    <xf numFmtId="4" fontId="181" fillId="30" borderId="17" xfId="0" applyNumberFormat="1" applyFont="1" applyFill="1" applyBorder="1" applyAlignment="1">
      <alignment horizontal="center" vertical="center"/>
    </xf>
    <xf numFmtId="4" fontId="186" fillId="29" borderId="0" xfId="0" applyNumberFormat="1" applyFont="1" applyFill="1" applyAlignment="1">
      <alignment vertical="center"/>
    </xf>
    <xf numFmtId="0" fontId="40" fillId="34" borderId="17" xfId="0" applyFont="1" applyFill="1" applyBorder="1" applyAlignment="1">
      <alignment horizontal="center" vertical="center"/>
    </xf>
    <xf numFmtId="0" fontId="40" fillId="34" borderId="17" xfId="0" applyFont="1" applyFill="1" applyBorder="1" applyAlignment="1">
      <alignment horizontal="left" vertical="center"/>
    </xf>
    <xf numFmtId="4" fontId="40" fillId="34" borderId="17" xfId="0" applyNumberFormat="1" applyFont="1" applyFill="1" applyBorder="1" applyAlignment="1">
      <alignment horizontal="center" vertical="center"/>
    </xf>
    <xf numFmtId="0" fontId="0" fillId="0" borderId="0" xfId="0" applyFill="1"/>
    <xf numFmtId="4" fontId="187" fillId="29" borderId="0" xfId="35" applyNumberFormat="1" applyFont="1" applyFill="1" applyAlignment="1">
      <alignment horizontal="left" vertical="center"/>
    </xf>
    <xf numFmtId="4" fontId="170" fillId="28" borderId="17" xfId="0" applyNumberFormat="1" applyFont="1" applyFill="1" applyBorder="1" applyAlignment="1">
      <alignment horizontal="center" vertical="center" wrapText="1"/>
    </xf>
    <xf numFmtId="0" fontId="169" fillId="28" borderId="0" xfId="0" applyFont="1" applyFill="1"/>
    <xf numFmtId="0" fontId="166" fillId="28" borderId="0" xfId="0" applyFont="1" applyFill="1"/>
    <xf numFmtId="4" fontId="170" fillId="0" borderId="17" xfId="0" applyNumberFormat="1" applyFont="1" applyFill="1" applyBorder="1" applyAlignment="1">
      <alignment horizontal="center" vertical="center" wrapText="1"/>
    </xf>
    <xf numFmtId="0" fontId="169" fillId="0" borderId="0" xfId="0" applyFont="1" applyFill="1"/>
    <xf numFmtId="49" fontId="124" fillId="0" borderId="21" xfId="0" applyNumberFormat="1" applyFont="1" applyFill="1" applyBorder="1" applyAlignment="1">
      <alignment horizontal="center" vertical="center" wrapText="1"/>
    </xf>
    <xf numFmtId="4" fontId="124" fillId="0" borderId="21" xfId="0" applyNumberFormat="1" applyFont="1" applyFill="1" applyBorder="1" applyAlignment="1">
      <alignment horizontal="center" vertical="center" wrapText="1"/>
    </xf>
    <xf numFmtId="4" fontId="188" fillId="29" borderId="0" xfId="0" applyNumberFormat="1" applyFont="1" applyFill="1" applyAlignment="1">
      <alignment vertical="center"/>
    </xf>
    <xf numFmtId="0" fontId="189" fillId="29" borderId="0" xfId="0" applyFont="1" applyFill="1" applyAlignment="1">
      <alignment vertical="center"/>
    </xf>
    <xf numFmtId="0" fontId="190" fillId="29" borderId="0" xfId="0" applyFont="1" applyFill="1" applyAlignment="1">
      <alignment vertical="center"/>
    </xf>
    <xf numFmtId="166" fontId="191" fillId="29" borderId="0" xfId="0" applyNumberFormat="1" applyFont="1" applyFill="1" applyAlignment="1">
      <alignment horizontal="right" vertical="center" wrapText="1"/>
    </xf>
    <xf numFmtId="166" fontId="192" fillId="29" borderId="0" xfId="0" applyNumberFormat="1" applyFont="1" applyFill="1" applyAlignment="1">
      <alignment horizontal="right" vertical="center" wrapText="1"/>
    </xf>
    <xf numFmtId="166" fontId="167" fillId="29" borderId="0" xfId="0" applyNumberFormat="1" applyFont="1" applyFill="1" applyAlignment="1">
      <alignment horizontal="right" vertical="center" wrapText="1"/>
    </xf>
    <xf numFmtId="0" fontId="192" fillId="29" borderId="0" xfId="0" applyFont="1" applyFill="1" applyAlignment="1">
      <alignment vertical="center"/>
    </xf>
    <xf numFmtId="0" fontId="191" fillId="29" borderId="0" xfId="0" applyFont="1" applyFill="1" applyAlignment="1">
      <alignment vertical="center"/>
    </xf>
    <xf numFmtId="4" fontId="191" fillId="29" borderId="0" xfId="0" applyNumberFormat="1" applyFont="1" applyFill="1" applyAlignment="1">
      <alignment vertical="center"/>
    </xf>
    <xf numFmtId="2" fontId="193" fillId="29" borderId="0" xfId="0" applyNumberFormat="1" applyFont="1" applyFill="1" applyAlignment="1">
      <alignment horizontal="center" vertical="center"/>
    </xf>
    <xf numFmtId="2" fontId="35" fillId="34" borderId="17" xfId="0" applyNumberFormat="1" applyFont="1" applyFill="1" applyBorder="1" applyAlignment="1">
      <alignment horizontal="center" vertical="center"/>
    </xf>
    <xf numFmtId="4" fontId="35" fillId="34" borderId="17" xfId="0" applyNumberFormat="1" applyFont="1" applyFill="1" applyBorder="1" applyAlignment="1">
      <alignment horizontal="center" vertical="center"/>
    </xf>
    <xf numFmtId="0" fontId="194" fillId="29" borderId="0" xfId="0" applyFont="1" applyFill="1"/>
    <xf numFmtId="164" fontId="60" fillId="34" borderId="17" xfId="0" applyNumberFormat="1" applyFont="1" applyFill="1" applyBorder="1" applyAlignment="1">
      <alignment horizontal="center" vertical="center"/>
    </xf>
    <xf numFmtId="164" fontId="60" fillId="34" borderId="17" xfId="36" applyNumberFormat="1" applyFont="1" applyFill="1" applyBorder="1" applyAlignment="1">
      <alignment horizontal="center" vertical="center" wrapText="1"/>
    </xf>
    <xf numFmtId="4" fontId="42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0" fontId="11" fillId="0" borderId="26" xfId="39" applyFont="1" applyFill="1" applyBorder="1" applyAlignment="1">
      <alignment horizontal="center" vertical="center" wrapText="1"/>
    </xf>
    <xf numFmtId="0" fontId="11" fillId="0" borderId="26" xfId="39" applyFont="1" applyFill="1" applyBorder="1" applyAlignment="1">
      <alignment vertical="center" wrapText="1"/>
    </xf>
    <xf numFmtId="4" fontId="21" fillId="0" borderId="26" xfId="39" applyNumberFormat="1" applyFont="1" applyFill="1" applyBorder="1" applyAlignment="1">
      <alignment horizontal="center" vertical="center" wrapText="1"/>
    </xf>
    <xf numFmtId="4" fontId="39" fillId="0" borderId="26" xfId="39" applyNumberFormat="1" applyFont="1" applyFill="1" applyBorder="1" applyAlignment="1">
      <alignment horizontal="center" vertical="center" wrapText="1"/>
    </xf>
    <xf numFmtId="0" fontId="37" fillId="0" borderId="26" xfId="39" applyFont="1" applyFill="1" applyBorder="1" applyAlignment="1">
      <alignment horizontal="center" vertical="center" wrapText="1"/>
    </xf>
    <xf numFmtId="0" fontId="37" fillId="0" borderId="26" xfId="39" applyFont="1" applyFill="1" applyBorder="1" applyAlignment="1">
      <alignment vertical="center" wrapText="1"/>
    </xf>
    <xf numFmtId="4" fontId="38" fillId="0" borderId="26" xfId="39" applyNumberFormat="1" applyFont="1" applyFill="1" applyBorder="1" applyAlignment="1">
      <alignment horizontal="center" vertical="center" wrapText="1"/>
    </xf>
    <xf numFmtId="4" fontId="37" fillId="0" borderId="26" xfId="39" applyNumberFormat="1" applyFont="1" applyFill="1" applyBorder="1" applyAlignment="1">
      <alignment horizontal="center" vertical="center" wrapText="1"/>
    </xf>
    <xf numFmtId="0" fontId="11" fillId="0" borderId="26" xfId="37" applyFont="1" applyFill="1" applyBorder="1" applyAlignment="1">
      <alignment horizontal="justify" vertical="center" wrapText="1"/>
    </xf>
    <xf numFmtId="4" fontId="11" fillId="0" borderId="26" xfId="39" applyNumberFormat="1" applyFont="1" applyFill="1" applyBorder="1" applyAlignment="1">
      <alignment horizontal="center" vertical="center" wrapText="1"/>
    </xf>
    <xf numFmtId="0" fontId="11" fillId="0" borderId="26" xfId="37" applyFont="1" applyFill="1" applyBorder="1" applyAlignment="1">
      <alignment horizontal="left" vertical="center" wrapText="1"/>
    </xf>
    <xf numFmtId="0" fontId="37" fillId="0" borderId="26" xfId="37" applyFont="1" applyFill="1" applyBorder="1" applyAlignment="1">
      <alignment horizontal="justify" vertical="center" wrapText="1"/>
    </xf>
    <xf numFmtId="0" fontId="37" fillId="0" borderId="26" xfId="37" applyFont="1" applyFill="1" applyBorder="1" applyAlignment="1">
      <alignment horizontal="left" vertical="center" wrapText="1"/>
    </xf>
    <xf numFmtId="4" fontId="19" fillId="0" borderId="26" xfId="39" applyNumberFormat="1" applyFont="1" applyFill="1" applyBorder="1" applyAlignment="1">
      <alignment horizontal="center" vertical="center" wrapText="1"/>
    </xf>
    <xf numFmtId="4" fontId="160" fillId="0" borderId="26" xfId="39" applyNumberFormat="1" applyFont="1" applyFill="1" applyBorder="1" applyAlignment="1">
      <alignment horizontal="center" vertical="center" wrapText="1"/>
    </xf>
    <xf numFmtId="0" fontId="19" fillId="0" borderId="26" xfId="37" applyFont="1" applyFill="1" applyBorder="1" applyAlignment="1">
      <alignment horizontal="center" vertical="center" wrapText="1"/>
    </xf>
    <xf numFmtId="0" fontId="39" fillId="0" borderId="26" xfId="37" applyFont="1" applyFill="1" applyBorder="1" applyAlignment="1">
      <alignment horizontal="justify" vertical="center" wrapText="1"/>
    </xf>
    <xf numFmtId="0" fontId="38" fillId="0" borderId="26" xfId="37" applyFont="1" applyFill="1" applyBorder="1" applyAlignment="1">
      <alignment horizontal="justify" vertical="center" wrapText="1"/>
    </xf>
    <xf numFmtId="0" fontId="21" fillId="0" borderId="26" xfId="37" applyFont="1" applyFill="1" applyBorder="1" applyAlignment="1">
      <alignment horizontal="justify" vertical="center" wrapText="1"/>
    </xf>
    <xf numFmtId="0" fontId="39" fillId="0" borderId="26" xfId="37" applyFont="1" applyFill="1" applyBorder="1" applyAlignment="1">
      <alignment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4" fontId="41" fillId="0" borderId="17" xfId="0" applyNumberFormat="1" applyFont="1" applyFill="1" applyBorder="1" applyAlignment="1">
      <alignment horizontal="center" vertical="center" wrapText="1"/>
    </xf>
    <xf numFmtId="4" fontId="42" fillId="0" borderId="17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center" vertical="center" wrapText="1"/>
    </xf>
    <xf numFmtId="0" fontId="38" fillId="0" borderId="26" xfId="37" applyFont="1" applyFill="1" applyBorder="1" applyAlignment="1">
      <alignment vertical="center" wrapText="1"/>
    </xf>
    <xf numFmtId="0" fontId="11" fillId="0" borderId="26" xfId="0" applyFont="1" applyFill="1" applyBorder="1" applyAlignment="1">
      <alignment horizontal="justify" vertical="center"/>
    </xf>
    <xf numFmtId="0" fontId="19" fillId="0" borderId="26" xfId="39" applyFont="1" applyFill="1" applyBorder="1" applyAlignment="1">
      <alignment vertical="center" wrapText="1"/>
    </xf>
    <xf numFmtId="0" fontId="19" fillId="0" borderId="26" xfId="37" applyFont="1" applyFill="1" applyBorder="1" applyAlignment="1">
      <alignment horizontal="justify" vertical="center" wrapText="1"/>
    </xf>
    <xf numFmtId="0" fontId="84" fillId="0" borderId="26" xfId="39" applyFont="1" applyFill="1" applyBorder="1" applyAlignment="1">
      <alignment vertical="center" wrapText="1"/>
    </xf>
    <xf numFmtId="4" fontId="84" fillId="0" borderId="26" xfId="39" applyNumberFormat="1" applyFont="1" applyFill="1" applyBorder="1" applyAlignment="1">
      <alignment horizontal="center" vertical="center" wrapText="1"/>
    </xf>
    <xf numFmtId="0" fontId="35" fillId="0" borderId="0" xfId="39" applyFont="1" applyFill="1" applyAlignment="1">
      <alignment wrapText="1"/>
    </xf>
    <xf numFmtId="0" fontId="54" fillId="0" borderId="0" xfId="39" applyFont="1" applyFill="1" applyAlignment="1">
      <alignment wrapText="1"/>
    </xf>
    <xf numFmtId="0" fontId="11" fillId="0" borderId="0" xfId="39" applyFill="1" applyAlignment="1">
      <alignment wrapText="1"/>
    </xf>
    <xf numFmtId="0" fontId="47" fillId="0" borderId="0" xfId="39" applyFont="1" applyFill="1" applyAlignment="1">
      <alignment wrapText="1"/>
    </xf>
    <xf numFmtId="4" fontId="11" fillId="0" borderId="0" xfId="39" applyNumberFormat="1" applyFill="1"/>
    <xf numFmtId="4" fontId="165" fillId="0" borderId="0" xfId="39" applyNumberFormat="1" applyFont="1" applyFill="1"/>
    <xf numFmtId="0" fontId="21" fillId="0" borderId="26" xfId="37" applyFont="1" applyFill="1" applyBorder="1" applyAlignment="1">
      <alignment vertical="center" wrapText="1"/>
    </xf>
    <xf numFmtId="0" fontId="19" fillId="37" borderId="26" xfId="39" applyFont="1" applyFill="1" applyBorder="1" applyAlignment="1">
      <alignment horizontal="center" vertical="center" wrapText="1"/>
    </xf>
    <xf numFmtId="4" fontId="21" fillId="37" borderId="26" xfId="39" applyNumberFormat="1" applyFont="1" applyFill="1" applyBorder="1" applyAlignment="1">
      <alignment horizontal="center" vertical="center" wrapText="1"/>
    </xf>
    <xf numFmtId="49" fontId="158" fillId="0" borderId="17" xfId="0" applyNumberFormat="1" applyFont="1" applyFill="1" applyBorder="1" applyAlignment="1">
      <alignment horizontal="center" vertical="center" wrapText="1"/>
    </xf>
    <xf numFmtId="4" fontId="158" fillId="0" borderId="24" xfId="0" applyNumberFormat="1" applyFont="1" applyFill="1" applyBorder="1" applyAlignment="1">
      <alignment horizontal="center" vertical="center" wrapText="1"/>
    </xf>
    <xf numFmtId="4" fontId="129" fillId="0" borderId="24" xfId="0" applyNumberFormat="1" applyFont="1" applyFill="1" applyBorder="1" applyAlignment="1">
      <alignment horizontal="center" vertical="center" wrapText="1"/>
    </xf>
    <xf numFmtId="4" fontId="184" fillId="30" borderId="16" xfId="0" applyNumberFormat="1" applyFont="1" applyFill="1" applyBorder="1" applyAlignment="1">
      <alignment horizontal="center" vertical="center" wrapText="1"/>
    </xf>
    <xf numFmtId="4" fontId="184" fillId="30" borderId="0" xfId="0" applyNumberFormat="1" applyFont="1" applyFill="1" applyBorder="1" applyAlignment="1">
      <alignment horizontal="center" vertical="center" wrapText="1"/>
    </xf>
    <xf numFmtId="4" fontId="195" fillId="29" borderId="0" xfId="0" applyNumberFormat="1" applyFont="1" applyFill="1" applyAlignment="1">
      <alignment horizontal="center" vertical="center" wrapText="1"/>
    </xf>
    <xf numFmtId="4" fontId="184" fillId="30" borderId="8" xfId="0" applyNumberFormat="1" applyFont="1" applyFill="1" applyBorder="1" applyAlignment="1">
      <alignment horizontal="center" vertical="center" wrapText="1"/>
    </xf>
    <xf numFmtId="166" fontId="168" fillId="29" borderId="17" xfId="30" applyNumberFormat="1" applyFont="1" applyFill="1" applyBorder="1" applyAlignment="1">
      <alignment horizontal="center" vertical="center" wrapText="1"/>
    </xf>
    <xf numFmtId="166" fontId="168" fillId="29" borderId="0" xfId="30" applyNumberFormat="1" applyFont="1" applyFill="1" applyBorder="1" applyAlignment="1">
      <alignment horizontal="center" vertical="center" wrapText="1"/>
    </xf>
    <xf numFmtId="4" fontId="168" fillId="29" borderId="0" xfId="30" applyNumberFormat="1" applyFont="1" applyFill="1" applyBorder="1" applyAlignment="1">
      <alignment horizontal="center" vertical="center" wrapText="1"/>
    </xf>
    <xf numFmtId="4" fontId="181" fillId="30" borderId="16" xfId="0" applyNumberFormat="1" applyFont="1" applyFill="1" applyBorder="1" applyAlignment="1">
      <alignment horizontal="center" vertical="center" wrapText="1"/>
    </xf>
    <xf numFmtId="4" fontId="181" fillId="30" borderId="8" xfId="0" applyNumberFormat="1" applyFont="1" applyFill="1" applyBorder="1" applyAlignment="1">
      <alignment horizontal="center" vertical="center" wrapText="1"/>
    </xf>
    <xf numFmtId="4" fontId="171" fillId="29" borderId="0" xfId="38" applyNumberFormat="1" applyFont="1" applyFill="1" applyBorder="1" applyAlignment="1" applyProtection="1">
      <alignment horizontal="center" vertical="center" wrapText="1"/>
      <protection locked="0"/>
    </xf>
    <xf numFmtId="4" fontId="170" fillId="0" borderId="0" xfId="36" applyNumberFormat="1" applyFont="1" applyFill="1" applyBorder="1" applyAlignment="1">
      <alignment horizontal="center" vertical="center" wrapText="1"/>
    </xf>
    <xf numFmtId="0" fontId="168" fillId="0" borderId="0" xfId="39" applyFont="1"/>
    <xf numFmtId="0" fontId="168" fillId="0" borderId="0" xfId="0" applyFont="1" applyAlignment="1">
      <alignment horizontal="left" vertical="center"/>
    </xf>
    <xf numFmtId="0" fontId="175" fillId="0" borderId="0" xfId="0" applyFont="1"/>
    <xf numFmtId="0" fontId="184" fillId="29" borderId="0" xfId="0" applyFont="1" applyFill="1" applyAlignment="1">
      <alignment horizontal="center" vertical="center"/>
    </xf>
    <xf numFmtId="0" fontId="196" fillId="29" borderId="0" xfId="0" applyFont="1" applyFill="1" applyAlignment="1">
      <alignment horizontal="center" vertical="center"/>
    </xf>
    <xf numFmtId="0" fontId="175" fillId="0" borderId="0" xfId="0" applyFont="1" applyFill="1"/>
    <xf numFmtId="4" fontId="170" fillId="0" borderId="0" xfId="0" applyNumberFormat="1" applyFont="1" applyAlignment="1">
      <alignment vertical="center"/>
    </xf>
    <xf numFmtId="0" fontId="168" fillId="0" borderId="0" xfId="0" applyFont="1"/>
    <xf numFmtId="4" fontId="42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4" fontId="41" fillId="0" borderId="17" xfId="0" applyNumberFormat="1" applyFont="1" applyFill="1" applyBorder="1" applyAlignment="1">
      <alignment horizontal="center" vertical="center" wrapText="1"/>
    </xf>
    <xf numFmtId="0" fontId="0" fillId="0" borderId="0" xfId="0"/>
    <xf numFmtId="4" fontId="42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7" xfId="38" applyNumberFormat="1" applyFont="1" applyFill="1" applyBorder="1" applyAlignment="1">
      <alignment horizontal="center" vertical="center" wrapText="1"/>
    </xf>
    <xf numFmtId="0" fontId="102" fillId="0" borderId="0" xfId="0" applyFont="1"/>
    <xf numFmtId="0" fontId="0" fillId="29" borderId="0" xfId="0" applyFill="1"/>
    <xf numFmtId="49" fontId="41" fillId="0" borderId="17" xfId="0" applyNumberFormat="1" applyFont="1" applyFill="1" applyBorder="1" applyAlignment="1">
      <alignment horizontal="center" vertical="center" wrapText="1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7" xfId="38" applyNumberFormat="1" applyFont="1" applyFill="1" applyBorder="1" applyAlignment="1">
      <alignment horizontal="center" vertical="center" wrapText="1"/>
    </xf>
    <xf numFmtId="49" fontId="41" fillId="28" borderId="18" xfId="0" applyNumberFormat="1" applyFont="1" applyFill="1" applyBorder="1" applyAlignment="1">
      <alignment horizontal="center" vertical="center" wrapText="1"/>
    </xf>
    <xf numFmtId="49" fontId="41" fillId="0" borderId="18" xfId="0" applyNumberFormat="1" applyFont="1" applyFill="1" applyBorder="1" applyAlignment="1">
      <alignment horizontal="center" vertical="center" wrapText="1"/>
    </xf>
    <xf numFmtId="4" fontId="41" fillId="0" borderId="18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0" fontId="0" fillId="0" borderId="0" xfId="0"/>
    <xf numFmtId="49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4" fontId="41" fillId="0" borderId="17" xfId="0" applyNumberFormat="1" applyFont="1" applyFill="1" applyBorder="1" applyAlignment="1">
      <alignment horizontal="center" vertical="center" wrapText="1"/>
    </xf>
    <xf numFmtId="4" fontId="42" fillId="0" borderId="17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center" vertical="center" wrapText="1"/>
    </xf>
    <xf numFmtId="4" fontId="126" fillId="0" borderId="17" xfId="0" applyNumberFormat="1" applyFont="1" applyFill="1" applyBorder="1" applyAlignment="1">
      <alignment horizontal="center" vertical="center" wrapText="1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7" xfId="38" applyNumberFormat="1" applyFont="1" applyFill="1" applyBorder="1" applyAlignment="1">
      <alignment horizontal="center" vertical="center" wrapText="1"/>
    </xf>
    <xf numFmtId="4" fontId="41" fillId="0" borderId="18" xfId="0" applyNumberFormat="1" applyFont="1" applyFill="1" applyBorder="1" applyAlignment="1">
      <alignment horizontal="center" vertical="center" wrapText="1"/>
    </xf>
    <xf numFmtId="0" fontId="102" fillId="0" borderId="0" xfId="0" applyFont="1"/>
    <xf numFmtId="2" fontId="15" fillId="0" borderId="17" xfId="36" applyNumberFormat="1" applyFont="1" applyFill="1" applyBorder="1" applyAlignment="1">
      <alignment horizontal="center" vertical="center" wrapText="1"/>
    </xf>
    <xf numFmtId="4" fontId="15" fillId="0" borderId="17" xfId="36" applyNumberFormat="1" applyFont="1" applyFill="1" applyBorder="1" applyAlignment="1">
      <alignment horizontal="center" vertical="center" wrapText="1"/>
    </xf>
    <xf numFmtId="0" fontId="0" fillId="0" borderId="0" xfId="0"/>
    <xf numFmtId="49" fontId="41" fillId="0" borderId="17" xfId="0" applyNumberFormat="1" applyFont="1" applyFill="1" applyBorder="1" applyAlignment="1">
      <alignment horizontal="center" vertical="center" wrapText="1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7" xfId="38" applyNumberFormat="1" applyFont="1" applyFill="1" applyBorder="1" applyAlignment="1">
      <alignment horizontal="center" vertical="center" wrapText="1"/>
    </xf>
    <xf numFmtId="0" fontId="102" fillId="0" borderId="0" xfId="0" applyFont="1"/>
    <xf numFmtId="0" fontId="197" fillId="29" borderId="0" xfId="0" applyFont="1" applyFill="1" applyAlignment="1">
      <alignment horizontal="center" vertical="center"/>
    </xf>
    <xf numFmtId="4" fontId="42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4" fontId="42" fillId="29" borderId="0" xfId="0" applyNumberFormat="1" applyFont="1" applyFill="1" applyAlignment="1">
      <alignment horizontal="left" vertical="center" wrapText="1"/>
    </xf>
    <xf numFmtId="0" fontId="102" fillId="0" borderId="0" xfId="0" applyFont="1"/>
    <xf numFmtId="0" fontId="0" fillId="29" borderId="0" xfId="0" applyFill="1"/>
    <xf numFmtId="4" fontId="41" fillId="0" borderId="17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center" vertical="center" wrapText="1"/>
    </xf>
    <xf numFmtId="0" fontId="0" fillId="0" borderId="0" xfId="0"/>
    <xf numFmtId="0" fontId="152" fillId="0" borderId="0" xfId="0" applyFont="1" applyAlignment="1">
      <alignment horizontal="justify" vertical="center"/>
    </xf>
    <xf numFmtId="0" fontId="0" fillId="0" borderId="0" xfId="0"/>
    <xf numFmtId="4" fontId="42" fillId="29" borderId="0" xfId="0" applyNumberFormat="1" applyFont="1" applyFill="1" applyAlignment="1">
      <alignment horizontal="left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4" fontId="41" fillId="0" borderId="17" xfId="0" applyNumberFormat="1" applyFont="1" applyFill="1" applyBorder="1" applyAlignment="1">
      <alignment horizontal="center" vertical="center" wrapText="1"/>
    </xf>
    <xf numFmtId="4" fontId="42" fillId="0" borderId="17" xfId="0" applyNumberFormat="1" applyFont="1" applyFill="1" applyBorder="1" applyAlignment="1">
      <alignment horizontal="center" vertical="center" wrapText="1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0" fontId="102" fillId="0" borderId="0" xfId="0" applyFont="1"/>
    <xf numFmtId="0" fontId="44" fillId="0" borderId="0" xfId="0" applyFont="1"/>
    <xf numFmtId="0" fontId="44" fillId="28" borderId="0" xfId="0" applyFont="1" applyFill="1"/>
    <xf numFmtId="0" fontId="61" fillId="0" borderId="0" xfId="0" applyFont="1"/>
    <xf numFmtId="0" fontId="15" fillId="0" borderId="0" xfId="39" applyFont="1" applyAlignment="1">
      <alignment vertical="center"/>
    </xf>
    <xf numFmtId="0" fontId="15" fillId="0" borderId="0" xfId="39" applyFont="1" applyFill="1" applyAlignment="1">
      <alignment vertical="center"/>
    </xf>
    <xf numFmtId="0" fontId="15" fillId="0" borderId="0" xfId="0" applyFont="1" applyFill="1" applyAlignment="1">
      <alignment vertical="center"/>
    </xf>
    <xf numFmtId="4" fontId="42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7" xfId="38" applyNumberFormat="1" applyFont="1" applyFill="1" applyBorder="1" applyAlignment="1">
      <alignment horizontal="center" vertical="center" wrapText="1"/>
    </xf>
    <xf numFmtId="0" fontId="0" fillId="0" borderId="0" xfId="0"/>
    <xf numFmtId="0" fontId="0" fillId="29" borderId="0" xfId="0" applyFill="1" applyAlignment="1"/>
    <xf numFmtId="49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4" fontId="41" fillId="0" borderId="17" xfId="0" applyNumberFormat="1" applyFont="1" applyFill="1" applyBorder="1" applyAlignment="1">
      <alignment horizontal="center" vertical="center" wrapText="1"/>
    </xf>
    <xf numFmtId="4" fontId="42" fillId="0" borderId="17" xfId="0" applyNumberFormat="1" applyFont="1" applyFill="1" applyBorder="1" applyAlignment="1">
      <alignment horizontal="center" vertical="center" wrapText="1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8" xfId="0" applyNumberFormat="1" applyFont="1" applyFill="1" applyBorder="1" applyAlignment="1">
      <alignment horizontal="center" vertical="center" wrapText="1"/>
    </xf>
    <xf numFmtId="0" fontId="102" fillId="0" borderId="0" xfId="0" applyFont="1"/>
    <xf numFmtId="4" fontId="41" fillId="0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4" fontId="42" fillId="0" borderId="17" xfId="0" applyNumberFormat="1" applyFont="1" applyFill="1" applyBorder="1" applyAlignment="1">
      <alignment horizontal="center" vertical="center" wrapText="1"/>
    </xf>
    <xf numFmtId="0" fontId="0" fillId="0" borderId="0" xfId="0"/>
    <xf numFmtId="49" fontId="41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0" fontId="102" fillId="0" borderId="0" xfId="0" applyFont="1"/>
    <xf numFmtId="10" fontId="188" fillId="29" borderId="0" xfId="0" applyNumberFormat="1" applyFont="1" applyFill="1" applyAlignment="1">
      <alignment vertical="center"/>
    </xf>
    <xf numFmtId="4" fontId="41" fillId="0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7" xfId="38" applyNumberFormat="1" applyFont="1" applyFill="1" applyBorder="1" applyAlignment="1">
      <alignment horizontal="center" vertical="center" wrapText="1"/>
    </xf>
    <xf numFmtId="49" fontId="110" fillId="38" borderId="17" xfId="0" applyNumberFormat="1" applyFont="1" applyFill="1" applyBorder="1" applyAlignment="1">
      <alignment horizontal="center" vertical="center" wrapText="1"/>
    </xf>
    <xf numFmtId="0" fontId="110" fillId="38" borderId="17" xfId="38" applyFont="1" applyFill="1" applyBorder="1" applyAlignment="1" applyProtection="1">
      <alignment horizontal="center" vertical="center" wrapText="1"/>
      <protection locked="0"/>
    </xf>
    <xf numFmtId="4" fontId="110" fillId="38" borderId="17" xfId="38" applyNumberFormat="1" applyFont="1" applyFill="1" applyBorder="1" applyAlignment="1" applyProtection="1">
      <alignment horizontal="center" vertical="center" wrapText="1"/>
      <protection locked="0"/>
    </xf>
    <xf numFmtId="4" fontId="110" fillId="38" borderId="17" xfId="0" applyNumberFormat="1" applyFont="1" applyFill="1" applyBorder="1" applyAlignment="1">
      <alignment horizontal="center" vertical="center" wrapText="1"/>
    </xf>
    <xf numFmtId="49" fontId="40" fillId="39" borderId="17" xfId="0" applyNumberFormat="1" applyFont="1" applyFill="1" applyBorder="1" applyAlignment="1">
      <alignment horizontal="center" vertical="center" wrapText="1"/>
    </xf>
    <xf numFmtId="0" fontId="40" fillId="39" borderId="17" xfId="38" applyFont="1" applyFill="1" applyBorder="1" applyAlignment="1" applyProtection="1">
      <alignment horizontal="center" vertical="center" wrapText="1"/>
      <protection locked="0"/>
    </xf>
    <xf numFmtId="4" fontId="40" fillId="39" borderId="17" xfId="38" applyNumberFormat="1" applyFont="1" applyFill="1" applyBorder="1" applyAlignment="1" applyProtection="1">
      <alignment horizontal="center" vertical="center" wrapText="1"/>
      <protection locked="0"/>
    </xf>
    <xf numFmtId="0" fontId="19" fillId="40" borderId="26" xfId="39" applyFont="1" applyFill="1" applyBorder="1" applyAlignment="1">
      <alignment horizontal="center" vertical="center" wrapText="1"/>
    </xf>
    <xf numFmtId="0" fontId="19" fillId="40" borderId="26" xfId="37" applyFont="1" applyFill="1" applyBorder="1" applyAlignment="1">
      <alignment horizontal="center" vertical="center" wrapText="1"/>
    </xf>
    <xf numFmtId="4" fontId="21" fillId="40" borderId="26" xfId="39" applyNumberFormat="1" applyFont="1" applyFill="1" applyBorder="1" applyAlignment="1">
      <alignment horizontal="center" vertical="center" wrapText="1"/>
    </xf>
    <xf numFmtId="4" fontId="19" fillId="40" borderId="26" xfId="39" applyNumberFormat="1" applyFont="1" applyFill="1" applyBorder="1" applyAlignment="1">
      <alignment horizontal="center" vertical="center" wrapText="1"/>
    </xf>
    <xf numFmtId="49" fontId="47" fillId="41" borderId="17" xfId="0" applyNumberFormat="1" applyFont="1" applyFill="1" applyBorder="1" applyAlignment="1">
      <alignment horizontal="center" vertical="center" wrapText="1"/>
    </xf>
    <xf numFmtId="0" fontId="47" fillId="41" borderId="17" xfId="38" applyFont="1" applyFill="1" applyBorder="1" applyAlignment="1" applyProtection="1">
      <alignment horizontal="center" vertical="center" wrapText="1"/>
      <protection locked="0"/>
    </xf>
    <xf numFmtId="4" fontId="47" fillId="41" borderId="17" xfId="0" applyNumberFormat="1" applyFont="1" applyFill="1" applyBorder="1" applyAlignment="1">
      <alignment horizontal="center" vertical="center" wrapText="1"/>
    </xf>
    <xf numFmtId="4" fontId="47" fillId="41" borderId="17" xfId="38" applyNumberFormat="1" applyFont="1" applyFill="1" applyBorder="1" applyAlignment="1" applyProtection="1">
      <alignment horizontal="center" vertical="center" wrapText="1"/>
      <protection locked="0"/>
    </xf>
    <xf numFmtId="49" fontId="35" fillId="39" borderId="17" xfId="0" applyNumberFormat="1" applyFont="1" applyFill="1" applyBorder="1" applyAlignment="1">
      <alignment horizontal="center" vertical="center" wrapText="1"/>
    </xf>
    <xf numFmtId="0" fontId="35" fillId="39" borderId="17" xfId="38" applyFont="1" applyFill="1" applyBorder="1" applyAlignment="1" applyProtection="1">
      <alignment horizontal="center" vertical="center" wrapText="1"/>
      <protection locked="0"/>
    </xf>
    <xf numFmtId="4" fontId="35" fillId="39" borderId="17" xfId="38" applyNumberFormat="1" applyFont="1" applyFill="1" applyBorder="1" applyAlignment="1" applyProtection="1">
      <alignment horizontal="center" vertical="center" wrapText="1"/>
      <protection locked="0"/>
    </xf>
    <xf numFmtId="4" fontId="35" fillId="39" borderId="17" xfId="0" applyNumberFormat="1" applyFont="1" applyFill="1" applyBorder="1" applyAlignment="1">
      <alignment horizontal="center" vertical="center" wrapText="1"/>
    </xf>
    <xf numFmtId="49" fontId="41" fillId="39" borderId="21" xfId="0" applyNumberFormat="1" applyFont="1" applyFill="1" applyBorder="1" applyAlignment="1">
      <alignment horizontal="center" vertical="center" wrapText="1"/>
    </xf>
    <xf numFmtId="4" fontId="41" fillId="39" borderId="21" xfId="0" applyNumberFormat="1" applyFont="1" applyFill="1" applyBorder="1" applyAlignment="1">
      <alignment horizontal="center" vertical="center" wrapText="1"/>
    </xf>
    <xf numFmtId="49" fontId="41" fillId="39" borderId="21" xfId="0" applyNumberFormat="1" applyFont="1" applyFill="1" applyBorder="1" applyAlignment="1">
      <alignment horizontal="left" vertical="center" wrapText="1"/>
    </xf>
    <xf numFmtId="49" fontId="47" fillId="38" borderId="17" xfId="0" applyNumberFormat="1" applyFont="1" applyFill="1" applyBorder="1" applyAlignment="1">
      <alignment horizontal="center" vertical="center" wrapText="1"/>
    </xf>
    <xf numFmtId="0" fontId="47" fillId="38" borderId="17" xfId="38" applyFont="1" applyFill="1" applyBorder="1" applyAlignment="1" applyProtection="1">
      <alignment horizontal="center" vertical="center" wrapText="1"/>
      <protection locked="0"/>
    </xf>
    <xf numFmtId="4" fontId="47" fillId="38" borderId="17" xfId="0" applyNumberFormat="1" applyFont="1" applyFill="1" applyBorder="1" applyAlignment="1">
      <alignment horizontal="center" vertical="center" wrapText="1"/>
    </xf>
    <xf numFmtId="9" fontId="47" fillId="38" borderId="17" xfId="0" applyNumberFormat="1" applyFont="1" applyFill="1" applyBorder="1" applyAlignment="1">
      <alignment horizontal="center" vertical="center" wrapText="1"/>
    </xf>
    <xf numFmtId="9" fontId="35" fillId="39" borderId="17" xfId="0" applyNumberFormat="1" applyFont="1" applyFill="1" applyBorder="1" applyAlignment="1">
      <alignment horizontal="center" vertical="center" wrapText="1"/>
    </xf>
    <xf numFmtId="2" fontId="60" fillId="39" borderId="17" xfId="36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0" fontId="0" fillId="0" borderId="0" xfId="0"/>
    <xf numFmtId="0" fontId="76" fillId="0" borderId="0" xfId="0" applyFont="1" applyFill="1" applyAlignment="1">
      <alignment horizontal="left" vertical="center"/>
    </xf>
    <xf numFmtId="0" fontId="78" fillId="0" borderId="0" xfId="0" applyFont="1" applyFill="1" applyAlignment="1">
      <alignment horizontal="left" vertical="center"/>
    </xf>
    <xf numFmtId="4" fontId="42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center" vertical="center" wrapText="1"/>
    </xf>
    <xf numFmtId="4" fontId="126" fillId="0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0" fontId="41" fillId="0" borderId="0" xfId="0" applyFont="1" applyFill="1" applyAlignment="1">
      <alignment horizontal="center" vertical="center"/>
    </xf>
    <xf numFmtId="0" fontId="41" fillId="0" borderId="0" xfId="0" applyFont="1" applyFill="1" applyAlignment="1">
      <alignment vertical="center"/>
    </xf>
    <xf numFmtId="0" fontId="40" fillId="0" borderId="0" xfId="0" applyFont="1" applyFill="1" applyAlignment="1">
      <alignment horizontal="center" vertical="center"/>
    </xf>
    <xf numFmtId="0" fontId="40" fillId="0" borderId="17" xfId="0" applyFont="1" applyFill="1" applyBorder="1" applyAlignment="1">
      <alignment horizontal="center" vertical="top" wrapText="1"/>
    </xf>
    <xf numFmtId="4" fontId="43" fillId="0" borderId="17" xfId="0" applyNumberFormat="1" applyFont="1" applyFill="1" applyBorder="1" applyAlignment="1">
      <alignment horizontal="center" vertical="center"/>
    </xf>
    <xf numFmtId="0" fontId="41" fillId="0" borderId="0" xfId="0" applyFont="1" applyFill="1"/>
    <xf numFmtId="4" fontId="43" fillId="29" borderId="17" xfId="0" applyNumberFormat="1" applyFont="1" applyFill="1" applyBorder="1" applyAlignment="1">
      <alignment horizontal="center" vertical="center"/>
    </xf>
    <xf numFmtId="4" fontId="43" fillId="0" borderId="18" xfId="0" applyNumberFormat="1" applyFont="1" applyFill="1" applyBorder="1" applyAlignment="1">
      <alignment horizontal="center" vertical="center" wrapText="1"/>
    </xf>
    <xf numFmtId="49" fontId="41" fillId="29" borderId="17" xfId="0" applyNumberFormat="1" applyFont="1" applyFill="1" applyBorder="1" applyAlignment="1">
      <alignment horizontal="center" vertical="center" wrapText="1"/>
    </xf>
    <xf numFmtId="4" fontId="42" fillId="29" borderId="17" xfId="0" applyNumberFormat="1" applyFont="1" applyFill="1" applyBorder="1" applyAlignment="1">
      <alignment horizontal="center" vertical="center" wrapText="1"/>
    </xf>
    <xf numFmtId="4" fontId="42" fillId="29" borderId="0" xfId="0" applyNumberFormat="1" applyFont="1" applyFill="1" applyAlignment="1">
      <alignment horizontal="left" vertical="center" wrapText="1"/>
    </xf>
    <xf numFmtId="0" fontId="0" fillId="29" borderId="0" xfId="0" applyFill="1" applyAlignment="1"/>
    <xf numFmtId="49" fontId="41" fillId="0" borderId="18" xfId="0" applyNumberFormat="1" applyFont="1" applyFill="1" applyBorder="1" applyAlignment="1">
      <alignment horizontal="center" vertical="center" wrapText="1"/>
    </xf>
    <xf numFmtId="0" fontId="102" fillId="0" borderId="0" xfId="0" applyFont="1"/>
    <xf numFmtId="0" fontId="53" fillId="0" borderId="0" xfId="39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162" fillId="0" borderId="0" xfId="39" applyFont="1" applyFill="1" applyAlignment="1">
      <alignment horizontal="center" vertical="center"/>
    </xf>
    <xf numFmtId="0" fontId="99" fillId="0" borderId="0" xfId="0" applyFont="1" applyFill="1" applyAlignment="1"/>
    <xf numFmtId="0" fontId="16" fillId="0" borderId="0" xfId="39" applyFont="1" applyFill="1" applyAlignment="1">
      <alignment horizontal="center" vertical="center"/>
    </xf>
    <xf numFmtId="0" fontId="61" fillId="0" borderId="0" xfId="0" applyFont="1" applyFill="1" applyAlignment="1"/>
    <xf numFmtId="0" fontId="19" fillId="0" borderId="26" xfId="39" applyFont="1" applyFill="1" applyBorder="1" applyAlignment="1">
      <alignment horizontal="center" vertical="top" wrapText="1"/>
    </xf>
    <xf numFmtId="0" fontId="15" fillId="0" borderId="0" xfId="0" applyFont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1" fillId="0" borderId="0" xfId="0" applyFont="1"/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wrapText="1"/>
    </xf>
    <xf numFmtId="0" fontId="57" fillId="0" borderId="0" xfId="0" applyFont="1" applyFill="1" applyAlignment="1">
      <alignment horizontal="center" vertical="center" wrapText="1"/>
    </xf>
    <xf numFmtId="0" fontId="94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  <xf numFmtId="0" fontId="36" fillId="0" borderId="0" xfId="0" applyFont="1" applyFill="1" applyAlignment="1">
      <alignment horizontal="center" vertical="top"/>
    </xf>
    <xf numFmtId="0" fontId="93" fillId="0" borderId="0" xfId="0" applyFont="1" applyFill="1" applyAlignment="1">
      <alignment horizontal="center" vertical="top"/>
    </xf>
    <xf numFmtId="0" fontId="55" fillId="0" borderId="26" xfId="0" applyFont="1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 wrapText="1"/>
    </xf>
    <xf numFmtId="0" fontId="19" fillId="39" borderId="26" xfId="0" applyFont="1" applyFill="1" applyBorder="1" applyAlignment="1">
      <alignment horizontal="left" vertical="center" wrapText="1"/>
    </xf>
    <xf numFmtId="0" fontId="0" fillId="39" borderId="26" xfId="0" applyFill="1" applyBorder="1" applyAlignment="1">
      <alignment wrapText="1"/>
    </xf>
    <xf numFmtId="4" fontId="42" fillId="29" borderId="18" xfId="0" applyNumberFormat="1" applyFont="1" applyFill="1" applyBorder="1" applyAlignment="1">
      <alignment horizontal="center" vertical="center" wrapText="1"/>
    </xf>
    <xf numFmtId="0" fontId="0" fillId="29" borderId="20" xfId="0" applyFill="1" applyBorder="1" applyAlignment="1">
      <alignment horizontal="center" vertical="center" wrapText="1"/>
    </xf>
    <xf numFmtId="0" fontId="0" fillId="29" borderId="19" xfId="0" applyFill="1" applyBorder="1" applyAlignment="1">
      <alignment horizontal="center" vertical="center" wrapText="1"/>
    </xf>
    <xf numFmtId="4" fontId="43" fillId="29" borderId="18" xfId="0" applyNumberFormat="1" applyFont="1" applyFill="1" applyBorder="1" applyAlignment="1">
      <alignment horizontal="center" vertical="center" wrapText="1"/>
    </xf>
    <xf numFmtId="0" fontId="0" fillId="29" borderId="20" xfId="0" applyFont="1" applyFill="1" applyBorder="1" applyAlignment="1">
      <alignment horizontal="center" vertical="center" wrapText="1"/>
    </xf>
    <xf numFmtId="0" fontId="0" fillId="29" borderId="19" xfId="0" applyFont="1" applyFill="1" applyBorder="1" applyAlignment="1">
      <alignment horizontal="center" vertical="center" wrapText="1"/>
    </xf>
    <xf numFmtId="4" fontId="42" fillId="29" borderId="0" xfId="0" applyNumberFormat="1" applyFont="1" applyFill="1" applyAlignment="1">
      <alignment horizontal="left" vertical="center" wrapText="1"/>
    </xf>
    <xf numFmtId="0" fontId="0" fillId="29" borderId="0" xfId="0" applyFill="1" applyAlignment="1"/>
    <xf numFmtId="49" fontId="41" fillId="29" borderId="18" xfId="0" applyNumberFormat="1" applyFont="1" applyFill="1" applyBorder="1" applyAlignment="1">
      <alignment horizontal="center" vertical="center" wrapText="1"/>
    </xf>
    <xf numFmtId="0" fontId="0" fillId="29" borderId="0" xfId="0" applyFill="1" applyAlignment="1">
      <alignment horizontal="left" vertical="center" wrapText="1"/>
    </xf>
    <xf numFmtId="0" fontId="166" fillId="29" borderId="25" xfId="0" applyFont="1" applyFill="1" applyBorder="1" applyAlignment="1"/>
    <xf numFmtId="4" fontId="40" fillId="29" borderId="17" xfId="0" applyNumberFormat="1" applyFont="1" applyFill="1" applyBorder="1" applyAlignment="1">
      <alignment horizontal="center" vertical="center" wrapText="1"/>
    </xf>
    <xf numFmtId="4" fontId="43" fillId="0" borderId="18" xfId="0" applyNumberFormat="1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 wrapText="1"/>
    </xf>
    <xf numFmtId="49" fontId="41" fillId="29" borderId="17" xfId="0" applyNumberFormat="1" applyFont="1" applyFill="1" applyBorder="1" applyAlignment="1">
      <alignment horizontal="center" vertical="center" wrapText="1"/>
    </xf>
    <xf numFmtId="4" fontId="42" fillId="29" borderId="17" xfId="0" applyNumberFormat="1" applyFont="1" applyFill="1" applyBorder="1" applyAlignment="1">
      <alignment horizontal="center" vertical="center" wrapText="1"/>
    </xf>
    <xf numFmtId="4" fontId="41" fillId="29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0" fontId="41" fillId="0" borderId="0" xfId="0" applyFont="1" applyFill="1"/>
    <xf numFmtId="4" fontId="139" fillId="29" borderId="18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4" fontId="40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" fontId="43" fillId="29" borderId="17" xfId="0" applyNumberFormat="1" applyFont="1" applyFill="1" applyBorder="1" applyAlignment="1">
      <alignment horizontal="center" vertical="center"/>
    </xf>
    <xf numFmtId="4" fontId="42" fillId="0" borderId="17" xfId="0" applyNumberFormat="1" applyFont="1" applyFill="1" applyBorder="1" applyAlignment="1">
      <alignment horizontal="center" vertical="center" wrapText="1"/>
    </xf>
    <xf numFmtId="4" fontId="124" fillId="0" borderId="18" xfId="0" applyNumberFormat="1" applyFont="1" applyFill="1" applyBorder="1" applyAlignment="1">
      <alignment horizontal="center" vertical="center" wrapText="1"/>
    </xf>
    <xf numFmtId="4" fontId="124" fillId="0" borderId="19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center" vertical="center" wrapText="1"/>
    </xf>
    <xf numFmtId="0" fontId="136" fillId="0" borderId="17" xfId="0" applyFont="1" applyFill="1" applyBorder="1" applyAlignment="1">
      <alignment horizontal="center" vertical="center" wrapText="1"/>
    </xf>
    <xf numFmtId="0" fontId="135" fillId="0" borderId="17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44" fillId="0" borderId="17" xfId="0" applyFont="1" applyFill="1" applyBorder="1" applyAlignment="1">
      <alignment horizontal="center" vertical="center" wrapText="1"/>
    </xf>
    <xf numFmtId="4" fontId="0" fillId="0" borderId="17" xfId="0" applyNumberFormat="1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/>
    </xf>
    <xf numFmtId="4" fontId="14" fillId="0" borderId="17" xfId="0" applyNumberFormat="1" applyFont="1" applyFill="1" applyBorder="1" applyAlignment="1">
      <alignment horizontal="center" vertical="center" wrapText="1"/>
    </xf>
    <xf numFmtId="49" fontId="138" fillId="29" borderId="18" xfId="0" applyNumberFormat="1" applyFont="1" applyFill="1" applyBorder="1" applyAlignment="1">
      <alignment horizontal="center" vertical="center" wrapText="1"/>
    </xf>
    <xf numFmtId="0" fontId="4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41" fillId="0" borderId="0" xfId="0" applyFont="1" applyFill="1" applyAlignment="1">
      <alignment vertical="center"/>
    </xf>
    <xf numFmtId="0" fontId="40" fillId="0" borderId="0" xfId="0" applyFont="1" applyFill="1" applyAlignment="1">
      <alignment horizontal="center" vertical="center"/>
    </xf>
    <xf numFmtId="0" fontId="96" fillId="0" borderId="0" xfId="0" applyFont="1" applyFill="1" applyAlignment="1">
      <alignment horizontal="center"/>
    </xf>
    <xf numFmtId="0" fontId="97" fillId="0" borderId="0" xfId="0" applyFont="1" applyFill="1" applyAlignment="1">
      <alignment horizontal="center"/>
    </xf>
    <xf numFmtId="0" fontId="40" fillId="0" borderId="17" xfId="0" applyFont="1" applyFill="1" applyBorder="1" applyAlignment="1">
      <alignment horizontal="center" vertical="top"/>
    </xf>
    <xf numFmtId="0" fontId="0" fillId="0" borderId="17" xfId="0" applyFont="1" applyFill="1" applyBorder="1" applyAlignment="1">
      <alignment horizontal="center" vertical="top"/>
    </xf>
    <xf numFmtId="0" fontId="40" fillId="0" borderId="17" xfId="0" applyFont="1" applyFill="1" applyBorder="1" applyAlignment="1">
      <alignment horizontal="center" vertical="top" wrapText="1"/>
    </xf>
    <xf numFmtId="0" fontId="90" fillId="0" borderId="0" xfId="0" applyFont="1" applyFill="1" applyAlignment="1">
      <alignment horizontal="center" vertical="top"/>
    </xf>
    <xf numFmtId="0" fontId="44" fillId="0" borderId="0" xfId="0" applyFont="1" applyFill="1" applyAlignment="1">
      <alignment horizontal="center" vertical="top"/>
    </xf>
    <xf numFmtId="0" fontId="14" fillId="0" borderId="17" xfId="0" applyFont="1" applyFill="1" applyBorder="1" applyAlignment="1">
      <alignment horizontal="center" vertical="top"/>
    </xf>
    <xf numFmtId="0" fontId="41" fillId="29" borderId="0" xfId="0" applyFont="1" applyFill="1"/>
    <xf numFmtId="0" fontId="76" fillId="0" borderId="0" xfId="0" applyFont="1" applyFill="1" applyAlignment="1">
      <alignment horizontal="left" vertical="center"/>
    </xf>
    <xf numFmtId="0" fontId="78" fillId="0" borderId="0" xfId="0" applyFont="1" applyFill="1" applyAlignment="1">
      <alignment horizontal="left" vertical="center"/>
    </xf>
    <xf numFmtId="4" fontId="133" fillId="0" borderId="18" xfId="0" applyNumberFormat="1" applyFont="1" applyFill="1" applyBorder="1" applyAlignment="1">
      <alignment horizontal="center" vertical="center"/>
    </xf>
    <xf numFmtId="4" fontId="133" fillId="0" borderId="19" xfId="0" applyNumberFormat="1" applyFont="1" applyFill="1" applyBorder="1" applyAlignment="1">
      <alignment horizontal="center" vertical="center"/>
    </xf>
    <xf numFmtId="4" fontId="116" fillId="0" borderId="18" xfId="0" applyNumberFormat="1" applyFont="1" applyFill="1" applyBorder="1" applyAlignment="1">
      <alignment horizontal="center" vertical="center" wrapText="1"/>
    </xf>
    <xf numFmtId="4" fontId="116" fillId="0" borderId="19" xfId="0" applyNumberFormat="1" applyFont="1" applyFill="1" applyBorder="1" applyAlignment="1">
      <alignment horizontal="center" vertical="center" wrapText="1"/>
    </xf>
    <xf numFmtId="4" fontId="126" fillId="0" borderId="17" xfId="0" applyNumberFormat="1" applyFont="1" applyFill="1" applyBorder="1" applyAlignment="1">
      <alignment horizontal="center" vertical="center" wrapText="1"/>
    </xf>
    <xf numFmtId="4" fontId="126" fillId="0" borderId="18" xfId="0" applyNumberFormat="1" applyFont="1" applyFill="1" applyBorder="1" applyAlignment="1">
      <alignment horizontal="center" vertical="center" wrapText="1"/>
    </xf>
    <xf numFmtId="4" fontId="126" fillId="0" borderId="19" xfId="0" applyNumberFormat="1" applyFont="1" applyFill="1" applyBorder="1" applyAlignment="1">
      <alignment horizontal="center" vertical="center" wrapText="1"/>
    </xf>
    <xf numFmtId="0" fontId="111" fillId="0" borderId="17" xfId="35" applyFont="1" applyFill="1" applyBorder="1" applyAlignment="1">
      <alignment horizontal="center" vertical="top" wrapText="1"/>
    </xf>
    <xf numFmtId="0" fontId="14" fillId="0" borderId="17" xfId="0" applyFont="1" applyFill="1" applyBorder="1" applyAlignment="1">
      <alignment horizontal="center" vertical="top" wrapText="1"/>
    </xf>
    <xf numFmtId="0" fontId="34" fillId="0" borderId="0" xfId="0" applyFont="1"/>
    <xf numFmtId="0" fontId="34" fillId="0" borderId="0" xfId="35" applyFont="1" applyFill="1" applyAlignment="1">
      <alignment horizontal="center" vertical="center" wrapText="1"/>
    </xf>
    <xf numFmtId="0" fontId="17" fillId="0" borderId="0" xfId="35" applyFont="1" applyFill="1" applyAlignment="1">
      <alignment horizontal="center" vertical="center" wrapText="1"/>
    </xf>
    <xf numFmtId="0" fontId="19" fillId="0" borderId="17" xfId="35" applyFont="1" applyFill="1" applyBorder="1" applyAlignment="1">
      <alignment horizontal="center" vertical="top" wrapText="1"/>
    </xf>
    <xf numFmtId="0" fontId="98" fillId="0" borderId="0" xfId="0" applyFont="1" applyFill="1" applyBorder="1" applyAlignment="1">
      <alignment horizontal="center" vertical="center"/>
    </xf>
    <xf numFmtId="0" fontId="98" fillId="0" borderId="0" xfId="0" applyFont="1" applyFill="1" applyBorder="1" applyAlignment="1">
      <alignment horizontal="center"/>
    </xf>
    <xf numFmtId="0" fontId="99" fillId="0" borderId="0" xfId="0" applyFont="1" applyFill="1" applyBorder="1" applyAlignment="1">
      <alignment horizontal="center"/>
    </xf>
    <xf numFmtId="0" fontId="39" fillId="0" borderId="0" xfId="0" applyFont="1" applyFill="1" applyBorder="1" applyAlignment="1">
      <alignment horizontal="center" vertical="top"/>
    </xf>
    <xf numFmtId="0" fontId="0" fillId="0" borderId="0" xfId="0" applyFont="1" applyFill="1" applyBorder="1" applyAlignment="1">
      <alignment horizontal="center" vertical="top"/>
    </xf>
    <xf numFmtId="0" fontId="58" fillId="0" borderId="0" xfId="35" applyFont="1"/>
    <xf numFmtId="0" fontId="19" fillId="0" borderId="17" xfId="0" applyFont="1" applyFill="1" applyBorder="1" applyAlignment="1">
      <alignment horizontal="center" vertical="top" wrapText="1"/>
    </xf>
    <xf numFmtId="0" fontId="19" fillId="0" borderId="17" xfId="0" applyFont="1" applyFill="1" applyBorder="1" applyAlignment="1">
      <alignment horizontal="center" vertical="top"/>
    </xf>
    <xf numFmtId="0" fontId="0" fillId="0" borderId="0" xfId="0" applyFill="1" applyAlignment="1">
      <alignment horizontal="center" vertical="center" wrapText="1"/>
    </xf>
    <xf numFmtId="49" fontId="40" fillId="39" borderId="21" xfId="0" applyNumberFormat="1" applyFont="1" applyFill="1" applyBorder="1" applyAlignment="1">
      <alignment horizontal="center" vertical="center" wrapText="1"/>
    </xf>
    <xf numFmtId="0" fontId="14" fillId="39" borderId="23" xfId="0" applyFont="1" applyFill="1" applyBorder="1" applyAlignment="1">
      <alignment horizontal="center" vertical="center" wrapText="1"/>
    </xf>
    <xf numFmtId="0" fontId="14" fillId="39" borderId="24" xfId="0" applyFont="1" applyFill="1" applyBorder="1" applyAlignment="1">
      <alignment horizontal="center" vertical="center" wrapText="1"/>
    </xf>
    <xf numFmtId="49" fontId="158" fillId="28" borderId="21" xfId="0" applyNumberFormat="1" applyFont="1" applyFill="1" applyBorder="1" applyAlignment="1">
      <alignment horizontal="left" vertical="center" wrapText="1"/>
    </xf>
    <xf numFmtId="0" fontId="159" fillId="28" borderId="24" xfId="0" applyFont="1" applyFill="1" applyBorder="1" applyAlignment="1">
      <alignment horizontal="left" vertical="center" wrapText="1"/>
    </xf>
    <xf numFmtId="49" fontId="124" fillId="0" borderId="21" xfId="0" applyNumberFormat="1" applyFont="1" applyFill="1" applyBorder="1" applyAlignment="1">
      <alignment horizontal="left" vertical="center" wrapText="1"/>
    </xf>
    <xf numFmtId="0" fontId="0" fillId="0" borderId="24" xfId="0" applyFill="1" applyBorder="1" applyAlignment="1">
      <alignment horizontal="left" vertical="center" wrapText="1"/>
    </xf>
    <xf numFmtId="49" fontId="41" fillId="39" borderId="21" xfId="0" applyNumberFormat="1" applyFont="1" applyFill="1" applyBorder="1" applyAlignment="1">
      <alignment horizontal="left" vertical="center" wrapText="1"/>
    </xf>
    <xf numFmtId="49" fontId="41" fillId="39" borderId="24" xfId="0" applyNumberFormat="1" applyFont="1" applyFill="1" applyBorder="1" applyAlignment="1">
      <alignment horizontal="left" vertical="center" wrapText="1"/>
    </xf>
    <xf numFmtId="49" fontId="129" fillId="28" borderId="21" xfId="0" applyNumberFormat="1" applyFont="1" applyFill="1" applyBorder="1" applyAlignment="1">
      <alignment horizontal="left" vertical="center" wrapText="1"/>
    </xf>
    <xf numFmtId="0" fontId="131" fillId="28" borderId="24" xfId="0" applyFont="1" applyFill="1" applyBorder="1" applyAlignment="1">
      <alignment horizontal="left" vertical="center" wrapText="1"/>
    </xf>
    <xf numFmtId="49" fontId="124" fillId="28" borderId="21" xfId="0" applyNumberFormat="1" applyFont="1" applyFill="1" applyBorder="1" applyAlignment="1">
      <alignment horizontal="left" vertical="center" wrapText="1"/>
    </xf>
    <xf numFmtId="0" fontId="0" fillId="28" borderId="24" xfId="0" applyFill="1" applyBorder="1" applyAlignment="1">
      <alignment horizontal="left" vertical="center" wrapText="1"/>
    </xf>
    <xf numFmtId="0" fontId="40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49" fontId="129" fillId="0" borderId="29" xfId="0" applyNumberFormat="1" applyFont="1" applyFill="1" applyBorder="1" applyAlignment="1">
      <alignment horizontal="left" wrapText="1"/>
    </xf>
    <xf numFmtId="0" fontId="131" fillId="0" borderId="30" xfId="0" applyFont="1" applyFill="1" applyBorder="1" applyAlignment="1">
      <alignment horizontal="left" wrapText="1"/>
    </xf>
    <xf numFmtId="49" fontId="129" fillId="0" borderId="0" xfId="0" applyNumberFormat="1" applyFont="1" applyFill="1" applyBorder="1" applyAlignment="1">
      <alignment horizontal="left" vertical="top" wrapText="1"/>
    </xf>
    <xf numFmtId="0" fontId="131" fillId="0" borderId="0" xfId="0" applyFont="1" applyFill="1" applyBorder="1" applyAlignment="1">
      <alignment horizontal="left" vertical="top" wrapText="1"/>
    </xf>
    <xf numFmtId="49" fontId="129" fillId="0" borderId="21" xfId="0" applyNumberFormat="1" applyFont="1" applyFill="1" applyBorder="1" applyAlignment="1">
      <alignment horizontal="left" vertical="center" wrapText="1"/>
    </xf>
    <xf numFmtId="0" fontId="131" fillId="0" borderId="24" xfId="0" applyFont="1" applyFill="1" applyBorder="1" applyAlignment="1">
      <alignment horizontal="left" vertical="center" wrapText="1"/>
    </xf>
    <xf numFmtId="0" fontId="41" fillId="28" borderId="0" xfId="0" applyFont="1" applyFill="1" applyAlignment="1">
      <alignment horizontal="center" vertical="center"/>
    </xf>
    <xf numFmtId="0" fontId="41" fillId="28" borderId="0" xfId="0" applyFont="1" applyFill="1" applyAlignment="1">
      <alignment vertical="center"/>
    </xf>
    <xf numFmtId="0" fontId="40" fillId="0" borderId="21" xfId="0" applyFont="1" applyFill="1" applyBorder="1" applyAlignment="1">
      <alignment horizontal="center" vertical="center" wrapText="1"/>
    </xf>
    <xf numFmtId="0" fontId="14" fillId="0" borderId="24" xfId="0" applyFont="1" applyFill="1" applyBorder="1" applyAlignment="1">
      <alignment horizontal="center" vertical="center" wrapText="1"/>
    </xf>
    <xf numFmtId="49" fontId="41" fillId="0" borderId="21" xfId="0" applyNumberFormat="1" applyFon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49" fontId="158" fillId="0" borderId="21" xfId="0" applyNumberFormat="1" applyFont="1" applyFill="1" applyBorder="1" applyAlignment="1">
      <alignment horizontal="left" vertical="center" wrapText="1"/>
    </xf>
    <xf numFmtId="0" fontId="159" fillId="0" borderId="24" xfId="0" applyFont="1" applyFill="1" applyBorder="1" applyAlignment="1">
      <alignment horizontal="left" vertical="center" wrapText="1"/>
    </xf>
    <xf numFmtId="49" fontId="158" fillId="0" borderId="24" xfId="0" applyNumberFormat="1" applyFont="1" applyFill="1" applyBorder="1" applyAlignment="1">
      <alignment horizontal="left" vertical="center" wrapText="1"/>
    </xf>
    <xf numFmtId="49" fontId="129" fillId="0" borderId="24" xfId="0" applyNumberFormat="1" applyFont="1" applyFill="1" applyBorder="1" applyAlignment="1">
      <alignment horizontal="left" vertical="center" wrapText="1"/>
    </xf>
    <xf numFmtId="49" fontId="129" fillId="0" borderId="18" xfId="0" applyNumberFormat="1" applyFont="1" applyFill="1" applyBorder="1" applyAlignment="1">
      <alignment horizontal="center" vertical="center" wrapText="1"/>
    </xf>
    <xf numFmtId="4" fontId="129" fillId="0" borderId="18" xfId="0" applyNumberFormat="1" applyFont="1" applyFill="1" applyBorder="1" applyAlignment="1">
      <alignment horizontal="center" vertical="center" wrapText="1"/>
    </xf>
    <xf numFmtId="49" fontId="158" fillId="28" borderId="24" xfId="0" applyNumberFormat="1" applyFont="1" applyFill="1" applyBorder="1" applyAlignment="1">
      <alignment horizontal="left" vertical="center" wrapText="1"/>
    </xf>
    <xf numFmtId="0" fontId="81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9" fillId="0" borderId="9" xfId="0" applyFont="1" applyFill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5" fillId="0" borderId="0" xfId="35" applyFont="1" applyAlignment="1">
      <alignment horizontal="center" vertical="center"/>
    </xf>
    <xf numFmtId="0" fontId="34" fillId="0" borderId="0" xfId="35" applyFont="1" applyAlignment="1">
      <alignment horizontal="center" vertical="center" wrapText="1"/>
    </xf>
    <xf numFmtId="0" fontId="45" fillId="0" borderId="0" xfId="35" applyFont="1" applyAlignment="1">
      <alignment horizontal="center" vertical="center" wrapText="1"/>
    </xf>
    <xf numFmtId="0" fontId="17" fillId="0" borderId="0" xfId="35" applyFont="1" applyAlignment="1">
      <alignment horizontal="center" vertical="center" wrapText="1"/>
    </xf>
    <xf numFmtId="0" fontId="150" fillId="0" borderId="0" xfId="0" applyFont="1" applyAlignment="1">
      <alignment horizontal="center"/>
    </xf>
    <xf numFmtId="0" fontId="99" fillId="0" borderId="0" xfId="0" applyFont="1" applyAlignment="1">
      <alignment horizontal="center"/>
    </xf>
    <xf numFmtId="4" fontId="44" fillId="0" borderId="17" xfId="0" applyNumberFormat="1" applyFont="1" applyFill="1" applyBorder="1" applyAlignment="1">
      <alignment horizontal="center" vertical="center" wrapText="1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7" xfId="38" applyNumberFormat="1" applyFont="1" applyFill="1" applyBorder="1" applyAlignment="1">
      <alignment horizontal="center" vertical="center" wrapText="1"/>
    </xf>
    <xf numFmtId="4" fontId="184" fillId="30" borderId="25" xfId="0" applyNumberFormat="1" applyFont="1" applyFill="1" applyBorder="1" applyAlignment="1">
      <alignment horizontal="center" vertical="center" wrapText="1"/>
    </xf>
    <xf numFmtId="0" fontId="175" fillId="29" borderId="25" xfId="0" applyFont="1" applyFill="1" applyBorder="1" applyAlignment="1"/>
    <xf numFmtId="0" fontId="41" fillId="0" borderId="17" xfId="0" applyFont="1" applyFill="1" applyBorder="1" applyAlignment="1">
      <alignment horizontal="center" vertical="top" wrapText="1"/>
    </xf>
    <xf numFmtId="0" fontId="41" fillId="0" borderId="17" xfId="0" applyFont="1" applyFill="1" applyBorder="1" applyAlignment="1">
      <alignment horizontal="center" vertical="top"/>
    </xf>
    <xf numFmtId="0" fontId="41" fillId="0" borderId="0" xfId="0" applyFont="1" applyAlignment="1">
      <alignment horizontal="center" vertical="center"/>
    </xf>
    <xf numFmtId="0" fontId="41" fillId="0" borderId="0" xfId="0" applyFont="1" applyAlignment="1">
      <alignment vertical="center"/>
    </xf>
    <xf numFmtId="0" fontId="136" fillId="0" borderId="19" xfId="0" applyFont="1" applyFill="1" applyBorder="1" applyAlignment="1">
      <alignment horizontal="center" vertical="center" wrapText="1"/>
    </xf>
    <xf numFmtId="4" fontId="41" fillId="29" borderId="18" xfId="0" applyNumberFormat="1" applyFont="1" applyFill="1" applyBorder="1" applyAlignment="1">
      <alignment horizontal="center" vertical="center" wrapText="1"/>
    </xf>
    <xf numFmtId="0" fontId="41" fillId="29" borderId="19" xfId="0" applyFont="1" applyFill="1" applyBorder="1" applyAlignment="1">
      <alignment horizontal="center" vertical="center" wrapText="1"/>
    </xf>
    <xf numFmtId="4" fontId="41" fillId="0" borderId="18" xfId="0" applyNumberFormat="1" applyFont="1" applyFill="1" applyBorder="1" applyAlignment="1">
      <alignment horizontal="center" vertical="center" wrapText="1"/>
    </xf>
    <xf numFmtId="4" fontId="41" fillId="0" borderId="19" xfId="0" applyNumberFormat="1" applyFont="1" applyFill="1" applyBorder="1" applyAlignment="1">
      <alignment horizontal="center" vertical="center" wrapText="1"/>
    </xf>
    <xf numFmtId="0" fontId="44" fillId="0" borderId="19" xfId="0" applyFont="1" applyFill="1" applyBorder="1" applyAlignment="1">
      <alignment horizontal="center" vertical="center" wrapText="1"/>
    </xf>
    <xf numFmtId="4" fontId="41" fillId="0" borderId="18" xfId="38" applyNumberFormat="1" applyFont="1" applyFill="1" applyBorder="1" applyAlignment="1" applyProtection="1">
      <alignment horizontal="center" vertical="center" wrapText="1"/>
      <protection locked="0"/>
    </xf>
    <xf numFmtId="0" fontId="0" fillId="0" borderId="19" xfId="0" applyFill="1" applyBorder="1" applyAlignment="1">
      <alignment horizontal="center" vertical="center" wrapText="1"/>
    </xf>
    <xf numFmtId="4" fontId="41" fillId="0" borderId="18" xfId="38" applyNumberFormat="1" applyFont="1" applyFill="1" applyBorder="1" applyAlignment="1">
      <alignment horizontal="center" vertical="center" wrapText="1"/>
    </xf>
    <xf numFmtId="49" fontId="41" fillId="0" borderId="18" xfId="0" applyNumberFormat="1" applyFont="1" applyFill="1" applyBorder="1" applyAlignment="1">
      <alignment horizontal="center" vertical="center" wrapText="1"/>
    </xf>
    <xf numFmtId="49" fontId="41" fillId="0" borderId="19" xfId="0" applyNumberFormat="1" applyFont="1" applyFill="1" applyBorder="1" applyAlignment="1">
      <alignment horizontal="center" vertical="center" wrapText="1"/>
    </xf>
    <xf numFmtId="0" fontId="61" fillId="0" borderId="0" xfId="0" applyFont="1" applyAlignment="1">
      <alignment horizontal="center" vertical="center"/>
    </xf>
    <xf numFmtId="2" fontId="62" fillId="0" borderId="17" xfId="36" applyNumberFormat="1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/>
    </xf>
    <xf numFmtId="2" fontId="60" fillId="39" borderId="17" xfId="36" applyNumberFormat="1" applyFont="1" applyFill="1" applyBorder="1" applyAlignment="1">
      <alignment horizontal="center" vertical="center"/>
    </xf>
    <xf numFmtId="0" fontId="0" fillId="39" borderId="17" xfId="0" applyFill="1" applyBorder="1" applyAlignment="1">
      <alignment horizontal="center"/>
    </xf>
    <xf numFmtId="164" fontId="60" fillId="34" borderId="17" xfId="36" applyNumberFormat="1" applyFont="1" applyFill="1" applyBorder="1" applyAlignment="1">
      <alignment horizontal="left" vertical="center" wrapText="1"/>
    </xf>
    <xf numFmtId="164" fontId="0" fillId="34" borderId="17" xfId="0" applyNumberFormat="1" applyFill="1" applyBorder="1" applyAlignment="1">
      <alignment horizontal="left"/>
    </xf>
    <xf numFmtId="0" fontId="15" fillId="0" borderId="0" xfId="0" applyFont="1" applyAlignment="1">
      <alignment horizontal="left" vertical="center"/>
    </xf>
    <xf numFmtId="0" fontId="61" fillId="0" borderId="0" xfId="0" applyFont="1" applyAlignment="1">
      <alignment horizontal="left" vertical="center"/>
    </xf>
    <xf numFmtId="0" fontId="60" fillId="0" borderId="0" xfId="36" applyFont="1" applyAlignment="1">
      <alignment horizontal="center"/>
    </xf>
    <xf numFmtId="0" fontId="6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0" fillId="0" borderId="0" xfId="36" applyFont="1" applyAlignment="1">
      <alignment horizontal="center" vertical="top"/>
    </xf>
    <xf numFmtId="0" fontId="0" fillId="0" borderId="0" xfId="0" applyAlignment="1">
      <alignment vertical="top"/>
    </xf>
    <xf numFmtId="0" fontId="0" fillId="0" borderId="17" xfId="0" applyFill="1" applyBorder="1" applyAlignment="1">
      <alignment horizontal="center"/>
    </xf>
    <xf numFmtId="0" fontId="60" fillId="0" borderId="0" xfId="36" applyFont="1" applyAlignment="1">
      <alignment horizontal="center" vertical="center"/>
    </xf>
    <xf numFmtId="0" fontId="0" fillId="0" borderId="0" xfId="0" applyAlignment="1">
      <alignment vertical="center"/>
    </xf>
    <xf numFmtId="0" fontId="121" fillId="0" borderId="0" xfId="36" applyFont="1">
      <alignment vertical="top"/>
    </xf>
    <xf numFmtId="0" fontId="102" fillId="0" borderId="0" xfId="0" applyFont="1"/>
    <xf numFmtId="0" fontId="15" fillId="0" borderId="0" xfId="36" applyFont="1" applyAlignment="1">
      <alignment horizontal="center" vertical="center" wrapText="1"/>
    </xf>
    <xf numFmtId="0" fontId="18" fillId="0" borderId="0" xfId="36" applyFont="1" applyAlignment="1">
      <alignment horizontal="left" vertical="top" wrapText="1"/>
    </xf>
    <xf numFmtId="2" fontId="60" fillId="0" borderId="17" xfId="36" applyNumberFormat="1" applyFont="1" applyFill="1" applyBorder="1" applyAlignment="1">
      <alignment horizontal="center" vertical="center" wrapText="1"/>
    </xf>
    <xf numFmtId="2" fontId="62" fillId="0" borderId="0" xfId="36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/>
    </xf>
    <xf numFmtId="0" fontId="60" fillId="0" borderId="0" xfId="0" applyFont="1" applyAlignment="1">
      <alignment horizontal="center" vertical="center"/>
    </xf>
    <xf numFmtId="0" fontId="80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5" fillId="0" borderId="0" xfId="36" applyFont="1" applyAlignment="1">
      <alignment horizontal="left" vertical="top" wrapText="1"/>
    </xf>
    <xf numFmtId="0" fontId="15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98" fillId="0" borderId="0" xfId="0" applyFont="1" applyFill="1" applyAlignment="1">
      <alignment horizontal="center"/>
    </xf>
    <xf numFmtId="0" fontId="39" fillId="0" borderId="0" xfId="0" applyFont="1" applyFill="1" applyAlignment="1">
      <alignment horizontal="center" vertical="top"/>
    </xf>
    <xf numFmtId="0" fontId="0" fillId="0" borderId="0" xfId="0" applyFill="1" applyAlignment="1">
      <alignment horizontal="center" vertical="top"/>
    </xf>
    <xf numFmtId="4" fontId="40" fillId="42" borderId="7" xfId="36" applyNumberFormat="1" applyFont="1" applyFill="1" applyBorder="1" applyAlignment="1">
      <alignment horizontal="center" vertical="center" wrapText="1"/>
    </xf>
    <xf numFmtId="4" fontId="42" fillId="0" borderId="18" xfId="0" applyNumberFormat="1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</cellXfs>
  <cellStyles count="190">
    <cellStyle name="20% - Акцент1" xfId="46" xr:uid="{00000000-0005-0000-0000-000000000000}"/>
    <cellStyle name="20% - Акцент2" xfId="47" xr:uid="{00000000-0005-0000-0000-000001000000}"/>
    <cellStyle name="20% - Акцент3" xfId="48" xr:uid="{00000000-0005-0000-0000-000002000000}"/>
    <cellStyle name="20% - Акцент4" xfId="49" xr:uid="{00000000-0005-0000-0000-000003000000}"/>
    <cellStyle name="20% - Акцент5" xfId="50" xr:uid="{00000000-0005-0000-0000-000004000000}"/>
    <cellStyle name="20% - Акцент6" xfId="51" xr:uid="{00000000-0005-0000-0000-000005000000}"/>
    <cellStyle name="40% - Акцент1" xfId="52" xr:uid="{00000000-0005-0000-0000-000006000000}"/>
    <cellStyle name="40% - Акцент2" xfId="53" xr:uid="{00000000-0005-0000-0000-000007000000}"/>
    <cellStyle name="40% - Акцент3" xfId="54" xr:uid="{00000000-0005-0000-0000-000008000000}"/>
    <cellStyle name="40% - Акцент4" xfId="55" xr:uid="{00000000-0005-0000-0000-000009000000}"/>
    <cellStyle name="40% - Акцент5" xfId="56" xr:uid="{00000000-0005-0000-0000-00000A000000}"/>
    <cellStyle name="40% - Акцент6" xfId="57" xr:uid="{00000000-0005-0000-0000-00000B000000}"/>
    <cellStyle name="60% - Акцент1" xfId="58" xr:uid="{00000000-0005-0000-0000-00000C000000}"/>
    <cellStyle name="60% - Акцент2" xfId="59" xr:uid="{00000000-0005-0000-0000-00000D000000}"/>
    <cellStyle name="60% - Акцент3" xfId="60" xr:uid="{00000000-0005-0000-0000-00000E000000}"/>
    <cellStyle name="60% - Акцент4" xfId="61" xr:uid="{00000000-0005-0000-0000-00000F000000}"/>
    <cellStyle name="60% - Акцент5" xfId="62" xr:uid="{00000000-0005-0000-0000-000010000000}"/>
    <cellStyle name="60% - Акцент6" xfId="63" xr:uid="{00000000-0005-0000-0000-000011000000}"/>
    <cellStyle name="Excel Built-in Normal" xfId="102" xr:uid="{00000000-0005-0000-0000-000012000000}"/>
    <cellStyle name="Excel Built-in Normal 2" xfId="118" xr:uid="{00000000-0005-0000-0000-000013000000}"/>
    <cellStyle name="Excel Built-in Обычный_УКБ до бюджету 2016р ост" xfId="84" xr:uid="{00000000-0005-0000-0000-000014000000}"/>
    <cellStyle name="Normal_meresha_07" xfId="1" xr:uid="{00000000-0005-0000-0000-000015000000}"/>
    <cellStyle name="TableStyleLight1" xfId="131" xr:uid="{00000000-0005-0000-0000-000016000000}"/>
    <cellStyle name="TableStyleLight1 2" xfId="173" xr:uid="{00000000-0005-0000-0000-000017000000}"/>
    <cellStyle name="Акцент1" xfId="64" xr:uid="{00000000-0005-0000-0000-000018000000}"/>
    <cellStyle name="Акцент2" xfId="65" xr:uid="{00000000-0005-0000-0000-000019000000}"/>
    <cellStyle name="Акцент3" xfId="66" xr:uid="{00000000-0005-0000-0000-00001A000000}"/>
    <cellStyle name="Акцент4" xfId="67" xr:uid="{00000000-0005-0000-0000-00001B000000}"/>
    <cellStyle name="Акцент5" xfId="68" xr:uid="{00000000-0005-0000-0000-00001C000000}"/>
    <cellStyle name="Акцент6" xfId="69" xr:uid="{00000000-0005-0000-0000-00001D000000}"/>
    <cellStyle name="Ввід" xfId="2" xr:uid="{00000000-0005-0000-0000-00001E000000}"/>
    <cellStyle name="Ввід 2" xfId="180" xr:uid="{00000000-0005-0000-0000-00001F000000}"/>
    <cellStyle name="Ввід 3" xfId="103" xr:uid="{00000000-0005-0000-0000-000020000000}"/>
    <cellStyle name="Ввод " xfId="70" xr:uid="{00000000-0005-0000-0000-000021000000}"/>
    <cellStyle name="Вывод" xfId="71" xr:uid="{00000000-0005-0000-0000-000022000000}"/>
    <cellStyle name="Вычисление" xfId="72" xr:uid="{00000000-0005-0000-0000-000023000000}"/>
    <cellStyle name="Гіперпосилання 2" xfId="73" xr:uid="{00000000-0005-0000-0000-000024000000}"/>
    <cellStyle name="Добре" xfId="3" xr:uid="{00000000-0005-0000-0000-000025000000}"/>
    <cellStyle name="Заголовок 1" xfId="4" builtinId="16" customBuiltin="1"/>
    <cellStyle name="Заголовок 1 2" xfId="104" xr:uid="{00000000-0005-0000-0000-000027000000}"/>
    <cellStyle name="Заголовок 2" xfId="5" builtinId="17" customBuiltin="1"/>
    <cellStyle name="Заголовок 2 2" xfId="105" xr:uid="{00000000-0005-0000-0000-000029000000}"/>
    <cellStyle name="Заголовок 3" xfId="6" builtinId="18" customBuiltin="1"/>
    <cellStyle name="Заголовок 3 2" xfId="106" xr:uid="{00000000-0005-0000-0000-00002B000000}"/>
    <cellStyle name="Заголовок 4" xfId="7" builtinId="19" customBuiltin="1"/>
    <cellStyle name="Заголовок 4 2" xfId="107" xr:uid="{00000000-0005-0000-0000-00002D000000}"/>
    <cellStyle name="Звичайний 10" xfId="8" xr:uid="{00000000-0005-0000-0000-00002F000000}"/>
    <cellStyle name="Звичайний 11" xfId="9" xr:uid="{00000000-0005-0000-0000-000030000000}"/>
    <cellStyle name="Звичайний 12" xfId="10" xr:uid="{00000000-0005-0000-0000-000031000000}"/>
    <cellStyle name="Звичайний 13" xfId="11" xr:uid="{00000000-0005-0000-0000-000032000000}"/>
    <cellStyle name="Звичайний 14" xfId="12" xr:uid="{00000000-0005-0000-0000-000033000000}"/>
    <cellStyle name="Звичайний 15" xfId="13" xr:uid="{00000000-0005-0000-0000-000034000000}"/>
    <cellStyle name="Звичайний 16" xfId="14" xr:uid="{00000000-0005-0000-0000-000035000000}"/>
    <cellStyle name="Звичайний 17" xfId="15" xr:uid="{00000000-0005-0000-0000-000036000000}"/>
    <cellStyle name="Звичайний 18" xfId="16" xr:uid="{00000000-0005-0000-0000-000037000000}"/>
    <cellStyle name="Звичайний 19" xfId="17" xr:uid="{00000000-0005-0000-0000-000038000000}"/>
    <cellStyle name="Звичайний 2" xfId="18" xr:uid="{00000000-0005-0000-0000-000039000000}"/>
    <cellStyle name="Звичайний 2 2" xfId="19" xr:uid="{00000000-0005-0000-0000-00003A000000}"/>
    <cellStyle name="Звичайний 2 2 2" xfId="88" xr:uid="{00000000-0005-0000-0000-00003B000000}"/>
    <cellStyle name="Звичайний 2 3" xfId="94" xr:uid="{00000000-0005-0000-0000-00003C000000}"/>
    <cellStyle name="Звичайний 20" xfId="20" xr:uid="{00000000-0005-0000-0000-00003D000000}"/>
    <cellStyle name="Звичайний 21" xfId="86" xr:uid="{00000000-0005-0000-0000-00003E000000}"/>
    <cellStyle name="Звичайний 21 2" xfId="93" xr:uid="{00000000-0005-0000-0000-00003F000000}"/>
    <cellStyle name="Звичайний 21 2 2" xfId="96" xr:uid="{00000000-0005-0000-0000-000040000000}"/>
    <cellStyle name="Звичайний 21 2 2 2" xfId="181" xr:uid="{00000000-0005-0000-0000-000041000000}"/>
    <cellStyle name="Звичайний 21 2 3" xfId="98" xr:uid="{00000000-0005-0000-0000-000042000000}"/>
    <cellStyle name="Звичайний 21 2 3 2" xfId="100" xr:uid="{00000000-0005-0000-0000-000043000000}"/>
    <cellStyle name="Звичайний 21 2 3 2 2" xfId="182" xr:uid="{00000000-0005-0000-0000-000044000000}"/>
    <cellStyle name="Звичайний 21 2 3 2 3" xfId="178" xr:uid="{00000000-0005-0000-0000-000045000000}"/>
    <cellStyle name="Звичайний 21 2 4" xfId="160" xr:uid="{00000000-0005-0000-0000-000046000000}"/>
    <cellStyle name="Звичайний 21 3" xfId="113" xr:uid="{00000000-0005-0000-0000-000047000000}"/>
    <cellStyle name="Звичайний 22" xfId="114" xr:uid="{00000000-0005-0000-0000-000048000000}"/>
    <cellStyle name="Звичайний 22 2" xfId="140" xr:uid="{00000000-0005-0000-0000-000049000000}"/>
    <cellStyle name="Звичайний 23" xfId="115" xr:uid="{00000000-0005-0000-0000-00004A000000}"/>
    <cellStyle name="Звичайний 23 2" xfId="141" xr:uid="{00000000-0005-0000-0000-00004B000000}"/>
    <cellStyle name="Звичайний 24" xfId="116" xr:uid="{00000000-0005-0000-0000-00004C000000}"/>
    <cellStyle name="Звичайний 24 2" xfId="142" xr:uid="{00000000-0005-0000-0000-00004D000000}"/>
    <cellStyle name="Звичайний 25" xfId="117" xr:uid="{00000000-0005-0000-0000-00004E000000}"/>
    <cellStyle name="Звичайний 26" xfId="127" xr:uid="{00000000-0005-0000-0000-00004F000000}"/>
    <cellStyle name="Звичайний 27" xfId="132" xr:uid="{00000000-0005-0000-0000-000050000000}"/>
    <cellStyle name="Звичайний 27 2" xfId="145" xr:uid="{00000000-0005-0000-0000-000051000000}"/>
    <cellStyle name="Звичайний 27 2 3" xfId="151" xr:uid="{00000000-0005-0000-0000-000052000000}"/>
    <cellStyle name="Звичайний 27 2 3 2" xfId="152" xr:uid="{00000000-0005-0000-0000-000053000000}"/>
    <cellStyle name="Звичайний 27 2 3 2 2" xfId="162" xr:uid="{00000000-0005-0000-0000-000054000000}"/>
    <cellStyle name="Звичайний 27 2 3 2 2 2" xfId="177" xr:uid="{00000000-0005-0000-0000-000055000000}"/>
    <cellStyle name="Звичайний 27 3" xfId="129" xr:uid="{00000000-0005-0000-0000-000056000000}"/>
    <cellStyle name="Звичайний 27 3 2" xfId="87" xr:uid="{00000000-0005-0000-0000-000057000000}"/>
    <cellStyle name="Звичайний 27 3 2 2" xfId="144" xr:uid="{00000000-0005-0000-0000-000058000000}"/>
    <cellStyle name="Звичайний 27 3 2 3" xfId="156" xr:uid="{00000000-0005-0000-0000-000059000000}"/>
    <cellStyle name="Звичайний 27 3 2 4" xfId="165" xr:uid="{00000000-0005-0000-0000-00005A000000}"/>
    <cellStyle name="Звичайний 27 3 2 4 2" xfId="170" xr:uid="{00000000-0005-0000-0000-00005B000000}"/>
    <cellStyle name="Звичайний 27 3 2 5" xfId="130" xr:uid="{00000000-0005-0000-0000-00005C000000}"/>
    <cellStyle name="Звичайний 27 3 3" xfId="143" xr:uid="{00000000-0005-0000-0000-00005D000000}"/>
    <cellStyle name="Звичайний 27 3 3 2" xfId="135" xr:uid="{00000000-0005-0000-0000-00005E000000}"/>
    <cellStyle name="Звичайний 27 3 3 2 2" xfId="147" xr:uid="{00000000-0005-0000-0000-00005F000000}"/>
    <cellStyle name="Звичайний 27 3 3 2 3" xfId="155" xr:uid="{00000000-0005-0000-0000-000060000000}"/>
    <cellStyle name="Звичайний 27 4 2" xfId="164" xr:uid="{00000000-0005-0000-0000-000061000000}"/>
    <cellStyle name="Звичайний 27 4 2 2" xfId="169" xr:uid="{00000000-0005-0000-0000-000062000000}"/>
    <cellStyle name="Звичайний 27 4 2 2 2" xfId="175" xr:uid="{00000000-0005-0000-0000-000063000000}"/>
    <cellStyle name="Звичайний 27 5" xfId="163" xr:uid="{00000000-0005-0000-0000-000064000000}"/>
    <cellStyle name="Звичайний 27 5 2" xfId="168" xr:uid="{00000000-0005-0000-0000-000065000000}"/>
    <cellStyle name="Звичайний 27 5 2 2" xfId="174" xr:uid="{00000000-0005-0000-0000-000066000000}"/>
    <cellStyle name="Звичайний 28" xfId="136" xr:uid="{00000000-0005-0000-0000-000067000000}"/>
    <cellStyle name="Звичайний 28 2" xfId="148" xr:uid="{00000000-0005-0000-0000-000068000000}"/>
    <cellStyle name="Звичайний 28 3" xfId="154" xr:uid="{00000000-0005-0000-0000-000069000000}"/>
    <cellStyle name="Звичайний 29" xfId="139" xr:uid="{00000000-0005-0000-0000-00006A000000}"/>
    <cellStyle name="Звичайний 29 2" xfId="153" xr:uid="{00000000-0005-0000-0000-00006B000000}"/>
    <cellStyle name="Звичайний 29 2 2" xfId="166" xr:uid="{00000000-0005-0000-0000-00006C000000}"/>
    <cellStyle name="Звичайний 29 2 2 2" xfId="176" xr:uid="{00000000-0005-0000-0000-00006D000000}"/>
    <cellStyle name="Звичайний 3" xfId="21" xr:uid="{00000000-0005-0000-0000-00006E000000}"/>
    <cellStyle name="Звичайний 3 2" xfId="22" xr:uid="{00000000-0005-0000-0000-00006F000000}"/>
    <cellStyle name="Звичайний 3 2 2" xfId="89" xr:uid="{00000000-0005-0000-0000-000070000000}"/>
    <cellStyle name="Звичайний 30" xfId="158" xr:uid="{00000000-0005-0000-0000-000071000000}"/>
    <cellStyle name="Звичайний 30 2" xfId="95" xr:uid="{00000000-0005-0000-0000-000072000000}"/>
    <cellStyle name="Звичайний 30 2 2" xfId="97" xr:uid="{00000000-0005-0000-0000-000073000000}"/>
    <cellStyle name="Звичайний 30 2 3" xfId="99" xr:uid="{00000000-0005-0000-0000-000074000000}"/>
    <cellStyle name="Звичайний 30 2 3 2" xfId="101" xr:uid="{00000000-0005-0000-0000-000075000000}"/>
    <cellStyle name="Звичайний 31" xfId="161" xr:uid="{00000000-0005-0000-0000-000076000000}"/>
    <cellStyle name="Звичайний 31 2" xfId="171" xr:uid="{00000000-0005-0000-0000-000077000000}"/>
    <cellStyle name="Звичайний 31 2 2" xfId="172" xr:uid="{00000000-0005-0000-0000-000078000000}"/>
    <cellStyle name="Звичайний 32" xfId="134" xr:uid="{00000000-0005-0000-0000-000079000000}"/>
    <cellStyle name="Звичайний 32 2" xfId="137" xr:uid="{00000000-0005-0000-0000-00007A000000}"/>
    <cellStyle name="Звичайний 32 2 2" xfId="138" xr:uid="{00000000-0005-0000-0000-00007B000000}"/>
    <cellStyle name="Звичайний 32 2 2 2" xfId="150" xr:uid="{00000000-0005-0000-0000-00007C000000}"/>
    <cellStyle name="Звичайний 32 2 2 3" xfId="157" xr:uid="{00000000-0005-0000-0000-00007D000000}"/>
    <cellStyle name="Звичайний 32 2 2 4" xfId="159" xr:uid="{00000000-0005-0000-0000-00007E000000}"/>
    <cellStyle name="Звичайний 32 2 3" xfId="149" xr:uid="{00000000-0005-0000-0000-00007F000000}"/>
    <cellStyle name="Звичайний 32 3" xfId="146" xr:uid="{00000000-0005-0000-0000-000080000000}"/>
    <cellStyle name="Звичайний 33" xfId="179" xr:uid="{00000000-0005-0000-0000-000081000000}"/>
    <cellStyle name="Звичайний 4" xfId="23" xr:uid="{00000000-0005-0000-0000-000082000000}"/>
    <cellStyle name="Звичайний 4 2" xfId="24" xr:uid="{00000000-0005-0000-0000-000083000000}"/>
    <cellStyle name="Звичайний 4 2 2" xfId="90" xr:uid="{00000000-0005-0000-0000-000084000000}"/>
    <cellStyle name="Звичайний 4 3" xfId="167" xr:uid="{00000000-0005-0000-0000-000085000000}"/>
    <cellStyle name="Звичайний 5" xfId="25" xr:uid="{00000000-0005-0000-0000-000086000000}"/>
    <cellStyle name="Звичайний 6" xfId="26" xr:uid="{00000000-0005-0000-0000-000087000000}"/>
    <cellStyle name="Звичайний 7" xfId="27" xr:uid="{00000000-0005-0000-0000-000088000000}"/>
    <cellStyle name="Звичайний 8" xfId="28" xr:uid="{00000000-0005-0000-0000-000089000000}"/>
    <cellStyle name="Звичайний 9" xfId="29" xr:uid="{00000000-0005-0000-0000-00008A000000}"/>
    <cellStyle name="Звичайний_Додаток _ 3 зм_ни 4575" xfId="30" xr:uid="{00000000-0005-0000-0000-00008B000000}"/>
    <cellStyle name="Зв'язана клітинка" xfId="41" xr:uid="{00000000-0005-0000-0000-00008C000000}"/>
    <cellStyle name="Зв'язана клітинка 2" xfId="183" xr:uid="{00000000-0005-0000-0000-00008D000000}"/>
    <cellStyle name="Зв'язана клітинка 3" xfId="108" xr:uid="{00000000-0005-0000-0000-00008E000000}"/>
    <cellStyle name="Итог" xfId="74" xr:uid="{00000000-0005-0000-0000-00008F000000}"/>
    <cellStyle name="Контрольна клітинка" xfId="31" xr:uid="{00000000-0005-0000-0000-000090000000}"/>
    <cellStyle name="Контрольна клітинка 2" xfId="184" xr:uid="{00000000-0005-0000-0000-000091000000}"/>
    <cellStyle name="Контрольная ячейка" xfId="75" xr:uid="{00000000-0005-0000-0000-000092000000}"/>
    <cellStyle name="Назва" xfId="32" xr:uid="{00000000-0005-0000-0000-000093000000}"/>
    <cellStyle name="Назва 2" xfId="185" xr:uid="{00000000-0005-0000-0000-000094000000}"/>
    <cellStyle name="Назва 3" xfId="109" xr:uid="{00000000-0005-0000-0000-000095000000}"/>
    <cellStyle name="Название" xfId="76" xr:uid="{00000000-0005-0000-0000-000096000000}"/>
    <cellStyle name="Нейтральный" xfId="77" xr:uid="{00000000-0005-0000-0000-000097000000}"/>
    <cellStyle name="Обычный" xfId="0" builtinId="0"/>
    <cellStyle name="Обычный 2" xfId="33" xr:uid="{00000000-0005-0000-0000-000098000000}"/>
    <cellStyle name="Обычный 2 2" xfId="34" xr:uid="{00000000-0005-0000-0000-000099000000}"/>
    <cellStyle name="Обычный 2 2 2" xfId="91" xr:uid="{00000000-0005-0000-0000-00009A000000}"/>
    <cellStyle name="Обычный 2 2 2 2" xfId="120" xr:uid="{00000000-0005-0000-0000-00009B000000}"/>
    <cellStyle name="Обычный 2 2 3" xfId="128" xr:uid="{00000000-0005-0000-0000-00009C000000}"/>
    <cellStyle name="Обычный 2 3" xfId="110" xr:uid="{00000000-0005-0000-0000-00009D000000}"/>
    <cellStyle name="Обычный 2 3 2" xfId="187" xr:uid="{00000000-0005-0000-0000-00009E000000}"/>
    <cellStyle name="Обычный 2 4" xfId="119" xr:uid="{00000000-0005-0000-0000-00009F000000}"/>
    <cellStyle name="Обычный 2 5" xfId="186" xr:uid="{00000000-0005-0000-0000-0000A0000000}"/>
    <cellStyle name="Обычный 3" xfId="35" xr:uid="{00000000-0005-0000-0000-0000A1000000}"/>
    <cellStyle name="Обычный 3 2" xfId="121" xr:uid="{00000000-0005-0000-0000-0000A2000000}"/>
    <cellStyle name="Обычный 3 3" xfId="188" xr:uid="{00000000-0005-0000-0000-0000A3000000}"/>
    <cellStyle name="Обычный 3 4" xfId="111" xr:uid="{00000000-0005-0000-0000-0000A4000000}"/>
    <cellStyle name="Обычный 4" xfId="112" xr:uid="{00000000-0005-0000-0000-0000A5000000}"/>
    <cellStyle name="Обычный 4 2" xfId="122" xr:uid="{00000000-0005-0000-0000-0000A6000000}"/>
    <cellStyle name="Обычный 4 3" xfId="85" xr:uid="{00000000-0005-0000-0000-0000A7000000}"/>
    <cellStyle name="Обычный 5" xfId="123" xr:uid="{00000000-0005-0000-0000-0000A8000000}"/>
    <cellStyle name="Обычный 6" xfId="124" xr:uid="{00000000-0005-0000-0000-0000A9000000}"/>
    <cellStyle name="Обычный 7" xfId="125" xr:uid="{00000000-0005-0000-0000-0000AA000000}"/>
    <cellStyle name="Обычный 8" xfId="126" xr:uid="{00000000-0005-0000-0000-0000AB000000}"/>
    <cellStyle name="Обычный_Plan_kapbud_2006 уточн." xfId="36" xr:uid="{00000000-0005-0000-0000-0000AC000000}"/>
    <cellStyle name="Обычный_дод.1" xfId="37" xr:uid="{00000000-0005-0000-0000-0000AD000000}"/>
    <cellStyle name="Обычный_Додаток 2 до бюджету 2000 року" xfId="38" xr:uid="{00000000-0005-0000-0000-0000AE000000}"/>
    <cellStyle name="Обычный_Додаток №1" xfId="39" xr:uid="{00000000-0005-0000-0000-0000AF000000}"/>
    <cellStyle name="Обычный_КАПІТАЛЬНІ  ВКЛАДЕННЯ 2015 2 2" xfId="45" xr:uid="{00000000-0005-0000-0000-0000B0000000}"/>
    <cellStyle name="Обычный_УЖКГ бюджет 2016 Після Ямчука 2" xfId="40" xr:uid="{00000000-0005-0000-0000-0000B1000000}"/>
    <cellStyle name="Обычный_УКБ до бюджету 2016р ост 2" xfId="92" xr:uid="{00000000-0005-0000-0000-0000B2000000}"/>
    <cellStyle name="Плохой" xfId="78" xr:uid="{00000000-0005-0000-0000-0000B3000000}"/>
    <cellStyle name="Пояснение" xfId="79" xr:uid="{00000000-0005-0000-0000-0000B4000000}"/>
    <cellStyle name="Примечание" xfId="80" xr:uid="{00000000-0005-0000-0000-0000B5000000}"/>
    <cellStyle name="Связанная ячейка" xfId="81" xr:uid="{00000000-0005-0000-0000-0000B6000000}"/>
    <cellStyle name="Середній" xfId="42" xr:uid="{00000000-0005-0000-0000-0000B7000000}"/>
    <cellStyle name="Стиль 1" xfId="43" xr:uid="{00000000-0005-0000-0000-0000B8000000}"/>
    <cellStyle name="Текст попередження" xfId="44" xr:uid="{00000000-0005-0000-0000-0000B9000000}"/>
    <cellStyle name="Текст попередження 2" xfId="189" xr:uid="{00000000-0005-0000-0000-0000BA000000}"/>
    <cellStyle name="Текст предупреждения" xfId="82" xr:uid="{00000000-0005-0000-0000-0000BB000000}"/>
    <cellStyle name="Фінансовий 2" xfId="133" xr:uid="{00000000-0005-0000-0000-0000BC000000}"/>
    <cellStyle name="Хороший" xfId="83" xr:uid="{00000000-0005-0000-0000-0000BD000000}"/>
  </cellStyles>
  <dxfs count="0"/>
  <tableStyles count="0" defaultTableStyle="TableStyleMedium2" defaultPivotStyle="PivotStyleLight16"/>
  <colors>
    <mruColors>
      <color rgb="FF99FFCC"/>
      <color rgb="FFFFFF99"/>
      <color rgb="FFCCFF99"/>
      <color rgb="FF66FFFF"/>
      <color rgb="FF66FFCC"/>
      <color rgb="FF00FFCC"/>
      <color rgb="FFCCCCFF"/>
      <color rgb="FF66FF99"/>
      <color rgb="FF00CCFF"/>
      <color rgb="FFA86E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5"/>
  <sheetViews>
    <sheetView showZeros="0" view="pageBreakPreview" topLeftCell="A20" zoomScale="55" zoomScaleSheetLayoutView="55" workbookViewId="0">
      <selection activeCell="C35" sqref="C35"/>
    </sheetView>
  </sheetViews>
  <sheetFormatPr defaultColWidth="6.85546875" defaultRowHeight="12.75" x14ac:dyDescent="0.2"/>
  <cols>
    <col min="1" max="1" width="10.140625" style="10" customWidth="1"/>
    <col min="2" max="2" width="40.42578125" style="10" customWidth="1"/>
    <col min="3" max="4" width="17.28515625" style="10" customWidth="1"/>
    <col min="5" max="5" width="15.7109375" style="10" customWidth="1"/>
    <col min="6" max="6" width="14.5703125" style="10" customWidth="1"/>
    <col min="7" max="10" width="10.85546875" style="371" bestFit="1" customWidth="1"/>
    <col min="11" max="252" width="7.85546875" style="10" customWidth="1"/>
    <col min="253" max="16384" width="6.85546875" style="10"/>
  </cols>
  <sheetData>
    <row r="1" spans="1:7" ht="15.75" x14ac:dyDescent="0.2">
      <c r="D1" s="886" t="s">
        <v>59</v>
      </c>
      <c r="E1" s="887"/>
      <c r="F1" s="887"/>
      <c r="G1" s="887"/>
    </row>
    <row r="2" spans="1:7" ht="15.75" x14ac:dyDescent="0.2">
      <c r="C2" s="11"/>
      <c r="D2" s="886" t="s">
        <v>1349</v>
      </c>
      <c r="E2" s="888"/>
      <c r="F2" s="888"/>
      <c r="G2" s="888"/>
    </row>
    <row r="3" spans="1:7" ht="6" customHeight="1" x14ac:dyDescent="0.2">
      <c r="A3" s="371"/>
      <c r="B3" s="371"/>
      <c r="C3" s="372"/>
      <c r="D3" s="889"/>
      <c r="E3" s="890"/>
      <c r="F3" s="890"/>
      <c r="G3" s="890"/>
    </row>
    <row r="4" spans="1:7" ht="12.75" customHeight="1" x14ac:dyDescent="0.2">
      <c r="A4" s="879"/>
      <c r="B4" s="879"/>
      <c r="C4" s="879"/>
      <c r="D4" s="879"/>
      <c r="E4" s="879"/>
      <c r="F4" s="371"/>
    </row>
    <row r="5" spans="1:7" ht="20.25" x14ac:dyDescent="0.2">
      <c r="A5" s="879" t="s">
        <v>1216</v>
      </c>
      <c r="B5" s="880"/>
      <c r="C5" s="880"/>
      <c r="D5" s="880"/>
      <c r="E5" s="880"/>
      <c r="F5" s="880"/>
    </row>
    <row r="6" spans="1:7" ht="20.25" x14ac:dyDescent="0.2">
      <c r="A6" s="879" t="s">
        <v>1218</v>
      </c>
      <c r="B6" s="880"/>
      <c r="C6" s="880"/>
      <c r="D6" s="880"/>
      <c r="E6" s="880"/>
      <c r="F6" s="880"/>
    </row>
    <row r="7" spans="1:7" ht="20.25" x14ac:dyDescent="0.2">
      <c r="A7" s="373"/>
      <c r="B7" s="374"/>
      <c r="C7" s="374"/>
      <c r="D7" s="374"/>
      <c r="E7" s="374"/>
      <c r="F7" s="374"/>
    </row>
    <row r="8" spans="1:7" ht="20.25" x14ac:dyDescent="0.2">
      <c r="A8" s="881">
        <v>22564000000</v>
      </c>
      <c r="B8" s="882"/>
      <c r="C8" s="882"/>
      <c r="D8" s="882"/>
      <c r="E8" s="882"/>
      <c r="F8" s="882"/>
    </row>
    <row r="9" spans="1:7" ht="15.75" x14ac:dyDescent="0.2">
      <c r="A9" s="883" t="s">
        <v>508</v>
      </c>
      <c r="B9" s="884"/>
      <c r="C9" s="884"/>
      <c r="D9" s="884"/>
      <c r="E9" s="884"/>
      <c r="F9" s="884"/>
    </row>
    <row r="10" spans="1:7" ht="20.25" x14ac:dyDescent="0.2">
      <c r="A10" s="373"/>
      <c r="B10" s="375"/>
      <c r="C10" s="375"/>
      <c r="D10" s="375"/>
      <c r="E10" s="375"/>
      <c r="F10" s="375"/>
    </row>
    <row r="11" spans="1:7" ht="13.5" thickBot="1" x14ac:dyDescent="0.25">
      <c r="A11" s="371"/>
      <c r="B11" s="376"/>
      <c r="C11" s="376"/>
      <c r="D11" s="376"/>
      <c r="E11" s="376"/>
      <c r="F11" s="377" t="s">
        <v>419</v>
      </c>
    </row>
    <row r="12" spans="1:7" ht="14.25" thickTop="1" thickBot="1" x14ac:dyDescent="0.25">
      <c r="A12" s="885" t="s">
        <v>60</v>
      </c>
      <c r="B12" s="885" t="s">
        <v>1217</v>
      </c>
      <c r="C12" s="885" t="s">
        <v>398</v>
      </c>
      <c r="D12" s="885" t="s">
        <v>12</v>
      </c>
      <c r="E12" s="885" t="s">
        <v>54</v>
      </c>
      <c r="F12" s="885"/>
      <c r="G12" s="378"/>
    </row>
    <row r="13" spans="1:7" ht="39.75" thickTop="1" thickBot="1" x14ac:dyDescent="0.3">
      <c r="A13" s="885"/>
      <c r="B13" s="885"/>
      <c r="C13" s="885"/>
      <c r="D13" s="885"/>
      <c r="E13" s="212" t="s">
        <v>399</v>
      </c>
      <c r="F13" s="212" t="s">
        <v>442</v>
      </c>
      <c r="G13" s="379"/>
    </row>
    <row r="14" spans="1:7" ht="16.5" thickTop="1" thickBot="1" x14ac:dyDescent="0.3">
      <c r="A14" s="212">
        <v>1</v>
      </c>
      <c r="B14" s="212">
        <v>2</v>
      </c>
      <c r="C14" s="212">
        <v>3</v>
      </c>
      <c r="D14" s="212">
        <v>4</v>
      </c>
      <c r="E14" s="212">
        <v>5</v>
      </c>
      <c r="F14" s="212">
        <v>6</v>
      </c>
      <c r="G14" s="379"/>
    </row>
    <row r="15" spans="1:7" ht="25.5" customHeight="1" thickTop="1" thickBot="1" x14ac:dyDescent="0.25">
      <c r="A15" s="706">
        <v>10000000</v>
      </c>
      <c r="B15" s="706" t="s">
        <v>61</v>
      </c>
      <c r="C15" s="707">
        <f t="shared" ref="C15:C20" si="0">SUM(D15,E15)</f>
        <v>2654996000</v>
      </c>
      <c r="D15" s="707">
        <f>SUM(D16,D29,D37,D58,D24)</f>
        <v>2654296000</v>
      </c>
      <c r="E15" s="707">
        <f>SUM(E16,E29,E37,E58,E24)</f>
        <v>700000</v>
      </c>
      <c r="F15" s="707">
        <f>SUM(F16,F29,F37,F58,F24)</f>
        <v>0</v>
      </c>
      <c r="G15" s="699"/>
    </row>
    <row r="16" spans="1:7" ht="31.7" customHeight="1" thickTop="1" thickBot="1" x14ac:dyDescent="0.25">
      <c r="A16" s="212">
        <v>11000000</v>
      </c>
      <c r="B16" s="212" t="s">
        <v>62</v>
      </c>
      <c r="C16" s="670">
        <f>SUM(D16,E16)</f>
        <v>1785100000</v>
      </c>
      <c r="D16" s="670">
        <f>SUM(D17,D22)</f>
        <v>1785100000</v>
      </c>
      <c r="E16" s="670"/>
      <c r="F16" s="670"/>
      <c r="G16" s="700"/>
    </row>
    <row r="17" spans="1:7" ht="24.75" customHeight="1" thickTop="1" thickBot="1" x14ac:dyDescent="0.25">
      <c r="A17" s="672">
        <v>11010000</v>
      </c>
      <c r="B17" s="673" t="s">
        <v>63</v>
      </c>
      <c r="C17" s="674">
        <f t="shared" si="0"/>
        <v>1784000000</v>
      </c>
      <c r="D17" s="674">
        <f>SUM(D18:D21)</f>
        <v>1784000000</v>
      </c>
      <c r="E17" s="674"/>
      <c r="F17" s="674"/>
      <c r="G17" s="700"/>
    </row>
    <row r="18" spans="1:7" ht="52.5" thickTop="1" thickBot="1" x14ac:dyDescent="0.25">
      <c r="A18" s="668">
        <v>11010100</v>
      </c>
      <c r="B18" s="669" t="s">
        <v>64</v>
      </c>
      <c r="C18" s="670">
        <f t="shared" si="0"/>
        <v>1539180000</v>
      </c>
      <c r="D18" s="671">
        <f>1534180000-10000000+15000000</f>
        <v>1539180000</v>
      </c>
      <c r="E18" s="671"/>
      <c r="F18" s="671"/>
      <c r="G18" s="700"/>
    </row>
    <row r="19" spans="1:7" ht="78" thickTop="1" thickBot="1" x14ac:dyDescent="0.25">
      <c r="A19" s="668">
        <v>11010200</v>
      </c>
      <c r="B19" s="669" t="s">
        <v>65</v>
      </c>
      <c r="C19" s="670">
        <f t="shared" si="0"/>
        <v>180500000</v>
      </c>
      <c r="D19" s="671">
        <f>185500000-5000000</f>
        <v>180500000</v>
      </c>
      <c r="E19" s="671"/>
      <c r="F19" s="671"/>
      <c r="G19" s="700"/>
    </row>
    <row r="20" spans="1:7" ht="39.75" thickTop="1" thickBot="1" x14ac:dyDescent="0.25">
      <c r="A20" s="668">
        <v>11010400</v>
      </c>
      <c r="B20" s="669" t="s">
        <v>66</v>
      </c>
      <c r="C20" s="670">
        <f t="shared" si="0"/>
        <v>38200000</v>
      </c>
      <c r="D20" s="671">
        <v>38200000</v>
      </c>
      <c r="E20" s="671"/>
      <c r="F20" s="671"/>
      <c r="G20" s="700"/>
    </row>
    <row r="21" spans="1:7" ht="39.75" thickTop="1" thickBot="1" x14ac:dyDescent="0.3">
      <c r="A21" s="668">
        <v>11010500</v>
      </c>
      <c r="B21" s="669" t="s">
        <v>67</v>
      </c>
      <c r="C21" s="670">
        <f t="shared" ref="C21:C100" si="1">SUM(D21,E21)</f>
        <v>26120000</v>
      </c>
      <c r="D21" s="671">
        <v>26120000</v>
      </c>
      <c r="E21" s="671"/>
      <c r="F21" s="671"/>
      <c r="G21" s="379"/>
    </row>
    <row r="22" spans="1:7" ht="28.5" customHeight="1" thickTop="1" thickBot="1" x14ac:dyDescent="0.25">
      <c r="A22" s="672">
        <v>11020000</v>
      </c>
      <c r="B22" s="673" t="s">
        <v>68</v>
      </c>
      <c r="C22" s="674">
        <f>SUM(D22,E22)</f>
        <v>1100000</v>
      </c>
      <c r="D22" s="675">
        <f>D23</f>
        <v>1100000</v>
      </c>
      <c r="E22" s="675"/>
      <c r="F22" s="675"/>
      <c r="G22" s="699"/>
    </row>
    <row r="23" spans="1:7" ht="27" thickTop="1" thickBot="1" x14ac:dyDescent="0.3">
      <c r="A23" s="668">
        <v>11020200</v>
      </c>
      <c r="B23" s="676" t="s">
        <v>69</v>
      </c>
      <c r="C23" s="670">
        <f>SUM(D23,E23)</f>
        <v>1100000</v>
      </c>
      <c r="D23" s="671">
        <v>1100000</v>
      </c>
      <c r="E23" s="677"/>
      <c r="F23" s="671"/>
      <c r="G23" s="379"/>
    </row>
    <row r="24" spans="1:7" ht="27" thickTop="1" thickBot="1" x14ac:dyDescent="0.3">
      <c r="A24" s="212">
        <v>13000000</v>
      </c>
      <c r="B24" s="683" t="s">
        <v>550</v>
      </c>
      <c r="C24" s="670">
        <f>D24+E24</f>
        <v>1200000</v>
      </c>
      <c r="D24" s="670">
        <f>SUM(D25,D27)</f>
        <v>1200000</v>
      </c>
      <c r="E24" s="677"/>
      <c r="F24" s="671"/>
      <c r="G24" s="379"/>
    </row>
    <row r="25" spans="1:7" ht="28.5" thickTop="1" thickBot="1" x14ac:dyDescent="0.3">
      <c r="A25" s="672">
        <v>13010000</v>
      </c>
      <c r="B25" s="679" t="s">
        <v>551</v>
      </c>
      <c r="C25" s="674">
        <f>D25+E25</f>
        <v>1185000</v>
      </c>
      <c r="D25" s="674">
        <f>SUM(D26)</f>
        <v>1185000</v>
      </c>
      <c r="E25" s="675"/>
      <c r="F25" s="674"/>
      <c r="G25" s="379"/>
    </row>
    <row r="26" spans="1:7" ht="65.25" thickTop="1" thickBot="1" x14ac:dyDescent="0.3">
      <c r="A26" s="668">
        <v>13010200</v>
      </c>
      <c r="B26" s="678" t="s">
        <v>552</v>
      </c>
      <c r="C26" s="670">
        <f t="shared" ref="C26:C29" si="2">D26+E26</f>
        <v>1185000</v>
      </c>
      <c r="D26" s="671">
        <v>1185000</v>
      </c>
      <c r="E26" s="677"/>
      <c r="F26" s="671"/>
      <c r="G26" s="379"/>
    </row>
    <row r="27" spans="1:7" ht="16.5" thickTop="1" thickBot="1" x14ac:dyDescent="0.3">
      <c r="A27" s="672">
        <v>13030000</v>
      </c>
      <c r="B27" s="680" t="s">
        <v>553</v>
      </c>
      <c r="C27" s="674">
        <f>D27+E27</f>
        <v>15000</v>
      </c>
      <c r="D27" s="674">
        <f>SUM(D28)</f>
        <v>15000</v>
      </c>
      <c r="E27" s="675"/>
      <c r="F27" s="674"/>
      <c r="G27" s="379"/>
    </row>
    <row r="28" spans="1:7" ht="39.75" thickTop="1" thickBot="1" x14ac:dyDescent="0.3">
      <c r="A28" s="668">
        <v>13030100</v>
      </c>
      <c r="B28" s="678" t="s">
        <v>554</v>
      </c>
      <c r="C28" s="670">
        <f t="shared" si="2"/>
        <v>15000</v>
      </c>
      <c r="D28" s="671">
        <v>15000</v>
      </c>
      <c r="E28" s="677"/>
      <c r="F28" s="671"/>
      <c r="G28" s="379"/>
    </row>
    <row r="29" spans="1:7" ht="26.45" customHeight="1" thickTop="1" thickBot="1" x14ac:dyDescent="0.3">
      <c r="A29" s="212">
        <v>14000000</v>
      </c>
      <c r="B29" s="683" t="s">
        <v>555</v>
      </c>
      <c r="C29" s="670">
        <f t="shared" si="2"/>
        <v>172600000</v>
      </c>
      <c r="D29" s="670">
        <f>SUM(D30,D32,D34)</f>
        <v>172600000</v>
      </c>
      <c r="E29" s="681"/>
      <c r="F29" s="671"/>
      <c r="G29" s="379"/>
    </row>
    <row r="30" spans="1:7" ht="30" customHeight="1" thickTop="1" thickBot="1" x14ac:dyDescent="0.3">
      <c r="A30" s="672">
        <v>14020000</v>
      </c>
      <c r="B30" s="679" t="s">
        <v>659</v>
      </c>
      <c r="C30" s="674">
        <f>SUM(D30,E30)</f>
        <v>19550000</v>
      </c>
      <c r="D30" s="674">
        <f>SUM(D31,E31)</f>
        <v>19550000</v>
      </c>
      <c r="E30" s="675"/>
      <c r="F30" s="682"/>
      <c r="G30" s="379"/>
    </row>
    <row r="31" spans="1:7" ht="16.5" thickTop="1" thickBot="1" x14ac:dyDescent="0.3">
      <c r="A31" s="668">
        <v>14021900</v>
      </c>
      <c r="B31" s="676" t="s">
        <v>658</v>
      </c>
      <c r="C31" s="671">
        <f>SUM(D31,E31)</f>
        <v>19550000</v>
      </c>
      <c r="D31" s="671">
        <v>19550000</v>
      </c>
      <c r="E31" s="681"/>
      <c r="F31" s="671"/>
      <c r="G31" s="379"/>
    </row>
    <row r="32" spans="1:7" ht="42" thickTop="1" thickBot="1" x14ac:dyDescent="0.3">
      <c r="A32" s="672">
        <v>14030000</v>
      </c>
      <c r="B32" s="679" t="s">
        <v>660</v>
      </c>
      <c r="C32" s="674">
        <f>SUM(D32,E32)</f>
        <v>72950000</v>
      </c>
      <c r="D32" s="674">
        <f>SUM(D33,E33)</f>
        <v>72950000</v>
      </c>
      <c r="E32" s="675"/>
      <c r="F32" s="682"/>
      <c r="G32" s="379"/>
    </row>
    <row r="33" spans="1:7" ht="16.5" thickTop="1" thickBot="1" x14ac:dyDescent="0.3">
      <c r="A33" s="668">
        <v>14031900</v>
      </c>
      <c r="B33" s="676" t="s">
        <v>658</v>
      </c>
      <c r="C33" s="671">
        <f>SUM(D33,E33)</f>
        <v>72950000</v>
      </c>
      <c r="D33" s="671">
        <f>67950000+5000000</f>
        <v>72950000</v>
      </c>
      <c r="E33" s="681"/>
      <c r="F33" s="671"/>
      <c r="G33" s="379"/>
    </row>
    <row r="34" spans="1:7" ht="42" thickTop="1" thickBot="1" x14ac:dyDescent="0.3">
      <c r="A34" s="672">
        <v>14040000</v>
      </c>
      <c r="B34" s="679" t="s">
        <v>1382</v>
      </c>
      <c r="C34" s="674">
        <f>SUM(C35:C36)</f>
        <v>80100000</v>
      </c>
      <c r="D34" s="674">
        <f>SUM(D35:D36)</f>
        <v>80100000</v>
      </c>
      <c r="E34" s="675"/>
      <c r="F34" s="682"/>
      <c r="G34" s="379"/>
    </row>
    <row r="35" spans="1:7" ht="103.5" thickTop="1" thickBot="1" x14ac:dyDescent="0.25">
      <c r="A35" s="668">
        <v>14040100</v>
      </c>
      <c r="B35" s="676" t="s">
        <v>1381</v>
      </c>
      <c r="C35" s="671">
        <f>SUM(D35,E35)</f>
        <v>30000000</v>
      </c>
      <c r="D35" s="671">
        <v>30000000</v>
      </c>
      <c r="E35" s="681"/>
      <c r="F35" s="671"/>
      <c r="G35" s="701"/>
    </row>
    <row r="36" spans="1:7" ht="78" thickTop="1" thickBot="1" x14ac:dyDescent="0.25">
      <c r="A36" s="668">
        <v>14040200</v>
      </c>
      <c r="B36" s="676" t="s">
        <v>1380</v>
      </c>
      <c r="C36" s="671">
        <f>SUM(D36,E36)</f>
        <v>50100000</v>
      </c>
      <c r="D36" s="671">
        <v>50100000</v>
      </c>
      <c r="E36" s="681"/>
      <c r="F36" s="671"/>
      <c r="G36" s="701"/>
    </row>
    <row r="37" spans="1:7" ht="29.25" customHeight="1" thickTop="1" thickBot="1" x14ac:dyDescent="0.3">
      <c r="A37" s="212">
        <v>18000000</v>
      </c>
      <c r="B37" s="212" t="s">
        <v>70</v>
      </c>
      <c r="C37" s="670">
        <f t="shared" si="1"/>
        <v>695396000</v>
      </c>
      <c r="D37" s="670">
        <f>SUM(D38,D51,D54,D49)</f>
        <v>695396000</v>
      </c>
      <c r="E37" s="670"/>
      <c r="F37" s="670"/>
      <c r="G37" s="379"/>
    </row>
    <row r="38" spans="1:7" ht="16.5" thickTop="1" thickBot="1" x14ac:dyDescent="0.3">
      <c r="A38" s="672">
        <v>18010000</v>
      </c>
      <c r="B38" s="685" t="s">
        <v>71</v>
      </c>
      <c r="C38" s="674">
        <f>SUM(D38,E38)</f>
        <v>248395000</v>
      </c>
      <c r="D38" s="674">
        <f>SUM(D39:D48)</f>
        <v>248395000</v>
      </c>
      <c r="E38" s="674"/>
      <c r="F38" s="674"/>
      <c r="G38" s="379"/>
    </row>
    <row r="39" spans="1:7" ht="52.5" thickTop="1" thickBot="1" x14ac:dyDescent="0.3">
      <c r="A39" s="668">
        <v>18010100</v>
      </c>
      <c r="B39" s="684" t="s">
        <v>72</v>
      </c>
      <c r="C39" s="670">
        <f t="shared" si="1"/>
        <v>304500</v>
      </c>
      <c r="D39" s="671">
        <v>304500</v>
      </c>
      <c r="E39" s="671"/>
      <c r="F39" s="671"/>
      <c r="G39" s="379"/>
    </row>
    <row r="40" spans="1:7" ht="52.5" thickTop="1" thickBot="1" x14ac:dyDescent="0.3">
      <c r="A40" s="668">
        <v>18010200</v>
      </c>
      <c r="B40" s="684" t="s">
        <v>73</v>
      </c>
      <c r="C40" s="670">
        <f t="shared" si="1"/>
        <v>16745000</v>
      </c>
      <c r="D40" s="671">
        <v>16745000</v>
      </c>
      <c r="E40" s="671"/>
      <c r="F40" s="671"/>
      <c r="G40" s="379"/>
    </row>
    <row r="41" spans="1:7" ht="52.5" thickTop="1" thickBot="1" x14ac:dyDescent="0.3">
      <c r="A41" s="668">
        <v>18010300</v>
      </c>
      <c r="B41" s="684" t="s">
        <v>74</v>
      </c>
      <c r="C41" s="670">
        <f t="shared" si="1"/>
        <v>9200350</v>
      </c>
      <c r="D41" s="671">
        <v>9200350</v>
      </c>
      <c r="E41" s="671"/>
      <c r="F41" s="671"/>
      <c r="G41" s="379"/>
    </row>
    <row r="42" spans="1:7" ht="52.5" thickTop="1" thickBot="1" x14ac:dyDescent="0.3">
      <c r="A42" s="668">
        <v>18010400</v>
      </c>
      <c r="B42" s="684" t="s">
        <v>75</v>
      </c>
      <c r="C42" s="670">
        <f t="shared" si="1"/>
        <v>27250150</v>
      </c>
      <c r="D42" s="671">
        <v>27250150</v>
      </c>
      <c r="E42" s="671"/>
      <c r="F42" s="671"/>
      <c r="G42" s="379"/>
    </row>
    <row r="43" spans="1:7" ht="16.5" thickTop="1" thickBot="1" x14ac:dyDescent="0.3">
      <c r="A43" s="668">
        <v>18010500</v>
      </c>
      <c r="B43" s="676" t="s">
        <v>76</v>
      </c>
      <c r="C43" s="670">
        <f t="shared" si="1"/>
        <v>42200000</v>
      </c>
      <c r="D43" s="671">
        <v>42200000</v>
      </c>
      <c r="E43" s="671"/>
      <c r="F43" s="671"/>
      <c r="G43" s="379"/>
    </row>
    <row r="44" spans="1:7" ht="16.5" thickTop="1" thickBot="1" x14ac:dyDescent="0.3">
      <c r="A44" s="668">
        <v>18010600</v>
      </c>
      <c r="B44" s="684" t="s">
        <v>77</v>
      </c>
      <c r="C44" s="670">
        <f t="shared" si="1"/>
        <v>116825000</v>
      </c>
      <c r="D44" s="671">
        <v>116825000</v>
      </c>
      <c r="E44" s="671"/>
      <c r="F44" s="671"/>
      <c r="G44" s="379"/>
    </row>
    <row r="45" spans="1:7" ht="16.5" thickTop="1" thickBot="1" x14ac:dyDescent="0.3">
      <c r="A45" s="668">
        <v>18010700</v>
      </c>
      <c r="B45" s="684" t="s">
        <v>78</v>
      </c>
      <c r="C45" s="670">
        <f t="shared" si="1"/>
        <v>2500000</v>
      </c>
      <c r="D45" s="671">
        <v>2500000</v>
      </c>
      <c r="E45" s="671"/>
      <c r="F45" s="671"/>
      <c r="G45" s="379"/>
    </row>
    <row r="46" spans="1:7" ht="16.5" thickTop="1" thickBot="1" x14ac:dyDescent="0.3">
      <c r="A46" s="668">
        <v>18010900</v>
      </c>
      <c r="B46" s="684" t="s">
        <v>79</v>
      </c>
      <c r="C46" s="670">
        <f t="shared" si="1"/>
        <v>32620000</v>
      </c>
      <c r="D46" s="671">
        <v>32620000</v>
      </c>
      <c r="E46" s="671"/>
      <c r="F46" s="671"/>
      <c r="G46" s="379"/>
    </row>
    <row r="47" spans="1:7" ht="15.75" thickTop="1" thickBot="1" x14ac:dyDescent="0.25">
      <c r="A47" s="668">
        <v>18011000</v>
      </c>
      <c r="B47" s="684" t="s">
        <v>80</v>
      </c>
      <c r="C47" s="670">
        <f t="shared" si="1"/>
        <v>300000</v>
      </c>
      <c r="D47" s="671">
        <v>300000</v>
      </c>
      <c r="E47" s="671"/>
      <c r="F47" s="671"/>
      <c r="G47" s="699"/>
    </row>
    <row r="48" spans="1:7" ht="16.5" thickTop="1" thickBot="1" x14ac:dyDescent="0.3">
      <c r="A48" s="668">
        <v>18011100</v>
      </c>
      <c r="B48" s="684" t="s">
        <v>81</v>
      </c>
      <c r="C48" s="670">
        <f t="shared" si="1"/>
        <v>450000</v>
      </c>
      <c r="D48" s="671">
        <v>450000</v>
      </c>
      <c r="E48" s="671"/>
      <c r="F48" s="671"/>
      <c r="G48" s="379"/>
    </row>
    <row r="49" spans="1:7" ht="28.5" thickTop="1" thickBot="1" x14ac:dyDescent="0.3">
      <c r="A49" s="672">
        <v>18020000</v>
      </c>
      <c r="B49" s="685" t="s">
        <v>1302</v>
      </c>
      <c r="C49" s="674">
        <f t="shared" si="1"/>
        <v>500000</v>
      </c>
      <c r="D49" s="674">
        <f>SUM(D50,E50)</f>
        <v>500000</v>
      </c>
      <c r="E49" s="674"/>
      <c r="F49" s="674"/>
      <c r="G49" s="379"/>
    </row>
    <row r="50" spans="1:7" ht="27" thickTop="1" thickBot="1" x14ac:dyDescent="0.3">
      <c r="A50" s="668">
        <v>180201000</v>
      </c>
      <c r="B50" s="684" t="s">
        <v>1303</v>
      </c>
      <c r="C50" s="670">
        <f t="shared" si="1"/>
        <v>500000</v>
      </c>
      <c r="D50" s="671">
        <v>500000</v>
      </c>
      <c r="E50" s="671"/>
      <c r="F50" s="671"/>
      <c r="G50" s="379"/>
    </row>
    <row r="51" spans="1:7" ht="16.5" thickTop="1" thickBot="1" x14ac:dyDescent="0.3">
      <c r="A51" s="672">
        <v>18030000</v>
      </c>
      <c r="B51" s="685" t="s">
        <v>82</v>
      </c>
      <c r="C51" s="674">
        <f>SUM(D51,E51)</f>
        <v>800000</v>
      </c>
      <c r="D51" s="674">
        <f>SUM(D52:D53)</f>
        <v>800000</v>
      </c>
      <c r="E51" s="674"/>
      <c r="F51" s="674"/>
      <c r="G51" s="379"/>
    </row>
    <row r="52" spans="1:7" ht="27" thickTop="1" thickBot="1" x14ac:dyDescent="0.3">
      <c r="A52" s="668">
        <v>18030100</v>
      </c>
      <c r="B52" s="684" t="s">
        <v>83</v>
      </c>
      <c r="C52" s="670">
        <f>SUM(D52,E52)</f>
        <v>550000</v>
      </c>
      <c r="D52" s="671">
        <v>550000</v>
      </c>
      <c r="E52" s="671"/>
      <c r="F52" s="671"/>
      <c r="G52" s="379"/>
    </row>
    <row r="53" spans="1:7" ht="27" thickTop="1" thickBot="1" x14ac:dyDescent="0.3">
      <c r="A53" s="668">
        <v>18030200</v>
      </c>
      <c r="B53" s="684" t="s">
        <v>84</v>
      </c>
      <c r="C53" s="670">
        <f>SUM(D53,E53)</f>
        <v>250000</v>
      </c>
      <c r="D53" s="671">
        <v>250000</v>
      </c>
      <c r="E53" s="671"/>
      <c r="F53" s="671"/>
      <c r="G53" s="379"/>
    </row>
    <row r="54" spans="1:7" ht="16.5" thickTop="1" thickBot="1" x14ac:dyDescent="0.3">
      <c r="A54" s="672">
        <v>18050000</v>
      </c>
      <c r="B54" s="685" t="s">
        <v>85</v>
      </c>
      <c r="C54" s="674">
        <f>SUM(D54,E54)</f>
        <v>445701000</v>
      </c>
      <c r="D54" s="674">
        <f>SUM(D55:D57)</f>
        <v>445701000</v>
      </c>
      <c r="E54" s="682"/>
      <c r="F54" s="682"/>
      <c r="G54" s="379"/>
    </row>
    <row r="55" spans="1:7" ht="16.5" thickTop="1" thickBot="1" x14ac:dyDescent="0.3">
      <c r="A55" s="668">
        <v>18050300</v>
      </c>
      <c r="B55" s="669" t="s">
        <v>1126</v>
      </c>
      <c r="C55" s="670">
        <f t="shared" si="1"/>
        <v>76500000</v>
      </c>
      <c r="D55" s="671">
        <v>76500000</v>
      </c>
      <c r="E55" s="671"/>
      <c r="F55" s="671"/>
      <c r="G55" s="379"/>
    </row>
    <row r="56" spans="1:7" ht="15.75" thickTop="1" thickBot="1" x14ac:dyDescent="0.25">
      <c r="A56" s="668">
        <v>18050400</v>
      </c>
      <c r="B56" s="684" t="s">
        <v>86</v>
      </c>
      <c r="C56" s="670">
        <f t="shared" si="1"/>
        <v>364351000</v>
      </c>
      <c r="D56" s="671">
        <v>364351000</v>
      </c>
      <c r="E56" s="671"/>
      <c r="F56" s="671"/>
      <c r="G56" s="699"/>
    </row>
    <row r="57" spans="1:7" ht="65.25" thickTop="1" thickBot="1" x14ac:dyDescent="0.25">
      <c r="A57" s="668">
        <v>18050500</v>
      </c>
      <c r="B57" s="684" t="s">
        <v>563</v>
      </c>
      <c r="C57" s="670">
        <f t="shared" si="1"/>
        <v>4850000</v>
      </c>
      <c r="D57" s="671">
        <v>4850000</v>
      </c>
      <c r="E57" s="671"/>
      <c r="F57" s="671"/>
      <c r="G57" s="699"/>
    </row>
    <row r="58" spans="1:7" ht="31.7" customHeight="1" thickTop="1" thickBot="1" x14ac:dyDescent="0.25">
      <c r="A58" s="212">
        <v>19000000</v>
      </c>
      <c r="B58" s="686" t="s">
        <v>556</v>
      </c>
      <c r="C58" s="670">
        <f t="shared" si="1"/>
        <v>700000</v>
      </c>
      <c r="D58" s="670"/>
      <c r="E58" s="670">
        <f>SUM(E60:E62)</f>
        <v>700000</v>
      </c>
      <c r="F58" s="671"/>
      <c r="G58" s="699"/>
    </row>
    <row r="59" spans="1:7" ht="16.5" thickTop="1" thickBot="1" x14ac:dyDescent="0.3">
      <c r="A59" s="672">
        <v>1901000</v>
      </c>
      <c r="B59" s="673" t="s">
        <v>87</v>
      </c>
      <c r="C59" s="674">
        <f t="shared" ref="C59:C63" si="3">SUM(D59,E59)</f>
        <v>700000</v>
      </c>
      <c r="D59" s="674">
        <f>SUM(D60:D62)</f>
        <v>0</v>
      </c>
      <c r="E59" s="674">
        <f>SUM(E60:E62)</f>
        <v>700000</v>
      </c>
      <c r="F59" s="674"/>
      <c r="G59" s="379"/>
    </row>
    <row r="60" spans="1:7" ht="65.25" thickTop="1" thickBot="1" x14ac:dyDescent="0.3">
      <c r="A60" s="668">
        <v>19010100</v>
      </c>
      <c r="B60" s="669" t="s">
        <v>557</v>
      </c>
      <c r="C60" s="670">
        <f t="shared" si="3"/>
        <v>270000</v>
      </c>
      <c r="D60" s="671"/>
      <c r="E60" s="671">
        <v>270000</v>
      </c>
      <c r="F60" s="671"/>
      <c r="G60" s="379"/>
    </row>
    <row r="61" spans="1:7" ht="27" thickTop="1" thickBot="1" x14ac:dyDescent="0.25">
      <c r="A61" s="668">
        <v>19010200</v>
      </c>
      <c r="B61" s="669" t="s">
        <v>88</v>
      </c>
      <c r="C61" s="670">
        <f t="shared" si="3"/>
        <v>115000</v>
      </c>
      <c r="D61" s="671"/>
      <c r="E61" s="671">
        <v>115000</v>
      </c>
      <c r="F61" s="671"/>
      <c r="G61" s="701"/>
    </row>
    <row r="62" spans="1:7" ht="52.5" thickTop="1" thickBot="1" x14ac:dyDescent="0.3">
      <c r="A62" s="668">
        <v>19010300</v>
      </c>
      <c r="B62" s="669" t="s">
        <v>89</v>
      </c>
      <c r="C62" s="670">
        <f t="shared" si="3"/>
        <v>315000</v>
      </c>
      <c r="D62" s="671"/>
      <c r="E62" s="671">
        <v>315000</v>
      </c>
      <c r="F62" s="671"/>
      <c r="G62" s="379"/>
    </row>
    <row r="63" spans="1:7" ht="30" customHeight="1" thickTop="1" thickBot="1" x14ac:dyDescent="0.3">
      <c r="A63" s="706">
        <v>20000000</v>
      </c>
      <c r="B63" s="706" t="s">
        <v>90</v>
      </c>
      <c r="C63" s="707">
        <f t="shared" si="3"/>
        <v>255014635</v>
      </c>
      <c r="D63" s="707">
        <f>SUM(D64,D72,D82,D87)</f>
        <v>66242500</v>
      </c>
      <c r="E63" s="707">
        <f>SUM(E64,E72,E82,E87)</f>
        <v>188772135</v>
      </c>
      <c r="F63" s="707">
        <f>SUM(F64,F72,F82,F87)</f>
        <v>7000012</v>
      </c>
      <c r="G63" s="379"/>
    </row>
    <row r="64" spans="1:7" ht="27" thickTop="1" thickBot="1" x14ac:dyDescent="0.3">
      <c r="A64" s="212">
        <v>21000000</v>
      </c>
      <c r="B64" s="212" t="s">
        <v>558</v>
      </c>
      <c r="C64" s="670">
        <f>SUM(D64,E64)</f>
        <v>17150000</v>
      </c>
      <c r="D64" s="670">
        <f>SUM(D65,D68,D67)</f>
        <v>17150000</v>
      </c>
      <c r="E64" s="670"/>
      <c r="F64" s="670"/>
      <c r="G64" s="379"/>
    </row>
    <row r="65" spans="1:7" ht="55.5" thickTop="1" thickBot="1" x14ac:dyDescent="0.3">
      <c r="A65" s="672">
        <v>21010000</v>
      </c>
      <c r="B65" s="679" t="s">
        <v>559</v>
      </c>
      <c r="C65" s="674">
        <f t="shared" si="1"/>
        <v>650000</v>
      </c>
      <c r="D65" s="674">
        <f>D66</f>
        <v>650000</v>
      </c>
      <c r="E65" s="674"/>
      <c r="F65" s="674"/>
      <c r="G65" s="379"/>
    </row>
    <row r="66" spans="1:7" ht="52.5" thickTop="1" thickBot="1" x14ac:dyDescent="0.3">
      <c r="A66" s="668">
        <v>21010300</v>
      </c>
      <c r="B66" s="676" t="s">
        <v>91</v>
      </c>
      <c r="C66" s="670">
        <f t="shared" si="1"/>
        <v>650000</v>
      </c>
      <c r="D66" s="671">
        <v>650000</v>
      </c>
      <c r="E66" s="671"/>
      <c r="F66" s="671"/>
      <c r="G66" s="379"/>
    </row>
    <row r="67" spans="1:7" ht="28.5" thickTop="1" thickBot="1" x14ac:dyDescent="0.3">
      <c r="A67" s="672">
        <v>21050000</v>
      </c>
      <c r="B67" s="679" t="s">
        <v>92</v>
      </c>
      <c r="C67" s="674">
        <f t="shared" si="1"/>
        <v>2500000</v>
      </c>
      <c r="D67" s="674">
        <v>2500000</v>
      </c>
      <c r="E67" s="674"/>
      <c r="F67" s="674"/>
      <c r="G67" s="379"/>
    </row>
    <row r="68" spans="1:7" ht="15" thickTop="1" thickBot="1" x14ac:dyDescent="0.25">
      <c r="A68" s="672">
        <v>21080000</v>
      </c>
      <c r="B68" s="679" t="s">
        <v>1127</v>
      </c>
      <c r="C68" s="674">
        <f t="shared" ref="C68:C73" si="4">SUM(D68,E68)</f>
        <v>14000000</v>
      </c>
      <c r="D68" s="675">
        <f>SUM(D69:D71)</f>
        <v>14000000</v>
      </c>
      <c r="E68" s="674"/>
      <c r="F68" s="674"/>
      <c r="G68" s="701"/>
    </row>
    <row r="69" spans="1:7" ht="16.5" thickTop="1" thickBot="1" x14ac:dyDescent="0.3">
      <c r="A69" s="668">
        <v>21081100</v>
      </c>
      <c r="B69" s="687" t="s">
        <v>93</v>
      </c>
      <c r="C69" s="670">
        <f t="shared" si="4"/>
        <v>2500000</v>
      </c>
      <c r="D69" s="677">
        <v>2500000</v>
      </c>
      <c r="E69" s="671"/>
      <c r="F69" s="671"/>
      <c r="G69" s="379"/>
    </row>
    <row r="70" spans="1:7" ht="52.5" thickTop="1" thickBot="1" x14ac:dyDescent="0.3">
      <c r="A70" s="668">
        <v>21081500</v>
      </c>
      <c r="B70" s="669" t="s">
        <v>94</v>
      </c>
      <c r="C70" s="670">
        <f t="shared" si="4"/>
        <v>1750000</v>
      </c>
      <c r="D70" s="671">
        <v>1750000</v>
      </c>
      <c r="E70" s="671"/>
      <c r="F70" s="671"/>
      <c r="G70" s="379"/>
    </row>
    <row r="71" spans="1:7" ht="16.5" thickTop="1" thickBot="1" x14ac:dyDescent="0.3">
      <c r="A71" s="668">
        <v>21081700</v>
      </c>
      <c r="B71" s="669" t="s">
        <v>389</v>
      </c>
      <c r="C71" s="670">
        <f t="shared" si="4"/>
        <v>9750000</v>
      </c>
      <c r="D71" s="677">
        <v>9750000</v>
      </c>
      <c r="E71" s="671"/>
      <c r="F71" s="671"/>
      <c r="G71" s="702"/>
    </row>
    <row r="72" spans="1:7" ht="27" thickTop="1" thickBot="1" x14ac:dyDescent="0.3">
      <c r="A72" s="212">
        <v>22000000</v>
      </c>
      <c r="B72" s="212" t="s">
        <v>95</v>
      </c>
      <c r="C72" s="670">
        <f t="shared" si="4"/>
        <v>35892500</v>
      </c>
      <c r="D72" s="670">
        <f>SUM(D73,D77,D79)</f>
        <v>35892500</v>
      </c>
      <c r="E72" s="671"/>
      <c r="F72" s="671"/>
      <c r="G72" s="379"/>
    </row>
    <row r="73" spans="1:7" ht="24.75" customHeight="1" thickTop="1" thickBot="1" x14ac:dyDescent="0.3">
      <c r="A73" s="672">
        <v>22010000</v>
      </c>
      <c r="B73" s="673" t="s">
        <v>560</v>
      </c>
      <c r="C73" s="674">
        <f t="shared" si="4"/>
        <v>22500000</v>
      </c>
      <c r="D73" s="674">
        <f>SUM(D74:D76)</f>
        <v>22500000</v>
      </c>
      <c r="E73" s="674"/>
      <c r="F73" s="674"/>
      <c r="G73" s="379"/>
    </row>
    <row r="74" spans="1:7" ht="52.5" thickTop="1" thickBot="1" x14ac:dyDescent="0.3">
      <c r="A74" s="668">
        <v>22010300</v>
      </c>
      <c r="B74" s="669" t="s">
        <v>155</v>
      </c>
      <c r="C74" s="670">
        <f t="shared" si="1"/>
        <v>1285100</v>
      </c>
      <c r="D74" s="671">
        <v>1285100</v>
      </c>
      <c r="E74" s="671"/>
      <c r="F74" s="671"/>
      <c r="G74" s="379"/>
    </row>
    <row r="75" spans="1:7" ht="27" thickTop="1" thickBot="1" x14ac:dyDescent="0.3">
      <c r="A75" s="668">
        <v>22012500</v>
      </c>
      <c r="B75" s="669" t="s">
        <v>97</v>
      </c>
      <c r="C75" s="670">
        <f t="shared" si="1"/>
        <v>19979500</v>
      </c>
      <c r="D75" s="671">
        <v>19979500</v>
      </c>
      <c r="E75" s="671"/>
      <c r="F75" s="671"/>
      <c r="G75" s="379"/>
    </row>
    <row r="76" spans="1:7" ht="39.75" thickTop="1" thickBot="1" x14ac:dyDescent="0.3">
      <c r="A76" s="668">
        <v>22012600</v>
      </c>
      <c r="B76" s="669" t="s">
        <v>96</v>
      </c>
      <c r="C76" s="670">
        <f>SUM(D76,E76)</f>
        <v>1235400</v>
      </c>
      <c r="D76" s="671">
        <v>1235400</v>
      </c>
      <c r="E76" s="671"/>
      <c r="F76" s="671"/>
      <c r="G76" s="379"/>
    </row>
    <row r="77" spans="1:7" ht="42" thickTop="1" thickBot="1" x14ac:dyDescent="0.3">
      <c r="A77" s="672">
        <v>2208000</v>
      </c>
      <c r="B77" s="673" t="s">
        <v>561</v>
      </c>
      <c r="C77" s="674">
        <f t="shared" si="1"/>
        <v>12780000</v>
      </c>
      <c r="D77" s="674">
        <f>D78</f>
        <v>12780000</v>
      </c>
      <c r="E77" s="674"/>
      <c r="F77" s="674"/>
      <c r="G77" s="379"/>
    </row>
    <row r="78" spans="1:7" ht="52.5" thickTop="1" thickBot="1" x14ac:dyDescent="0.3">
      <c r="A78" s="668">
        <v>22080400</v>
      </c>
      <c r="B78" s="687" t="s">
        <v>98</v>
      </c>
      <c r="C78" s="670">
        <f t="shared" si="1"/>
        <v>12780000</v>
      </c>
      <c r="D78" s="671">
        <v>12780000</v>
      </c>
      <c r="E78" s="671"/>
      <c r="F78" s="671"/>
      <c r="G78" s="379"/>
    </row>
    <row r="79" spans="1:7" ht="16.5" thickTop="1" thickBot="1" x14ac:dyDescent="0.3">
      <c r="A79" s="672">
        <v>22090000</v>
      </c>
      <c r="B79" s="693" t="s">
        <v>99</v>
      </c>
      <c r="C79" s="674">
        <f t="shared" si="1"/>
        <v>612500</v>
      </c>
      <c r="D79" s="674">
        <f>SUM(D80:D81)</f>
        <v>612500</v>
      </c>
      <c r="E79" s="674"/>
      <c r="F79" s="674"/>
      <c r="G79" s="379"/>
    </row>
    <row r="80" spans="1:7" ht="52.5" thickTop="1" thickBot="1" x14ac:dyDescent="0.3">
      <c r="A80" s="668">
        <v>22090100</v>
      </c>
      <c r="B80" s="684" t="s">
        <v>100</v>
      </c>
      <c r="C80" s="670">
        <f t="shared" si="1"/>
        <v>481950</v>
      </c>
      <c r="D80" s="671">
        <v>481950</v>
      </c>
      <c r="E80" s="671"/>
      <c r="F80" s="671"/>
      <c r="G80" s="379"/>
    </row>
    <row r="81" spans="1:7" ht="39.75" thickTop="1" thickBot="1" x14ac:dyDescent="0.25">
      <c r="A81" s="668">
        <v>22090400</v>
      </c>
      <c r="B81" s="684" t="s">
        <v>101</v>
      </c>
      <c r="C81" s="670">
        <f t="shared" si="1"/>
        <v>130550</v>
      </c>
      <c r="D81" s="671">
        <v>130550</v>
      </c>
      <c r="E81" s="671"/>
      <c r="F81" s="671"/>
      <c r="G81" s="700"/>
    </row>
    <row r="82" spans="1:7" ht="27" customHeight="1" thickTop="1" thickBot="1" x14ac:dyDescent="0.3">
      <c r="A82" s="212">
        <v>24000000</v>
      </c>
      <c r="B82" s="705" t="s">
        <v>102</v>
      </c>
      <c r="C82" s="670">
        <f t="shared" si="1"/>
        <v>20200012</v>
      </c>
      <c r="D82" s="681">
        <f>D83+D84+D86+D85</f>
        <v>13200000</v>
      </c>
      <c r="E82" s="681">
        <f>E83+E84+E86+E85</f>
        <v>7000012</v>
      </c>
      <c r="F82" s="681">
        <f>F83+F84+F86+F85</f>
        <v>7000012</v>
      </c>
      <c r="G82" s="379"/>
    </row>
    <row r="83" spans="1:7" ht="16.5" thickTop="1" thickBot="1" x14ac:dyDescent="0.3">
      <c r="A83" s="668">
        <v>24060300</v>
      </c>
      <c r="B83" s="669" t="s">
        <v>103</v>
      </c>
      <c r="C83" s="670">
        <f t="shared" si="1"/>
        <v>12200000</v>
      </c>
      <c r="D83" s="677">
        <v>12200000</v>
      </c>
      <c r="E83" s="677"/>
      <c r="F83" s="677"/>
      <c r="G83" s="379"/>
    </row>
    <row r="84" spans="1:7" ht="65.25" thickTop="1" thickBot="1" x14ac:dyDescent="0.3">
      <c r="A84" s="668">
        <v>24062200</v>
      </c>
      <c r="B84" s="669" t="s">
        <v>390</v>
      </c>
      <c r="C84" s="670">
        <f t="shared" si="1"/>
        <v>1000000</v>
      </c>
      <c r="D84" s="677">
        <v>1000000</v>
      </c>
      <c r="E84" s="677"/>
      <c r="F84" s="677"/>
      <c r="G84" s="379"/>
    </row>
    <row r="85" spans="1:7" ht="39.75" thickTop="1" thickBot="1" x14ac:dyDescent="0.3">
      <c r="A85" s="668">
        <v>24110700</v>
      </c>
      <c r="B85" s="694" t="s">
        <v>624</v>
      </c>
      <c r="C85" s="670">
        <f t="shared" si="1"/>
        <v>12</v>
      </c>
      <c r="D85" s="677"/>
      <c r="E85" s="677">
        <v>12</v>
      </c>
      <c r="F85" s="677">
        <v>12</v>
      </c>
      <c r="G85" s="379"/>
    </row>
    <row r="86" spans="1:7" ht="27" thickTop="1" thickBot="1" x14ac:dyDescent="0.25">
      <c r="A86" s="668">
        <v>24170000</v>
      </c>
      <c r="B86" s="676" t="s">
        <v>104</v>
      </c>
      <c r="C86" s="670">
        <f t="shared" ref="C86:C92" si="5">SUM(D86,E86)</f>
        <v>7000000</v>
      </c>
      <c r="D86" s="677"/>
      <c r="E86" s="677">
        <v>7000000</v>
      </c>
      <c r="F86" s="677">
        <v>7000000</v>
      </c>
      <c r="G86" s="699"/>
    </row>
    <row r="87" spans="1:7" ht="16.5" thickTop="1" thickBot="1" x14ac:dyDescent="0.3">
      <c r="A87" s="212">
        <v>25000000</v>
      </c>
      <c r="B87" s="695" t="s">
        <v>105</v>
      </c>
      <c r="C87" s="670">
        <f t="shared" si="5"/>
        <v>181772123</v>
      </c>
      <c r="D87" s="681">
        <f>SUM(D88:D92,)</f>
        <v>0</v>
      </c>
      <c r="E87" s="681">
        <f>SUM(E88)</f>
        <v>181772123</v>
      </c>
      <c r="F87" s="681"/>
      <c r="G87" s="379"/>
    </row>
    <row r="88" spans="1:7" ht="42" thickTop="1" thickBot="1" x14ac:dyDescent="0.3">
      <c r="A88" s="672">
        <v>25010000</v>
      </c>
      <c r="B88" s="679" t="s">
        <v>106</v>
      </c>
      <c r="C88" s="674">
        <f t="shared" si="5"/>
        <v>181772123</v>
      </c>
      <c r="D88" s="675">
        <v>0</v>
      </c>
      <c r="E88" s="675">
        <f>SUM(E89:E92)</f>
        <v>181772123</v>
      </c>
      <c r="F88" s="675"/>
      <c r="G88" s="379"/>
    </row>
    <row r="89" spans="1:7" ht="27" thickTop="1" thickBot="1" x14ac:dyDescent="0.3">
      <c r="A89" s="668">
        <v>25010100</v>
      </c>
      <c r="B89" s="676" t="s">
        <v>107</v>
      </c>
      <c r="C89" s="670">
        <f t="shared" si="5"/>
        <v>167553543</v>
      </c>
      <c r="D89" s="677"/>
      <c r="E89" s="677">
        <v>167553543</v>
      </c>
      <c r="F89" s="677"/>
      <c r="G89" s="379"/>
    </row>
    <row r="90" spans="1:7" ht="27" thickTop="1" thickBot="1" x14ac:dyDescent="0.3">
      <c r="A90" s="668">
        <v>25010200</v>
      </c>
      <c r="B90" s="676" t="s">
        <v>108</v>
      </c>
      <c r="C90" s="670">
        <f t="shared" si="5"/>
        <v>11647473</v>
      </c>
      <c r="D90" s="677"/>
      <c r="E90" s="677">
        <v>11647473</v>
      </c>
      <c r="F90" s="677"/>
      <c r="G90" s="379"/>
    </row>
    <row r="91" spans="1:7" ht="16.5" thickTop="1" thickBot="1" x14ac:dyDescent="0.3">
      <c r="A91" s="668">
        <v>25010300</v>
      </c>
      <c r="B91" s="676" t="s">
        <v>109</v>
      </c>
      <c r="C91" s="670">
        <f t="shared" si="5"/>
        <v>2527607</v>
      </c>
      <c r="D91" s="677"/>
      <c r="E91" s="677">
        <v>2527607</v>
      </c>
      <c r="F91" s="677"/>
      <c r="G91" s="379"/>
    </row>
    <row r="92" spans="1:7" ht="39.75" thickTop="1" thickBot="1" x14ac:dyDescent="0.3">
      <c r="A92" s="668">
        <v>25010400</v>
      </c>
      <c r="B92" s="676" t="s">
        <v>110</v>
      </c>
      <c r="C92" s="670">
        <f t="shared" si="5"/>
        <v>43500</v>
      </c>
      <c r="D92" s="677"/>
      <c r="E92" s="677">
        <v>43500</v>
      </c>
      <c r="F92" s="677"/>
      <c r="G92" s="379"/>
    </row>
    <row r="93" spans="1:7" ht="29.25" customHeight="1" thickTop="1" thickBot="1" x14ac:dyDescent="0.25">
      <c r="A93" s="212">
        <v>30000000</v>
      </c>
      <c r="B93" s="212" t="s">
        <v>111</v>
      </c>
      <c r="C93" s="670">
        <f t="shared" si="1"/>
        <v>7820000</v>
      </c>
      <c r="D93" s="670">
        <f>SUM(D94)+D98</f>
        <v>20000</v>
      </c>
      <c r="E93" s="670">
        <f>SUM(E94)+E98</f>
        <v>7800000</v>
      </c>
      <c r="F93" s="670">
        <f>SUM(F97:F98)</f>
        <v>7800000</v>
      </c>
      <c r="G93" s="700"/>
    </row>
    <row r="94" spans="1:7" ht="27" customHeight="1" thickTop="1" thickBot="1" x14ac:dyDescent="0.3">
      <c r="A94" s="212">
        <v>31000000</v>
      </c>
      <c r="B94" s="212" t="s">
        <v>112</v>
      </c>
      <c r="C94" s="670">
        <f>SUM(D94,E94)</f>
        <v>2820000</v>
      </c>
      <c r="D94" s="670">
        <f>D95+D97</f>
        <v>20000</v>
      </c>
      <c r="E94" s="670">
        <f>E95+E97</f>
        <v>2800000</v>
      </c>
      <c r="F94" s="670">
        <f>F95+F97</f>
        <v>2800000</v>
      </c>
      <c r="G94" s="379"/>
    </row>
    <row r="95" spans="1:7" ht="82.5" thickTop="1" thickBot="1" x14ac:dyDescent="0.3">
      <c r="A95" s="672">
        <v>3101000</v>
      </c>
      <c r="B95" s="673" t="s">
        <v>562</v>
      </c>
      <c r="C95" s="674">
        <f>SUM(D95,E95)</f>
        <v>20000</v>
      </c>
      <c r="D95" s="675">
        <f>D96</f>
        <v>20000</v>
      </c>
      <c r="E95" s="674"/>
      <c r="F95" s="674"/>
      <c r="G95" s="379"/>
    </row>
    <row r="96" spans="1:7" ht="78" thickTop="1" thickBot="1" x14ac:dyDescent="0.3">
      <c r="A96" s="668">
        <v>31010200</v>
      </c>
      <c r="B96" s="676" t="s">
        <v>113</v>
      </c>
      <c r="C96" s="670">
        <f>SUM(D96,E96)</f>
        <v>20000</v>
      </c>
      <c r="D96" s="677">
        <v>20000</v>
      </c>
      <c r="E96" s="677"/>
      <c r="F96" s="677"/>
      <c r="G96" s="379"/>
    </row>
    <row r="97" spans="1:7" ht="55.5" thickTop="1" thickBot="1" x14ac:dyDescent="0.3">
      <c r="A97" s="672">
        <v>31030000</v>
      </c>
      <c r="B97" s="679" t="s">
        <v>114</v>
      </c>
      <c r="C97" s="675">
        <f t="shared" si="1"/>
        <v>2800000</v>
      </c>
      <c r="D97" s="675"/>
      <c r="E97" s="675">
        <v>2800000</v>
      </c>
      <c r="F97" s="675">
        <v>2800000</v>
      </c>
      <c r="G97" s="379"/>
    </row>
    <row r="98" spans="1:7" ht="27" thickTop="1" thickBot="1" x14ac:dyDescent="0.3">
      <c r="A98" s="706">
        <v>33000000</v>
      </c>
      <c r="B98" s="706" t="s">
        <v>115</v>
      </c>
      <c r="C98" s="707">
        <f t="shared" si="1"/>
        <v>5000000</v>
      </c>
      <c r="D98" s="707"/>
      <c r="E98" s="707">
        <f>SUM(E99)</f>
        <v>5000000</v>
      </c>
      <c r="F98" s="707">
        <f>SUM(F99)</f>
        <v>5000000</v>
      </c>
      <c r="G98" s="379"/>
    </row>
    <row r="99" spans="1:7" ht="16.5" thickTop="1" thickBot="1" x14ac:dyDescent="0.3">
      <c r="A99" s="672">
        <v>33010000</v>
      </c>
      <c r="B99" s="673" t="s">
        <v>116</v>
      </c>
      <c r="C99" s="674">
        <f>SUM(D99,E99)</f>
        <v>5000000</v>
      </c>
      <c r="D99" s="674"/>
      <c r="E99" s="674">
        <f>SUM(E100,E101)</f>
        <v>5000000</v>
      </c>
      <c r="F99" s="674">
        <f>SUM(F100,F101)</f>
        <v>5000000</v>
      </c>
      <c r="G99" s="379"/>
    </row>
    <row r="100" spans="1:7" ht="52.5" thickTop="1" thickBot="1" x14ac:dyDescent="0.3">
      <c r="A100" s="668">
        <v>33010100</v>
      </c>
      <c r="B100" s="676" t="s">
        <v>357</v>
      </c>
      <c r="C100" s="681">
        <f t="shared" si="1"/>
        <v>4000000</v>
      </c>
      <c r="D100" s="677"/>
      <c r="E100" s="677">
        <v>4000000</v>
      </c>
      <c r="F100" s="677">
        <v>4000000</v>
      </c>
      <c r="G100" s="379"/>
    </row>
    <row r="101" spans="1:7" ht="52.5" thickTop="1" thickBot="1" x14ac:dyDescent="0.3">
      <c r="A101" s="668">
        <v>33010200</v>
      </c>
      <c r="B101" s="676" t="s">
        <v>117</v>
      </c>
      <c r="C101" s="681">
        <f>SUM(D101,E101)</f>
        <v>1000000</v>
      </c>
      <c r="D101" s="677"/>
      <c r="E101" s="677">
        <v>1000000</v>
      </c>
      <c r="F101" s="677">
        <v>1000000</v>
      </c>
      <c r="G101" s="379"/>
    </row>
    <row r="102" spans="1:7" ht="27" customHeight="1" thickTop="1" thickBot="1" x14ac:dyDescent="0.3">
      <c r="A102" s="706">
        <v>50000000</v>
      </c>
      <c r="B102" s="706" t="s">
        <v>505</v>
      </c>
      <c r="C102" s="707">
        <f>SUM(D102,E102)</f>
        <v>6000000</v>
      </c>
      <c r="D102" s="707"/>
      <c r="E102" s="707">
        <f>SUM(E103)</f>
        <v>6000000</v>
      </c>
      <c r="F102" s="707"/>
      <c r="G102" s="379"/>
    </row>
    <row r="103" spans="1:7" ht="52.5" thickTop="1" thickBot="1" x14ac:dyDescent="0.3">
      <c r="A103" s="212">
        <v>50110000</v>
      </c>
      <c r="B103" s="696" t="s">
        <v>118</v>
      </c>
      <c r="C103" s="670">
        <f t="shared" ref="C103:C136" si="6">SUM(D103,E103)</f>
        <v>6000000</v>
      </c>
      <c r="D103" s="671"/>
      <c r="E103" s="670">
        <v>6000000</v>
      </c>
      <c r="F103" s="671"/>
      <c r="G103" s="379"/>
    </row>
    <row r="104" spans="1:7" ht="45.75" customHeight="1" thickTop="1" thickBot="1" x14ac:dyDescent="0.25">
      <c r="A104" s="835"/>
      <c r="B104" s="836" t="s">
        <v>506</v>
      </c>
      <c r="C104" s="837">
        <f t="shared" ref="C104:C109" si="7">SUM(D104,E104)</f>
        <v>2923830635</v>
      </c>
      <c r="D104" s="838">
        <f>D102+D93+D63+D15</f>
        <v>2720558500</v>
      </c>
      <c r="E104" s="838">
        <f>E102+E93+E63+E15</f>
        <v>203272135</v>
      </c>
      <c r="F104" s="838">
        <f>F102+F93+F63+F15</f>
        <v>14800012</v>
      </c>
      <c r="G104" s="699"/>
    </row>
    <row r="105" spans="1:7" ht="34.5" customHeight="1" thickTop="1" thickBot="1" x14ac:dyDescent="0.25">
      <c r="A105" s="706">
        <v>40000000</v>
      </c>
      <c r="B105" s="706" t="s">
        <v>443</v>
      </c>
      <c r="C105" s="707">
        <f t="shared" si="7"/>
        <v>668076014</v>
      </c>
      <c r="D105" s="707">
        <f>SUM(D108,D106)</f>
        <v>668076014</v>
      </c>
      <c r="E105" s="707">
        <f>SUM(E108,E106)</f>
        <v>0</v>
      </c>
      <c r="F105" s="707">
        <f>SUM(F108,F106)</f>
        <v>0</v>
      </c>
      <c r="G105" s="699"/>
    </row>
    <row r="106" spans="1:7" ht="27" thickTop="1" thickBot="1" x14ac:dyDescent="0.25">
      <c r="A106" s="212">
        <v>41040000</v>
      </c>
      <c r="B106" s="683" t="s">
        <v>358</v>
      </c>
      <c r="C106" s="670">
        <f t="shared" si="7"/>
        <v>6628199</v>
      </c>
      <c r="D106" s="681">
        <f>D107</f>
        <v>6628199</v>
      </c>
      <c r="E106" s="681"/>
      <c r="F106" s="681"/>
      <c r="G106" s="699"/>
    </row>
    <row r="107" spans="1:7" ht="65.25" thickTop="1" thickBot="1" x14ac:dyDescent="0.25">
      <c r="A107" s="668">
        <v>41040200</v>
      </c>
      <c r="B107" s="676" t="s">
        <v>1307</v>
      </c>
      <c r="C107" s="670">
        <f t="shared" si="7"/>
        <v>6628199</v>
      </c>
      <c r="D107" s="677">
        <v>6628199</v>
      </c>
      <c r="E107" s="681"/>
      <c r="F107" s="681"/>
      <c r="G107" s="699"/>
    </row>
    <row r="108" spans="1:7" ht="23.25" customHeight="1" thickTop="1" thickBot="1" x14ac:dyDescent="0.25">
      <c r="A108" s="212">
        <v>41000000</v>
      </c>
      <c r="B108" s="212" t="s">
        <v>119</v>
      </c>
      <c r="C108" s="670">
        <f t="shared" si="7"/>
        <v>661447815</v>
      </c>
      <c r="D108" s="681">
        <f>SUM(D109,D117)</f>
        <v>661447815</v>
      </c>
      <c r="E108" s="681">
        <f>SUM(E109,E117)</f>
        <v>0</v>
      </c>
      <c r="F108" s="681">
        <f>SUM(F109,F117)</f>
        <v>0</v>
      </c>
      <c r="G108" s="699"/>
    </row>
    <row r="109" spans="1:7" ht="27" thickTop="1" thickBot="1" x14ac:dyDescent="0.3">
      <c r="A109" s="212">
        <v>41030000</v>
      </c>
      <c r="B109" s="695" t="s">
        <v>455</v>
      </c>
      <c r="C109" s="670">
        <f t="shared" si="7"/>
        <v>646350300</v>
      </c>
      <c r="D109" s="681">
        <f>SUM(D110:D116)</f>
        <v>646350300</v>
      </c>
      <c r="E109" s="681">
        <f>SUM(E110:E116)</f>
        <v>0</v>
      </c>
      <c r="F109" s="681">
        <f>SUM(F110:F116)</f>
        <v>0</v>
      </c>
      <c r="G109" s="379"/>
    </row>
    <row r="110" spans="1:7" ht="52.5" hidden="1" thickTop="1" thickBot="1" x14ac:dyDescent="0.3">
      <c r="A110" s="668">
        <v>41032300</v>
      </c>
      <c r="B110" s="669" t="s">
        <v>1058</v>
      </c>
      <c r="C110" s="670">
        <f t="shared" si="6"/>
        <v>0</v>
      </c>
      <c r="D110" s="677">
        <v>0</v>
      </c>
      <c r="E110" s="681"/>
      <c r="F110" s="677"/>
      <c r="G110" s="379"/>
    </row>
    <row r="111" spans="1:7" ht="52.5" hidden="1" thickTop="1" thickBot="1" x14ac:dyDescent="0.3">
      <c r="A111" s="668">
        <v>41033800</v>
      </c>
      <c r="B111" s="669" t="s">
        <v>1129</v>
      </c>
      <c r="C111" s="670">
        <f t="shared" si="6"/>
        <v>0</v>
      </c>
      <c r="D111" s="677">
        <v>0</v>
      </c>
      <c r="E111" s="681"/>
      <c r="F111" s="677"/>
      <c r="G111" s="379"/>
    </row>
    <row r="112" spans="1:7" ht="27" thickTop="1" thickBot="1" x14ac:dyDescent="0.3">
      <c r="A112" s="668">
        <v>41033900</v>
      </c>
      <c r="B112" s="669" t="s">
        <v>120</v>
      </c>
      <c r="C112" s="670">
        <f t="shared" si="6"/>
        <v>646350300</v>
      </c>
      <c r="D112" s="671">
        <f>(718166900)-71816600</f>
        <v>646350300</v>
      </c>
      <c r="E112" s="677"/>
      <c r="F112" s="677"/>
      <c r="G112" s="379"/>
    </row>
    <row r="113" spans="1:7" ht="52.5" hidden="1" thickTop="1" thickBot="1" x14ac:dyDescent="0.3">
      <c r="A113" s="668">
        <v>41034500</v>
      </c>
      <c r="B113" s="669" t="s">
        <v>1130</v>
      </c>
      <c r="C113" s="670">
        <f t="shared" si="6"/>
        <v>0</v>
      </c>
      <c r="D113" s="677">
        <v>0</v>
      </c>
      <c r="E113" s="677">
        <v>0</v>
      </c>
      <c r="F113" s="677">
        <v>0</v>
      </c>
      <c r="G113" s="379"/>
    </row>
    <row r="114" spans="1:7" ht="52.5" hidden="1" thickTop="1" thickBot="1" x14ac:dyDescent="0.3">
      <c r="A114" s="668">
        <v>41035500</v>
      </c>
      <c r="B114" s="669" t="s">
        <v>1060</v>
      </c>
      <c r="C114" s="670">
        <f t="shared" si="6"/>
        <v>0</v>
      </c>
      <c r="D114" s="671">
        <v>0</v>
      </c>
      <c r="E114" s="677"/>
      <c r="F114" s="677"/>
      <c r="G114" s="379"/>
    </row>
    <row r="115" spans="1:7" ht="65.25" hidden="1" thickTop="1" thickBot="1" x14ac:dyDescent="0.3">
      <c r="A115" s="668">
        <v>41035600</v>
      </c>
      <c r="B115" s="669" t="s">
        <v>1088</v>
      </c>
      <c r="C115" s="670">
        <f t="shared" si="6"/>
        <v>0</v>
      </c>
      <c r="D115" s="671">
        <v>0</v>
      </c>
      <c r="E115" s="677"/>
      <c r="F115" s="677"/>
      <c r="G115" s="379"/>
    </row>
    <row r="116" spans="1:7" ht="42.75" hidden="1" customHeight="1" thickTop="1" thickBot="1" x14ac:dyDescent="0.3">
      <c r="A116" s="668">
        <v>41035700</v>
      </c>
      <c r="B116" s="669" t="s">
        <v>1049</v>
      </c>
      <c r="C116" s="670">
        <f t="shared" si="6"/>
        <v>0</v>
      </c>
      <c r="D116" s="671">
        <v>0</v>
      </c>
      <c r="E116" s="677"/>
      <c r="F116" s="677"/>
      <c r="G116" s="379"/>
    </row>
    <row r="117" spans="1:7" ht="36.75" customHeight="1" thickTop="1" thickBot="1" x14ac:dyDescent="0.3">
      <c r="A117" s="212">
        <v>41050000</v>
      </c>
      <c r="B117" s="695" t="s">
        <v>491</v>
      </c>
      <c r="C117" s="670">
        <f t="shared" ref="C117:C124" si="8">SUM(D117,E117)</f>
        <v>15097515</v>
      </c>
      <c r="D117" s="670">
        <f>SUM(D118:D130)</f>
        <v>15097515</v>
      </c>
      <c r="E117" s="670">
        <f>SUM(E118:E130)</f>
        <v>0</v>
      </c>
      <c r="F117" s="670">
        <f>SUM(F118:F130)</f>
        <v>0</v>
      </c>
      <c r="G117" s="379"/>
    </row>
    <row r="118" spans="1:7" ht="282" hidden="1" thickTop="1" thickBot="1" x14ac:dyDescent="0.3">
      <c r="A118" s="227">
        <v>41050400</v>
      </c>
      <c r="B118" s="228" t="s">
        <v>1131</v>
      </c>
      <c r="C118" s="225">
        <f t="shared" si="8"/>
        <v>0</v>
      </c>
      <c r="D118" s="229">
        <v>0</v>
      </c>
      <c r="E118" s="230"/>
      <c r="F118" s="230"/>
      <c r="G118" s="379"/>
    </row>
    <row r="119" spans="1:7" ht="231" hidden="1" thickTop="1" thickBot="1" x14ac:dyDescent="0.3">
      <c r="A119" s="227">
        <v>41050500</v>
      </c>
      <c r="B119" s="228" t="s">
        <v>1132</v>
      </c>
      <c r="C119" s="225">
        <f t="shared" si="8"/>
        <v>0</v>
      </c>
      <c r="D119" s="229">
        <v>0</v>
      </c>
      <c r="E119" s="230"/>
      <c r="F119" s="230"/>
      <c r="G119" s="379"/>
    </row>
    <row r="120" spans="1:7" ht="320.25" hidden="1" thickTop="1" thickBot="1" x14ac:dyDescent="0.3">
      <c r="A120" s="227">
        <v>41050600</v>
      </c>
      <c r="B120" s="228" t="s">
        <v>1133</v>
      </c>
      <c r="C120" s="225">
        <f t="shared" si="8"/>
        <v>0</v>
      </c>
      <c r="D120" s="229">
        <v>0</v>
      </c>
      <c r="E120" s="230"/>
      <c r="F120" s="230"/>
      <c r="G120" s="379"/>
    </row>
    <row r="121" spans="1:7" ht="116.25" hidden="1" thickTop="1" thickBot="1" x14ac:dyDescent="0.3">
      <c r="A121" s="227">
        <v>41050900</v>
      </c>
      <c r="B121" s="228" t="s">
        <v>1134</v>
      </c>
      <c r="C121" s="225">
        <f t="shared" si="8"/>
        <v>0</v>
      </c>
      <c r="D121" s="229">
        <v>0</v>
      </c>
      <c r="E121" s="230"/>
      <c r="F121" s="230"/>
      <c r="G121" s="379"/>
    </row>
    <row r="122" spans="1:7" ht="39.75" thickTop="1" thickBot="1" x14ac:dyDescent="0.3">
      <c r="A122" s="668">
        <v>41051000</v>
      </c>
      <c r="B122" s="669" t="s">
        <v>492</v>
      </c>
      <c r="C122" s="670">
        <f t="shared" si="8"/>
        <v>8373319</v>
      </c>
      <c r="D122" s="671">
        <f>(4189832+5214100)-1030613</f>
        <v>8373319</v>
      </c>
      <c r="E122" s="677"/>
      <c r="F122" s="677"/>
      <c r="G122" s="379"/>
    </row>
    <row r="123" spans="1:7" ht="52.5" thickTop="1" thickBot="1" x14ac:dyDescent="0.3">
      <c r="A123" s="668">
        <v>41051200</v>
      </c>
      <c r="B123" s="669" t="s">
        <v>657</v>
      </c>
      <c r="C123" s="670">
        <f t="shared" si="8"/>
        <v>5840472</v>
      </c>
      <c r="D123" s="671">
        <f>(5189600+1300044)-649172</f>
        <v>5840472</v>
      </c>
      <c r="E123" s="677"/>
      <c r="F123" s="677"/>
      <c r="G123" s="379"/>
    </row>
    <row r="124" spans="1:7" ht="65.25" hidden="1" thickTop="1" thickBot="1" x14ac:dyDescent="0.3">
      <c r="A124" s="227">
        <v>41051400</v>
      </c>
      <c r="B124" s="228" t="s">
        <v>1063</v>
      </c>
      <c r="C124" s="225">
        <f t="shared" si="8"/>
        <v>0</v>
      </c>
      <c r="D124" s="229">
        <v>0</v>
      </c>
      <c r="E124" s="230"/>
      <c r="F124" s="230"/>
      <c r="G124" s="379"/>
    </row>
    <row r="125" spans="1:7" ht="65.25" hidden="1" thickTop="1" thickBot="1" x14ac:dyDescent="0.3">
      <c r="A125" s="227">
        <v>41051700</v>
      </c>
      <c r="B125" s="228" t="s">
        <v>1011</v>
      </c>
      <c r="C125" s="225">
        <f t="shared" si="6"/>
        <v>0</v>
      </c>
      <c r="D125" s="229">
        <v>0</v>
      </c>
      <c r="E125" s="230"/>
      <c r="F125" s="230"/>
      <c r="G125" s="379"/>
    </row>
    <row r="126" spans="1:7" ht="103.5" hidden="1" thickTop="1" thickBot="1" x14ac:dyDescent="0.3">
      <c r="A126" s="227">
        <v>41056600</v>
      </c>
      <c r="B126" s="228" t="s">
        <v>1107</v>
      </c>
      <c r="C126" s="225">
        <f t="shared" si="6"/>
        <v>0</v>
      </c>
      <c r="D126" s="229">
        <f>10623233.82-10623233.82</f>
        <v>0</v>
      </c>
      <c r="E126" s="230"/>
      <c r="F126" s="230"/>
      <c r="G126" s="379"/>
    </row>
    <row r="127" spans="1:7" ht="52.5" hidden="1" thickTop="1" thickBot="1" x14ac:dyDescent="0.25">
      <c r="A127" s="227">
        <v>41055000</v>
      </c>
      <c r="B127" s="228" t="s">
        <v>1135</v>
      </c>
      <c r="C127" s="225">
        <f t="shared" si="6"/>
        <v>0</v>
      </c>
      <c r="D127" s="229">
        <v>0</v>
      </c>
      <c r="E127" s="230"/>
      <c r="F127" s="230"/>
      <c r="G127" s="699"/>
    </row>
    <row r="128" spans="1:7" ht="27" hidden="1" thickTop="1" thickBot="1" x14ac:dyDescent="0.25">
      <c r="A128" s="227">
        <v>41053600</v>
      </c>
      <c r="B128" s="228" t="s">
        <v>1013</v>
      </c>
      <c r="C128" s="225">
        <f t="shared" si="6"/>
        <v>0</v>
      </c>
      <c r="D128" s="229"/>
      <c r="E128" s="230">
        <v>0</v>
      </c>
      <c r="F128" s="230"/>
      <c r="G128" s="699"/>
    </row>
    <row r="129" spans="1:10" ht="205.5" hidden="1" thickTop="1" thickBot="1" x14ac:dyDescent="0.25">
      <c r="A129" s="227">
        <v>41054200</v>
      </c>
      <c r="B129" s="228" t="s">
        <v>1136</v>
      </c>
      <c r="C129" s="225">
        <f t="shared" si="6"/>
        <v>0</v>
      </c>
      <c r="D129" s="229">
        <v>0</v>
      </c>
      <c r="E129" s="230"/>
      <c r="F129" s="230"/>
      <c r="G129" s="699"/>
    </row>
    <row r="130" spans="1:10" ht="27" thickTop="1" thickBot="1" x14ac:dyDescent="0.25">
      <c r="A130" s="668">
        <v>41053900</v>
      </c>
      <c r="B130" s="669" t="s">
        <v>956</v>
      </c>
      <c r="C130" s="670">
        <f t="shared" si="6"/>
        <v>883724</v>
      </c>
      <c r="D130" s="671">
        <f>SUM(D131:D136)</f>
        <v>883724</v>
      </c>
      <c r="E130" s="671">
        <f>SUM(E131:E136)</f>
        <v>0</v>
      </c>
      <c r="F130" s="671">
        <f>SUM(F131:F136)</f>
        <v>0</v>
      </c>
      <c r="G130" s="699"/>
    </row>
    <row r="131" spans="1:10" ht="15.75" hidden="1" thickTop="1" thickBot="1" x14ac:dyDescent="0.25">
      <c r="A131" s="668"/>
      <c r="B131" s="697" t="s">
        <v>1014</v>
      </c>
      <c r="C131" s="674">
        <f>SUM(D131,E131)</f>
        <v>0</v>
      </c>
      <c r="D131" s="682"/>
      <c r="E131" s="698">
        <v>0</v>
      </c>
      <c r="F131" s="698">
        <v>0</v>
      </c>
      <c r="G131" s="699"/>
    </row>
    <row r="132" spans="1:10" ht="39.75" thickTop="1" thickBot="1" x14ac:dyDescent="0.25">
      <c r="A132" s="668"/>
      <c r="B132" s="697" t="s">
        <v>957</v>
      </c>
      <c r="C132" s="674">
        <f t="shared" si="6"/>
        <v>226297</v>
      </c>
      <c r="D132" s="682">
        <v>226297</v>
      </c>
      <c r="E132" s="698"/>
      <c r="F132" s="698"/>
      <c r="G132" s="699"/>
    </row>
    <row r="133" spans="1:10" ht="52.5" thickTop="1" thickBot="1" x14ac:dyDescent="0.25">
      <c r="A133" s="668"/>
      <c r="B133" s="697" t="s">
        <v>958</v>
      </c>
      <c r="C133" s="674">
        <f t="shared" si="6"/>
        <v>159297</v>
      </c>
      <c r="D133" s="682">
        <v>159297</v>
      </c>
      <c r="E133" s="698"/>
      <c r="F133" s="698"/>
      <c r="G133" s="699"/>
    </row>
    <row r="134" spans="1:10" ht="27" thickTop="1" thickBot="1" x14ac:dyDescent="0.25">
      <c r="A134" s="668"/>
      <c r="B134" s="697" t="s">
        <v>959</v>
      </c>
      <c r="C134" s="674">
        <f t="shared" si="6"/>
        <v>498130</v>
      </c>
      <c r="D134" s="682">
        <v>498130</v>
      </c>
      <c r="E134" s="698"/>
      <c r="F134" s="698"/>
      <c r="G134" s="699"/>
    </row>
    <row r="135" spans="1:10" ht="39.75" hidden="1" thickTop="1" thickBot="1" x14ac:dyDescent="0.25">
      <c r="A135" s="227"/>
      <c r="B135" s="232" t="s">
        <v>1188</v>
      </c>
      <c r="C135" s="226">
        <f t="shared" si="6"/>
        <v>0</v>
      </c>
      <c r="D135" s="231">
        <v>0</v>
      </c>
      <c r="E135" s="233"/>
      <c r="F135" s="233"/>
      <c r="G135" s="699"/>
    </row>
    <row r="136" spans="1:10" ht="27" hidden="1" thickTop="1" thickBot="1" x14ac:dyDescent="0.25">
      <c r="A136" s="227"/>
      <c r="B136" s="232" t="s">
        <v>1189</v>
      </c>
      <c r="C136" s="226">
        <f t="shared" si="6"/>
        <v>0</v>
      </c>
      <c r="D136" s="231"/>
      <c r="E136" s="233">
        <v>0</v>
      </c>
      <c r="F136" s="233">
        <v>0</v>
      </c>
      <c r="G136" s="699"/>
    </row>
    <row r="137" spans="1:10" ht="41.25" customHeight="1" thickTop="1" thickBot="1" x14ac:dyDescent="0.3">
      <c r="A137" s="835"/>
      <c r="B137" s="836" t="s">
        <v>1125</v>
      </c>
      <c r="C137" s="837">
        <f>SUM(D137,E137)</f>
        <v>3591906649</v>
      </c>
      <c r="D137" s="838">
        <f>SUM(D104,D105)</f>
        <v>3388634514</v>
      </c>
      <c r="E137" s="838">
        <f>SUM(E104,E108)</f>
        <v>203272135</v>
      </c>
      <c r="F137" s="838">
        <f>SUM(F104,F108)</f>
        <v>14800012</v>
      </c>
      <c r="G137" s="704" t="b">
        <f>C137=C134+C133+C132+C131+C128+C127+C125+C124+C123+C118+C116+C115+C114+C112+C110+C107+C103+C101+C100+C97+C96+C92+C91+C90+C89+C86+C85+C84+C83+C81+C80+C78+C76+C75+C74+C71+C70+C69+C67+C66+C62+C61+C60+C57+C56+C55+C53+C52+C48+C47+C46+C45+C44+C43+C42+C41+C40+C39+C35+C33+C30+C28+C26+C23+C21+C20+C19+C18+C129+C121+C122+C120+C119+C113+C111+C135+C136+C50+C36</f>
        <v>1</v>
      </c>
      <c r="H137" s="704" t="b">
        <f>D137=D134+D133+D132+D131+D128+D127+D125+D124+D123+D118+D116+D115+D114+D112+D110+D107+D103+D101+D100+D97+D96+D92+D91+D90+D89+D86+D85+D84+D83+D81+D80+D78+D76+D75+D74+D71+D70+D69+D67+D66+D62+D61+D60+D57+D56+D55+D53+D52+D48+D47+D46+D45+D44+D43+D42+D41+D40+D39+D35+D33+D30+D28+D26+D23+D21+D20+D19+D18+D129+D121+D122+D120+D119+D113+D111+D135+D136+D50+D36</f>
        <v>1</v>
      </c>
      <c r="I137" s="704" t="b">
        <f>E137=E134+E133+E132+E131+E128+E127+E125+E124+E123+E118+E116+E115+E114+E112+E110+E107+E103+E101+E100+E97+E96+E92+E91+E90+E89+E86+E85+E84+E83+E81+E80+E78+E76+E75+E74+E71+E70+E69+E67+E66+E62+E61+E60+E57+E56+E55+E53+E52+E48+E47+E46+E45+E44+E43+E42+E41+E40+E39+E35+E33+E30+E28+E26+E23+E21+E20+E19+E18+E129+E121+E122+E120+E119+E113+E111+E135+E136+E50+E36</f>
        <v>1</v>
      </c>
      <c r="J137" s="704" t="b">
        <f>F137=F134+F133+F132+F131+F128+F127+F125+F124+F123+F118+F116+F115+F114+F112+F110+F107+F103+F101+F100+F97+F96+F92+F91+F90+F89+F86+F85+F84+F83+F81+F80+F78+F76+F75+F74+F71+F70+F69+F67+F66+F62+F61+F60+F57+F56+F55+F53+F52+F48+F47+F46+F45+F44+F43+F42+F41+F40+F39+F35+F33+F30+F28+F26+F23+F21+F20+F19+F18+F129+F121+F122+F120+F119+F113+F111+F135+F136+F50+F36</f>
        <v>1</v>
      </c>
    </row>
    <row r="138" spans="1:10" ht="16.5" thickTop="1" x14ac:dyDescent="0.25">
      <c r="B138" s="213"/>
      <c r="G138" s="704" t="b">
        <f>((13142343+3699650691+15000000)-73496385)-'d2'!C32=C137</f>
        <v>1</v>
      </c>
    </row>
    <row r="139" spans="1:10" ht="15.75" x14ac:dyDescent="0.25">
      <c r="B139" s="49"/>
      <c r="E139" s="49"/>
      <c r="G139" s="703"/>
    </row>
    <row r="140" spans="1:10" ht="15.75" x14ac:dyDescent="0.2">
      <c r="B140" s="783" t="s">
        <v>1363</v>
      </c>
      <c r="C140" s="782"/>
      <c r="D140" s="782"/>
      <c r="E140" s="183" t="s">
        <v>1364</v>
      </c>
      <c r="F140" s="204"/>
    </row>
    <row r="141" spans="1:10" ht="15.75" x14ac:dyDescent="0.25">
      <c r="B141" s="49"/>
      <c r="E141" s="49"/>
    </row>
    <row r="142" spans="1:10" ht="15.75" x14ac:dyDescent="0.25">
      <c r="A142" s="12"/>
      <c r="B142" s="49" t="s">
        <v>544</v>
      </c>
      <c r="C142" s="49"/>
      <c r="D142" s="49"/>
      <c r="E142" s="49" t="s">
        <v>545</v>
      </c>
      <c r="F142" s="12"/>
    </row>
    <row r="145" spans="3:6" x14ac:dyDescent="0.2">
      <c r="C145" s="211"/>
      <c r="D145" s="211"/>
      <c r="E145" s="211"/>
      <c r="F145" s="211"/>
    </row>
  </sheetData>
  <mergeCells count="13">
    <mergeCell ref="D1:G1"/>
    <mergeCell ref="D2:G2"/>
    <mergeCell ref="D3:G3"/>
    <mergeCell ref="A4:E4"/>
    <mergeCell ref="A5:F5"/>
    <mergeCell ref="A6:F6"/>
    <mergeCell ref="A8:F8"/>
    <mergeCell ref="A9:F9"/>
    <mergeCell ref="A12:A13"/>
    <mergeCell ref="B12:B13"/>
    <mergeCell ref="C12:C13"/>
    <mergeCell ref="D12:D13"/>
    <mergeCell ref="E12:F12"/>
  </mergeCells>
  <hyperlinks>
    <hyperlink ref="B94" location="_ftn1" display="_ftn1" xr:uid="{00000000-0004-0000-0000-000000000000}"/>
    <hyperlink ref="B93" location="_ftn1" display="_ftn1" xr:uid="{00000000-0004-0000-0000-000001000000}"/>
    <hyperlink ref="B81" location="_ftn1" display="_ftn1" xr:uid="{00000000-0004-0000-0000-000002000000}"/>
    <hyperlink ref="B20" location="_ftn1" display="_ftn1" xr:uid="{00000000-0004-0000-0000-000003000000}"/>
    <hyperlink ref="B19" location="_ftn1" display="_ftn1" xr:uid="{00000000-0004-0000-0000-000004000000}"/>
    <hyperlink ref="B61" location="_ftn1" display="_ftn1" xr:uid="{00000000-0004-0000-0000-000005000000}"/>
    <hyperlink ref="B98" location="_ftn1" display="_ftn1" xr:uid="{00000000-0004-0000-0000-000006000000}"/>
    <hyperlink ref="B99" location="_ftn1" display="_ftn1" xr:uid="{00000000-0004-0000-0000-000007000000}"/>
    <hyperlink ref="B69" location="_ftn1" display="_ftn1" xr:uid="{00000000-0004-0000-0000-000008000000}"/>
  </hyperlinks>
  <printOptions horizontalCentered="1"/>
  <pageMargins left="0.35433070866141736" right="0.15748031496062992" top="0.59055118110236227" bottom="0.51181102362204722" header="0.51181102362204722" footer="0.51181102362204722"/>
  <pageSetup paperSize="9" scale="78" fitToHeight="0" orientation="portrait" verticalDpi="4294967295" r:id="rId1"/>
  <headerFooter alignWithMargins="0"/>
  <rowBreaks count="1" manualBreakCount="1">
    <brk id="136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CFA08-8C07-431E-A7D3-EAE80D9F556E}">
  <sheetPr>
    <tabColor rgb="FF99FFCC"/>
  </sheetPr>
  <dimension ref="A1:T405"/>
  <sheetViews>
    <sheetView view="pageBreakPreview" zoomScale="27" zoomScaleNormal="25" zoomScaleSheetLayoutView="27" zoomScalePageLayoutView="10" workbookViewId="0">
      <pane ySplit="14" topLeftCell="A133" activePane="bottomLeft" state="frozen"/>
      <selection activeCell="F35" sqref="F35"/>
      <selection pane="bottomLeft" activeCell="L166" sqref="L166"/>
    </sheetView>
  </sheetViews>
  <sheetFormatPr defaultColWidth="9.140625" defaultRowHeight="12.75" x14ac:dyDescent="0.2"/>
  <cols>
    <col min="1" max="1" width="48" style="245" customWidth="1"/>
    <col min="2" max="2" width="52.5703125" style="245" customWidth="1"/>
    <col min="3" max="3" width="65.7109375" style="245" customWidth="1"/>
    <col min="4" max="4" width="106.28515625" style="245" customWidth="1"/>
    <col min="5" max="5" width="66.42578125" style="310" customWidth="1"/>
    <col min="6" max="6" width="62.5703125" style="245" customWidth="1"/>
    <col min="7" max="7" width="59.7109375" style="245" customWidth="1"/>
    <col min="8" max="8" width="53.140625" style="245" customWidth="1"/>
    <col min="9" max="9" width="41.85546875" style="245" customWidth="1"/>
    <col min="10" max="10" width="50.5703125" style="310" customWidth="1"/>
    <col min="11" max="11" width="52.5703125" style="310" customWidth="1"/>
    <col min="12" max="12" width="56.140625" style="245" customWidth="1"/>
    <col min="13" max="13" width="54.85546875" style="245" customWidth="1"/>
    <col min="14" max="14" width="51" style="245" customWidth="1"/>
    <col min="15" max="15" width="56.140625" style="245" bestFit="1" customWidth="1"/>
    <col min="16" max="16" width="86.28515625" style="310" customWidth="1"/>
    <col min="17" max="17" width="52.140625" style="614" customWidth="1"/>
    <col min="18" max="18" width="33.85546875" style="247" customWidth="1"/>
    <col min="19" max="19" width="40.140625" style="779" bestFit="1" customWidth="1"/>
    <col min="20" max="20" width="43.5703125" style="779" bestFit="1" customWidth="1"/>
    <col min="21" max="16384" width="9.140625" style="779"/>
  </cols>
  <sheetData>
    <row r="1" spans="1:18" ht="45.75" x14ac:dyDescent="0.2">
      <c r="A1" s="386"/>
      <c r="B1" s="386"/>
      <c r="C1" s="386"/>
      <c r="D1" s="866"/>
      <c r="E1" s="867"/>
      <c r="F1" s="865"/>
      <c r="G1" s="867"/>
      <c r="H1" s="867"/>
      <c r="I1" s="867"/>
      <c r="J1" s="867"/>
      <c r="K1" s="867"/>
      <c r="L1" s="867"/>
      <c r="M1" s="867"/>
      <c r="N1" s="939" t="s">
        <v>511</v>
      </c>
      <c r="O1" s="890"/>
      <c r="P1" s="890"/>
      <c r="Q1" s="890"/>
    </row>
    <row r="2" spans="1:18" ht="45.75" x14ac:dyDescent="0.2">
      <c r="A2" s="866"/>
      <c r="B2" s="866"/>
      <c r="C2" s="866"/>
      <c r="D2" s="866"/>
      <c r="E2" s="867"/>
      <c r="F2" s="865"/>
      <c r="G2" s="867"/>
      <c r="H2" s="867"/>
      <c r="I2" s="867"/>
      <c r="J2" s="867"/>
      <c r="K2" s="867"/>
      <c r="L2" s="867"/>
      <c r="M2" s="867"/>
      <c r="N2" s="939" t="s">
        <v>1350</v>
      </c>
      <c r="O2" s="940"/>
      <c r="P2" s="940"/>
      <c r="Q2" s="940"/>
    </row>
    <row r="3" spans="1:18" ht="40.700000000000003" customHeight="1" x14ac:dyDescent="0.2">
      <c r="A3" s="866"/>
      <c r="B3" s="866"/>
      <c r="C3" s="866"/>
      <c r="D3" s="866"/>
      <c r="E3" s="867"/>
      <c r="F3" s="865"/>
      <c r="G3" s="867"/>
      <c r="H3" s="867"/>
      <c r="I3" s="867"/>
      <c r="J3" s="867"/>
      <c r="K3" s="867"/>
      <c r="L3" s="867"/>
      <c r="M3" s="867"/>
      <c r="N3" s="867"/>
      <c r="O3" s="939"/>
      <c r="P3" s="941"/>
      <c r="Q3" s="613"/>
    </row>
    <row r="4" spans="1:18" ht="45.75" hidden="1" x14ac:dyDescent="0.2">
      <c r="A4" s="866"/>
      <c r="B4" s="866"/>
      <c r="C4" s="866"/>
      <c r="D4" s="866"/>
      <c r="E4" s="867"/>
      <c r="F4" s="865"/>
      <c r="G4" s="867"/>
      <c r="H4" s="867"/>
      <c r="I4" s="867"/>
      <c r="J4" s="867"/>
      <c r="K4" s="867"/>
      <c r="L4" s="867"/>
      <c r="M4" s="867"/>
      <c r="N4" s="867"/>
      <c r="O4" s="866"/>
      <c r="P4" s="865"/>
      <c r="Q4" s="613"/>
    </row>
    <row r="5" spans="1:18" ht="45" x14ac:dyDescent="0.2">
      <c r="A5" s="942" t="s">
        <v>592</v>
      </c>
      <c r="B5" s="942"/>
      <c r="C5" s="942"/>
      <c r="D5" s="942"/>
      <c r="E5" s="942"/>
      <c r="F5" s="942"/>
      <c r="G5" s="942"/>
      <c r="H5" s="942"/>
      <c r="I5" s="942"/>
      <c r="J5" s="942"/>
      <c r="K5" s="942"/>
      <c r="L5" s="942"/>
      <c r="M5" s="942"/>
      <c r="N5" s="942"/>
      <c r="O5" s="942"/>
      <c r="P5" s="942"/>
      <c r="Q5" s="613"/>
    </row>
    <row r="6" spans="1:18" ht="45" x14ac:dyDescent="0.2">
      <c r="A6" s="942" t="s">
        <v>1220</v>
      </c>
      <c r="B6" s="942"/>
      <c r="C6" s="942"/>
      <c r="D6" s="942"/>
      <c r="E6" s="942"/>
      <c r="F6" s="942"/>
      <c r="G6" s="942"/>
      <c r="H6" s="942"/>
      <c r="I6" s="942"/>
      <c r="J6" s="942"/>
      <c r="K6" s="942"/>
      <c r="L6" s="942"/>
      <c r="M6" s="942"/>
      <c r="N6" s="942"/>
      <c r="O6" s="942"/>
      <c r="P6" s="942"/>
      <c r="Q6" s="613"/>
    </row>
    <row r="7" spans="1:18" ht="45" x14ac:dyDescent="0.2">
      <c r="A7" s="867"/>
      <c r="B7" s="867"/>
      <c r="C7" s="867"/>
      <c r="D7" s="867"/>
      <c r="E7" s="867"/>
      <c r="F7" s="867"/>
      <c r="G7" s="867"/>
      <c r="H7" s="867"/>
      <c r="I7" s="867"/>
      <c r="J7" s="867"/>
      <c r="K7" s="867"/>
      <c r="L7" s="867"/>
      <c r="M7" s="867"/>
      <c r="N7" s="867"/>
      <c r="O7" s="867"/>
      <c r="P7" s="867"/>
      <c r="Q7" s="613"/>
    </row>
    <row r="8" spans="1:18" ht="45.75" x14ac:dyDescent="0.65">
      <c r="A8" s="943">
        <v>22564000000</v>
      </c>
      <c r="B8" s="944"/>
      <c r="C8" s="867"/>
      <c r="D8" s="867"/>
      <c r="E8" s="867"/>
      <c r="F8" s="867"/>
      <c r="G8" s="867"/>
      <c r="H8" s="867"/>
      <c r="I8" s="867"/>
      <c r="J8" s="867"/>
      <c r="K8" s="867"/>
      <c r="L8" s="867"/>
      <c r="M8" s="867"/>
      <c r="N8" s="867"/>
      <c r="O8" s="867"/>
      <c r="P8" s="867"/>
      <c r="Q8" s="613"/>
    </row>
    <row r="9" spans="1:18" ht="45.75" x14ac:dyDescent="0.2">
      <c r="A9" s="948" t="s">
        <v>508</v>
      </c>
      <c r="B9" s="949"/>
      <c r="C9" s="867"/>
      <c r="D9" s="867"/>
      <c r="E9" s="867"/>
      <c r="F9" s="867"/>
      <c r="G9" s="867"/>
      <c r="H9" s="867"/>
      <c r="I9" s="867"/>
      <c r="J9" s="867"/>
      <c r="K9" s="867"/>
      <c r="L9" s="867"/>
      <c r="M9" s="867"/>
      <c r="N9" s="867"/>
      <c r="O9" s="867"/>
      <c r="P9" s="867"/>
      <c r="Q9" s="613"/>
    </row>
    <row r="10" spans="1:18" ht="53.45" customHeight="1" thickBot="1" x14ac:dyDescent="0.25">
      <c r="A10" s="867"/>
      <c r="B10" s="867"/>
      <c r="C10" s="867"/>
      <c r="D10" s="867"/>
      <c r="E10" s="867"/>
      <c r="F10" s="865"/>
      <c r="G10" s="867"/>
      <c r="H10" s="867"/>
      <c r="I10" s="867"/>
      <c r="J10" s="867"/>
      <c r="K10" s="867"/>
      <c r="L10" s="867"/>
      <c r="M10" s="867"/>
      <c r="N10" s="867"/>
      <c r="O10" s="867"/>
      <c r="P10" s="390" t="s">
        <v>419</v>
      </c>
      <c r="Q10" s="613"/>
    </row>
    <row r="11" spans="1:18" ht="62.45" customHeight="1" thickTop="1" thickBot="1" x14ac:dyDescent="0.25">
      <c r="A11" s="947" t="s">
        <v>509</v>
      </c>
      <c r="B11" s="947" t="s">
        <v>510</v>
      </c>
      <c r="C11" s="947" t="s">
        <v>405</v>
      </c>
      <c r="D11" s="947" t="s">
        <v>600</v>
      </c>
      <c r="E11" s="945" t="s">
        <v>12</v>
      </c>
      <c r="F11" s="945"/>
      <c r="G11" s="945"/>
      <c r="H11" s="945"/>
      <c r="I11" s="945"/>
      <c r="J11" s="945" t="s">
        <v>54</v>
      </c>
      <c r="K11" s="945"/>
      <c r="L11" s="945"/>
      <c r="M11" s="945"/>
      <c r="N11" s="945"/>
      <c r="O11" s="946"/>
      <c r="P11" s="945" t="s">
        <v>11</v>
      </c>
    </row>
    <row r="12" spans="1:18" ht="96" customHeight="1" thickTop="1" thickBot="1" x14ac:dyDescent="0.25">
      <c r="A12" s="945"/>
      <c r="B12" s="950"/>
      <c r="C12" s="950"/>
      <c r="D12" s="945"/>
      <c r="E12" s="947" t="s">
        <v>399</v>
      </c>
      <c r="F12" s="947" t="s">
        <v>55</v>
      </c>
      <c r="G12" s="947" t="s">
        <v>13</v>
      </c>
      <c r="H12" s="947"/>
      <c r="I12" s="947" t="s">
        <v>57</v>
      </c>
      <c r="J12" s="947" t="s">
        <v>399</v>
      </c>
      <c r="K12" s="947" t="s">
        <v>400</v>
      </c>
      <c r="L12" s="947" t="s">
        <v>55</v>
      </c>
      <c r="M12" s="947" t="s">
        <v>13</v>
      </c>
      <c r="N12" s="947"/>
      <c r="O12" s="947" t="s">
        <v>57</v>
      </c>
      <c r="P12" s="945"/>
    </row>
    <row r="13" spans="1:18" ht="328.7" customHeight="1" thickTop="1" thickBot="1" x14ac:dyDescent="0.25">
      <c r="A13" s="950"/>
      <c r="B13" s="950"/>
      <c r="C13" s="950"/>
      <c r="D13" s="950"/>
      <c r="E13" s="947"/>
      <c r="F13" s="947"/>
      <c r="G13" s="868" t="s">
        <v>56</v>
      </c>
      <c r="H13" s="868" t="s">
        <v>15</v>
      </c>
      <c r="I13" s="947"/>
      <c r="J13" s="947"/>
      <c r="K13" s="947"/>
      <c r="L13" s="947"/>
      <c r="M13" s="868" t="s">
        <v>56</v>
      </c>
      <c r="N13" s="868" t="s">
        <v>15</v>
      </c>
      <c r="O13" s="947"/>
      <c r="P13" s="945"/>
    </row>
    <row r="14" spans="1:18" s="252" customFormat="1" ht="47.25" thickTop="1" thickBot="1" x14ac:dyDescent="0.25">
      <c r="A14" s="151" t="s">
        <v>2</v>
      </c>
      <c r="B14" s="151" t="s">
        <v>3</v>
      </c>
      <c r="C14" s="151" t="s">
        <v>14</v>
      </c>
      <c r="D14" s="151" t="s">
        <v>5</v>
      </c>
      <c r="E14" s="151" t="s">
        <v>407</v>
      </c>
      <c r="F14" s="151" t="s">
        <v>408</v>
      </c>
      <c r="G14" s="151" t="s">
        <v>409</v>
      </c>
      <c r="H14" s="151" t="s">
        <v>410</v>
      </c>
      <c r="I14" s="151" t="s">
        <v>411</v>
      </c>
      <c r="J14" s="151" t="s">
        <v>412</v>
      </c>
      <c r="K14" s="151" t="s">
        <v>413</v>
      </c>
      <c r="L14" s="151" t="s">
        <v>414</v>
      </c>
      <c r="M14" s="151" t="s">
        <v>415</v>
      </c>
      <c r="N14" s="151" t="s">
        <v>416</v>
      </c>
      <c r="O14" s="151" t="s">
        <v>417</v>
      </c>
      <c r="P14" s="151" t="s">
        <v>418</v>
      </c>
      <c r="Q14" s="615"/>
      <c r="R14" s="251"/>
    </row>
    <row r="15" spans="1:18" s="252" customFormat="1" ht="136.5" thickTop="1" thickBot="1" x14ac:dyDescent="0.25">
      <c r="A15" s="828" t="s">
        <v>156</v>
      </c>
      <c r="B15" s="828"/>
      <c r="C15" s="828"/>
      <c r="D15" s="829" t="s">
        <v>158</v>
      </c>
      <c r="E15" s="830">
        <f>E16</f>
        <v>172295415</v>
      </c>
      <c r="F15" s="831">
        <f t="shared" ref="F15:N15" si="0">F16</f>
        <v>172295415</v>
      </c>
      <c r="G15" s="831">
        <f t="shared" si="0"/>
        <v>97388110</v>
      </c>
      <c r="H15" s="831">
        <f t="shared" si="0"/>
        <v>5754505</v>
      </c>
      <c r="I15" s="831">
        <f t="shared" si="0"/>
        <v>0</v>
      </c>
      <c r="J15" s="830">
        <f t="shared" si="0"/>
        <v>9363942.3699999973</v>
      </c>
      <c r="K15" s="831">
        <f t="shared" si="0"/>
        <v>3349600</v>
      </c>
      <c r="L15" s="831">
        <f t="shared" si="0"/>
        <v>5814342.3699999982</v>
      </c>
      <c r="M15" s="831">
        <f t="shared" si="0"/>
        <v>0</v>
      </c>
      <c r="N15" s="831">
        <f t="shared" si="0"/>
        <v>0</v>
      </c>
      <c r="O15" s="830">
        <f>O16</f>
        <v>3549600</v>
      </c>
      <c r="P15" s="831">
        <f t="shared" ref="P15" si="1">P16</f>
        <v>181659357.37</v>
      </c>
      <c r="Q15" s="616"/>
      <c r="R15" s="254"/>
    </row>
    <row r="16" spans="1:18" s="252" customFormat="1" ht="136.5" thickTop="1" thickBot="1" x14ac:dyDescent="0.25">
      <c r="A16" s="832" t="s">
        <v>157</v>
      </c>
      <c r="B16" s="832"/>
      <c r="C16" s="832"/>
      <c r="D16" s="833" t="s">
        <v>159</v>
      </c>
      <c r="E16" s="834">
        <f>E17+E22+E32+E37</f>
        <v>172295415</v>
      </c>
      <c r="F16" s="834">
        <f>F17+F22+F32+F37</f>
        <v>172295415</v>
      </c>
      <c r="G16" s="834">
        <f>G17+G22+G32+G37</f>
        <v>97388110</v>
      </c>
      <c r="H16" s="834">
        <f>H17+H22+H32+H37</f>
        <v>5754505</v>
      </c>
      <c r="I16" s="834">
        <f>I17+I22+I32+I37</f>
        <v>0</v>
      </c>
      <c r="J16" s="834">
        <f>L16+O16</f>
        <v>9363942.3699999973</v>
      </c>
      <c r="K16" s="834">
        <f>K17+K22+K32+K37</f>
        <v>3349600</v>
      </c>
      <c r="L16" s="834">
        <f>L17+L22+L32+L37</f>
        <v>5814342.3699999982</v>
      </c>
      <c r="M16" s="834">
        <f>M17+M22+M32+M37</f>
        <v>0</v>
      </c>
      <c r="N16" s="834">
        <f>N17+N22+N32+N37</f>
        <v>0</v>
      </c>
      <c r="O16" s="834">
        <f>O17+O22+O32+O37</f>
        <v>3549600</v>
      </c>
      <c r="P16" s="834">
        <f>E16+J16</f>
        <v>181659357.37</v>
      </c>
      <c r="Q16" s="617" t="b">
        <f>P16=P18+P19+P20+P21+P24+P27+P29+P36+P39+P40+P31+P41+P25+P34</f>
        <v>1</v>
      </c>
      <c r="R16" s="255"/>
    </row>
    <row r="17" spans="1:18" s="258" customFormat="1" ht="47.25" thickTop="1" thickBot="1" x14ac:dyDescent="0.25">
      <c r="A17" s="151" t="s">
        <v>726</v>
      </c>
      <c r="B17" s="151" t="s">
        <v>727</v>
      </c>
      <c r="C17" s="151"/>
      <c r="D17" s="151" t="s">
        <v>728</v>
      </c>
      <c r="E17" s="860">
        <f>SUM(E18:E21)</f>
        <v>134439015</v>
      </c>
      <c r="F17" s="860">
        <f>SUM(F18:F21)</f>
        <v>134439015</v>
      </c>
      <c r="G17" s="860">
        <f t="shared" ref="G17:P17" si="2">SUM(G18:G21)</f>
        <v>97388110</v>
      </c>
      <c r="H17" s="860">
        <f t="shared" si="2"/>
        <v>5754505</v>
      </c>
      <c r="I17" s="860">
        <f t="shared" si="2"/>
        <v>0</v>
      </c>
      <c r="J17" s="860">
        <f t="shared" si="2"/>
        <v>500000</v>
      </c>
      <c r="K17" s="860">
        <f t="shared" si="2"/>
        <v>500000</v>
      </c>
      <c r="L17" s="860">
        <f t="shared" si="2"/>
        <v>0</v>
      </c>
      <c r="M17" s="860">
        <f t="shared" si="2"/>
        <v>0</v>
      </c>
      <c r="N17" s="860">
        <f t="shared" si="2"/>
        <v>0</v>
      </c>
      <c r="O17" s="860">
        <f t="shared" si="2"/>
        <v>500000</v>
      </c>
      <c r="P17" s="860">
        <f t="shared" si="2"/>
        <v>134939015</v>
      </c>
      <c r="Q17" s="618"/>
      <c r="R17" s="257"/>
    </row>
    <row r="18" spans="1:18" ht="321.75" thickTop="1" thickBot="1" x14ac:dyDescent="0.25">
      <c r="A18" s="864" t="s">
        <v>244</v>
      </c>
      <c r="B18" s="864" t="s">
        <v>245</v>
      </c>
      <c r="C18" s="864" t="s">
        <v>246</v>
      </c>
      <c r="D18" s="864" t="s">
        <v>243</v>
      </c>
      <c r="E18" s="860">
        <f t="shared" ref="E18:E41" si="3">F18</f>
        <v>131090735</v>
      </c>
      <c r="F18" s="447">
        <v>131090735</v>
      </c>
      <c r="G18" s="447">
        <v>97388110</v>
      </c>
      <c r="H18" s="447">
        <f>3475400+120000+1745920+348985+64200</f>
        <v>5754505</v>
      </c>
      <c r="I18" s="447"/>
      <c r="J18" s="860">
        <f t="shared" ref="J18:J27" si="4">L18+O18</f>
        <v>500000</v>
      </c>
      <c r="K18" s="447">
        <v>500000</v>
      </c>
      <c r="L18" s="459"/>
      <c r="M18" s="481"/>
      <c r="N18" s="481"/>
      <c r="O18" s="869">
        <f t="shared" ref="O18:O27" si="5">K18</f>
        <v>500000</v>
      </c>
      <c r="P18" s="860">
        <f>+J18+E18</f>
        <v>131590735</v>
      </c>
      <c r="Q18" s="619"/>
      <c r="R18" s="263"/>
    </row>
    <row r="19" spans="1:18" ht="230.25" hidden="1" thickTop="1" thickBot="1" x14ac:dyDescent="0.25">
      <c r="A19" s="864" t="s">
        <v>613</v>
      </c>
      <c r="B19" s="864" t="s">
        <v>248</v>
      </c>
      <c r="C19" s="864" t="s">
        <v>246</v>
      </c>
      <c r="D19" s="864" t="s">
        <v>247</v>
      </c>
      <c r="E19" s="860">
        <f t="shared" si="3"/>
        <v>0</v>
      </c>
      <c r="F19" s="447"/>
      <c r="G19" s="447"/>
      <c r="H19" s="447"/>
      <c r="I19" s="447"/>
      <c r="J19" s="860">
        <f t="shared" si="4"/>
        <v>0</v>
      </c>
      <c r="K19" s="447"/>
      <c r="L19" s="459"/>
      <c r="M19" s="481"/>
      <c r="N19" s="481"/>
      <c r="O19" s="869">
        <f t="shared" si="5"/>
        <v>0</v>
      </c>
      <c r="P19" s="860">
        <f>+J19+E19</f>
        <v>0</v>
      </c>
      <c r="Q19" s="619"/>
      <c r="R19" s="263"/>
    </row>
    <row r="20" spans="1:18" ht="184.5" thickTop="1" thickBot="1" x14ac:dyDescent="0.25">
      <c r="A20" s="862" t="s">
        <v>661</v>
      </c>
      <c r="B20" s="862" t="s">
        <v>376</v>
      </c>
      <c r="C20" s="862" t="s">
        <v>662</v>
      </c>
      <c r="D20" s="862" t="s">
        <v>663</v>
      </c>
      <c r="E20" s="863">
        <f t="shared" si="3"/>
        <v>49000</v>
      </c>
      <c r="F20" s="450">
        <v>49000</v>
      </c>
      <c r="G20" s="450"/>
      <c r="H20" s="450"/>
      <c r="I20" s="450"/>
      <c r="J20" s="863">
        <f t="shared" si="4"/>
        <v>0</v>
      </c>
      <c r="K20" s="450"/>
      <c r="L20" s="460"/>
      <c r="M20" s="461"/>
      <c r="N20" s="461"/>
      <c r="O20" s="462">
        <f t="shared" si="5"/>
        <v>0</v>
      </c>
      <c r="P20" s="863">
        <f>+J20+E20</f>
        <v>49000</v>
      </c>
      <c r="Q20" s="619"/>
      <c r="R20" s="267"/>
    </row>
    <row r="21" spans="1:18" ht="93" thickTop="1" thickBot="1" x14ac:dyDescent="0.25">
      <c r="A21" s="862" t="s">
        <v>259</v>
      </c>
      <c r="B21" s="862" t="s">
        <v>45</v>
      </c>
      <c r="C21" s="862" t="s">
        <v>44</v>
      </c>
      <c r="D21" s="862" t="s">
        <v>260</v>
      </c>
      <c r="E21" s="863">
        <f t="shared" si="3"/>
        <v>3299280</v>
      </c>
      <c r="F21" s="465">
        <v>3299280</v>
      </c>
      <c r="G21" s="465"/>
      <c r="H21" s="465"/>
      <c r="I21" s="465"/>
      <c r="J21" s="863">
        <f t="shared" si="4"/>
        <v>0</v>
      </c>
      <c r="K21" s="465"/>
      <c r="L21" s="465"/>
      <c r="M21" s="465"/>
      <c r="N21" s="465"/>
      <c r="O21" s="462">
        <f t="shared" si="5"/>
        <v>0</v>
      </c>
      <c r="P21" s="863">
        <f>E21+J21</f>
        <v>3299280</v>
      </c>
      <c r="Q21" s="619"/>
      <c r="R21" s="267"/>
    </row>
    <row r="22" spans="1:18" s="258" customFormat="1" ht="47.25" thickTop="1" thickBot="1" x14ac:dyDescent="0.3">
      <c r="A22" s="151" t="s">
        <v>791</v>
      </c>
      <c r="B22" s="466" t="s">
        <v>792</v>
      </c>
      <c r="C22" s="466"/>
      <c r="D22" s="466" t="s">
        <v>793</v>
      </c>
      <c r="E22" s="863">
        <f t="shared" ref="E22:P22" si="6">SUM(E23:E31)-E23-E26-E28</f>
        <v>7171190</v>
      </c>
      <c r="F22" s="863">
        <f t="shared" si="6"/>
        <v>7171190</v>
      </c>
      <c r="G22" s="863">
        <f t="shared" si="6"/>
        <v>0</v>
      </c>
      <c r="H22" s="863">
        <f t="shared" si="6"/>
        <v>0</v>
      </c>
      <c r="I22" s="863">
        <f t="shared" si="6"/>
        <v>0</v>
      </c>
      <c r="J22" s="863">
        <f t="shared" si="6"/>
        <v>7014342.3699999982</v>
      </c>
      <c r="K22" s="863">
        <f t="shared" si="6"/>
        <v>1000000</v>
      </c>
      <c r="L22" s="863">
        <f t="shared" si="6"/>
        <v>5814342.3699999982</v>
      </c>
      <c r="M22" s="863">
        <f t="shared" si="6"/>
        <v>0</v>
      </c>
      <c r="N22" s="863">
        <f t="shared" si="6"/>
        <v>0</v>
      </c>
      <c r="O22" s="863">
        <f t="shared" si="6"/>
        <v>1200000</v>
      </c>
      <c r="P22" s="863">
        <f t="shared" si="6"/>
        <v>14185532.369999997</v>
      </c>
      <c r="Q22" s="620"/>
      <c r="R22" s="269"/>
    </row>
    <row r="23" spans="1:18" s="272" customFormat="1" ht="91.5" thickTop="1" thickBot="1" x14ac:dyDescent="0.25">
      <c r="A23" s="467" t="s">
        <v>729</v>
      </c>
      <c r="B23" s="467" t="s">
        <v>730</v>
      </c>
      <c r="C23" s="467"/>
      <c r="D23" s="467" t="s">
        <v>731</v>
      </c>
      <c r="E23" s="468">
        <f t="shared" ref="E23:P23" si="7">SUM(E24:E25)</f>
        <v>4612300</v>
      </c>
      <c r="F23" s="468">
        <f t="shared" si="7"/>
        <v>4612300</v>
      </c>
      <c r="G23" s="468">
        <f t="shared" si="7"/>
        <v>0</v>
      </c>
      <c r="H23" s="468">
        <f t="shared" si="7"/>
        <v>0</v>
      </c>
      <c r="I23" s="468">
        <f t="shared" si="7"/>
        <v>0</v>
      </c>
      <c r="J23" s="468">
        <f t="shared" si="7"/>
        <v>1000000</v>
      </c>
      <c r="K23" s="468">
        <f t="shared" si="7"/>
        <v>1000000</v>
      </c>
      <c r="L23" s="468">
        <f t="shared" si="7"/>
        <v>0</v>
      </c>
      <c r="M23" s="468">
        <f t="shared" si="7"/>
        <v>0</v>
      </c>
      <c r="N23" s="468">
        <f t="shared" si="7"/>
        <v>0</v>
      </c>
      <c r="O23" s="468">
        <f t="shared" si="7"/>
        <v>1000000</v>
      </c>
      <c r="P23" s="468">
        <f t="shared" si="7"/>
        <v>5612300</v>
      </c>
      <c r="Q23" s="621"/>
      <c r="R23" s="271"/>
    </row>
    <row r="24" spans="1:18" ht="93" thickTop="1" thickBot="1" x14ac:dyDescent="0.25">
      <c r="A24" s="862" t="s">
        <v>250</v>
      </c>
      <c r="B24" s="862" t="s">
        <v>251</v>
      </c>
      <c r="C24" s="862" t="s">
        <v>252</v>
      </c>
      <c r="D24" s="862" t="s">
        <v>249</v>
      </c>
      <c r="E24" s="863">
        <f t="shared" si="3"/>
        <v>4612300</v>
      </c>
      <c r="F24" s="465">
        <v>4612300</v>
      </c>
      <c r="G24" s="465"/>
      <c r="H24" s="465"/>
      <c r="I24" s="465"/>
      <c r="J24" s="863">
        <f t="shared" si="4"/>
        <v>1000000</v>
      </c>
      <c r="K24" s="465">
        <v>1000000</v>
      </c>
      <c r="L24" s="465"/>
      <c r="M24" s="465"/>
      <c r="N24" s="465"/>
      <c r="O24" s="462">
        <f t="shared" si="5"/>
        <v>1000000</v>
      </c>
      <c r="P24" s="863">
        <f>+J24+E24</f>
        <v>5612300</v>
      </c>
      <c r="Q24" s="619"/>
      <c r="R24" s="263"/>
    </row>
    <row r="25" spans="1:18" ht="230.25" hidden="1" thickTop="1" thickBot="1" x14ac:dyDescent="0.25">
      <c r="A25" s="264" t="s">
        <v>1052</v>
      </c>
      <c r="B25" s="264" t="s">
        <v>1053</v>
      </c>
      <c r="C25" s="264" t="s">
        <v>252</v>
      </c>
      <c r="D25" s="264" t="s">
        <v>1054</v>
      </c>
      <c r="E25" s="265">
        <f t="shared" si="3"/>
        <v>0</v>
      </c>
      <c r="F25" s="268">
        <v>0</v>
      </c>
      <c r="G25" s="268"/>
      <c r="H25" s="268"/>
      <c r="I25" s="268"/>
      <c r="J25" s="265">
        <f t="shared" si="4"/>
        <v>0</v>
      </c>
      <c r="K25" s="268"/>
      <c r="L25" s="268"/>
      <c r="M25" s="268"/>
      <c r="N25" s="268"/>
      <c r="O25" s="266"/>
      <c r="P25" s="265">
        <f>+J25+E25</f>
        <v>0</v>
      </c>
      <c r="Q25" s="619"/>
      <c r="R25" s="263"/>
    </row>
    <row r="26" spans="1:18" s="274" customFormat="1" ht="136.5" thickTop="1" thickBot="1" x14ac:dyDescent="0.25">
      <c r="A26" s="469" t="s">
        <v>733</v>
      </c>
      <c r="B26" s="469" t="s">
        <v>734</v>
      </c>
      <c r="C26" s="469"/>
      <c r="D26" s="469" t="s">
        <v>732</v>
      </c>
      <c r="E26" s="468">
        <f>SUM(E27)+E28</f>
        <v>2558890</v>
      </c>
      <c r="F26" s="468">
        <f t="shared" ref="F26:P26" si="8">SUM(F27)+F28</f>
        <v>2558890</v>
      </c>
      <c r="G26" s="468">
        <f t="shared" si="8"/>
        <v>0</v>
      </c>
      <c r="H26" s="468">
        <f t="shared" si="8"/>
        <v>0</v>
      </c>
      <c r="I26" s="468">
        <f t="shared" si="8"/>
        <v>0</v>
      </c>
      <c r="J26" s="468">
        <f t="shared" si="8"/>
        <v>6014342.3700000001</v>
      </c>
      <c r="K26" s="468">
        <f t="shared" si="8"/>
        <v>0</v>
      </c>
      <c r="L26" s="468">
        <f t="shared" si="8"/>
        <v>5814342.3700000001</v>
      </c>
      <c r="M26" s="468">
        <f t="shared" si="8"/>
        <v>0</v>
      </c>
      <c r="N26" s="468">
        <f t="shared" si="8"/>
        <v>0</v>
      </c>
      <c r="O26" s="468">
        <f t="shared" si="8"/>
        <v>200000</v>
      </c>
      <c r="P26" s="468">
        <f t="shared" si="8"/>
        <v>8573232.370000001</v>
      </c>
      <c r="Q26" s="622"/>
      <c r="R26" s="273"/>
    </row>
    <row r="27" spans="1:18" ht="138.75" thickTop="1" thickBot="1" x14ac:dyDescent="0.25">
      <c r="A27" s="862" t="s">
        <v>312</v>
      </c>
      <c r="B27" s="862" t="s">
        <v>313</v>
      </c>
      <c r="C27" s="862" t="s">
        <v>178</v>
      </c>
      <c r="D27" s="862" t="s">
        <v>459</v>
      </c>
      <c r="E27" s="863">
        <f t="shared" si="3"/>
        <v>380000</v>
      </c>
      <c r="F27" s="465">
        <v>380000</v>
      </c>
      <c r="G27" s="465"/>
      <c r="H27" s="465"/>
      <c r="I27" s="465"/>
      <c r="J27" s="863">
        <f t="shared" si="4"/>
        <v>0</v>
      </c>
      <c r="K27" s="465"/>
      <c r="L27" s="465"/>
      <c r="M27" s="465"/>
      <c r="N27" s="465"/>
      <c r="O27" s="462">
        <f t="shared" si="5"/>
        <v>0</v>
      </c>
      <c r="P27" s="863">
        <f>+J27+E27</f>
        <v>380000</v>
      </c>
      <c r="Q27" s="619"/>
      <c r="R27" s="267"/>
    </row>
    <row r="28" spans="1:18" s="274" customFormat="1" ht="48" thickTop="1" thickBot="1" x14ac:dyDescent="0.25">
      <c r="A28" s="470" t="s">
        <v>736</v>
      </c>
      <c r="B28" s="470" t="s">
        <v>737</v>
      </c>
      <c r="C28" s="470"/>
      <c r="D28" s="471" t="s">
        <v>735</v>
      </c>
      <c r="E28" s="472">
        <f>SUM(E29:E31)</f>
        <v>2178890</v>
      </c>
      <c r="F28" s="472">
        <f t="shared" ref="F28:O28" si="9">SUM(F29:F31)</f>
        <v>2178890</v>
      </c>
      <c r="G28" s="472">
        <f t="shared" si="9"/>
        <v>0</v>
      </c>
      <c r="H28" s="472">
        <f t="shared" si="9"/>
        <v>0</v>
      </c>
      <c r="I28" s="472">
        <f t="shared" si="9"/>
        <v>0</v>
      </c>
      <c r="J28" s="472">
        <f t="shared" si="9"/>
        <v>6014342.3700000001</v>
      </c>
      <c r="K28" s="472">
        <f t="shared" si="9"/>
        <v>0</v>
      </c>
      <c r="L28" s="472">
        <f t="shared" si="9"/>
        <v>5814342.3700000001</v>
      </c>
      <c r="M28" s="472">
        <f t="shared" si="9"/>
        <v>0</v>
      </c>
      <c r="N28" s="472">
        <f t="shared" si="9"/>
        <v>0</v>
      </c>
      <c r="O28" s="472">
        <f t="shared" si="9"/>
        <v>200000</v>
      </c>
      <c r="P28" s="472">
        <f>E28+J28</f>
        <v>8193232.3700000001</v>
      </c>
      <c r="Q28" s="622"/>
      <c r="R28" s="276"/>
    </row>
    <row r="29" spans="1:18" s="272" customFormat="1" ht="361.5" customHeight="1" thickTop="1" thickBot="1" x14ac:dyDescent="0.7">
      <c r="A29" s="930" t="s">
        <v>353</v>
      </c>
      <c r="B29" s="930" t="s">
        <v>352</v>
      </c>
      <c r="C29" s="930" t="s">
        <v>178</v>
      </c>
      <c r="D29" s="474" t="s">
        <v>457</v>
      </c>
      <c r="E29" s="958">
        <f t="shared" si="3"/>
        <v>0</v>
      </c>
      <c r="F29" s="928"/>
      <c r="G29" s="928"/>
      <c r="H29" s="928"/>
      <c r="I29" s="928"/>
      <c r="J29" s="959">
        <f>L29+O29</f>
        <v>6014342.3700000001</v>
      </c>
      <c r="K29" s="928"/>
      <c r="L29" s="928">
        <f>(3151000)+2663342.37</f>
        <v>5814342.3700000001</v>
      </c>
      <c r="M29" s="928"/>
      <c r="N29" s="928"/>
      <c r="O29" s="954">
        <v>200000</v>
      </c>
      <c r="P29" s="956">
        <f>E29+J29</f>
        <v>6014342.3700000001</v>
      </c>
      <c r="Q29" s="623"/>
      <c r="R29" s="277"/>
    </row>
    <row r="30" spans="1:18" s="272" customFormat="1" ht="184.5" thickTop="1" thickBot="1" x14ac:dyDescent="0.25">
      <c r="A30" s="932"/>
      <c r="B30" s="931"/>
      <c r="C30" s="932"/>
      <c r="D30" s="476" t="s">
        <v>458</v>
      </c>
      <c r="E30" s="932"/>
      <c r="F30" s="929"/>
      <c r="G30" s="929"/>
      <c r="H30" s="929"/>
      <c r="I30" s="929"/>
      <c r="J30" s="960"/>
      <c r="K30" s="929"/>
      <c r="L30" s="929"/>
      <c r="M30" s="929"/>
      <c r="N30" s="929"/>
      <c r="O30" s="955"/>
      <c r="P30" s="957"/>
      <c r="Q30" s="624"/>
      <c r="R30" s="277"/>
    </row>
    <row r="31" spans="1:18" s="272" customFormat="1" ht="93" thickTop="1" thickBot="1" x14ac:dyDescent="0.25">
      <c r="A31" s="864" t="s">
        <v>972</v>
      </c>
      <c r="B31" s="864" t="s">
        <v>269</v>
      </c>
      <c r="C31" s="864" t="s">
        <v>178</v>
      </c>
      <c r="D31" s="864" t="s">
        <v>267</v>
      </c>
      <c r="E31" s="863">
        <f>F31</f>
        <v>2178890</v>
      </c>
      <c r="F31" s="465">
        <v>2178890</v>
      </c>
      <c r="G31" s="465"/>
      <c r="H31" s="465"/>
      <c r="I31" s="465"/>
      <c r="J31" s="863">
        <f>L31+O31</f>
        <v>0</v>
      </c>
      <c r="K31" s="465"/>
      <c r="L31" s="465"/>
      <c r="M31" s="465"/>
      <c r="N31" s="465"/>
      <c r="O31" s="462"/>
      <c r="P31" s="863">
        <f>E31+J31</f>
        <v>2178890</v>
      </c>
      <c r="Q31" s="624"/>
      <c r="R31" s="277"/>
    </row>
    <row r="32" spans="1:18" s="272" customFormat="1" ht="46.5" customHeight="1" thickTop="1" thickBot="1" x14ac:dyDescent="0.25">
      <c r="A32" s="151" t="s">
        <v>738</v>
      </c>
      <c r="B32" s="151" t="s">
        <v>739</v>
      </c>
      <c r="C32" s="151"/>
      <c r="D32" s="151" t="s">
        <v>740</v>
      </c>
      <c r="E32" s="860">
        <f t="shared" ref="E32:P32" si="10">E35+E33</f>
        <v>17891510</v>
      </c>
      <c r="F32" s="860">
        <f t="shared" si="10"/>
        <v>17891510</v>
      </c>
      <c r="G32" s="860">
        <f t="shared" si="10"/>
        <v>0</v>
      </c>
      <c r="H32" s="860">
        <f t="shared" si="10"/>
        <v>0</v>
      </c>
      <c r="I32" s="860">
        <f t="shared" si="10"/>
        <v>0</v>
      </c>
      <c r="J32" s="860">
        <f t="shared" si="10"/>
        <v>695600</v>
      </c>
      <c r="K32" s="860">
        <f t="shared" si="10"/>
        <v>695600</v>
      </c>
      <c r="L32" s="860">
        <f t="shared" si="10"/>
        <v>0</v>
      </c>
      <c r="M32" s="860">
        <f t="shared" si="10"/>
        <v>0</v>
      </c>
      <c r="N32" s="860">
        <f t="shared" si="10"/>
        <v>0</v>
      </c>
      <c r="O32" s="860">
        <f t="shared" si="10"/>
        <v>695600</v>
      </c>
      <c r="P32" s="860">
        <f t="shared" si="10"/>
        <v>18587110</v>
      </c>
      <c r="Q32" s="624"/>
      <c r="R32" s="277"/>
    </row>
    <row r="33" spans="1:20" s="272" customFormat="1" ht="103.5" customHeight="1" thickTop="1" thickBot="1" x14ac:dyDescent="0.25">
      <c r="A33" s="467" t="s">
        <v>1340</v>
      </c>
      <c r="B33" s="467" t="s">
        <v>1341</v>
      </c>
      <c r="C33" s="467"/>
      <c r="D33" s="467" t="s">
        <v>1339</v>
      </c>
      <c r="E33" s="468">
        <f>E34</f>
        <v>10578315</v>
      </c>
      <c r="F33" s="468">
        <f t="shared" ref="F33:P33" si="11">F34</f>
        <v>10578315</v>
      </c>
      <c r="G33" s="468">
        <f t="shared" si="11"/>
        <v>0</v>
      </c>
      <c r="H33" s="468">
        <f t="shared" si="11"/>
        <v>0</v>
      </c>
      <c r="I33" s="468">
        <f t="shared" si="11"/>
        <v>0</v>
      </c>
      <c r="J33" s="468">
        <f t="shared" si="11"/>
        <v>695600</v>
      </c>
      <c r="K33" s="468">
        <f t="shared" si="11"/>
        <v>695600</v>
      </c>
      <c r="L33" s="468">
        <f t="shared" si="11"/>
        <v>0</v>
      </c>
      <c r="M33" s="468">
        <f t="shared" si="11"/>
        <v>0</v>
      </c>
      <c r="N33" s="468">
        <f t="shared" si="11"/>
        <v>0</v>
      </c>
      <c r="O33" s="468">
        <f t="shared" si="11"/>
        <v>695600</v>
      </c>
      <c r="P33" s="468">
        <f t="shared" si="11"/>
        <v>11273915</v>
      </c>
      <c r="Q33" s="624"/>
      <c r="R33" s="277"/>
    </row>
    <row r="34" spans="1:20" s="272" customFormat="1" ht="93" thickTop="1" thickBot="1" x14ac:dyDescent="0.25">
      <c r="A34" s="862" t="s">
        <v>1344</v>
      </c>
      <c r="B34" s="862" t="s">
        <v>1345</v>
      </c>
      <c r="C34" s="862" t="s">
        <v>1343</v>
      </c>
      <c r="D34" s="862" t="s">
        <v>1342</v>
      </c>
      <c r="E34" s="863">
        <f>F34</f>
        <v>10578315</v>
      </c>
      <c r="F34" s="465">
        <f>((((14000000+3750000)+432000)-8450000-450000)+608000)+688315</f>
        <v>10578315</v>
      </c>
      <c r="G34" s="465"/>
      <c r="H34" s="465"/>
      <c r="I34" s="465"/>
      <c r="J34" s="863">
        <f>L34+O34</f>
        <v>695600</v>
      </c>
      <c r="K34" s="465">
        <v>695600</v>
      </c>
      <c r="L34" s="465"/>
      <c r="M34" s="465"/>
      <c r="N34" s="465"/>
      <c r="O34" s="462">
        <f>K34</f>
        <v>695600</v>
      </c>
      <c r="P34" s="863">
        <f>E34+J34</f>
        <v>11273915</v>
      </c>
      <c r="Q34" s="624"/>
      <c r="R34" s="277"/>
    </row>
    <row r="35" spans="1:20" s="272" customFormat="1" ht="47.25" thickTop="1" thickBot="1" x14ac:dyDescent="0.25">
      <c r="A35" s="467" t="s">
        <v>741</v>
      </c>
      <c r="B35" s="467" t="s">
        <v>742</v>
      </c>
      <c r="C35" s="467"/>
      <c r="D35" s="467" t="s">
        <v>743</v>
      </c>
      <c r="E35" s="468">
        <f>SUM(E36)</f>
        <v>7313195</v>
      </c>
      <c r="F35" s="468">
        <f t="shared" ref="F35:P35" si="12">SUM(F36)</f>
        <v>7313195</v>
      </c>
      <c r="G35" s="468">
        <f t="shared" si="12"/>
        <v>0</v>
      </c>
      <c r="H35" s="468">
        <f t="shared" si="12"/>
        <v>0</v>
      </c>
      <c r="I35" s="468">
        <f t="shared" si="12"/>
        <v>0</v>
      </c>
      <c r="J35" s="468">
        <f t="shared" si="12"/>
        <v>0</v>
      </c>
      <c r="K35" s="468">
        <f t="shared" si="12"/>
        <v>0</v>
      </c>
      <c r="L35" s="468">
        <f t="shared" si="12"/>
        <v>0</v>
      </c>
      <c r="M35" s="468">
        <f t="shared" si="12"/>
        <v>0</v>
      </c>
      <c r="N35" s="468">
        <f t="shared" si="12"/>
        <v>0</v>
      </c>
      <c r="O35" s="468">
        <f t="shared" si="12"/>
        <v>0</v>
      </c>
      <c r="P35" s="468">
        <f t="shared" si="12"/>
        <v>7313195</v>
      </c>
      <c r="Q35" s="624"/>
    </row>
    <row r="36" spans="1:20" ht="93" thickTop="1" thickBot="1" x14ac:dyDescent="0.25">
      <c r="A36" s="862" t="s">
        <v>253</v>
      </c>
      <c r="B36" s="862" t="s">
        <v>254</v>
      </c>
      <c r="C36" s="862" t="s">
        <v>255</v>
      </c>
      <c r="D36" s="862" t="s">
        <v>256</v>
      </c>
      <c r="E36" s="863">
        <f>F36</f>
        <v>7313195</v>
      </c>
      <c r="F36" s="465">
        <v>7313195</v>
      </c>
      <c r="G36" s="465"/>
      <c r="H36" s="465"/>
      <c r="I36" s="465"/>
      <c r="J36" s="863">
        <f>L36+O36</f>
        <v>0</v>
      </c>
      <c r="K36" s="465"/>
      <c r="L36" s="465"/>
      <c r="M36" s="465"/>
      <c r="N36" s="465"/>
      <c r="O36" s="462">
        <f>K36</f>
        <v>0</v>
      </c>
      <c r="P36" s="863">
        <f>E36+J36</f>
        <v>7313195</v>
      </c>
    </row>
    <row r="37" spans="1:20" ht="47.25" thickTop="1" thickBot="1" x14ac:dyDescent="0.25">
      <c r="A37" s="151" t="s">
        <v>744</v>
      </c>
      <c r="B37" s="151" t="s">
        <v>745</v>
      </c>
      <c r="C37" s="151"/>
      <c r="D37" s="151" t="s">
        <v>746</v>
      </c>
      <c r="E37" s="860">
        <f t="shared" ref="E37:P37" si="13">E38+E41</f>
        <v>12793700</v>
      </c>
      <c r="F37" s="860">
        <f t="shared" si="13"/>
        <v>12793700</v>
      </c>
      <c r="G37" s="860">
        <f t="shared" si="13"/>
        <v>0</v>
      </c>
      <c r="H37" s="860">
        <f t="shared" si="13"/>
        <v>0</v>
      </c>
      <c r="I37" s="860">
        <f t="shared" si="13"/>
        <v>0</v>
      </c>
      <c r="J37" s="860">
        <f t="shared" si="13"/>
        <v>1154000</v>
      </c>
      <c r="K37" s="860">
        <f t="shared" si="13"/>
        <v>1154000</v>
      </c>
      <c r="L37" s="860">
        <f t="shared" si="13"/>
        <v>0</v>
      </c>
      <c r="M37" s="860">
        <f t="shared" si="13"/>
        <v>0</v>
      </c>
      <c r="N37" s="860">
        <f t="shared" si="13"/>
        <v>0</v>
      </c>
      <c r="O37" s="860">
        <f t="shared" si="13"/>
        <v>1154000</v>
      </c>
      <c r="P37" s="860">
        <f t="shared" si="13"/>
        <v>13947700</v>
      </c>
    </row>
    <row r="38" spans="1:20" s="272" customFormat="1" ht="271.5" thickTop="1" thickBot="1" x14ac:dyDescent="0.25">
      <c r="A38" s="467" t="s">
        <v>747</v>
      </c>
      <c r="B38" s="467" t="s">
        <v>748</v>
      </c>
      <c r="C38" s="467"/>
      <c r="D38" s="467" t="s">
        <v>749</v>
      </c>
      <c r="E38" s="468">
        <f>SUM(E39:E40)</f>
        <v>732700</v>
      </c>
      <c r="F38" s="468">
        <f t="shared" ref="F38:P38" si="14">SUM(F39:F40)</f>
        <v>732700</v>
      </c>
      <c r="G38" s="468">
        <f t="shared" si="14"/>
        <v>0</v>
      </c>
      <c r="H38" s="468">
        <f t="shared" si="14"/>
        <v>0</v>
      </c>
      <c r="I38" s="468">
        <f t="shared" si="14"/>
        <v>0</v>
      </c>
      <c r="J38" s="468">
        <f t="shared" si="14"/>
        <v>0</v>
      </c>
      <c r="K38" s="468">
        <f t="shared" si="14"/>
        <v>0</v>
      </c>
      <c r="L38" s="468">
        <f t="shared" si="14"/>
        <v>0</v>
      </c>
      <c r="M38" s="468">
        <f t="shared" si="14"/>
        <v>0</v>
      </c>
      <c r="N38" s="468">
        <f t="shared" si="14"/>
        <v>0</v>
      </c>
      <c r="O38" s="468">
        <f t="shared" si="14"/>
        <v>0</v>
      </c>
      <c r="P38" s="468">
        <f t="shared" si="14"/>
        <v>732700</v>
      </c>
      <c r="Q38" s="624"/>
      <c r="R38" s="277"/>
    </row>
    <row r="39" spans="1:20" ht="276" thickTop="1" thickBot="1" x14ac:dyDescent="0.25">
      <c r="A39" s="864" t="s">
        <v>257</v>
      </c>
      <c r="B39" s="864" t="s">
        <v>258</v>
      </c>
      <c r="C39" s="864" t="s">
        <v>45</v>
      </c>
      <c r="D39" s="864" t="s">
        <v>460</v>
      </c>
      <c r="E39" s="860">
        <f t="shared" si="3"/>
        <v>600600</v>
      </c>
      <c r="F39" s="444">
        <v>600600</v>
      </c>
      <c r="G39" s="444"/>
      <c r="H39" s="444"/>
      <c r="I39" s="444"/>
      <c r="J39" s="860">
        <f>L39+O39</f>
        <v>0</v>
      </c>
      <c r="K39" s="444"/>
      <c r="L39" s="444"/>
      <c r="M39" s="444"/>
      <c r="N39" s="444"/>
      <c r="O39" s="869">
        <f>K39</f>
        <v>0</v>
      </c>
      <c r="P39" s="860">
        <f>E39+J39</f>
        <v>600600</v>
      </c>
    </row>
    <row r="40" spans="1:20" ht="93" thickTop="1" thickBot="1" x14ac:dyDescent="0.25">
      <c r="A40" s="864" t="s">
        <v>603</v>
      </c>
      <c r="B40" s="864" t="s">
        <v>377</v>
      </c>
      <c r="C40" s="864" t="s">
        <v>45</v>
      </c>
      <c r="D40" s="864" t="s">
        <v>378</v>
      </c>
      <c r="E40" s="860">
        <f t="shared" si="3"/>
        <v>132100</v>
      </c>
      <c r="F40" s="444">
        <v>132100</v>
      </c>
      <c r="G40" s="444"/>
      <c r="H40" s="444"/>
      <c r="I40" s="444"/>
      <c r="J40" s="860">
        <f>L40+O40</f>
        <v>0</v>
      </c>
      <c r="K40" s="444">
        <f>(1000000)-1000000</f>
        <v>0</v>
      </c>
      <c r="L40" s="444"/>
      <c r="M40" s="444"/>
      <c r="N40" s="444"/>
      <c r="O40" s="869">
        <f>K40</f>
        <v>0</v>
      </c>
      <c r="P40" s="860">
        <f>E40+J40</f>
        <v>132100</v>
      </c>
    </row>
    <row r="41" spans="1:20" ht="271.5" thickTop="1" thickBot="1" x14ac:dyDescent="0.25">
      <c r="A41" s="467" t="s">
        <v>531</v>
      </c>
      <c r="B41" s="467" t="s">
        <v>532</v>
      </c>
      <c r="C41" s="467" t="s">
        <v>45</v>
      </c>
      <c r="D41" s="467" t="s">
        <v>533</v>
      </c>
      <c r="E41" s="468">
        <f t="shared" si="3"/>
        <v>12061000</v>
      </c>
      <c r="F41" s="468">
        <f>(((((0)+1906000)+1800000)+6065000+450000)+870000)+970000</f>
        <v>12061000</v>
      </c>
      <c r="G41" s="468"/>
      <c r="H41" s="468"/>
      <c r="I41" s="468"/>
      <c r="J41" s="468">
        <f>L41+O41</f>
        <v>1154000</v>
      </c>
      <c r="K41" s="465">
        <f>((1000000)+74000)+80000</f>
        <v>1154000</v>
      </c>
      <c r="L41" s="468"/>
      <c r="M41" s="468"/>
      <c r="N41" s="468"/>
      <c r="O41" s="468">
        <f>K41</f>
        <v>1154000</v>
      </c>
      <c r="P41" s="468">
        <f>E41+J41</f>
        <v>13215000</v>
      </c>
      <c r="R41" s="255"/>
    </row>
    <row r="42" spans="1:20" ht="177.75" customHeight="1" thickTop="1" thickBot="1" x14ac:dyDescent="0.25">
      <c r="A42" s="828" t="s">
        <v>160</v>
      </c>
      <c r="B42" s="828"/>
      <c r="C42" s="828"/>
      <c r="D42" s="829" t="s">
        <v>0</v>
      </c>
      <c r="E42" s="830">
        <f>E43</f>
        <v>1801832661.3</v>
      </c>
      <c r="F42" s="831">
        <f t="shared" ref="F42" si="15">F43</f>
        <v>1801832661.3</v>
      </c>
      <c r="G42" s="831">
        <f>G43</f>
        <v>1185247474</v>
      </c>
      <c r="H42" s="831">
        <f>H43</f>
        <v>198877892</v>
      </c>
      <c r="I42" s="831">
        <f t="shared" ref="I42" si="16">I43</f>
        <v>0</v>
      </c>
      <c r="J42" s="830">
        <f>J43</f>
        <v>235623870</v>
      </c>
      <c r="K42" s="831">
        <f>K43</f>
        <v>72278320</v>
      </c>
      <c r="L42" s="831">
        <f>L43</f>
        <v>160069640</v>
      </c>
      <c r="M42" s="831">
        <f t="shared" ref="M42" si="17">M43</f>
        <v>45127299</v>
      </c>
      <c r="N42" s="831">
        <f>N43</f>
        <v>14370056</v>
      </c>
      <c r="O42" s="830">
        <f>O43</f>
        <v>75554230</v>
      </c>
      <c r="P42" s="831">
        <f t="shared" ref="P42" si="18">P43</f>
        <v>2037456531.3</v>
      </c>
    </row>
    <row r="43" spans="1:20" ht="159" customHeight="1" thickTop="1" thickBot="1" x14ac:dyDescent="0.25">
      <c r="A43" s="832" t="s">
        <v>161</v>
      </c>
      <c r="B43" s="832"/>
      <c r="C43" s="832"/>
      <c r="D43" s="833" t="s">
        <v>1</v>
      </c>
      <c r="E43" s="834">
        <f>E44+E76+E87+E81</f>
        <v>1801832661.3</v>
      </c>
      <c r="F43" s="834">
        <f>F44+F76+F87+F81</f>
        <v>1801832661.3</v>
      </c>
      <c r="G43" s="834">
        <f>G44+G76+G87+G81</f>
        <v>1185247474</v>
      </c>
      <c r="H43" s="834">
        <f>H44+H76+H87+H81</f>
        <v>198877892</v>
      </c>
      <c r="I43" s="834">
        <f>I44+I76+I87+I81</f>
        <v>0</v>
      </c>
      <c r="J43" s="834">
        <f>L43+O43</f>
        <v>235623870</v>
      </c>
      <c r="K43" s="834">
        <f>K44+K76+K87+K81</f>
        <v>72278320</v>
      </c>
      <c r="L43" s="834">
        <f>L44+L76+L87+L81</f>
        <v>160069640</v>
      </c>
      <c r="M43" s="834">
        <f>M44+M76+M87+M81</f>
        <v>45127299</v>
      </c>
      <c r="N43" s="834">
        <f>N44+N76+N87+N81</f>
        <v>14370056</v>
      </c>
      <c r="O43" s="834">
        <f>O44+O76+O87+O81</f>
        <v>75554230</v>
      </c>
      <c r="P43" s="834">
        <f>E43+J43</f>
        <v>2037456531.3</v>
      </c>
      <c r="Q43" s="617" t="b">
        <f>P43=P45+P47+P48+P51+P56+P58+P59+P61+P62+P64+P65+P66+P68+P74+P77+P55+P75+P49+P69+P71+P79+P72+P89+P80+P84+P86+P52</f>
        <v>1</v>
      </c>
      <c r="R43" s="255"/>
    </row>
    <row r="44" spans="1:20" ht="47.25" thickTop="1" thickBot="1" x14ac:dyDescent="0.25">
      <c r="A44" s="151" t="s">
        <v>750</v>
      </c>
      <c r="B44" s="151" t="s">
        <v>751</v>
      </c>
      <c r="C44" s="151"/>
      <c r="D44" s="151" t="s">
        <v>752</v>
      </c>
      <c r="E44" s="860">
        <f>E45+E46+E50+E56+E57+E60+E63+E66+E67+E74+E53+E75+E70+E78</f>
        <v>1801832661.3</v>
      </c>
      <c r="F44" s="860">
        <f t="shared" ref="F44:P44" si="19">F45+F46+F50+F56+F57+F60+F63+F66+F67+F74+F53+F75+F70+F78</f>
        <v>1801832661.3</v>
      </c>
      <c r="G44" s="860">
        <f>G45+G46+G50+G56+G57+G60+G63+G66+G67+G74+G53+G75+G70+G78</f>
        <v>1185247474</v>
      </c>
      <c r="H44" s="860">
        <f t="shared" si="19"/>
        <v>198877892</v>
      </c>
      <c r="I44" s="860">
        <f t="shared" si="19"/>
        <v>0</v>
      </c>
      <c r="J44" s="860">
        <f t="shared" si="19"/>
        <v>181725870</v>
      </c>
      <c r="K44" s="860">
        <f t="shared" si="19"/>
        <v>18380320</v>
      </c>
      <c r="L44" s="860">
        <f t="shared" si="19"/>
        <v>160069640</v>
      </c>
      <c r="M44" s="860">
        <f t="shared" si="19"/>
        <v>45127299</v>
      </c>
      <c r="N44" s="860">
        <f t="shared" si="19"/>
        <v>14370056</v>
      </c>
      <c r="O44" s="860">
        <f t="shared" si="19"/>
        <v>21656230</v>
      </c>
      <c r="P44" s="860">
        <f t="shared" si="19"/>
        <v>1983558531.3</v>
      </c>
      <c r="Q44" s="617"/>
      <c r="R44" s="255"/>
    </row>
    <row r="45" spans="1:20" ht="99" customHeight="1" thickTop="1" thickBot="1" x14ac:dyDescent="0.6">
      <c r="A45" s="864" t="s">
        <v>210</v>
      </c>
      <c r="B45" s="864" t="s">
        <v>211</v>
      </c>
      <c r="C45" s="864" t="s">
        <v>213</v>
      </c>
      <c r="D45" s="864" t="s">
        <v>214</v>
      </c>
      <c r="E45" s="860">
        <f>F45</f>
        <v>535792955</v>
      </c>
      <c r="F45" s="444">
        <f>(-11500+422682850+7381300+130780+36208005+3386900+43721850+1999020+17450750+1519605+996875+44000+69100+59660+177600-23840)</f>
        <v>535792955</v>
      </c>
      <c r="G45" s="444">
        <v>346461350</v>
      </c>
      <c r="H45" s="444">
        <f>43721850+1999020+17450750+1519605+996875+44000</f>
        <v>65732100</v>
      </c>
      <c r="I45" s="444"/>
      <c r="J45" s="860">
        <f t="shared" ref="J45:J69" si="20">L45+O45</f>
        <v>72355014</v>
      </c>
      <c r="K45" s="444">
        <f>(288164+1000000+150000+49000+30000)</f>
        <v>1517164</v>
      </c>
      <c r="L45" s="444">
        <v>68943250</v>
      </c>
      <c r="M45" s="444">
        <v>14090070</v>
      </c>
      <c r="N45" s="444">
        <f>(569230+232500+725400+16500+9790+2000000)</f>
        <v>3553420</v>
      </c>
      <c r="O45" s="869">
        <f>(K45+1725960+168640)</f>
        <v>3411764</v>
      </c>
      <c r="P45" s="860">
        <f t="shared" ref="P45:P59" si="21">E45+J45</f>
        <v>608147969</v>
      </c>
      <c r="Q45" s="625"/>
      <c r="R45" s="255"/>
    </row>
    <row r="46" spans="1:20" s="274" customFormat="1" ht="138.75" thickTop="1" thickBot="1" x14ac:dyDescent="0.6">
      <c r="A46" s="489" t="s">
        <v>215</v>
      </c>
      <c r="B46" s="489" t="s">
        <v>212</v>
      </c>
      <c r="C46" s="489"/>
      <c r="D46" s="489" t="s">
        <v>686</v>
      </c>
      <c r="E46" s="472">
        <f>E47+E48+E49</f>
        <v>401459501.30000001</v>
      </c>
      <c r="F46" s="472">
        <f t="shared" ref="F46:O46" si="22">F47+F48+F49</f>
        <v>401459501.30000001</v>
      </c>
      <c r="G46" s="472">
        <f t="shared" si="22"/>
        <v>183343785</v>
      </c>
      <c r="H46" s="472">
        <f t="shared" si="22"/>
        <v>104313192</v>
      </c>
      <c r="I46" s="472">
        <f t="shared" si="22"/>
        <v>0</v>
      </c>
      <c r="J46" s="472">
        <f t="shared" si="22"/>
        <v>74942115</v>
      </c>
      <c r="K46" s="472">
        <f t="shared" si="22"/>
        <v>11189615</v>
      </c>
      <c r="L46" s="472">
        <f t="shared" si="22"/>
        <v>62632190</v>
      </c>
      <c r="M46" s="472">
        <f t="shared" si="22"/>
        <v>22917540</v>
      </c>
      <c r="N46" s="472">
        <f t="shared" si="22"/>
        <v>1547450</v>
      </c>
      <c r="O46" s="472">
        <f t="shared" si="22"/>
        <v>12309925</v>
      </c>
      <c r="P46" s="472">
        <f>E46+J46</f>
        <v>476401616.30000001</v>
      </c>
      <c r="Q46" s="625"/>
      <c r="R46" s="280"/>
    </row>
    <row r="47" spans="1:20" ht="138.75" thickTop="1" thickBot="1" x14ac:dyDescent="0.6">
      <c r="A47" s="864" t="s">
        <v>683</v>
      </c>
      <c r="B47" s="864" t="s">
        <v>684</v>
      </c>
      <c r="C47" s="864" t="s">
        <v>216</v>
      </c>
      <c r="D47" s="864" t="s">
        <v>685</v>
      </c>
      <c r="E47" s="860">
        <f t="shared" ref="E47:E59" si="23">F47</f>
        <v>358143446.30000001</v>
      </c>
      <c r="F47" s="444">
        <f>((191140505+15177100+231270+46955765+4320380+74473080+1267990+18069250+3616430+838950+452340+167550+8440+489345+150000+173840-5980497)+6628199)-36490.7</f>
        <v>358143446.30000001</v>
      </c>
      <c r="G47" s="444">
        <v>156967625</v>
      </c>
      <c r="H47" s="444">
        <f>(74473080+1267990+18069250+3616430+838950+452340-5980497)+6628199</f>
        <v>99365742</v>
      </c>
      <c r="I47" s="444"/>
      <c r="J47" s="860">
        <f t="shared" si="20"/>
        <v>74851615</v>
      </c>
      <c r="K47" s="444">
        <f>(269475+2000000+2283979+1000000+250161+500000+49000+49000+49000+500000+510000+250000+300000+300000+49000+1000000+1000000+230000+600000)</f>
        <v>11189615</v>
      </c>
      <c r="L47" s="444">
        <v>62541690</v>
      </c>
      <c r="M47" s="444">
        <v>22917540</v>
      </c>
      <c r="N47" s="444">
        <f>(708460+204510+508570+24930+58380)</f>
        <v>1504850</v>
      </c>
      <c r="O47" s="869">
        <f>(K47+1120310)</f>
        <v>12309925</v>
      </c>
      <c r="P47" s="860">
        <f t="shared" si="21"/>
        <v>432995061.30000001</v>
      </c>
      <c r="Q47" s="625"/>
      <c r="R47" s="255"/>
      <c r="T47" s="281"/>
    </row>
    <row r="48" spans="1:20" ht="276" thickTop="1" thickBot="1" x14ac:dyDescent="0.25">
      <c r="A48" s="864" t="s">
        <v>693</v>
      </c>
      <c r="B48" s="864" t="s">
        <v>694</v>
      </c>
      <c r="C48" s="864" t="s">
        <v>219</v>
      </c>
      <c r="D48" s="864" t="s">
        <v>515</v>
      </c>
      <c r="E48" s="860">
        <f t="shared" si="23"/>
        <v>24772605</v>
      </c>
      <c r="F48" s="444">
        <f>(22151850+194260+5650+772470+139445+1279695+25490+179490+10555+8300+5400)</f>
        <v>24772605</v>
      </c>
      <c r="G48" s="444">
        <v>18307315</v>
      </c>
      <c r="H48" s="444">
        <f>1495230</f>
        <v>1495230</v>
      </c>
      <c r="I48" s="444"/>
      <c r="J48" s="860">
        <f t="shared" si="20"/>
        <v>90500</v>
      </c>
      <c r="K48" s="444"/>
      <c r="L48" s="444">
        <v>90500</v>
      </c>
      <c r="M48" s="444"/>
      <c r="N48" s="444">
        <f>(25800+1000+15800)</f>
        <v>42600</v>
      </c>
      <c r="O48" s="869">
        <f>K48</f>
        <v>0</v>
      </c>
      <c r="P48" s="860">
        <f t="shared" si="21"/>
        <v>24863105</v>
      </c>
      <c r="R48" s="257"/>
    </row>
    <row r="49" spans="1:18" ht="184.5" thickTop="1" thickBot="1" x14ac:dyDescent="0.25">
      <c r="A49" s="864" t="s">
        <v>1073</v>
      </c>
      <c r="B49" s="864" t="s">
        <v>1074</v>
      </c>
      <c r="C49" s="864" t="s">
        <v>219</v>
      </c>
      <c r="D49" s="864" t="s">
        <v>1075</v>
      </c>
      <c r="E49" s="860">
        <f t="shared" si="23"/>
        <v>18543450</v>
      </c>
      <c r="F49" s="444">
        <f>(9843990+289835+15600+4104440+530965+300000+2737110+106620+592800+15690+3700+2700)</f>
        <v>18543450</v>
      </c>
      <c r="G49" s="444">
        <v>8068845</v>
      </c>
      <c r="H49" s="444">
        <v>3452220</v>
      </c>
      <c r="I49" s="444"/>
      <c r="J49" s="860">
        <f t="shared" si="20"/>
        <v>0</v>
      </c>
      <c r="K49" s="444"/>
      <c r="L49" s="444"/>
      <c r="M49" s="444"/>
      <c r="N49" s="444"/>
      <c r="O49" s="869">
        <f>K49</f>
        <v>0</v>
      </c>
      <c r="P49" s="860">
        <f t="shared" si="21"/>
        <v>18543450</v>
      </c>
      <c r="R49" s="257"/>
    </row>
    <row r="50" spans="1:18" s="274" customFormat="1" ht="138.75" thickTop="1" thickBot="1" x14ac:dyDescent="0.25">
      <c r="A50" s="489" t="s">
        <v>516</v>
      </c>
      <c r="B50" s="489" t="s">
        <v>217</v>
      </c>
      <c r="C50" s="489"/>
      <c r="D50" s="489" t="s">
        <v>701</v>
      </c>
      <c r="E50" s="472">
        <f>SUM(E51:E52)</f>
        <v>632703833</v>
      </c>
      <c r="F50" s="472">
        <f>SUM(F51:F52)</f>
        <v>632703833</v>
      </c>
      <c r="G50" s="472">
        <f>SUM(G51:G52)</f>
        <v>515521239</v>
      </c>
      <c r="H50" s="472">
        <f>SUM(H51:H52)</f>
        <v>0</v>
      </c>
      <c r="I50" s="472">
        <f>SUM(I51:I52)</f>
        <v>0</v>
      </c>
      <c r="J50" s="472">
        <f t="shared" ref="J50:P50" si="24">SUM(J51:J52)</f>
        <v>0</v>
      </c>
      <c r="K50" s="472">
        <f t="shared" si="24"/>
        <v>0</v>
      </c>
      <c r="L50" s="472">
        <f t="shared" si="24"/>
        <v>0</v>
      </c>
      <c r="M50" s="472">
        <f t="shared" si="24"/>
        <v>0</v>
      </c>
      <c r="N50" s="472">
        <f t="shared" si="24"/>
        <v>0</v>
      </c>
      <c r="O50" s="472">
        <f t="shared" si="24"/>
        <v>0</v>
      </c>
      <c r="P50" s="472">
        <f t="shared" si="24"/>
        <v>632703833</v>
      </c>
      <c r="Q50" s="614"/>
      <c r="R50" s="276"/>
    </row>
    <row r="51" spans="1:18" ht="138.75" thickTop="1" thickBot="1" x14ac:dyDescent="0.25">
      <c r="A51" s="864" t="s">
        <v>702</v>
      </c>
      <c r="B51" s="864" t="s">
        <v>703</v>
      </c>
      <c r="C51" s="864" t="s">
        <v>216</v>
      </c>
      <c r="D51" s="864" t="s">
        <v>685</v>
      </c>
      <c r="E51" s="860">
        <f t="shared" ref="E51:E52" si="25">F51</f>
        <v>628868833</v>
      </c>
      <c r="F51" s="444">
        <f>(679974570+4189832+15013800)-70309369</f>
        <v>628868833</v>
      </c>
      <c r="G51" s="444">
        <f>(557358050+12306400)-57287211</f>
        <v>512377239</v>
      </c>
      <c r="H51" s="444"/>
      <c r="I51" s="444"/>
      <c r="J51" s="860">
        <f t="shared" ref="J51:J52" si="26">L51+O51</f>
        <v>0</v>
      </c>
      <c r="K51" s="444"/>
      <c r="L51" s="444"/>
      <c r="M51" s="444"/>
      <c r="N51" s="444"/>
      <c r="O51" s="869">
        <f>K51</f>
        <v>0</v>
      </c>
      <c r="P51" s="860">
        <f t="shared" ref="P51:P55" si="27">E51+J51</f>
        <v>628868833</v>
      </c>
      <c r="R51" s="267"/>
    </row>
    <row r="52" spans="1:18" ht="184.5" thickTop="1" thickBot="1" x14ac:dyDescent="0.25">
      <c r="A52" s="864" t="s">
        <v>1263</v>
      </c>
      <c r="B52" s="877" t="s">
        <v>1264</v>
      </c>
      <c r="C52" s="864" t="s">
        <v>219</v>
      </c>
      <c r="D52" s="864" t="s">
        <v>1265</v>
      </c>
      <c r="E52" s="860">
        <f t="shared" si="25"/>
        <v>3835000</v>
      </c>
      <c r="F52" s="872">
        <v>3835000</v>
      </c>
      <c r="G52" s="872">
        <v>3144000</v>
      </c>
      <c r="H52" s="872"/>
      <c r="I52" s="872"/>
      <c r="J52" s="860">
        <f t="shared" si="26"/>
        <v>0</v>
      </c>
      <c r="K52" s="872"/>
      <c r="L52" s="872"/>
      <c r="M52" s="872"/>
      <c r="N52" s="872"/>
      <c r="O52" s="545"/>
      <c r="P52" s="860">
        <f t="shared" si="27"/>
        <v>3835000</v>
      </c>
      <c r="R52" s="267"/>
    </row>
    <row r="53" spans="1:18" ht="409.6" hidden="1" thickTop="1" thickBot="1" x14ac:dyDescent="0.7">
      <c r="A53" s="938" t="s">
        <v>990</v>
      </c>
      <c r="B53" s="938" t="s">
        <v>52</v>
      </c>
      <c r="C53" s="938"/>
      <c r="D53" s="282" t="s">
        <v>993</v>
      </c>
      <c r="E53" s="922">
        <f t="shared" ref="E53:O53" si="28">E55</f>
        <v>0</v>
      </c>
      <c r="F53" s="922">
        <f t="shared" si="28"/>
        <v>0</v>
      </c>
      <c r="G53" s="922">
        <f t="shared" si="28"/>
        <v>0</v>
      </c>
      <c r="H53" s="922">
        <f t="shared" si="28"/>
        <v>0</v>
      </c>
      <c r="I53" s="922">
        <f t="shared" si="28"/>
        <v>0</v>
      </c>
      <c r="J53" s="922">
        <f t="shared" si="28"/>
        <v>0</v>
      </c>
      <c r="K53" s="922">
        <f t="shared" si="28"/>
        <v>0</v>
      </c>
      <c r="L53" s="922">
        <f t="shared" si="28"/>
        <v>0</v>
      </c>
      <c r="M53" s="922">
        <f t="shared" si="28"/>
        <v>0</v>
      </c>
      <c r="N53" s="922">
        <f t="shared" si="28"/>
        <v>0</v>
      </c>
      <c r="O53" s="922">
        <f t="shared" si="28"/>
        <v>0</v>
      </c>
      <c r="P53" s="922">
        <f>E53+J53</f>
        <v>0</v>
      </c>
      <c r="R53" s="267"/>
    </row>
    <row r="54" spans="1:18" ht="184.5" hidden="1" thickTop="1" thickBot="1" x14ac:dyDescent="0.25">
      <c r="A54" s="905"/>
      <c r="B54" s="905"/>
      <c r="C54" s="905"/>
      <c r="D54" s="283" t="s">
        <v>994</v>
      </c>
      <c r="E54" s="905"/>
      <c r="F54" s="905"/>
      <c r="G54" s="905"/>
      <c r="H54" s="905"/>
      <c r="I54" s="905"/>
      <c r="J54" s="905"/>
      <c r="K54" s="905"/>
      <c r="L54" s="905"/>
      <c r="M54" s="905"/>
      <c r="N54" s="905"/>
      <c r="O54" s="905"/>
      <c r="P54" s="905"/>
      <c r="R54" s="267"/>
    </row>
    <row r="55" spans="1:18" ht="138.75" hidden="1" thickTop="1" thickBot="1" x14ac:dyDescent="0.25">
      <c r="A55" s="873" t="s">
        <v>991</v>
      </c>
      <c r="B55" s="873" t="s">
        <v>992</v>
      </c>
      <c r="C55" s="873" t="s">
        <v>216</v>
      </c>
      <c r="D55" s="873" t="s">
        <v>995</v>
      </c>
      <c r="E55" s="874">
        <f t="shared" ref="E55" si="29">F55</f>
        <v>0</v>
      </c>
      <c r="F55" s="278"/>
      <c r="G55" s="278"/>
      <c r="H55" s="278"/>
      <c r="I55" s="278"/>
      <c r="J55" s="874">
        <f t="shared" ref="J55" si="30">L55+O55</f>
        <v>0</v>
      </c>
      <c r="K55" s="278"/>
      <c r="L55" s="278"/>
      <c r="M55" s="278"/>
      <c r="N55" s="278"/>
      <c r="O55" s="871">
        <f>K55</f>
        <v>0</v>
      </c>
      <c r="P55" s="874">
        <f t="shared" si="27"/>
        <v>0</v>
      </c>
      <c r="R55" s="255"/>
    </row>
    <row r="56" spans="1:18" ht="184.5" thickTop="1" thickBot="1" x14ac:dyDescent="0.25">
      <c r="A56" s="864" t="s">
        <v>704</v>
      </c>
      <c r="B56" s="864" t="s">
        <v>218</v>
      </c>
      <c r="C56" s="864" t="s">
        <v>193</v>
      </c>
      <c r="D56" s="864" t="s">
        <v>517</v>
      </c>
      <c r="E56" s="860">
        <f t="shared" si="23"/>
        <v>33399580</v>
      </c>
      <c r="F56" s="444">
        <f>(28529700+335975+12000+258940+128820+3176810+64080+596770+79855+30105+1700+184825)</f>
        <v>33399580</v>
      </c>
      <c r="G56" s="444">
        <v>23385000</v>
      </c>
      <c r="H56" s="444">
        <v>3947620</v>
      </c>
      <c r="I56" s="444"/>
      <c r="J56" s="860">
        <f t="shared" si="20"/>
        <v>1858370</v>
      </c>
      <c r="K56" s="444">
        <v>1000000</v>
      </c>
      <c r="L56" s="444">
        <v>757370</v>
      </c>
      <c r="M56" s="444">
        <v>34330</v>
      </c>
      <c r="N56" s="444">
        <f>(50190+3780+46410+1820)</f>
        <v>102200</v>
      </c>
      <c r="O56" s="869">
        <f>(K56+101000)</f>
        <v>1101000</v>
      </c>
      <c r="P56" s="860">
        <f t="shared" si="21"/>
        <v>35257950</v>
      </c>
      <c r="R56" s="255"/>
    </row>
    <row r="57" spans="1:18" s="274" customFormat="1" ht="184.5" thickTop="1" thickBot="1" x14ac:dyDescent="0.25">
      <c r="A57" s="489" t="s">
        <v>220</v>
      </c>
      <c r="B57" s="489" t="s">
        <v>203</v>
      </c>
      <c r="C57" s="489"/>
      <c r="D57" s="489" t="s">
        <v>518</v>
      </c>
      <c r="E57" s="472">
        <f>E58+E59</f>
        <v>154885211</v>
      </c>
      <c r="F57" s="472">
        <f t="shared" ref="F57:O57" si="31">F58+F59</f>
        <v>154885211</v>
      </c>
      <c r="G57" s="472">
        <f t="shared" si="31"/>
        <v>84181704</v>
      </c>
      <c r="H57" s="472">
        <f t="shared" si="31"/>
        <v>22763530</v>
      </c>
      <c r="I57" s="472">
        <f t="shared" si="31"/>
        <v>0</v>
      </c>
      <c r="J57" s="472">
        <f t="shared" si="31"/>
        <v>29703565</v>
      </c>
      <c r="K57" s="472">
        <f t="shared" si="31"/>
        <v>2182625</v>
      </c>
      <c r="L57" s="472">
        <f t="shared" si="31"/>
        <v>27360940</v>
      </c>
      <c r="M57" s="472">
        <f t="shared" si="31"/>
        <v>7971559</v>
      </c>
      <c r="N57" s="472">
        <f t="shared" si="31"/>
        <v>9049476</v>
      </c>
      <c r="O57" s="472">
        <f t="shared" si="31"/>
        <v>2342625</v>
      </c>
      <c r="P57" s="472">
        <f t="shared" si="21"/>
        <v>184588776</v>
      </c>
      <c r="Q57" s="614"/>
      <c r="R57" s="276"/>
    </row>
    <row r="58" spans="1:18" ht="230.25" thickTop="1" thickBot="1" x14ac:dyDescent="0.25">
      <c r="A58" s="864" t="s">
        <v>705</v>
      </c>
      <c r="B58" s="864" t="s">
        <v>706</v>
      </c>
      <c r="C58" s="864" t="s">
        <v>221</v>
      </c>
      <c r="D58" s="864" t="s">
        <v>707</v>
      </c>
      <c r="E58" s="860">
        <f t="shared" si="23"/>
        <v>137467895</v>
      </c>
      <c r="F58" s="444">
        <f>(85213670+68800+17400+2950600+222250+14115125+811860+7670580+20050+145915+13200+25000000+1218445)</f>
        <v>137467895</v>
      </c>
      <c r="G58" s="444">
        <v>69847270</v>
      </c>
      <c r="H58" s="444">
        <v>22763530</v>
      </c>
      <c r="I58" s="444"/>
      <c r="J58" s="860">
        <f>L58+O58</f>
        <v>29703565</v>
      </c>
      <c r="K58" s="444">
        <f>(1281537+82825+818263)</f>
        <v>2182625</v>
      </c>
      <c r="L58" s="444">
        <v>27360940</v>
      </c>
      <c r="M58" s="444">
        <v>7971559</v>
      </c>
      <c r="N58" s="444">
        <f>(5079580+1005981+2722350+64500+177065)</f>
        <v>9049476</v>
      </c>
      <c r="O58" s="869">
        <f>(K58+160000)</f>
        <v>2342625</v>
      </c>
      <c r="P58" s="860">
        <f t="shared" si="21"/>
        <v>167171460</v>
      </c>
      <c r="R58" s="255"/>
    </row>
    <row r="59" spans="1:18" ht="230.25" thickTop="1" thickBot="1" x14ac:dyDescent="0.25">
      <c r="A59" s="864" t="s">
        <v>709</v>
      </c>
      <c r="B59" s="864" t="s">
        <v>708</v>
      </c>
      <c r="C59" s="864" t="s">
        <v>221</v>
      </c>
      <c r="D59" s="864" t="s">
        <v>710</v>
      </c>
      <c r="E59" s="860">
        <f t="shared" si="23"/>
        <v>17417316</v>
      </c>
      <c r="F59" s="444">
        <f>(19343530)-1926214</f>
        <v>17417316</v>
      </c>
      <c r="G59" s="444">
        <f>(15920600)-1586166</f>
        <v>14334434</v>
      </c>
      <c r="H59" s="444"/>
      <c r="I59" s="444"/>
      <c r="J59" s="860">
        <f>L59+O59</f>
        <v>0</v>
      </c>
      <c r="K59" s="444"/>
      <c r="L59" s="444"/>
      <c r="M59" s="444"/>
      <c r="N59" s="444"/>
      <c r="O59" s="869"/>
      <c r="P59" s="860">
        <f t="shared" si="21"/>
        <v>17417316</v>
      </c>
      <c r="R59" s="267"/>
    </row>
    <row r="60" spans="1:18" s="274" customFormat="1" ht="93" thickTop="1" thickBot="1" x14ac:dyDescent="0.25">
      <c r="A60" s="489" t="s">
        <v>712</v>
      </c>
      <c r="B60" s="489" t="s">
        <v>711</v>
      </c>
      <c r="C60" s="489"/>
      <c r="D60" s="489" t="s">
        <v>713</v>
      </c>
      <c r="E60" s="472">
        <f>E61+E62</f>
        <v>30502885</v>
      </c>
      <c r="F60" s="472">
        <f t="shared" ref="F60:O60" si="32">F61+F62</f>
        <v>30502885</v>
      </c>
      <c r="G60" s="472">
        <f t="shared" si="32"/>
        <v>22155905</v>
      </c>
      <c r="H60" s="472">
        <f t="shared" si="32"/>
        <v>1871875</v>
      </c>
      <c r="I60" s="472">
        <f t="shared" si="32"/>
        <v>0</v>
      </c>
      <c r="J60" s="472">
        <f t="shared" si="32"/>
        <v>1335890</v>
      </c>
      <c r="K60" s="472">
        <f t="shared" si="32"/>
        <v>960000</v>
      </c>
      <c r="L60" s="472">
        <f t="shared" si="32"/>
        <v>375890</v>
      </c>
      <c r="M60" s="472">
        <f t="shared" si="32"/>
        <v>113800</v>
      </c>
      <c r="N60" s="472">
        <f t="shared" si="32"/>
        <v>117510</v>
      </c>
      <c r="O60" s="472">
        <f t="shared" si="32"/>
        <v>960000</v>
      </c>
      <c r="P60" s="472">
        <f>E60+J60</f>
        <v>31838775</v>
      </c>
      <c r="Q60" s="614"/>
      <c r="R60" s="276"/>
    </row>
    <row r="61" spans="1:18" ht="93" thickTop="1" thickBot="1" x14ac:dyDescent="0.25">
      <c r="A61" s="864" t="s">
        <v>714</v>
      </c>
      <c r="B61" s="864" t="s">
        <v>715</v>
      </c>
      <c r="C61" s="864" t="s">
        <v>222</v>
      </c>
      <c r="D61" s="864" t="s">
        <v>519</v>
      </c>
      <c r="E61" s="860">
        <f>F61</f>
        <v>30284875</v>
      </c>
      <c r="F61" s="444">
        <f>(27030205+635950+1450+735695+3300+1239640+16940+591895+8520+14880+3700+2700)</f>
        <v>30284875</v>
      </c>
      <c r="G61" s="444">
        <v>22155905</v>
      </c>
      <c r="H61" s="444">
        <v>1871875</v>
      </c>
      <c r="I61" s="444"/>
      <c r="J61" s="860">
        <f>L61+O61</f>
        <v>1335890</v>
      </c>
      <c r="K61" s="444">
        <f>(460000+500000)</f>
        <v>960000</v>
      </c>
      <c r="L61" s="444">
        <v>375890</v>
      </c>
      <c r="M61" s="444">
        <v>113800</v>
      </c>
      <c r="N61" s="444">
        <f>(104000+830+11730+950)</f>
        <v>117510</v>
      </c>
      <c r="O61" s="869">
        <f>K61</f>
        <v>960000</v>
      </c>
      <c r="P61" s="860">
        <f>E61+J61</f>
        <v>31620765</v>
      </c>
      <c r="R61" s="267"/>
    </row>
    <row r="62" spans="1:18" ht="93" thickTop="1" thickBot="1" x14ac:dyDescent="0.25">
      <c r="A62" s="864" t="s">
        <v>716</v>
      </c>
      <c r="B62" s="864" t="s">
        <v>717</v>
      </c>
      <c r="C62" s="864" t="s">
        <v>222</v>
      </c>
      <c r="D62" s="864" t="s">
        <v>351</v>
      </c>
      <c r="E62" s="860">
        <f>F62</f>
        <v>218010</v>
      </c>
      <c r="F62" s="444">
        <v>218010</v>
      </c>
      <c r="G62" s="444"/>
      <c r="H62" s="444"/>
      <c r="I62" s="444"/>
      <c r="J62" s="860">
        <f>L62+O62</f>
        <v>0</v>
      </c>
      <c r="K62" s="444"/>
      <c r="L62" s="444"/>
      <c r="M62" s="444"/>
      <c r="N62" s="444"/>
      <c r="O62" s="869">
        <f>K62</f>
        <v>0</v>
      </c>
      <c r="P62" s="860">
        <f>E62+J62</f>
        <v>218010</v>
      </c>
      <c r="R62" s="267"/>
    </row>
    <row r="63" spans="1:18" s="274" customFormat="1" ht="93" thickTop="1" thickBot="1" x14ac:dyDescent="0.25">
      <c r="A63" s="489" t="s">
        <v>718</v>
      </c>
      <c r="B63" s="489" t="s">
        <v>719</v>
      </c>
      <c r="C63" s="489"/>
      <c r="D63" s="489" t="s">
        <v>445</v>
      </c>
      <c r="E63" s="472">
        <f>E64+E65</f>
        <v>5722975</v>
      </c>
      <c r="F63" s="472">
        <f>F64+F65</f>
        <v>5722975</v>
      </c>
      <c r="G63" s="472">
        <f t="shared" ref="G63:O63" si="33">G64+G65</f>
        <v>4406061</v>
      </c>
      <c r="H63" s="472">
        <f t="shared" si="33"/>
        <v>161440</v>
      </c>
      <c r="I63" s="472">
        <f t="shared" si="33"/>
        <v>0</v>
      </c>
      <c r="J63" s="472">
        <f t="shared" si="33"/>
        <v>0</v>
      </c>
      <c r="K63" s="472">
        <f t="shared" si="33"/>
        <v>0</v>
      </c>
      <c r="L63" s="472">
        <f t="shared" si="33"/>
        <v>0</v>
      </c>
      <c r="M63" s="472">
        <f t="shared" si="33"/>
        <v>0</v>
      </c>
      <c r="N63" s="472">
        <f t="shared" si="33"/>
        <v>0</v>
      </c>
      <c r="O63" s="472">
        <f t="shared" si="33"/>
        <v>0</v>
      </c>
      <c r="P63" s="472">
        <f>E63+J63</f>
        <v>5722975</v>
      </c>
      <c r="Q63" s="614"/>
      <c r="R63" s="276"/>
    </row>
    <row r="64" spans="1:18" ht="184.5" thickTop="1" thickBot="1" x14ac:dyDescent="0.25">
      <c r="A64" s="864" t="s">
        <v>720</v>
      </c>
      <c r="B64" s="864" t="s">
        <v>721</v>
      </c>
      <c r="C64" s="864" t="s">
        <v>222</v>
      </c>
      <c r="D64" s="864" t="s">
        <v>722</v>
      </c>
      <c r="E64" s="860">
        <f>F64</f>
        <v>1120505</v>
      </c>
      <c r="F64" s="444">
        <f>(767530+131100+42455+13580+131295+7180+20985+1980+4400)</f>
        <v>1120505</v>
      </c>
      <c r="G64" s="444">
        <v>629125</v>
      </c>
      <c r="H64" s="444">
        <v>161440</v>
      </c>
      <c r="I64" s="444"/>
      <c r="J64" s="860">
        <f>L64+O64</f>
        <v>0</v>
      </c>
      <c r="K64" s="444"/>
      <c r="L64" s="444"/>
      <c r="M64" s="444"/>
      <c r="N64" s="444"/>
      <c r="O64" s="869">
        <f>K64</f>
        <v>0</v>
      </c>
      <c r="P64" s="860">
        <f>E64+J64</f>
        <v>1120505</v>
      </c>
      <c r="R64" s="255"/>
    </row>
    <row r="65" spans="1:18" ht="138.75" thickTop="1" thickBot="1" x14ac:dyDescent="0.25">
      <c r="A65" s="864" t="s">
        <v>723</v>
      </c>
      <c r="B65" s="864" t="s">
        <v>724</v>
      </c>
      <c r="C65" s="864" t="s">
        <v>222</v>
      </c>
      <c r="D65" s="864" t="s">
        <v>725</v>
      </c>
      <c r="E65" s="860">
        <f>F65</f>
        <v>4602470</v>
      </c>
      <c r="F65" s="444">
        <f>(5189600+24500)-611630</f>
        <v>4602470</v>
      </c>
      <c r="G65" s="444">
        <f>(4253770+24500)-501334</f>
        <v>3776936</v>
      </c>
      <c r="H65" s="444"/>
      <c r="I65" s="444"/>
      <c r="J65" s="860">
        <f t="shared" ref="J65:J66" si="34">L65+O65</f>
        <v>0</v>
      </c>
      <c r="K65" s="444"/>
      <c r="L65" s="444"/>
      <c r="M65" s="444"/>
      <c r="N65" s="444"/>
      <c r="O65" s="869">
        <f t="shared" ref="O65:O66" si="35">K65</f>
        <v>0</v>
      </c>
      <c r="P65" s="860">
        <f t="shared" ref="P65:P72" si="36">E65+J65</f>
        <v>4602470</v>
      </c>
      <c r="R65" s="267"/>
    </row>
    <row r="66" spans="1:18" ht="138.75" thickTop="1" thickBot="1" x14ac:dyDescent="0.25">
      <c r="A66" s="864" t="s">
        <v>690</v>
      </c>
      <c r="B66" s="864" t="s">
        <v>691</v>
      </c>
      <c r="C66" s="864" t="s">
        <v>222</v>
      </c>
      <c r="D66" s="864" t="s">
        <v>692</v>
      </c>
      <c r="E66" s="860">
        <f t="shared" ref="E66:E80" si="37">F66</f>
        <v>3056165</v>
      </c>
      <c r="F66" s="444">
        <f>(2757200+90130+98500+20000+60965+4155+18515+4500+2200)</f>
        <v>3056165</v>
      </c>
      <c r="G66" s="444">
        <v>2260000</v>
      </c>
      <c r="H66" s="444">
        <v>88135</v>
      </c>
      <c r="I66" s="444"/>
      <c r="J66" s="860">
        <f t="shared" si="34"/>
        <v>0</v>
      </c>
      <c r="K66" s="444"/>
      <c r="L66" s="444"/>
      <c r="M66" s="444"/>
      <c r="N66" s="444"/>
      <c r="O66" s="869">
        <f t="shared" si="35"/>
        <v>0</v>
      </c>
      <c r="P66" s="860">
        <f t="shared" si="36"/>
        <v>3056165</v>
      </c>
      <c r="R66" s="255"/>
    </row>
    <row r="67" spans="1:18" s="272" customFormat="1" ht="230.25" hidden="1" thickTop="1" thickBot="1" x14ac:dyDescent="0.25">
      <c r="A67" s="279" t="s">
        <v>695</v>
      </c>
      <c r="B67" s="279" t="s">
        <v>696</v>
      </c>
      <c r="C67" s="279"/>
      <c r="D67" s="279" t="s">
        <v>697</v>
      </c>
      <c r="E67" s="275">
        <f t="shared" si="37"/>
        <v>0</v>
      </c>
      <c r="F67" s="275">
        <f>SUM(F68:F69)</f>
        <v>0</v>
      </c>
      <c r="G67" s="275">
        <f t="shared" ref="G67:I67" si="38">SUM(G68:G69)</f>
        <v>0</v>
      </c>
      <c r="H67" s="275">
        <f t="shared" si="38"/>
        <v>0</v>
      </c>
      <c r="I67" s="275">
        <f t="shared" si="38"/>
        <v>0</v>
      </c>
      <c r="J67" s="275">
        <f t="shared" si="20"/>
        <v>0</v>
      </c>
      <c r="K67" s="472">
        <f>SUM(K68:K69)</f>
        <v>0</v>
      </c>
      <c r="L67" s="275">
        <f t="shared" ref="L67:N67" si="39">SUM(L68:L69)</f>
        <v>0</v>
      </c>
      <c r="M67" s="275">
        <f t="shared" si="39"/>
        <v>0</v>
      </c>
      <c r="N67" s="275">
        <f t="shared" si="39"/>
        <v>0</v>
      </c>
      <c r="O67" s="275">
        <f>SUM(O68:O69)</f>
        <v>0</v>
      </c>
      <c r="P67" s="275">
        <f t="shared" si="36"/>
        <v>0</v>
      </c>
      <c r="Q67" s="624"/>
      <c r="R67" s="280"/>
    </row>
    <row r="68" spans="1:18" s="272" customFormat="1" ht="367.5" hidden="1" thickTop="1" thickBot="1" x14ac:dyDescent="0.25">
      <c r="A68" s="873" t="s">
        <v>698</v>
      </c>
      <c r="B68" s="873" t="s">
        <v>699</v>
      </c>
      <c r="C68" s="873" t="s">
        <v>222</v>
      </c>
      <c r="D68" s="873" t="s">
        <v>700</v>
      </c>
      <c r="E68" s="874">
        <f t="shared" si="37"/>
        <v>0</v>
      </c>
      <c r="F68" s="278"/>
      <c r="G68" s="278"/>
      <c r="H68" s="278"/>
      <c r="I68" s="278"/>
      <c r="J68" s="874">
        <f t="shared" si="20"/>
        <v>0</v>
      </c>
      <c r="K68" s="444"/>
      <c r="L68" s="278"/>
      <c r="M68" s="278"/>
      <c r="N68" s="278"/>
      <c r="O68" s="871">
        <f t="shared" ref="O68:O69" si="40">K68</f>
        <v>0</v>
      </c>
      <c r="P68" s="874">
        <f t="shared" si="36"/>
        <v>0</v>
      </c>
      <c r="Q68" s="624"/>
      <c r="R68" s="255"/>
    </row>
    <row r="69" spans="1:18" s="272" customFormat="1" ht="321.75" hidden="1" thickTop="1" thickBot="1" x14ac:dyDescent="0.25">
      <c r="A69" s="873" t="s">
        <v>1055</v>
      </c>
      <c r="B69" s="873" t="s">
        <v>1056</v>
      </c>
      <c r="C69" s="873" t="s">
        <v>222</v>
      </c>
      <c r="D69" s="873" t="s">
        <v>1057</v>
      </c>
      <c r="E69" s="874">
        <f t="shared" si="37"/>
        <v>0</v>
      </c>
      <c r="F69" s="278"/>
      <c r="G69" s="278"/>
      <c r="H69" s="278"/>
      <c r="I69" s="278"/>
      <c r="J69" s="874">
        <f t="shared" si="20"/>
        <v>0</v>
      </c>
      <c r="K69" s="444"/>
      <c r="L69" s="278"/>
      <c r="M69" s="278"/>
      <c r="N69" s="278"/>
      <c r="O69" s="871">
        <f t="shared" si="40"/>
        <v>0</v>
      </c>
      <c r="P69" s="874">
        <f t="shared" si="36"/>
        <v>0</v>
      </c>
      <c r="Q69" s="624"/>
      <c r="R69" s="255"/>
    </row>
    <row r="70" spans="1:18" s="272" customFormat="1" ht="409.6" hidden="1" thickTop="1" thickBot="1" x14ac:dyDescent="0.25">
      <c r="A70" s="279" t="s">
        <v>1076</v>
      </c>
      <c r="B70" s="279" t="s">
        <v>1078</v>
      </c>
      <c r="C70" s="279"/>
      <c r="D70" s="279" t="s">
        <v>1080</v>
      </c>
      <c r="E70" s="275">
        <f>E71+E72</f>
        <v>0</v>
      </c>
      <c r="F70" s="275">
        <f>F71+F72</f>
        <v>0</v>
      </c>
      <c r="G70" s="275">
        <f t="shared" ref="G70:I70" si="41">G71+G72</f>
        <v>0</v>
      </c>
      <c r="H70" s="275">
        <f t="shared" si="41"/>
        <v>0</v>
      </c>
      <c r="I70" s="275">
        <f t="shared" si="41"/>
        <v>0</v>
      </c>
      <c r="J70" s="275">
        <f>L70+O70</f>
        <v>0</v>
      </c>
      <c r="K70" s="472">
        <f t="shared" ref="K70:O70" si="42">K71+K72</f>
        <v>0</v>
      </c>
      <c r="L70" s="275">
        <f t="shared" si="42"/>
        <v>0</v>
      </c>
      <c r="M70" s="275">
        <f t="shared" si="42"/>
        <v>0</v>
      </c>
      <c r="N70" s="275">
        <f t="shared" si="42"/>
        <v>0</v>
      </c>
      <c r="O70" s="275">
        <f t="shared" si="42"/>
        <v>0</v>
      </c>
      <c r="P70" s="275">
        <f t="shared" si="36"/>
        <v>0</v>
      </c>
      <c r="Q70" s="624"/>
      <c r="R70" s="255"/>
    </row>
    <row r="71" spans="1:18" s="272" customFormat="1" ht="409.6" hidden="1" thickTop="1" thickBot="1" x14ac:dyDescent="0.25">
      <c r="A71" s="873" t="s">
        <v>1077</v>
      </c>
      <c r="B71" s="873" t="s">
        <v>1079</v>
      </c>
      <c r="C71" s="873" t="s">
        <v>222</v>
      </c>
      <c r="D71" s="873" t="s">
        <v>1081</v>
      </c>
      <c r="E71" s="874">
        <f t="shared" ref="E71:E72" si="43">F71</f>
        <v>0</v>
      </c>
      <c r="F71" s="278"/>
      <c r="G71" s="278"/>
      <c r="H71" s="278"/>
      <c r="I71" s="278"/>
      <c r="J71" s="874">
        <f t="shared" ref="J71:J72" si="44">L71+O71</f>
        <v>0</v>
      </c>
      <c r="K71" s="444">
        <f>4547046.18-4547046.18</f>
        <v>0</v>
      </c>
      <c r="L71" s="278"/>
      <c r="M71" s="278"/>
      <c r="N71" s="278"/>
      <c r="O71" s="871">
        <f t="shared" ref="O71:O72" si="45">K71</f>
        <v>0</v>
      </c>
      <c r="P71" s="874">
        <f t="shared" si="36"/>
        <v>0</v>
      </c>
      <c r="Q71" s="624"/>
      <c r="R71" s="255"/>
    </row>
    <row r="72" spans="1:18" s="272" customFormat="1" ht="46.5" hidden="1" thickTop="1" thickBot="1" x14ac:dyDescent="0.25">
      <c r="A72" s="911" t="s">
        <v>1097</v>
      </c>
      <c r="B72" s="911" t="s">
        <v>1098</v>
      </c>
      <c r="C72" s="911" t="s">
        <v>222</v>
      </c>
      <c r="D72" s="911" t="s">
        <v>1099</v>
      </c>
      <c r="E72" s="903">
        <f t="shared" si="43"/>
        <v>0</v>
      </c>
      <c r="F72" s="903"/>
      <c r="G72" s="903"/>
      <c r="H72" s="903"/>
      <c r="I72" s="903"/>
      <c r="J72" s="903">
        <f t="shared" si="44"/>
        <v>0</v>
      </c>
      <c r="K72" s="915">
        <f>10623233.82-10623233.82</f>
        <v>0</v>
      </c>
      <c r="L72" s="903"/>
      <c r="M72" s="903"/>
      <c r="N72" s="903"/>
      <c r="O72" s="906">
        <f t="shared" si="45"/>
        <v>0</v>
      </c>
      <c r="P72" s="903">
        <f t="shared" si="36"/>
        <v>0</v>
      </c>
      <c r="Q72" s="624"/>
      <c r="R72" s="255"/>
    </row>
    <row r="73" spans="1:18" s="272" customFormat="1" ht="46.5" hidden="1" thickTop="1" thickBot="1" x14ac:dyDescent="0.25">
      <c r="A73" s="905"/>
      <c r="B73" s="905"/>
      <c r="C73" s="905"/>
      <c r="D73" s="905"/>
      <c r="E73" s="905"/>
      <c r="F73" s="905"/>
      <c r="G73" s="905"/>
      <c r="H73" s="905"/>
      <c r="I73" s="905"/>
      <c r="J73" s="905"/>
      <c r="K73" s="916"/>
      <c r="L73" s="905"/>
      <c r="M73" s="905"/>
      <c r="N73" s="905"/>
      <c r="O73" s="908"/>
      <c r="P73" s="905"/>
      <c r="Q73" s="624"/>
      <c r="R73" s="255"/>
    </row>
    <row r="74" spans="1:18" s="272" customFormat="1" ht="321.75" thickTop="1" thickBot="1" x14ac:dyDescent="0.25">
      <c r="A74" s="864" t="s">
        <v>687</v>
      </c>
      <c r="B74" s="864" t="s">
        <v>688</v>
      </c>
      <c r="C74" s="864" t="s">
        <v>222</v>
      </c>
      <c r="D74" s="864" t="s">
        <v>689</v>
      </c>
      <c r="E74" s="860">
        <f t="shared" si="37"/>
        <v>4309556</v>
      </c>
      <c r="F74" s="444">
        <f>(4788308)-478752</f>
        <v>4309556</v>
      </c>
      <c r="G74" s="444">
        <f>(3924850)-392420</f>
        <v>3532430</v>
      </c>
      <c r="H74" s="444"/>
      <c r="I74" s="444"/>
      <c r="J74" s="860">
        <f t="shared" ref="J74:J75" si="46">L74+O74</f>
        <v>1530916</v>
      </c>
      <c r="K74" s="444">
        <f>(1701336)-170420</f>
        <v>1530916</v>
      </c>
      <c r="L74" s="444"/>
      <c r="M74" s="444"/>
      <c r="N74" s="444"/>
      <c r="O74" s="869">
        <f t="shared" ref="O74:O75" si="47">K74</f>
        <v>1530916</v>
      </c>
      <c r="P74" s="860">
        <f t="shared" ref="P74:P75" si="48">E74+J74</f>
        <v>5840472</v>
      </c>
      <c r="Q74" s="624"/>
      <c r="R74" s="255"/>
    </row>
    <row r="75" spans="1:18" s="272" customFormat="1" ht="321.75" hidden="1" thickTop="1" thickBot="1" x14ac:dyDescent="0.25">
      <c r="A75" s="873" t="s">
        <v>1006</v>
      </c>
      <c r="B75" s="873" t="s">
        <v>1007</v>
      </c>
      <c r="C75" s="873" t="s">
        <v>222</v>
      </c>
      <c r="D75" s="873" t="s">
        <v>1008</v>
      </c>
      <c r="E75" s="874">
        <f t="shared" si="37"/>
        <v>0</v>
      </c>
      <c r="F75" s="278"/>
      <c r="G75" s="278"/>
      <c r="H75" s="278"/>
      <c r="I75" s="278"/>
      <c r="J75" s="874">
        <f t="shared" si="46"/>
        <v>0</v>
      </c>
      <c r="K75" s="444"/>
      <c r="L75" s="278"/>
      <c r="M75" s="278"/>
      <c r="N75" s="278"/>
      <c r="O75" s="871">
        <f t="shared" si="47"/>
        <v>0</v>
      </c>
      <c r="P75" s="874">
        <f t="shared" si="48"/>
        <v>0</v>
      </c>
      <c r="Q75" s="624"/>
      <c r="R75" s="255"/>
    </row>
    <row r="76" spans="1:18" s="272" customFormat="1" ht="91.5" hidden="1" thickTop="1" thickBot="1" x14ac:dyDescent="0.25">
      <c r="A76" s="250" t="s">
        <v>753</v>
      </c>
      <c r="B76" s="250" t="s">
        <v>754</v>
      </c>
      <c r="C76" s="250"/>
      <c r="D76" s="250" t="s">
        <v>755</v>
      </c>
      <c r="E76" s="874">
        <f>SUM(E77)</f>
        <v>0</v>
      </c>
      <c r="F76" s="874">
        <f t="shared" ref="F76:O76" si="49">SUM(F77)</f>
        <v>0</v>
      </c>
      <c r="G76" s="874">
        <f t="shared" si="49"/>
        <v>0</v>
      </c>
      <c r="H76" s="874">
        <f t="shared" si="49"/>
        <v>0</v>
      </c>
      <c r="I76" s="874">
        <f t="shared" si="49"/>
        <v>0</v>
      </c>
      <c r="J76" s="874">
        <f t="shared" si="49"/>
        <v>0</v>
      </c>
      <c r="K76" s="860">
        <f t="shared" si="49"/>
        <v>0</v>
      </c>
      <c r="L76" s="874">
        <f t="shared" si="49"/>
        <v>0</v>
      </c>
      <c r="M76" s="874">
        <f t="shared" si="49"/>
        <v>0</v>
      </c>
      <c r="N76" s="874">
        <f t="shared" si="49"/>
        <v>0</v>
      </c>
      <c r="O76" s="874">
        <f t="shared" si="49"/>
        <v>0</v>
      </c>
      <c r="P76" s="874">
        <f>SUM(P77)</f>
        <v>0</v>
      </c>
      <c r="Q76" s="624"/>
      <c r="R76" s="255"/>
    </row>
    <row r="77" spans="1:18" s="272" customFormat="1" ht="367.5" hidden="1" thickTop="1" thickBot="1" x14ac:dyDescent="0.25">
      <c r="A77" s="873" t="s">
        <v>447</v>
      </c>
      <c r="B77" s="873" t="s">
        <v>448</v>
      </c>
      <c r="C77" s="873" t="s">
        <v>197</v>
      </c>
      <c r="D77" s="873" t="s">
        <v>446</v>
      </c>
      <c r="E77" s="874">
        <f t="shared" si="37"/>
        <v>0</v>
      </c>
      <c r="F77" s="278">
        <f>(2688000)-2688000</f>
        <v>0</v>
      </c>
      <c r="G77" s="278"/>
      <c r="H77" s="278"/>
      <c r="I77" s="278"/>
      <c r="J77" s="874">
        <f>L77+O77</f>
        <v>0</v>
      </c>
      <c r="K77" s="444"/>
      <c r="L77" s="278"/>
      <c r="M77" s="278"/>
      <c r="N77" s="278"/>
      <c r="O77" s="871">
        <f>K77</f>
        <v>0</v>
      </c>
      <c r="P77" s="874">
        <f>E77+J77</f>
        <v>0</v>
      </c>
      <c r="Q77" s="624"/>
      <c r="R77" s="284"/>
    </row>
    <row r="78" spans="1:18" s="272" customFormat="1" ht="230.25" hidden="1" thickTop="1" thickBot="1" x14ac:dyDescent="0.25">
      <c r="A78" s="279" t="s">
        <v>1082</v>
      </c>
      <c r="B78" s="279" t="s">
        <v>1084</v>
      </c>
      <c r="C78" s="279"/>
      <c r="D78" s="279" t="s">
        <v>1086</v>
      </c>
      <c r="E78" s="275">
        <f t="shared" si="37"/>
        <v>0</v>
      </c>
      <c r="F78" s="275">
        <f>SUM(F79:F80)</f>
        <v>0</v>
      </c>
      <c r="G78" s="275">
        <f>SUM(G79:G80)</f>
        <v>0</v>
      </c>
      <c r="H78" s="275">
        <f>SUM(H79:H80)</f>
        <v>0</v>
      </c>
      <c r="I78" s="275">
        <f>SUM(I79:I80)</f>
        <v>0</v>
      </c>
      <c r="J78" s="275">
        <f>L78+O78</f>
        <v>0</v>
      </c>
      <c r="K78" s="472">
        <f>SUM(K79:K80)</f>
        <v>0</v>
      </c>
      <c r="L78" s="275">
        <f>SUM(L79:L80)</f>
        <v>0</v>
      </c>
      <c r="M78" s="275">
        <f>SUM(M79:M80)</f>
        <v>0</v>
      </c>
      <c r="N78" s="275">
        <f>SUM(N79:N80)</f>
        <v>0</v>
      </c>
      <c r="O78" s="275">
        <f>SUM(O79:O80)</f>
        <v>0</v>
      </c>
      <c r="P78" s="275">
        <f>E78+J78</f>
        <v>0</v>
      </c>
      <c r="Q78" s="624"/>
      <c r="R78" s="284"/>
    </row>
    <row r="79" spans="1:18" s="272" customFormat="1" ht="367.5" hidden="1" thickTop="1" thickBot="1" x14ac:dyDescent="0.25">
      <c r="A79" s="873" t="s">
        <v>1083</v>
      </c>
      <c r="B79" s="873" t="s">
        <v>1085</v>
      </c>
      <c r="C79" s="873" t="s">
        <v>222</v>
      </c>
      <c r="D79" s="873" t="s">
        <v>1087</v>
      </c>
      <c r="E79" s="874">
        <f t="shared" si="37"/>
        <v>0</v>
      </c>
      <c r="F79" s="278"/>
      <c r="G79" s="278"/>
      <c r="H79" s="278"/>
      <c r="I79" s="278"/>
      <c r="J79" s="874">
        <f t="shared" ref="J79:J80" si="50">L79+O79</f>
        <v>0</v>
      </c>
      <c r="K79" s="444"/>
      <c r="L79" s="278"/>
      <c r="M79" s="278"/>
      <c r="N79" s="278"/>
      <c r="O79" s="871">
        <f t="shared" ref="O79:O80" si="51">K79</f>
        <v>0</v>
      </c>
      <c r="P79" s="874">
        <f>E79+J79</f>
        <v>0</v>
      </c>
      <c r="Q79" s="624"/>
      <c r="R79" s="255"/>
    </row>
    <row r="80" spans="1:18" s="272" customFormat="1" ht="321.75" hidden="1" thickTop="1" thickBot="1" x14ac:dyDescent="0.25">
      <c r="A80" s="873" t="s">
        <v>1138</v>
      </c>
      <c r="B80" s="873" t="s">
        <v>1139</v>
      </c>
      <c r="C80" s="873" t="s">
        <v>222</v>
      </c>
      <c r="D80" s="873" t="s">
        <v>1137</v>
      </c>
      <c r="E80" s="874">
        <f t="shared" si="37"/>
        <v>0</v>
      </c>
      <c r="F80" s="278">
        <f>(553900)-553900</f>
        <v>0</v>
      </c>
      <c r="G80" s="278"/>
      <c r="H80" s="278"/>
      <c r="I80" s="278"/>
      <c r="J80" s="874">
        <f t="shared" si="50"/>
        <v>0</v>
      </c>
      <c r="K80" s="444"/>
      <c r="L80" s="278"/>
      <c r="M80" s="278"/>
      <c r="N80" s="278"/>
      <c r="O80" s="871">
        <f t="shared" si="51"/>
        <v>0</v>
      </c>
      <c r="P80" s="874">
        <f>E80+J80</f>
        <v>0</v>
      </c>
      <c r="Q80" s="624"/>
      <c r="R80" s="255"/>
    </row>
    <row r="81" spans="1:18" s="272" customFormat="1" ht="47.25" thickTop="1" thickBot="1" x14ac:dyDescent="0.25">
      <c r="A81" s="151" t="s">
        <v>1192</v>
      </c>
      <c r="B81" s="151" t="s">
        <v>792</v>
      </c>
      <c r="C81" s="151"/>
      <c r="D81" s="151" t="s">
        <v>1191</v>
      </c>
      <c r="E81" s="860">
        <f>E82+E85</f>
        <v>0</v>
      </c>
      <c r="F81" s="860">
        <f t="shared" ref="F81:P81" si="52">F82+F85</f>
        <v>0</v>
      </c>
      <c r="G81" s="860">
        <f t="shared" si="52"/>
        <v>0</v>
      </c>
      <c r="H81" s="860">
        <f t="shared" si="52"/>
        <v>0</v>
      </c>
      <c r="I81" s="860">
        <f t="shared" si="52"/>
        <v>0</v>
      </c>
      <c r="J81" s="860">
        <f t="shared" si="52"/>
        <v>53898000</v>
      </c>
      <c r="K81" s="860">
        <f t="shared" si="52"/>
        <v>53898000</v>
      </c>
      <c r="L81" s="860">
        <f t="shared" si="52"/>
        <v>0</v>
      </c>
      <c r="M81" s="860">
        <f t="shared" si="52"/>
        <v>0</v>
      </c>
      <c r="N81" s="860">
        <f t="shared" si="52"/>
        <v>0</v>
      </c>
      <c r="O81" s="860">
        <f t="shared" si="52"/>
        <v>53898000</v>
      </c>
      <c r="P81" s="860">
        <f t="shared" si="52"/>
        <v>53898000</v>
      </c>
      <c r="Q81" s="624"/>
      <c r="R81" s="255"/>
    </row>
    <row r="82" spans="1:18" s="272" customFormat="1" ht="91.5" thickTop="1" thickBot="1" x14ac:dyDescent="0.25">
      <c r="A82" s="467" t="s">
        <v>1190</v>
      </c>
      <c r="B82" s="467" t="s">
        <v>848</v>
      </c>
      <c r="C82" s="467"/>
      <c r="D82" s="467" t="s">
        <v>849</v>
      </c>
      <c r="E82" s="468">
        <f>E83</f>
        <v>0</v>
      </c>
      <c r="F82" s="468">
        <f t="shared" ref="F82:P83" si="53">F83</f>
        <v>0</v>
      </c>
      <c r="G82" s="468">
        <f t="shared" si="53"/>
        <v>0</v>
      </c>
      <c r="H82" s="468">
        <f t="shared" si="53"/>
        <v>0</v>
      </c>
      <c r="I82" s="468">
        <f t="shared" si="53"/>
        <v>0</v>
      </c>
      <c r="J82" s="468">
        <f t="shared" si="53"/>
        <v>3068000</v>
      </c>
      <c r="K82" s="468">
        <f t="shared" si="53"/>
        <v>3068000</v>
      </c>
      <c r="L82" s="468">
        <f t="shared" si="53"/>
        <v>0</v>
      </c>
      <c r="M82" s="468">
        <f t="shared" si="53"/>
        <v>0</v>
      </c>
      <c r="N82" s="468">
        <f t="shared" si="53"/>
        <v>0</v>
      </c>
      <c r="O82" s="468">
        <f t="shared" si="53"/>
        <v>3068000</v>
      </c>
      <c r="P82" s="468">
        <f t="shared" si="53"/>
        <v>3068000</v>
      </c>
      <c r="Q82" s="624"/>
      <c r="R82" s="255"/>
    </row>
    <row r="83" spans="1:18" s="272" customFormat="1" ht="145.5" thickTop="1" thickBot="1" x14ac:dyDescent="0.25">
      <c r="A83" s="489" t="s">
        <v>1193</v>
      </c>
      <c r="B83" s="489" t="s">
        <v>867</v>
      </c>
      <c r="C83" s="489"/>
      <c r="D83" s="489" t="s">
        <v>1194</v>
      </c>
      <c r="E83" s="472">
        <f>E84</f>
        <v>0</v>
      </c>
      <c r="F83" s="472">
        <f t="shared" si="53"/>
        <v>0</v>
      </c>
      <c r="G83" s="472">
        <f t="shared" si="53"/>
        <v>0</v>
      </c>
      <c r="H83" s="472">
        <f t="shared" si="53"/>
        <v>0</v>
      </c>
      <c r="I83" s="472">
        <f t="shared" si="53"/>
        <v>0</v>
      </c>
      <c r="J83" s="472">
        <f t="shared" si="53"/>
        <v>3068000</v>
      </c>
      <c r="K83" s="472">
        <f t="shared" si="53"/>
        <v>3068000</v>
      </c>
      <c r="L83" s="472">
        <f t="shared" si="53"/>
        <v>0</v>
      </c>
      <c r="M83" s="472">
        <f t="shared" si="53"/>
        <v>0</v>
      </c>
      <c r="N83" s="472">
        <f t="shared" si="53"/>
        <v>0</v>
      </c>
      <c r="O83" s="472">
        <f t="shared" si="53"/>
        <v>3068000</v>
      </c>
      <c r="P83" s="472">
        <f t="shared" si="53"/>
        <v>3068000</v>
      </c>
      <c r="Q83" s="624"/>
      <c r="R83" s="255"/>
    </row>
    <row r="84" spans="1:18" s="272" customFormat="1" ht="99.75" thickTop="1" thickBot="1" x14ac:dyDescent="0.25">
      <c r="A84" s="864" t="s">
        <v>1206</v>
      </c>
      <c r="B84" s="489" t="s">
        <v>324</v>
      </c>
      <c r="C84" s="864" t="s">
        <v>317</v>
      </c>
      <c r="D84" s="864" t="s">
        <v>665</v>
      </c>
      <c r="E84" s="860">
        <f t="shared" ref="E84" si="54">F84</f>
        <v>0</v>
      </c>
      <c r="F84" s="444"/>
      <c r="G84" s="444"/>
      <c r="H84" s="444"/>
      <c r="I84" s="444"/>
      <c r="J84" s="860">
        <f t="shared" ref="J84" si="55">L84+O84</f>
        <v>3068000</v>
      </c>
      <c r="K84" s="444">
        <f>(700000+200000+1168000+300000+700000)</f>
        <v>3068000</v>
      </c>
      <c r="L84" s="444"/>
      <c r="M84" s="444"/>
      <c r="N84" s="444"/>
      <c r="O84" s="869">
        <f t="shared" ref="O84" si="56">K84</f>
        <v>3068000</v>
      </c>
      <c r="P84" s="860">
        <f>E84+J84</f>
        <v>3068000</v>
      </c>
      <c r="Q84" s="617"/>
      <c r="R84" s="255"/>
    </row>
    <row r="85" spans="1:18" s="272" customFormat="1" ht="136.5" thickTop="1" thickBot="1" x14ac:dyDescent="0.25">
      <c r="A85" s="467" t="s">
        <v>1195</v>
      </c>
      <c r="B85" s="467" t="s">
        <v>734</v>
      </c>
      <c r="C85" s="467"/>
      <c r="D85" s="467" t="s">
        <v>732</v>
      </c>
      <c r="E85" s="468">
        <f>E86</f>
        <v>0</v>
      </c>
      <c r="F85" s="468">
        <f t="shared" ref="F85:P85" si="57">F86</f>
        <v>0</v>
      </c>
      <c r="G85" s="468">
        <f t="shared" si="57"/>
        <v>0</v>
      </c>
      <c r="H85" s="468">
        <f t="shared" si="57"/>
        <v>0</v>
      </c>
      <c r="I85" s="468">
        <f t="shared" si="57"/>
        <v>0</v>
      </c>
      <c r="J85" s="468">
        <f t="shared" si="57"/>
        <v>50830000</v>
      </c>
      <c r="K85" s="468">
        <f t="shared" si="57"/>
        <v>50830000</v>
      </c>
      <c r="L85" s="468">
        <f t="shared" si="57"/>
        <v>0</v>
      </c>
      <c r="M85" s="468">
        <f t="shared" si="57"/>
        <v>0</v>
      </c>
      <c r="N85" s="468">
        <f t="shared" si="57"/>
        <v>0</v>
      </c>
      <c r="O85" s="468">
        <f t="shared" si="57"/>
        <v>50830000</v>
      </c>
      <c r="P85" s="468">
        <f t="shared" si="57"/>
        <v>50830000</v>
      </c>
      <c r="Q85" s="617"/>
      <c r="R85" s="255"/>
    </row>
    <row r="86" spans="1:18" s="272" customFormat="1" ht="48" thickTop="1" thickBot="1" x14ac:dyDescent="0.25">
      <c r="A86" s="864" t="s">
        <v>1196</v>
      </c>
      <c r="B86" s="489" t="s">
        <v>224</v>
      </c>
      <c r="C86" s="864" t="s">
        <v>225</v>
      </c>
      <c r="D86" s="864" t="s">
        <v>43</v>
      </c>
      <c r="E86" s="860">
        <f t="shared" ref="E86" si="58">F86</f>
        <v>0</v>
      </c>
      <c r="F86" s="444"/>
      <c r="G86" s="444"/>
      <c r="H86" s="444"/>
      <c r="I86" s="444"/>
      <c r="J86" s="860">
        <f t="shared" ref="J86" si="59">L86+O86</f>
        <v>50830000</v>
      </c>
      <c r="K86" s="444">
        <v>50830000</v>
      </c>
      <c r="L86" s="444"/>
      <c r="M86" s="444"/>
      <c r="N86" s="444"/>
      <c r="O86" s="869">
        <f t="shared" ref="O86" si="60">K86</f>
        <v>50830000</v>
      </c>
      <c r="P86" s="860">
        <f>E86+J86</f>
        <v>50830000</v>
      </c>
      <c r="Q86" s="617"/>
      <c r="R86" s="255"/>
    </row>
    <row r="87" spans="1:18" s="272" customFormat="1" ht="47.25" hidden="1" thickTop="1" thickBot="1" x14ac:dyDescent="0.25">
      <c r="A87" s="250" t="s">
        <v>1111</v>
      </c>
      <c r="B87" s="250" t="s">
        <v>745</v>
      </c>
      <c r="C87" s="250"/>
      <c r="D87" s="250" t="s">
        <v>746</v>
      </c>
      <c r="E87" s="874">
        <f>E88</f>
        <v>0</v>
      </c>
      <c r="F87" s="874">
        <f t="shared" ref="F87:P88" si="61">F88</f>
        <v>0</v>
      </c>
      <c r="G87" s="874">
        <f t="shared" si="61"/>
        <v>0</v>
      </c>
      <c r="H87" s="874">
        <f t="shared" si="61"/>
        <v>0</v>
      </c>
      <c r="I87" s="874">
        <f t="shared" si="61"/>
        <v>0</v>
      </c>
      <c r="J87" s="874">
        <f t="shared" si="61"/>
        <v>0</v>
      </c>
      <c r="K87" s="874">
        <f t="shared" si="61"/>
        <v>0</v>
      </c>
      <c r="L87" s="874">
        <f t="shared" si="61"/>
        <v>0</v>
      </c>
      <c r="M87" s="874">
        <f t="shared" si="61"/>
        <v>0</v>
      </c>
      <c r="N87" s="874">
        <f t="shared" si="61"/>
        <v>0</v>
      </c>
      <c r="O87" s="874">
        <f t="shared" si="61"/>
        <v>0</v>
      </c>
      <c r="P87" s="874">
        <f t="shared" si="61"/>
        <v>0</v>
      </c>
      <c r="Q87" s="624"/>
      <c r="R87" s="255"/>
    </row>
    <row r="88" spans="1:18" s="272" customFormat="1" ht="271.5" hidden="1" thickTop="1" thickBot="1" x14ac:dyDescent="0.25">
      <c r="A88" s="253" t="s">
        <v>1112</v>
      </c>
      <c r="B88" s="253" t="s">
        <v>748</v>
      </c>
      <c r="C88" s="253"/>
      <c r="D88" s="253" t="s">
        <v>749</v>
      </c>
      <c r="E88" s="270">
        <f>E89</f>
        <v>0</v>
      </c>
      <c r="F88" s="270">
        <f t="shared" si="61"/>
        <v>0</v>
      </c>
      <c r="G88" s="270">
        <f t="shared" si="61"/>
        <v>0</v>
      </c>
      <c r="H88" s="270">
        <f t="shared" si="61"/>
        <v>0</v>
      </c>
      <c r="I88" s="270">
        <f t="shared" si="61"/>
        <v>0</v>
      </c>
      <c r="J88" s="270">
        <f t="shared" si="61"/>
        <v>0</v>
      </c>
      <c r="K88" s="270">
        <f t="shared" si="61"/>
        <v>0</v>
      </c>
      <c r="L88" s="270">
        <f t="shared" si="61"/>
        <v>0</v>
      </c>
      <c r="M88" s="270">
        <f t="shared" si="61"/>
        <v>0</v>
      </c>
      <c r="N88" s="270">
        <f t="shared" si="61"/>
        <v>0</v>
      </c>
      <c r="O88" s="270">
        <f t="shared" si="61"/>
        <v>0</v>
      </c>
      <c r="P88" s="270">
        <f t="shared" si="61"/>
        <v>0</v>
      </c>
      <c r="Q88" s="624"/>
      <c r="R88" s="255"/>
    </row>
    <row r="89" spans="1:18" s="272" customFormat="1" ht="93" hidden="1" thickTop="1" thickBot="1" x14ac:dyDescent="0.25">
      <c r="A89" s="873" t="s">
        <v>1113</v>
      </c>
      <c r="B89" s="873" t="s">
        <v>377</v>
      </c>
      <c r="C89" s="873" t="s">
        <v>45</v>
      </c>
      <c r="D89" s="873" t="s">
        <v>378</v>
      </c>
      <c r="E89" s="874">
        <f t="shared" ref="E89" si="62">F89</f>
        <v>0</v>
      </c>
      <c r="F89" s="278"/>
      <c r="G89" s="278"/>
      <c r="H89" s="278"/>
      <c r="I89" s="278"/>
      <c r="J89" s="874">
        <f>L89+O89</f>
        <v>0</v>
      </c>
      <c r="K89" s="278"/>
      <c r="L89" s="278"/>
      <c r="M89" s="278"/>
      <c r="N89" s="278"/>
      <c r="O89" s="871">
        <f>K89</f>
        <v>0</v>
      </c>
      <c r="P89" s="874">
        <f>E89+J89</f>
        <v>0</v>
      </c>
      <c r="Q89" s="624"/>
      <c r="R89" s="255"/>
    </row>
    <row r="90" spans="1:18" ht="136.5" thickTop="1" thickBot="1" x14ac:dyDescent="0.25">
      <c r="A90" s="828" t="s">
        <v>162</v>
      </c>
      <c r="B90" s="828"/>
      <c r="C90" s="828"/>
      <c r="D90" s="829" t="s">
        <v>18</v>
      </c>
      <c r="E90" s="830">
        <f>E91</f>
        <v>101530891</v>
      </c>
      <c r="F90" s="831">
        <f t="shared" ref="F90:G90" si="63">F91</f>
        <v>101530891</v>
      </c>
      <c r="G90" s="831">
        <f t="shared" si="63"/>
        <v>4688000</v>
      </c>
      <c r="H90" s="831">
        <f>H91</f>
        <v>299231</v>
      </c>
      <c r="I90" s="831">
        <f t="shared" ref="I90" si="64">I91</f>
        <v>0</v>
      </c>
      <c r="J90" s="830">
        <f>J91</f>
        <v>10720856</v>
      </c>
      <c r="K90" s="831">
        <f>K91</f>
        <v>10720856</v>
      </c>
      <c r="L90" s="831">
        <f>L91</f>
        <v>0</v>
      </c>
      <c r="M90" s="831">
        <f t="shared" ref="M90" si="65">M91</f>
        <v>0</v>
      </c>
      <c r="N90" s="831">
        <f>N91</f>
        <v>0</v>
      </c>
      <c r="O90" s="830">
        <f>O91</f>
        <v>10720856</v>
      </c>
      <c r="P90" s="831">
        <f>P91</f>
        <v>112251747</v>
      </c>
    </row>
    <row r="91" spans="1:18" ht="136.5" thickTop="1" thickBot="1" x14ac:dyDescent="0.25">
      <c r="A91" s="832" t="s">
        <v>163</v>
      </c>
      <c r="B91" s="832"/>
      <c r="C91" s="832"/>
      <c r="D91" s="833" t="s">
        <v>38</v>
      </c>
      <c r="E91" s="834">
        <f>E92+E94+E109+E107</f>
        <v>101530891</v>
      </c>
      <c r="F91" s="834">
        <f t="shared" ref="F91:P91" si="66">F92+F94+F109+F107</f>
        <v>101530891</v>
      </c>
      <c r="G91" s="834">
        <f t="shared" si="66"/>
        <v>4688000</v>
      </c>
      <c r="H91" s="834">
        <f t="shared" si="66"/>
        <v>299231</v>
      </c>
      <c r="I91" s="834">
        <f t="shared" si="66"/>
        <v>0</v>
      </c>
      <c r="J91" s="834">
        <f t="shared" si="66"/>
        <v>10720856</v>
      </c>
      <c r="K91" s="834">
        <f t="shared" si="66"/>
        <v>10720856</v>
      </c>
      <c r="L91" s="834">
        <f t="shared" si="66"/>
        <v>0</v>
      </c>
      <c r="M91" s="834">
        <f t="shared" si="66"/>
        <v>0</v>
      </c>
      <c r="N91" s="834">
        <f t="shared" si="66"/>
        <v>0</v>
      </c>
      <c r="O91" s="834">
        <f t="shared" si="66"/>
        <v>10720856</v>
      </c>
      <c r="P91" s="834">
        <f t="shared" si="66"/>
        <v>112251747</v>
      </c>
      <c r="Q91" s="617" t="b">
        <f>P91=P93+P95+P96+P97+P98+P99+P101+P103+P105+P106+P116+P114+P112+P108</f>
        <v>1</v>
      </c>
      <c r="R91" s="255"/>
    </row>
    <row r="92" spans="1:18" ht="47.25" thickTop="1" thickBot="1" x14ac:dyDescent="0.25">
      <c r="A92" s="151" t="s">
        <v>756</v>
      </c>
      <c r="B92" s="151" t="s">
        <v>727</v>
      </c>
      <c r="C92" s="151"/>
      <c r="D92" s="151" t="s">
        <v>728</v>
      </c>
      <c r="E92" s="860">
        <f>SUM(E93)</f>
        <v>2867421</v>
      </c>
      <c r="F92" s="860">
        <f t="shared" ref="F92:O92" si="67">SUM(F93)</f>
        <v>2867421</v>
      </c>
      <c r="G92" s="860">
        <f t="shared" si="67"/>
        <v>2136700</v>
      </c>
      <c r="H92" s="860">
        <f t="shared" si="67"/>
        <v>147221</v>
      </c>
      <c r="I92" s="860">
        <f t="shared" si="67"/>
        <v>0</v>
      </c>
      <c r="J92" s="860">
        <f t="shared" si="67"/>
        <v>0</v>
      </c>
      <c r="K92" s="860">
        <f t="shared" si="67"/>
        <v>0</v>
      </c>
      <c r="L92" s="860">
        <f t="shared" si="67"/>
        <v>0</v>
      </c>
      <c r="M92" s="860">
        <f t="shared" si="67"/>
        <v>0</v>
      </c>
      <c r="N92" s="860">
        <f t="shared" si="67"/>
        <v>0</v>
      </c>
      <c r="O92" s="860">
        <f t="shared" si="67"/>
        <v>0</v>
      </c>
      <c r="P92" s="860">
        <f>SUM(P93)</f>
        <v>2867421</v>
      </c>
      <c r="Q92" s="617"/>
      <c r="R92" s="255"/>
    </row>
    <row r="93" spans="1:18" ht="230.25" thickTop="1" thickBot="1" x14ac:dyDescent="0.25">
      <c r="A93" s="864" t="s">
        <v>432</v>
      </c>
      <c r="B93" s="864" t="s">
        <v>248</v>
      </c>
      <c r="C93" s="864" t="s">
        <v>246</v>
      </c>
      <c r="D93" s="864" t="s">
        <v>247</v>
      </c>
      <c r="E93" s="860">
        <f>F93</f>
        <v>2867421</v>
      </c>
      <c r="F93" s="444">
        <v>2867421</v>
      </c>
      <c r="G93" s="444">
        <v>2136700</v>
      </c>
      <c r="H93" s="444">
        <f>2100+55721+89400</f>
        <v>147221</v>
      </c>
      <c r="I93" s="444"/>
      <c r="J93" s="860">
        <f t="shared" ref="J93:J117" si="68">L93+O93</f>
        <v>0</v>
      </c>
      <c r="K93" s="444">
        <f>100000-100000</f>
        <v>0</v>
      </c>
      <c r="L93" s="444"/>
      <c r="M93" s="444"/>
      <c r="N93" s="444"/>
      <c r="O93" s="869">
        <f>K93</f>
        <v>0</v>
      </c>
      <c r="P93" s="860">
        <f t="shared" ref="P93:P117" si="69">E93+J93</f>
        <v>2867421</v>
      </c>
      <c r="Q93" s="626"/>
      <c r="R93" s="255"/>
    </row>
    <row r="94" spans="1:18" ht="47.25" thickTop="1" thickBot="1" x14ac:dyDescent="0.25">
      <c r="A94" s="151" t="s">
        <v>757</v>
      </c>
      <c r="B94" s="151" t="s">
        <v>758</v>
      </c>
      <c r="C94" s="151"/>
      <c r="D94" s="151" t="s">
        <v>759</v>
      </c>
      <c r="E94" s="860">
        <f>SUM(E95:E106)-E100-E102-E104</f>
        <v>98563470</v>
      </c>
      <c r="F94" s="860">
        <f t="shared" ref="F94:P94" si="70">SUM(F95:F106)-F100-F102-F104</f>
        <v>98563470</v>
      </c>
      <c r="G94" s="860">
        <f t="shared" si="70"/>
        <v>2551300</v>
      </c>
      <c r="H94" s="860">
        <f t="shared" si="70"/>
        <v>152010</v>
      </c>
      <c r="I94" s="860">
        <f t="shared" si="70"/>
        <v>0</v>
      </c>
      <c r="J94" s="860">
        <f t="shared" si="70"/>
        <v>10420856</v>
      </c>
      <c r="K94" s="860">
        <f t="shared" si="70"/>
        <v>10420856</v>
      </c>
      <c r="L94" s="860">
        <f t="shared" si="70"/>
        <v>0</v>
      </c>
      <c r="M94" s="860">
        <f t="shared" si="70"/>
        <v>0</v>
      </c>
      <c r="N94" s="860">
        <f t="shared" si="70"/>
        <v>0</v>
      </c>
      <c r="O94" s="860">
        <f t="shared" si="70"/>
        <v>10420856</v>
      </c>
      <c r="P94" s="860">
        <f t="shared" si="70"/>
        <v>108984326</v>
      </c>
      <c r="Q94" s="626"/>
      <c r="R94" s="284"/>
    </row>
    <row r="95" spans="1:18" ht="93" thickTop="1" thickBot="1" x14ac:dyDescent="0.25">
      <c r="A95" s="864" t="s">
        <v>226</v>
      </c>
      <c r="B95" s="864" t="s">
        <v>223</v>
      </c>
      <c r="C95" s="864" t="s">
        <v>227</v>
      </c>
      <c r="D95" s="864" t="s">
        <v>19</v>
      </c>
      <c r="E95" s="860">
        <f>F95</f>
        <v>35402605</v>
      </c>
      <c r="F95" s="444">
        <f>(25352605)+9100000+250000+700000</f>
        <v>35402605</v>
      </c>
      <c r="G95" s="444"/>
      <c r="H95" s="444"/>
      <c r="I95" s="444"/>
      <c r="J95" s="860">
        <f t="shared" si="68"/>
        <v>7064956</v>
      </c>
      <c r="K95" s="444">
        <f>(360000+178700+400000+5000000+500000)+626256</f>
        <v>7064956</v>
      </c>
      <c r="L95" s="444"/>
      <c r="M95" s="444"/>
      <c r="N95" s="444"/>
      <c r="O95" s="869">
        <f>K95</f>
        <v>7064956</v>
      </c>
      <c r="P95" s="860">
        <f t="shared" si="69"/>
        <v>42467561</v>
      </c>
      <c r="R95" s="267"/>
    </row>
    <row r="96" spans="1:18" ht="93" thickTop="1" thickBot="1" x14ac:dyDescent="0.25">
      <c r="A96" s="864" t="s">
        <v>523</v>
      </c>
      <c r="B96" s="864" t="s">
        <v>526</v>
      </c>
      <c r="C96" s="864" t="s">
        <v>525</v>
      </c>
      <c r="D96" s="864" t="s">
        <v>524</v>
      </c>
      <c r="E96" s="860">
        <f>F96</f>
        <v>13091450</v>
      </c>
      <c r="F96" s="444">
        <f>(8991450)+1800000+200000+2000000+100000</f>
        <v>13091450</v>
      </c>
      <c r="G96" s="444"/>
      <c r="H96" s="444"/>
      <c r="I96" s="444"/>
      <c r="J96" s="860">
        <f t="shared" si="68"/>
        <v>2655900</v>
      </c>
      <c r="K96" s="444">
        <f>(500000+200000)+1955900</f>
        <v>2655900</v>
      </c>
      <c r="L96" s="444"/>
      <c r="M96" s="444"/>
      <c r="N96" s="444"/>
      <c r="O96" s="869">
        <f>K96</f>
        <v>2655900</v>
      </c>
      <c r="P96" s="860">
        <f t="shared" si="69"/>
        <v>15747350</v>
      </c>
      <c r="R96" s="284"/>
    </row>
    <row r="97" spans="1:18" ht="138.75" thickTop="1" thickBot="1" x14ac:dyDescent="0.25">
      <c r="A97" s="864" t="s">
        <v>228</v>
      </c>
      <c r="B97" s="864" t="s">
        <v>229</v>
      </c>
      <c r="C97" s="864" t="s">
        <v>230</v>
      </c>
      <c r="D97" s="864" t="s">
        <v>231</v>
      </c>
      <c r="E97" s="860">
        <f t="shared" ref="E97:E117" si="71">F97</f>
        <v>9129950</v>
      </c>
      <c r="F97" s="444">
        <f>(8354950)+775000</f>
        <v>9129950</v>
      </c>
      <c r="G97" s="444"/>
      <c r="H97" s="444"/>
      <c r="I97" s="444"/>
      <c r="J97" s="860">
        <f t="shared" si="68"/>
        <v>500000</v>
      </c>
      <c r="K97" s="444">
        <v>500000</v>
      </c>
      <c r="L97" s="444"/>
      <c r="M97" s="444"/>
      <c r="N97" s="444"/>
      <c r="O97" s="869">
        <f>K97</f>
        <v>500000</v>
      </c>
      <c r="P97" s="860">
        <f t="shared" si="69"/>
        <v>9629950</v>
      </c>
      <c r="R97" s="284"/>
    </row>
    <row r="98" spans="1:18" ht="138.75" thickTop="1" thickBot="1" x14ac:dyDescent="0.25">
      <c r="A98" s="864" t="s">
        <v>232</v>
      </c>
      <c r="B98" s="864" t="s">
        <v>233</v>
      </c>
      <c r="C98" s="864" t="s">
        <v>234</v>
      </c>
      <c r="D98" s="864" t="s">
        <v>359</v>
      </c>
      <c r="E98" s="860">
        <f t="shared" si="71"/>
        <v>11569670</v>
      </c>
      <c r="F98" s="444">
        <v>11569670</v>
      </c>
      <c r="G98" s="444"/>
      <c r="H98" s="444"/>
      <c r="I98" s="444"/>
      <c r="J98" s="860">
        <f t="shared" si="68"/>
        <v>0</v>
      </c>
      <c r="K98" s="444"/>
      <c r="L98" s="444"/>
      <c r="M98" s="444"/>
      <c r="N98" s="444"/>
      <c r="O98" s="869">
        <f>K98</f>
        <v>0</v>
      </c>
      <c r="P98" s="860">
        <f t="shared" si="69"/>
        <v>11569670</v>
      </c>
      <c r="R98" s="284"/>
    </row>
    <row r="99" spans="1:18" ht="93" thickTop="1" thickBot="1" x14ac:dyDescent="0.25">
      <c r="A99" s="864" t="s">
        <v>235</v>
      </c>
      <c r="B99" s="864" t="s">
        <v>236</v>
      </c>
      <c r="C99" s="864" t="s">
        <v>237</v>
      </c>
      <c r="D99" s="864" t="s">
        <v>238</v>
      </c>
      <c r="E99" s="860">
        <f t="shared" si="71"/>
        <v>7556300</v>
      </c>
      <c r="F99" s="444">
        <v>7556300</v>
      </c>
      <c r="G99" s="444"/>
      <c r="H99" s="444"/>
      <c r="I99" s="444"/>
      <c r="J99" s="860">
        <f t="shared" si="68"/>
        <v>200000</v>
      </c>
      <c r="K99" s="444">
        <v>200000</v>
      </c>
      <c r="L99" s="444"/>
      <c r="M99" s="444"/>
      <c r="N99" s="444"/>
      <c r="O99" s="869">
        <f>K99</f>
        <v>200000</v>
      </c>
      <c r="P99" s="860">
        <f t="shared" si="69"/>
        <v>7756300</v>
      </c>
      <c r="R99" s="284"/>
    </row>
    <row r="100" spans="1:18" ht="93" thickTop="1" thickBot="1" x14ac:dyDescent="0.25">
      <c r="A100" s="489" t="s">
        <v>760</v>
      </c>
      <c r="B100" s="489" t="s">
        <v>761</v>
      </c>
      <c r="C100" s="489"/>
      <c r="D100" s="489" t="s">
        <v>762</v>
      </c>
      <c r="E100" s="472">
        <f>E101</f>
        <v>14204885</v>
      </c>
      <c r="F100" s="472">
        <f t="shared" ref="F100:P100" si="72">F101</f>
        <v>14204885</v>
      </c>
      <c r="G100" s="472">
        <f t="shared" si="72"/>
        <v>0</v>
      </c>
      <c r="H100" s="472">
        <f t="shared" si="72"/>
        <v>0</v>
      </c>
      <c r="I100" s="472">
        <f t="shared" si="72"/>
        <v>0</v>
      </c>
      <c r="J100" s="472">
        <f t="shared" si="72"/>
        <v>0</v>
      </c>
      <c r="K100" s="472">
        <f t="shared" si="72"/>
        <v>0</v>
      </c>
      <c r="L100" s="472">
        <f t="shared" si="72"/>
        <v>0</v>
      </c>
      <c r="M100" s="472">
        <f t="shared" si="72"/>
        <v>0</v>
      </c>
      <c r="N100" s="472">
        <f t="shared" si="72"/>
        <v>0</v>
      </c>
      <c r="O100" s="472">
        <f t="shared" si="72"/>
        <v>0</v>
      </c>
      <c r="P100" s="472">
        <f t="shared" si="72"/>
        <v>14204885</v>
      </c>
      <c r="R100" s="284"/>
    </row>
    <row r="101" spans="1:18" ht="184.5" thickTop="1" thickBot="1" x14ac:dyDescent="0.25">
      <c r="A101" s="864" t="s">
        <v>239</v>
      </c>
      <c r="B101" s="864" t="s">
        <v>240</v>
      </c>
      <c r="C101" s="864" t="s">
        <v>360</v>
      </c>
      <c r="D101" s="864" t="s">
        <v>241</v>
      </c>
      <c r="E101" s="860">
        <f t="shared" si="71"/>
        <v>14204885</v>
      </c>
      <c r="F101" s="444">
        <v>14204885</v>
      </c>
      <c r="G101" s="444"/>
      <c r="H101" s="444"/>
      <c r="I101" s="444"/>
      <c r="J101" s="860">
        <f t="shared" si="68"/>
        <v>0</v>
      </c>
      <c r="K101" s="444"/>
      <c r="L101" s="444"/>
      <c r="M101" s="444"/>
      <c r="N101" s="444"/>
      <c r="O101" s="869">
        <f t="shared" ref="O101:O117" si="73">K101</f>
        <v>0</v>
      </c>
      <c r="P101" s="860">
        <f t="shared" si="69"/>
        <v>14204885</v>
      </c>
      <c r="R101" s="284"/>
    </row>
    <row r="102" spans="1:18" ht="138.75" hidden="1" thickTop="1" thickBot="1" x14ac:dyDescent="0.25">
      <c r="A102" s="489" t="s">
        <v>763</v>
      </c>
      <c r="B102" s="489" t="s">
        <v>764</v>
      </c>
      <c r="C102" s="489"/>
      <c r="D102" s="489" t="s">
        <v>765</v>
      </c>
      <c r="E102" s="472">
        <f>E103</f>
        <v>0</v>
      </c>
      <c r="F102" s="472">
        <f t="shared" ref="F102:P102" si="74">F103</f>
        <v>0</v>
      </c>
      <c r="G102" s="472">
        <f t="shared" si="74"/>
        <v>0</v>
      </c>
      <c r="H102" s="472">
        <f t="shared" si="74"/>
        <v>0</v>
      </c>
      <c r="I102" s="472">
        <f t="shared" si="74"/>
        <v>0</v>
      </c>
      <c r="J102" s="275">
        <f t="shared" si="74"/>
        <v>0</v>
      </c>
      <c r="K102" s="275">
        <f t="shared" si="74"/>
        <v>0</v>
      </c>
      <c r="L102" s="275">
        <f t="shared" si="74"/>
        <v>0</v>
      </c>
      <c r="M102" s="275">
        <f t="shared" si="74"/>
        <v>0</v>
      </c>
      <c r="N102" s="275">
        <f t="shared" si="74"/>
        <v>0</v>
      </c>
      <c r="O102" s="275">
        <f t="shared" si="74"/>
        <v>0</v>
      </c>
      <c r="P102" s="275">
        <f t="shared" si="74"/>
        <v>0</v>
      </c>
      <c r="R102" s="284"/>
    </row>
    <row r="103" spans="1:18" ht="138.75" hidden="1" thickTop="1" thickBot="1" x14ac:dyDescent="0.25">
      <c r="A103" s="864" t="s">
        <v>493</v>
      </c>
      <c r="B103" s="864" t="s">
        <v>494</v>
      </c>
      <c r="C103" s="864" t="s">
        <v>242</v>
      </c>
      <c r="D103" s="864" t="s">
        <v>495</v>
      </c>
      <c r="E103" s="860">
        <f t="shared" si="71"/>
        <v>0</v>
      </c>
      <c r="F103" s="444">
        <v>0</v>
      </c>
      <c r="G103" s="444"/>
      <c r="H103" s="444"/>
      <c r="I103" s="444"/>
      <c r="J103" s="874">
        <f t="shared" si="68"/>
        <v>0</v>
      </c>
      <c r="K103" s="278"/>
      <c r="L103" s="278"/>
      <c r="M103" s="278"/>
      <c r="N103" s="278"/>
      <c r="O103" s="871">
        <f t="shared" si="73"/>
        <v>0</v>
      </c>
      <c r="P103" s="874">
        <f t="shared" si="69"/>
        <v>0</v>
      </c>
      <c r="R103" s="284"/>
    </row>
    <row r="104" spans="1:18" ht="138.75" thickTop="1" thickBot="1" x14ac:dyDescent="0.25">
      <c r="A104" s="489" t="s">
        <v>766</v>
      </c>
      <c r="B104" s="489" t="s">
        <v>767</v>
      </c>
      <c r="C104" s="489"/>
      <c r="D104" s="489" t="s">
        <v>768</v>
      </c>
      <c r="E104" s="472">
        <f>SUM(E105:E106)</f>
        <v>7608610</v>
      </c>
      <c r="F104" s="472">
        <f t="shared" ref="F104:P104" si="75">SUM(F105:F106)</f>
        <v>7608610</v>
      </c>
      <c r="G104" s="472">
        <f t="shared" si="75"/>
        <v>2551300</v>
      </c>
      <c r="H104" s="472">
        <f t="shared" si="75"/>
        <v>152010</v>
      </c>
      <c r="I104" s="472">
        <f t="shared" si="75"/>
        <v>0</v>
      </c>
      <c r="J104" s="472">
        <f t="shared" si="75"/>
        <v>0</v>
      </c>
      <c r="K104" s="472">
        <f t="shared" si="75"/>
        <v>0</v>
      </c>
      <c r="L104" s="472">
        <f t="shared" si="75"/>
        <v>0</v>
      </c>
      <c r="M104" s="472">
        <f t="shared" si="75"/>
        <v>0</v>
      </c>
      <c r="N104" s="472">
        <f t="shared" si="75"/>
        <v>0</v>
      </c>
      <c r="O104" s="472">
        <f t="shared" si="75"/>
        <v>0</v>
      </c>
      <c r="P104" s="472">
        <f t="shared" si="75"/>
        <v>7608610</v>
      </c>
      <c r="R104" s="284"/>
    </row>
    <row r="105" spans="1:18" s="272" customFormat="1" ht="138.75" thickTop="1" thickBot="1" x14ac:dyDescent="0.25">
      <c r="A105" s="864" t="s">
        <v>335</v>
      </c>
      <c r="B105" s="864" t="s">
        <v>337</v>
      </c>
      <c r="C105" s="864" t="s">
        <v>242</v>
      </c>
      <c r="D105" s="499" t="s">
        <v>333</v>
      </c>
      <c r="E105" s="860">
        <f t="shared" si="71"/>
        <v>3474610</v>
      </c>
      <c r="F105" s="444">
        <v>3474610</v>
      </c>
      <c r="G105" s="444">
        <v>2551300</v>
      </c>
      <c r="H105" s="444">
        <f>2100+47625+91190+11095</f>
        <v>152010</v>
      </c>
      <c r="I105" s="444"/>
      <c r="J105" s="860">
        <f t="shared" si="68"/>
        <v>0</v>
      </c>
      <c r="K105" s="444"/>
      <c r="L105" s="444"/>
      <c r="M105" s="444"/>
      <c r="N105" s="444"/>
      <c r="O105" s="869">
        <f t="shared" si="73"/>
        <v>0</v>
      </c>
      <c r="P105" s="860">
        <f t="shared" si="69"/>
        <v>3474610</v>
      </c>
      <c r="Q105" s="624"/>
      <c r="R105" s="255"/>
    </row>
    <row r="106" spans="1:18" s="272" customFormat="1" ht="93" thickTop="1" thickBot="1" x14ac:dyDescent="0.25">
      <c r="A106" s="864" t="s">
        <v>336</v>
      </c>
      <c r="B106" s="864" t="s">
        <v>338</v>
      </c>
      <c r="C106" s="864" t="s">
        <v>242</v>
      </c>
      <c r="D106" s="499" t="s">
        <v>334</v>
      </c>
      <c r="E106" s="860">
        <f t="shared" si="71"/>
        <v>4134000</v>
      </c>
      <c r="F106" s="444">
        <f>(3634000)+500000</f>
        <v>4134000</v>
      </c>
      <c r="G106" s="444"/>
      <c r="H106" s="444"/>
      <c r="I106" s="444"/>
      <c r="J106" s="860">
        <f t="shared" si="68"/>
        <v>0</v>
      </c>
      <c r="K106" s="444"/>
      <c r="L106" s="444"/>
      <c r="M106" s="444"/>
      <c r="N106" s="444"/>
      <c r="O106" s="869">
        <f t="shared" si="73"/>
        <v>0</v>
      </c>
      <c r="P106" s="860">
        <f t="shared" si="69"/>
        <v>4134000</v>
      </c>
      <c r="Q106" s="624"/>
      <c r="R106" s="284"/>
    </row>
    <row r="107" spans="1:18" s="272" customFormat="1" ht="91.5" thickTop="1" thickBot="1" x14ac:dyDescent="0.25">
      <c r="A107" s="151" t="s">
        <v>1369</v>
      </c>
      <c r="B107" s="151" t="s">
        <v>754</v>
      </c>
      <c r="C107" s="151"/>
      <c r="D107" s="151" t="s">
        <v>755</v>
      </c>
      <c r="E107" s="860">
        <f>E108</f>
        <v>100000</v>
      </c>
      <c r="F107" s="860">
        <f t="shared" ref="F107:P107" si="76">F108</f>
        <v>100000</v>
      </c>
      <c r="G107" s="860">
        <f t="shared" si="76"/>
        <v>0</v>
      </c>
      <c r="H107" s="860">
        <f t="shared" si="76"/>
        <v>0</v>
      </c>
      <c r="I107" s="860">
        <f t="shared" si="76"/>
        <v>0</v>
      </c>
      <c r="J107" s="860">
        <f t="shared" si="76"/>
        <v>0</v>
      </c>
      <c r="K107" s="860">
        <f t="shared" si="76"/>
        <v>0</v>
      </c>
      <c r="L107" s="860">
        <f t="shared" si="76"/>
        <v>0</v>
      </c>
      <c r="M107" s="860">
        <f t="shared" si="76"/>
        <v>0</v>
      </c>
      <c r="N107" s="860">
        <f t="shared" si="76"/>
        <v>0</v>
      </c>
      <c r="O107" s="860">
        <f t="shared" si="76"/>
        <v>0</v>
      </c>
      <c r="P107" s="860">
        <f t="shared" si="76"/>
        <v>100000</v>
      </c>
      <c r="Q107" s="624"/>
      <c r="R107" s="284"/>
    </row>
    <row r="108" spans="1:18" s="272" customFormat="1" ht="230.25" thickTop="1" thickBot="1" x14ac:dyDescent="0.25">
      <c r="A108" s="864" t="s">
        <v>1370</v>
      </c>
      <c r="B108" s="864" t="s">
        <v>1371</v>
      </c>
      <c r="C108" s="864" t="s">
        <v>218</v>
      </c>
      <c r="D108" s="499" t="s">
        <v>1372</v>
      </c>
      <c r="E108" s="860">
        <f t="shared" ref="E108" si="77">F108</f>
        <v>100000</v>
      </c>
      <c r="F108" s="444">
        <v>100000</v>
      </c>
      <c r="G108" s="444"/>
      <c r="H108" s="444"/>
      <c r="I108" s="444"/>
      <c r="J108" s="860">
        <f t="shared" ref="J108" si="78">L108+O108</f>
        <v>0</v>
      </c>
      <c r="K108" s="444"/>
      <c r="L108" s="444"/>
      <c r="M108" s="444"/>
      <c r="N108" s="444"/>
      <c r="O108" s="869">
        <f t="shared" ref="O108" si="79">K108</f>
        <v>0</v>
      </c>
      <c r="P108" s="860">
        <f t="shared" ref="P108" si="80">E108+J108</f>
        <v>100000</v>
      </c>
      <c r="Q108" s="624"/>
      <c r="R108" s="284"/>
    </row>
    <row r="109" spans="1:18" s="272" customFormat="1" ht="47.25" thickTop="1" thickBot="1" x14ac:dyDescent="0.25">
      <c r="A109" s="151" t="s">
        <v>794</v>
      </c>
      <c r="B109" s="466" t="s">
        <v>792</v>
      </c>
      <c r="C109" s="466"/>
      <c r="D109" s="466" t="s">
        <v>793</v>
      </c>
      <c r="E109" s="860">
        <f>SUM(E115)+E110</f>
        <v>0</v>
      </c>
      <c r="F109" s="860">
        <f t="shared" ref="F109:P109" si="81">SUM(F115)+F110</f>
        <v>0</v>
      </c>
      <c r="G109" s="860">
        <f t="shared" si="81"/>
        <v>0</v>
      </c>
      <c r="H109" s="860">
        <f t="shared" si="81"/>
        <v>0</v>
      </c>
      <c r="I109" s="860">
        <f t="shared" si="81"/>
        <v>0</v>
      </c>
      <c r="J109" s="860">
        <f t="shared" si="81"/>
        <v>300000</v>
      </c>
      <c r="K109" s="860">
        <f t="shared" si="81"/>
        <v>300000</v>
      </c>
      <c r="L109" s="860">
        <f t="shared" si="81"/>
        <v>0</v>
      </c>
      <c r="M109" s="860">
        <f t="shared" si="81"/>
        <v>0</v>
      </c>
      <c r="N109" s="860">
        <f t="shared" si="81"/>
        <v>0</v>
      </c>
      <c r="O109" s="860">
        <f t="shared" si="81"/>
        <v>300000</v>
      </c>
      <c r="P109" s="860">
        <f t="shared" si="81"/>
        <v>300000</v>
      </c>
      <c r="Q109" s="624"/>
      <c r="R109" s="284"/>
    </row>
    <row r="110" spans="1:18" s="272" customFormat="1" ht="91.5" thickTop="1" thickBot="1" x14ac:dyDescent="0.25">
      <c r="A110" s="467" t="s">
        <v>1142</v>
      </c>
      <c r="B110" s="467" t="s">
        <v>848</v>
      </c>
      <c r="C110" s="467"/>
      <c r="D110" s="467" t="s">
        <v>849</v>
      </c>
      <c r="E110" s="468">
        <f>E113+E111</f>
        <v>0</v>
      </c>
      <c r="F110" s="468">
        <f t="shared" ref="F110:P110" si="82">F113+F111</f>
        <v>0</v>
      </c>
      <c r="G110" s="468">
        <f t="shared" si="82"/>
        <v>0</v>
      </c>
      <c r="H110" s="468">
        <f t="shared" si="82"/>
        <v>0</v>
      </c>
      <c r="I110" s="468">
        <f t="shared" si="82"/>
        <v>0</v>
      </c>
      <c r="J110" s="468">
        <f t="shared" si="82"/>
        <v>300000</v>
      </c>
      <c r="K110" s="468">
        <f t="shared" si="82"/>
        <v>300000</v>
      </c>
      <c r="L110" s="468">
        <f t="shared" si="82"/>
        <v>0</v>
      </c>
      <c r="M110" s="468">
        <f t="shared" si="82"/>
        <v>0</v>
      </c>
      <c r="N110" s="468">
        <f t="shared" si="82"/>
        <v>0</v>
      </c>
      <c r="O110" s="468">
        <f t="shared" si="82"/>
        <v>300000</v>
      </c>
      <c r="P110" s="468">
        <f t="shared" si="82"/>
        <v>300000</v>
      </c>
      <c r="Q110" s="624"/>
      <c r="R110" s="284"/>
    </row>
    <row r="111" spans="1:18" s="272" customFormat="1" ht="146.25" thickTop="1" thickBot="1" x14ac:dyDescent="0.25">
      <c r="A111" s="489" t="s">
        <v>1334</v>
      </c>
      <c r="B111" s="489" t="s">
        <v>867</v>
      </c>
      <c r="C111" s="489"/>
      <c r="D111" s="489" t="s">
        <v>868</v>
      </c>
      <c r="E111" s="472">
        <f>E112</f>
        <v>0</v>
      </c>
      <c r="F111" s="472">
        <f t="shared" ref="F111:P111" si="83">F112</f>
        <v>0</v>
      </c>
      <c r="G111" s="472">
        <f t="shared" si="83"/>
        <v>0</v>
      </c>
      <c r="H111" s="472">
        <f t="shared" si="83"/>
        <v>0</v>
      </c>
      <c r="I111" s="472">
        <f t="shared" si="83"/>
        <v>0</v>
      </c>
      <c r="J111" s="472">
        <f t="shared" si="83"/>
        <v>300000</v>
      </c>
      <c r="K111" s="472">
        <f t="shared" si="83"/>
        <v>300000</v>
      </c>
      <c r="L111" s="472">
        <f t="shared" si="83"/>
        <v>0</v>
      </c>
      <c r="M111" s="472">
        <f t="shared" si="83"/>
        <v>0</v>
      </c>
      <c r="N111" s="472">
        <f t="shared" si="83"/>
        <v>0</v>
      </c>
      <c r="O111" s="472">
        <f t="shared" si="83"/>
        <v>300000</v>
      </c>
      <c r="P111" s="472">
        <f t="shared" si="83"/>
        <v>300000</v>
      </c>
      <c r="Q111" s="624"/>
      <c r="R111" s="284"/>
    </row>
    <row r="112" spans="1:18" s="272" customFormat="1" ht="99.75" thickTop="1" thickBot="1" x14ac:dyDescent="0.25">
      <c r="A112" s="864" t="s">
        <v>1333</v>
      </c>
      <c r="B112" s="864" t="s">
        <v>1335</v>
      </c>
      <c r="C112" s="864" t="s">
        <v>317</v>
      </c>
      <c r="D112" s="864" t="s">
        <v>1332</v>
      </c>
      <c r="E112" s="860">
        <f t="shared" ref="E112" si="84">F112</f>
        <v>0</v>
      </c>
      <c r="F112" s="444"/>
      <c r="G112" s="444"/>
      <c r="H112" s="444"/>
      <c r="I112" s="444"/>
      <c r="J112" s="860">
        <f t="shared" ref="J112" si="85">L112+O112</f>
        <v>300000</v>
      </c>
      <c r="K112" s="444">
        <v>300000</v>
      </c>
      <c r="L112" s="444"/>
      <c r="M112" s="444"/>
      <c r="N112" s="444"/>
      <c r="O112" s="869">
        <f>K112</f>
        <v>300000</v>
      </c>
      <c r="P112" s="860">
        <f t="shared" ref="P112" si="86">E112+J112</f>
        <v>300000</v>
      </c>
      <c r="Q112" s="624"/>
      <c r="R112" s="284"/>
    </row>
    <row r="113" spans="1:20" s="272" customFormat="1" ht="93" hidden="1" thickTop="1" thickBot="1" x14ac:dyDescent="0.25">
      <c r="A113" s="279" t="s">
        <v>1143</v>
      </c>
      <c r="B113" s="279" t="s">
        <v>1141</v>
      </c>
      <c r="C113" s="279"/>
      <c r="D113" s="279" t="s">
        <v>1140</v>
      </c>
      <c r="E113" s="275">
        <f>E114</f>
        <v>0</v>
      </c>
      <c r="F113" s="275">
        <f t="shared" ref="F113:P113" si="87">F114</f>
        <v>0</v>
      </c>
      <c r="G113" s="275">
        <f t="shared" si="87"/>
        <v>0</v>
      </c>
      <c r="H113" s="275">
        <f t="shared" si="87"/>
        <v>0</v>
      </c>
      <c r="I113" s="275">
        <f t="shared" si="87"/>
        <v>0</v>
      </c>
      <c r="J113" s="275">
        <f t="shared" si="87"/>
        <v>0</v>
      </c>
      <c r="K113" s="275">
        <f t="shared" si="87"/>
        <v>0</v>
      </c>
      <c r="L113" s="275">
        <f t="shared" si="87"/>
        <v>0</v>
      </c>
      <c r="M113" s="275">
        <f t="shared" si="87"/>
        <v>0</v>
      </c>
      <c r="N113" s="275">
        <f t="shared" si="87"/>
        <v>0</v>
      </c>
      <c r="O113" s="275">
        <f t="shared" si="87"/>
        <v>0</v>
      </c>
      <c r="P113" s="275">
        <f t="shared" si="87"/>
        <v>0</v>
      </c>
      <c r="Q113" s="624"/>
      <c r="R113" s="284"/>
    </row>
    <row r="114" spans="1:20" s="272" customFormat="1" ht="230.25" hidden="1" thickTop="1" thickBot="1" x14ac:dyDescent="0.25">
      <c r="A114" s="873" t="s">
        <v>1144</v>
      </c>
      <c r="B114" s="873" t="s">
        <v>1145</v>
      </c>
      <c r="C114" s="873" t="s">
        <v>178</v>
      </c>
      <c r="D114" s="873" t="s">
        <v>1146</v>
      </c>
      <c r="E114" s="874">
        <f t="shared" si="71"/>
        <v>0</v>
      </c>
      <c r="F114" s="278"/>
      <c r="G114" s="278"/>
      <c r="H114" s="278"/>
      <c r="I114" s="278"/>
      <c r="J114" s="874">
        <f t="shared" si="68"/>
        <v>0</v>
      </c>
      <c r="K114" s="278"/>
      <c r="L114" s="278"/>
      <c r="M114" s="278"/>
      <c r="N114" s="278"/>
      <c r="O114" s="871">
        <f>K114</f>
        <v>0</v>
      </c>
      <c r="P114" s="874">
        <f t="shared" si="69"/>
        <v>0</v>
      </c>
      <c r="Q114" s="624"/>
      <c r="R114" s="255"/>
    </row>
    <row r="115" spans="1:20" s="258" customFormat="1" ht="136.5" hidden="1" thickTop="1" thickBot="1" x14ac:dyDescent="0.25">
      <c r="A115" s="253" t="s">
        <v>769</v>
      </c>
      <c r="B115" s="253" t="s">
        <v>734</v>
      </c>
      <c r="C115" s="253"/>
      <c r="D115" s="253" t="s">
        <v>732</v>
      </c>
      <c r="E115" s="270">
        <f>SUM(E116)</f>
        <v>0</v>
      </c>
      <c r="F115" s="270">
        <f t="shared" ref="F115:P115" si="88">SUM(F116)</f>
        <v>0</v>
      </c>
      <c r="G115" s="270">
        <f t="shared" si="88"/>
        <v>0</v>
      </c>
      <c r="H115" s="270">
        <f t="shared" si="88"/>
        <v>0</v>
      </c>
      <c r="I115" s="270">
        <f t="shared" si="88"/>
        <v>0</v>
      </c>
      <c r="J115" s="270">
        <f t="shared" si="88"/>
        <v>0</v>
      </c>
      <c r="K115" s="270">
        <f t="shared" si="88"/>
        <v>0</v>
      </c>
      <c r="L115" s="270">
        <f t="shared" si="88"/>
        <v>0</v>
      </c>
      <c r="M115" s="270">
        <f t="shared" si="88"/>
        <v>0</v>
      </c>
      <c r="N115" s="270">
        <f t="shared" si="88"/>
        <v>0</v>
      </c>
      <c r="O115" s="270">
        <f t="shared" si="88"/>
        <v>0</v>
      </c>
      <c r="P115" s="270">
        <f t="shared" si="88"/>
        <v>0</v>
      </c>
      <c r="Q115" s="627"/>
      <c r="R115" s="286"/>
    </row>
    <row r="116" spans="1:20" s="272" customFormat="1" ht="93" hidden="1" thickTop="1" thickBot="1" x14ac:dyDescent="0.25">
      <c r="A116" s="873" t="s">
        <v>451</v>
      </c>
      <c r="B116" s="873" t="s">
        <v>209</v>
      </c>
      <c r="C116" s="873" t="s">
        <v>178</v>
      </c>
      <c r="D116" s="873" t="s">
        <v>36</v>
      </c>
      <c r="E116" s="874">
        <f t="shared" si="71"/>
        <v>0</v>
      </c>
      <c r="F116" s="278"/>
      <c r="G116" s="278"/>
      <c r="H116" s="278"/>
      <c r="I116" s="278"/>
      <c r="J116" s="874">
        <f t="shared" si="68"/>
        <v>0</v>
      </c>
      <c r="K116" s="278"/>
      <c r="L116" s="278"/>
      <c r="M116" s="278"/>
      <c r="N116" s="278"/>
      <c r="O116" s="871">
        <f t="shared" si="73"/>
        <v>0</v>
      </c>
      <c r="P116" s="874">
        <f t="shared" si="69"/>
        <v>0</v>
      </c>
      <c r="Q116" s="624"/>
      <c r="R116" s="255"/>
    </row>
    <row r="117" spans="1:20" s="272" customFormat="1" ht="93" hidden="1" thickTop="1" thickBot="1" x14ac:dyDescent="0.25">
      <c r="A117" s="287" t="s">
        <v>527</v>
      </c>
      <c r="B117" s="287" t="s">
        <v>377</v>
      </c>
      <c r="C117" s="287" t="s">
        <v>45</v>
      </c>
      <c r="D117" s="287" t="s">
        <v>378</v>
      </c>
      <c r="E117" s="288">
        <f t="shared" si="71"/>
        <v>0</v>
      </c>
      <c r="F117" s="289"/>
      <c r="G117" s="289"/>
      <c r="H117" s="289"/>
      <c r="I117" s="289"/>
      <c r="J117" s="288">
        <f t="shared" si="68"/>
        <v>0</v>
      </c>
      <c r="K117" s="289"/>
      <c r="L117" s="289"/>
      <c r="M117" s="289"/>
      <c r="N117" s="289"/>
      <c r="O117" s="290">
        <f t="shared" si="73"/>
        <v>0</v>
      </c>
      <c r="P117" s="288">
        <f t="shared" si="69"/>
        <v>0</v>
      </c>
      <c r="Q117" s="624"/>
      <c r="R117" s="267"/>
    </row>
    <row r="118" spans="1:20" ht="226.5" thickTop="1" thickBot="1" x14ac:dyDescent="0.25">
      <c r="A118" s="828" t="s">
        <v>164</v>
      </c>
      <c r="B118" s="828"/>
      <c r="C118" s="828"/>
      <c r="D118" s="829" t="s">
        <v>39</v>
      </c>
      <c r="E118" s="830">
        <f>E119</f>
        <v>213150971</v>
      </c>
      <c r="F118" s="831">
        <f t="shared" ref="F118:G118" si="89">F119</f>
        <v>213150971</v>
      </c>
      <c r="G118" s="831">
        <f t="shared" si="89"/>
        <v>77555950</v>
      </c>
      <c r="H118" s="831">
        <f>H119</f>
        <v>4011909</v>
      </c>
      <c r="I118" s="831">
        <f t="shared" ref="I118" si="90">I119</f>
        <v>0</v>
      </c>
      <c r="J118" s="830">
        <f>J119</f>
        <v>18847804</v>
      </c>
      <c r="K118" s="831">
        <f>K119</f>
        <v>11802100</v>
      </c>
      <c r="L118" s="831">
        <f>L119</f>
        <v>6985336</v>
      </c>
      <c r="M118" s="831">
        <f t="shared" ref="M118" si="91">M119</f>
        <v>1953040</v>
      </c>
      <c r="N118" s="831">
        <f>N119</f>
        <v>465600</v>
      </c>
      <c r="O118" s="830">
        <f>O119</f>
        <v>11862468</v>
      </c>
      <c r="P118" s="831">
        <f>P119</f>
        <v>231998775</v>
      </c>
    </row>
    <row r="119" spans="1:20" ht="226.5" thickTop="1" thickBot="1" x14ac:dyDescent="0.25">
      <c r="A119" s="832" t="s">
        <v>165</v>
      </c>
      <c r="B119" s="832"/>
      <c r="C119" s="832"/>
      <c r="D119" s="833" t="s">
        <v>40</v>
      </c>
      <c r="E119" s="834">
        <f>E120+E124+E164+E168</f>
        <v>213150971</v>
      </c>
      <c r="F119" s="834">
        <f>F120+F124+F164+F168</f>
        <v>213150971</v>
      </c>
      <c r="G119" s="834">
        <f>G120+G124+G164+G168</f>
        <v>77555950</v>
      </c>
      <c r="H119" s="834">
        <f>H120+H124+H164+H168</f>
        <v>4011909</v>
      </c>
      <c r="I119" s="834">
        <f>I120+I124+I164+I168</f>
        <v>0</v>
      </c>
      <c r="J119" s="834">
        <f t="shared" ref="J119:J145" si="92">L119+O119</f>
        <v>18847804</v>
      </c>
      <c r="K119" s="834">
        <f>K120+K124+K164+K168</f>
        <v>11802100</v>
      </c>
      <c r="L119" s="834">
        <f>L120+L124+L164+L168</f>
        <v>6985336</v>
      </c>
      <c r="M119" s="834">
        <f>M120+M124+M164+M168</f>
        <v>1953040</v>
      </c>
      <c r="N119" s="834">
        <f>N120+N124+N164+N168</f>
        <v>465600</v>
      </c>
      <c r="O119" s="834">
        <f>O120+O124+O164+O168</f>
        <v>11862468</v>
      </c>
      <c r="P119" s="834">
        <f>E119+J119</f>
        <v>231998775</v>
      </c>
      <c r="Q119" s="628" t="b">
        <f>P119=P121+P122+P126+P127+P128+P129+P130+P135+P136+P139+P142+P144+P145+P162+P163+P166+P174+P131+P133+P141+P123+P132+P171+P138+P147+P150+P154+P157+P167+P160</f>
        <v>1</v>
      </c>
      <c r="R119" s="875"/>
      <c r="S119" s="875"/>
      <c r="T119" s="291"/>
    </row>
    <row r="120" spans="1:20" ht="47.25" thickTop="1" thickBot="1" x14ac:dyDescent="0.25">
      <c r="A120" s="151" t="s">
        <v>771</v>
      </c>
      <c r="B120" s="151" t="s">
        <v>727</v>
      </c>
      <c r="C120" s="151"/>
      <c r="D120" s="151" t="s">
        <v>728</v>
      </c>
      <c r="E120" s="860">
        <f t="shared" ref="E120:P120" si="93">SUM(E121:E123)</f>
        <v>58880960</v>
      </c>
      <c r="F120" s="860">
        <f t="shared" si="93"/>
        <v>58880960</v>
      </c>
      <c r="G120" s="860">
        <f t="shared" si="93"/>
        <v>43500000</v>
      </c>
      <c r="H120" s="860">
        <f t="shared" si="93"/>
        <v>1630750</v>
      </c>
      <c r="I120" s="860">
        <f t="shared" si="93"/>
        <v>0</v>
      </c>
      <c r="J120" s="860">
        <f t="shared" si="93"/>
        <v>299300</v>
      </c>
      <c r="K120" s="860">
        <f t="shared" si="93"/>
        <v>299300</v>
      </c>
      <c r="L120" s="860">
        <f t="shared" si="93"/>
        <v>0</v>
      </c>
      <c r="M120" s="860">
        <f t="shared" si="93"/>
        <v>0</v>
      </c>
      <c r="N120" s="860">
        <f t="shared" si="93"/>
        <v>0</v>
      </c>
      <c r="O120" s="860">
        <f t="shared" si="93"/>
        <v>299300</v>
      </c>
      <c r="P120" s="860">
        <f t="shared" si="93"/>
        <v>59180260</v>
      </c>
      <c r="Q120" s="628"/>
      <c r="R120" s="875"/>
      <c r="T120" s="291"/>
    </row>
    <row r="121" spans="1:20" ht="230.25" thickTop="1" thickBot="1" x14ac:dyDescent="0.25">
      <c r="A121" s="864" t="s">
        <v>431</v>
      </c>
      <c r="B121" s="864" t="s">
        <v>248</v>
      </c>
      <c r="C121" s="864" t="s">
        <v>246</v>
      </c>
      <c r="D121" s="864" t="s">
        <v>247</v>
      </c>
      <c r="E121" s="860">
        <f t="shared" ref="E121:E123" si="94">F121</f>
        <v>58800960</v>
      </c>
      <c r="F121" s="444">
        <v>58800960</v>
      </c>
      <c r="G121" s="444">
        <v>43500000</v>
      </c>
      <c r="H121" s="444">
        <f>1062000+31750+503000+34000</f>
        <v>1630750</v>
      </c>
      <c r="I121" s="444"/>
      <c r="J121" s="860">
        <f t="shared" si="92"/>
        <v>299300</v>
      </c>
      <c r="K121" s="444">
        <v>299300</v>
      </c>
      <c r="L121" s="444"/>
      <c r="M121" s="444"/>
      <c r="N121" s="444"/>
      <c r="O121" s="869">
        <f>K121</f>
        <v>299300</v>
      </c>
      <c r="P121" s="860">
        <f t="shared" ref="P121:P136" si="95">E121+J121</f>
        <v>59100260</v>
      </c>
      <c r="Q121" s="628"/>
      <c r="R121" s="875"/>
      <c r="T121" s="291"/>
    </row>
    <row r="122" spans="1:20" ht="184.5" thickTop="1" thickBot="1" x14ac:dyDescent="0.25">
      <c r="A122" s="864" t="s">
        <v>670</v>
      </c>
      <c r="B122" s="864" t="s">
        <v>376</v>
      </c>
      <c r="C122" s="864" t="s">
        <v>662</v>
      </c>
      <c r="D122" s="864" t="s">
        <v>663</v>
      </c>
      <c r="E122" s="860">
        <f t="shared" si="94"/>
        <v>50000</v>
      </c>
      <c r="F122" s="444">
        <v>50000</v>
      </c>
      <c r="G122" s="444"/>
      <c r="H122" s="444"/>
      <c r="I122" s="444"/>
      <c r="J122" s="860">
        <f t="shared" si="92"/>
        <v>0</v>
      </c>
      <c r="K122" s="444"/>
      <c r="L122" s="444"/>
      <c r="M122" s="444"/>
      <c r="N122" s="444"/>
      <c r="O122" s="869">
        <f>K122</f>
        <v>0</v>
      </c>
      <c r="P122" s="860">
        <f t="shared" si="95"/>
        <v>50000</v>
      </c>
      <c r="Q122" s="628"/>
      <c r="R122" s="875"/>
      <c r="T122" s="291"/>
    </row>
    <row r="123" spans="1:20" ht="93" thickTop="1" thickBot="1" x14ac:dyDescent="0.25">
      <c r="A123" s="862" t="s">
        <v>977</v>
      </c>
      <c r="B123" s="862" t="s">
        <v>45</v>
      </c>
      <c r="C123" s="862" t="s">
        <v>44</v>
      </c>
      <c r="D123" s="862" t="s">
        <v>260</v>
      </c>
      <c r="E123" s="860">
        <f t="shared" si="94"/>
        <v>30000</v>
      </c>
      <c r="F123" s="444">
        <v>30000</v>
      </c>
      <c r="G123" s="444"/>
      <c r="H123" s="444"/>
      <c r="I123" s="444"/>
      <c r="J123" s="860">
        <f t="shared" si="92"/>
        <v>0</v>
      </c>
      <c r="K123" s="444"/>
      <c r="L123" s="444"/>
      <c r="M123" s="444"/>
      <c r="N123" s="444"/>
      <c r="O123" s="869"/>
      <c r="P123" s="860">
        <f t="shared" si="95"/>
        <v>30000</v>
      </c>
      <c r="Q123" s="628"/>
      <c r="R123" s="875"/>
      <c r="T123" s="291"/>
    </row>
    <row r="124" spans="1:20" ht="91.5" thickTop="1" thickBot="1" x14ac:dyDescent="0.25">
      <c r="A124" s="151" t="s">
        <v>772</v>
      </c>
      <c r="B124" s="151" t="s">
        <v>754</v>
      </c>
      <c r="C124" s="151"/>
      <c r="D124" s="151" t="s">
        <v>755</v>
      </c>
      <c r="E124" s="860">
        <f>SUM(E125:E163)-E125-E134-E143-E146-E161-E140-E137</f>
        <v>154270011</v>
      </c>
      <c r="F124" s="860">
        <f t="shared" ref="F124:P124" si="96">SUM(F125:F163)-F125-F134-F143-F146-F161-F140-F137</f>
        <v>154270011</v>
      </c>
      <c r="G124" s="860">
        <f t="shared" si="96"/>
        <v>34055950</v>
      </c>
      <c r="H124" s="860">
        <f t="shared" si="96"/>
        <v>2381159</v>
      </c>
      <c r="I124" s="860">
        <f t="shared" si="96"/>
        <v>0</v>
      </c>
      <c r="J124" s="860">
        <f t="shared" si="96"/>
        <v>9787104</v>
      </c>
      <c r="K124" s="860">
        <f t="shared" si="96"/>
        <v>3206400</v>
      </c>
      <c r="L124" s="860">
        <f t="shared" si="96"/>
        <v>6520336</v>
      </c>
      <c r="M124" s="860">
        <f t="shared" si="96"/>
        <v>1953040</v>
      </c>
      <c r="N124" s="860">
        <f t="shared" si="96"/>
        <v>465600</v>
      </c>
      <c r="O124" s="860">
        <f t="shared" si="96"/>
        <v>3266768</v>
      </c>
      <c r="P124" s="860">
        <f t="shared" si="96"/>
        <v>164057115</v>
      </c>
      <c r="Q124" s="628"/>
      <c r="R124" s="875"/>
      <c r="T124" s="291"/>
    </row>
    <row r="125" spans="1:20" s="274" customFormat="1" ht="276" thickTop="1" thickBot="1" x14ac:dyDescent="0.25">
      <c r="A125" s="489" t="s">
        <v>773</v>
      </c>
      <c r="B125" s="489" t="s">
        <v>774</v>
      </c>
      <c r="C125" s="489"/>
      <c r="D125" s="489" t="s">
        <v>775</v>
      </c>
      <c r="E125" s="472">
        <f>SUM(E126:E130)</f>
        <v>64538000</v>
      </c>
      <c r="F125" s="472">
        <f t="shared" ref="F125:P125" si="97">SUM(F126:F130)</f>
        <v>64538000</v>
      </c>
      <c r="G125" s="472">
        <f t="shared" si="97"/>
        <v>0</v>
      </c>
      <c r="H125" s="472">
        <f t="shared" si="97"/>
        <v>0</v>
      </c>
      <c r="I125" s="472">
        <f t="shared" si="97"/>
        <v>0</v>
      </c>
      <c r="J125" s="472">
        <f t="shared" si="97"/>
        <v>150000</v>
      </c>
      <c r="K125" s="472">
        <f t="shared" si="97"/>
        <v>150000</v>
      </c>
      <c r="L125" s="472">
        <f t="shared" si="97"/>
        <v>0</v>
      </c>
      <c r="M125" s="472">
        <f t="shared" si="97"/>
        <v>0</v>
      </c>
      <c r="N125" s="472">
        <f t="shared" si="97"/>
        <v>0</v>
      </c>
      <c r="O125" s="472">
        <f t="shared" si="97"/>
        <v>150000</v>
      </c>
      <c r="P125" s="472">
        <f t="shared" si="97"/>
        <v>64688000</v>
      </c>
      <c r="Q125" s="629"/>
      <c r="R125" s="294"/>
      <c r="T125" s="295"/>
    </row>
    <row r="126" spans="1:20" s="272" customFormat="1" ht="138.75" thickTop="1" thickBot="1" x14ac:dyDescent="0.25">
      <c r="A126" s="864" t="s">
        <v>281</v>
      </c>
      <c r="B126" s="864" t="s">
        <v>282</v>
      </c>
      <c r="C126" s="864" t="s">
        <v>217</v>
      </c>
      <c r="D126" s="562" t="s">
        <v>283</v>
      </c>
      <c r="E126" s="860">
        <f>F126</f>
        <v>270000</v>
      </c>
      <c r="F126" s="444">
        <v>270000</v>
      </c>
      <c r="G126" s="444"/>
      <c r="H126" s="444"/>
      <c r="I126" s="444"/>
      <c r="J126" s="860">
        <f t="shared" si="92"/>
        <v>150000</v>
      </c>
      <c r="K126" s="444">
        <v>150000</v>
      </c>
      <c r="L126" s="444"/>
      <c r="M126" s="444"/>
      <c r="N126" s="444"/>
      <c r="O126" s="869">
        <f t="shared" ref="O126:O145" si="98">K126</f>
        <v>150000</v>
      </c>
      <c r="P126" s="860">
        <f t="shared" si="95"/>
        <v>420000</v>
      </c>
      <c r="Q126" s="624"/>
      <c r="R126" s="875"/>
    </row>
    <row r="127" spans="1:20" s="272" customFormat="1" ht="138.75" thickTop="1" thickBot="1" x14ac:dyDescent="0.25">
      <c r="A127" s="864" t="s">
        <v>284</v>
      </c>
      <c r="B127" s="864" t="s">
        <v>285</v>
      </c>
      <c r="C127" s="864" t="s">
        <v>218</v>
      </c>
      <c r="D127" s="864" t="s">
        <v>6</v>
      </c>
      <c r="E127" s="860">
        <f t="shared" ref="E127:E174" si="99">F127</f>
        <v>900000</v>
      </c>
      <c r="F127" s="444">
        <f>-50000+((1350000)-400000)</f>
        <v>900000</v>
      </c>
      <c r="G127" s="444"/>
      <c r="H127" s="444"/>
      <c r="I127" s="444"/>
      <c r="J127" s="860">
        <f t="shared" si="92"/>
        <v>0</v>
      </c>
      <c r="K127" s="444"/>
      <c r="L127" s="444"/>
      <c r="M127" s="444"/>
      <c r="N127" s="444"/>
      <c r="O127" s="869">
        <f t="shared" si="98"/>
        <v>0</v>
      </c>
      <c r="P127" s="860">
        <f t="shared" si="95"/>
        <v>900000</v>
      </c>
      <c r="Q127" s="624"/>
      <c r="R127" s="297"/>
    </row>
    <row r="128" spans="1:20" s="272" customFormat="1" ht="184.5" thickTop="1" thickBot="1" x14ac:dyDescent="0.25">
      <c r="A128" s="864" t="s">
        <v>287</v>
      </c>
      <c r="B128" s="864" t="s">
        <v>288</v>
      </c>
      <c r="C128" s="864" t="s">
        <v>218</v>
      </c>
      <c r="D128" s="864" t="s">
        <v>7</v>
      </c>
      <c r="E128" s="860">
        <f t="shared" si="99"/>
        <v>15600000</v>
      </c>
      <c r="F128" s="444">
        <v>15600000</v>
      </c>
      <c r="G128" s="444"/>
      <c r="H128" s="444"/>
      <c r="I128" s="444"/>
      <c r="J128" s="860">
        <f t="shared" si="92"/>
        <v>0</v>
      </c>
      <c r="K128" s="444"/>
      <c r="L128" s="444"/>
      <c r="M128" s="444"/>
      <c r="N128" s="444"/>
      <c r="O128" s="869">
        <f t="shared" si="98"/>
        <v>0</v>
      </c>
      <c r="P128" s="860">
        <f t="shared" si="95"/>
        <v>15600000</v>
      </c>
      <c r="Q128" s="624"/>
      <c r="R128" s="297"/>
    </row>
    <row r="129" spans="1:18" s="272" customFormat="1" ht="184.5" thickTop="1" thickBot="1" x14ac:dyDescent="0.25">
      <c r="A129" s="864" t="s">
        <v>289</v>
      </c>
      <c r="B129" s="864" t="s">
        <v>286</v>
      </c>
      <c r="C129" s="864" t="s">
        <v>218</v>
      </c>
      <c r="D129" s="864" t="s">
        <v>8</v>
      </c>
      <c r="E129" s="860">
        <f t="shared" si="99"/>
        <v>900000</v>
      </c>
      <c r="F129" s="444">
        <v>900000</v>
      </c>
      <c r="G129" s="444"/>
      <c r="H129" s="444"/>
      <c r="I129" s="444"/>
      <c r="J129" s="860">
        <f t="shared" si="92"/>
        <v>0</v>
      </c>
      <c r="K129" s="444"/>
      <c r="L129" s="444"/>
      <c r="M129" s="444"/>
      <c r="N129" s="444"/>
      <c r="O129" s="869">
        <f t="shared" si="98"/>
        <v>0</v>
      </c>
      <c r="P129" s="860">
        <f t="shared" si="95"/>
        <v>900000</v>
      </c>
      <c r="Q129" s="624"/>
      <c r="R129" s="297"/>
    </row>
    <row r="130" spans="1:18" s="272" customFormat="1" ht="184.5" thickTop="1" thickBot="1" x14ac:dyDescent="0.25">
      <c r="A130" s="864" t="s">
        <v>290</v>
      </c>
      <c r="B130" s="864" t="s">
        <v>291</v>
      </c>
      <c r="C130" s="864" t="s">
        <v>218</v>
      </c>
      <c r="D130" s="864" t="s">
        <v>9</v>
      </c>
      <c r="E130" s="860">
        <f t="shared" si="99"/>
        <v>46868000</v>
      </c>
      <c r="F130" s="444">
        <v>46868000</v>
      </c>
      <c r="G130" s="444"/>
      <c r="H130" s="444"/>
      <c r="I130" s="444"/>
      <c r="J130" s="860">
        <f t="shared" si="92"/>
        <v>0</v>
      </c>
      <c r="K130" s="444"/>
      <c r="L130" s="444"/>
      <c r="M130" s="444"/>
      <c r="N130" s="444"/>
      <c r="O130" s="869">
        <f t="shared" si="98"/>
        <v>0</v>
      </c>
      <c r="P130" s="860">
        <f t="shared" si="95"/>
        <v>46868000</v>
      </c>
      <c r="Q130" s="624"/>
      <c r="R130" s="297"/>
    </row>
    <row r="131" spans="1:18" s="272" customFormat="1" ht="184.5" thickTop="1" thickBot="1" x14ac:dyDescent="0.25">
      <c r="A131" s="864" t="s">
        <v>496</v>
      </c>
      <c r="B131" s="864" t="s">
        <v>497</v>
      </c>
      <c r="C131" s="864" t="s">
        <v>218</v>
      </c>
      <c r="D131" s="864" t="s">
        <v>498</v>
      </c>
      <c r="E131" s="860">
        <f t="shared" si="99"/>
        <v>226297</v>
      </c>
      <c r="F131" s="444">
        <v>226297</v>
      </c>
      <c r="G131" s="444"/>
      <c r="H131" s="444"/>
      <c r="I131" s="444"/>
      <c r="J131" s="860">
        <f t="shared" si="92"/>
        <v>0</v>
      </c>
      <c r="K131" s="444"/>
      <c r="L131" s="444"/>
      <c r="M131" s="444"/>
      <c r="N131" s="444"/>
      <c r="O131" s="869">
        <f t="shared" si="98"/>
        <v>0</v>
      </c>
      <c r="P131" s="860">
        <f t="shared" si="95"/>
        <v>226297</v>
      </c>
      <c r="Q131" s="624"/>
      <c r="R131" s="297"/>
    </row>
    <row r="132" spans="1:18" s="272" customFormat="1" ht="138.75" thickTop="1" thickBot="1" x14ac:dyDescent="0.25">
      <c r="A132" s="864" t="s">
        <v>978</v>
      </c>
      <c r="B132" s="864" t="s">
        <v>979</v>
      </c>
      <c r="C132" s="864" t="s">
        <v>218</v>
      </c>
      <c r="D132" s="864" t="s">
        <v>980</v>
      </c>
      <c r="E132" s="860">
        <f t="shared" si="99"/>
        <v>179985</v>
      </c>
      <c r="F132" s="444">
        <v>179985</v>
      </c>
      <c r="G132" s="444"/>
      <c r="H132" s="444"/>
      <c r="I132" s="444"/>
      <c r="J132" s="860">
        <f t="shared" si="92"/>
        <v>0</v>
      </c>
      <c r="K132" s="444"/>
      <c r="L132" s="444"/>
      <c r="M132" s="444"/>
      <c r="N132" s="444"/>
      <c r="O132" s="869">
        <f t="shared" si="98"/>
        <v>0</v>
      </c>
      <c r="P132" s="860">
        <f t="shared" si="95"/>
        <v>179985</v>
      </c>
      <c r="Q132" s="624"/>
      <c r="R132" s="297"/>
    </row>
    <row r="133" spans="1:18" ht="138.75" thickTop="1" thickBot="1" x14ac:dyDescent="0.25">
      <c r="A133" s="864" t="s">
        <v>499</v>
      </c>
      <c r="B133" s="864" t="s">
        <v>500</v>
      </c>
      <c r="C133" s="864" t="s">
        <v>217</v>
      </c>
      <c r="D133" s="864" t="s">
        <v>501</v>
      </c>
      <c r="E133" s="860">
        <f t="shared" si="99"/>
        <v>498130</v>
      </c>
      <c r="F133" s="444">
        <v>498130</v>
      </c>
      <c r="G133" s="444"/>
      <c r="H133" s="444"/>
      <c r="I133" s="444"/>
      <c r="J133" s="860">
        <f t="shared" si="92"/>
        <v>0</v>
      </c>
      <c r="K133" s="444"/>
      <c r="L133" s="444"/>
      <c r="M133" s="444"/>
      <c r="N133" s="444"/>
      <c r="O133" s="869">
        <f>K133</f>
        <v>0</v>
      </c>
      <c r="P133" s="860">
        <f t="shared" si="95"/>
        <v>498130</v>
      </c>
      <c r="R133" s="297"/>
    </row>
    <row r="134" spans="1:18" s="272" customFormat="1" ht="276" thickTop="1" thickBot="1" x14ac:dyDescent="0.25">
      <c r="A134" s="489" t="s">
        <v>776</v>
      </c>
      <c r="B134" s="489" t="s">
        <v>777</v>
      </c>
      <c r="C134" s="489"/>
      <c r="D134" s="489" t="s">
        <v>778</v>
      </c>
      <c r="E134" s="472">
        <f>SUM(E135:E136)</f>
        <v>44020625</v>
      </c>
      <c r="F134" s="472">
        <f t="shared" ref="F134:P134" si="100">SUM(F135:F136)</f>
        <v>44020625</v>
      </c>
      <c r="G134" s="472">
        <f t="shared" si="100"/>
        <v>27355405</v>
      </c>
      <c r="H134" s="472">
        <f t="shared" si="100"/>
        <v>1460330</v>
      </c>
      <c r="I134" s="472">
        <f t="shared" si="100"/>
        <v>0</v>
      </c>
      <c r="J134" s="472">
        <f t="shared" si="100"/>
        <v>580500</v>
      </c>
      <c r="K134" s="472">
        <f t="shared" si="100"/>
        <v>30500</v>
      </c>
      <c r="L134" s="472">
        <f t="shared" si="100"/>
        <v>550000</v>
      </c>
      <c r="M134" s="472">
        <f t="shared" si="100"/>
        <v>300000</v>
      </c>
      <c r="N134" s="472">
        <f t="shared" si="100"/>
        <v>51000</v>
      </c>
      <c r="O134" s="472">
        <f t="shared" si="100"/>
        <v>30500</v>
      </c>
      <c r="P134" s="472">
        <f t="shared" si="100"/>
        <v>44601125</v>
      </c>
      <c r="Q134" s="624"/>
      <c r="R134" s="298"/>
    </row>
    <row r="135" spans="1:18" ht="276" thickTop="1" thickBot="1" x14ac:dyDescent="0.25">
      <c r="A135" s="864" t="s">
        <v>279</v>
      </c>
      <c r="B135" s="864" t="s">
        <v>277</v>
      </c>
      <c r="C135" s="864" t="s">
        <v>212</v>
      </c>
      <c r="D135" s="864" t="s">
        <v>17</v>
      </c>
      <c r="E135" s="860">
        <f t="shared" si="99"/>
        <v>35494700</v>
      </c>
      <c r="F135" s="444">
        <f>((((31422670)+1099005)+965175)+1300000)+707850</f>
        <v>35494700</v>
      </c>
      <c r="G135" s="444">
        <v>21405255</v>
      </c>
      <c r="H135" s="444">
        <f>(460665+13000+138220+9000)+28100+60800+30000</f>
        <v>739785</v>
      </c>
      <c r="I135" s="444"/>
      <c r="J135" s="860">
        <f t="shared" si="92"/>
        <v>550000</v>
      </c>
      <c r="K135" s="444">
        <v>0</v>
      </c>
      <c r="L135" s="444">
        <v>550000</v>
      </c>
      <c r="M135" s="444">
        <v>300000</v>
      </c>
      <c r="N135" s="444">
        <f>(40000+4000+7000)</f>
        <v>51000</v>
      </c>
      <c r="O135" s="869">
        <f t="shared" si="98"/>
        <v>0</v>
      </c>
      <c r="P135" s="860">
        <f t="shared" si="95"/>
        <v>36044700</v>
      </c>
      <c r="R135" s="875"/>
    </row>
    <row r="136" spans="1:18" ht="138.75" thickTop="1" thickBot="1" x14ac:dyDescent="0.25">
      <c r="A136" s="864" t="s">
        <v>280</v>
      </c>
      <c r="B136" s="864" t="s">
        <v>278</v>
      </c>
      <c r="C136" s="864" t="s">
        <v>211</v>
      </c>
      <c r="D136" s="864" t="s">
        <v>473</v>
      </c>
      <c r="E136" s="860">
        <f t="shared" si="99"/>
        <v>8525925</v>
      </c>
      <c r="F136" s="444">
        <v>8525925</v>
      </c>
      <c r="G136" s="444">
        <f>(3360745+2589405)</f>
        <v>5950150</v>
      </c>
      <c r="H136" s="444">
        <f>(329310+5880+88535+720+254560+6555+34710+275)</f>
        <v>720545</v>
      </c>
      <c r="I136" s="444"/>
      <c r="J136" s="860">
        <f t="shared" si="92"/>
        <v>30500</v>
      </c>
      <c r="K136" s="444">
        <v>30500</v>
      </c>
      <c r="L136" s="444"/>
      <c r="M136" s="444"/>
      <c r="N136" s="444"/>
      <c r="O136" s="869">
        <f t="shared" si="98"/>
        <v>30500</v>
      </c>
      <c r="P136" s="860">
        <f t="shared" si="95"/>
        <v>8556425</v>
      </c>
      <c r="R136" s="875"/>
    </row>
    <row r="137" spans="1:18" ht="138.75" hidden="1" thickTop="1" thickBot="1" x14ac:dyDescent="0.25">
      <c r="A137" s="279" t="s">
        <v>1100</v>
      </c>
      <c r="B137" s="279" t="s">
        <v>809</v>
      </c>
      <c r="C137" s="279"/>
      <c r="D137" s="279" t="s">
        <v>810</v>
      </c>
      <c r="E137" s="275">
        <f>E138</f>
        <v>0</v>
      </c>
      <c r="F137" s="275">
        <f t="shared" ref="F137:P137" si="101">F138</f>
        <v>0</v>
      </c>
      <c r="G137" s="275">
        <f t="shared" si="101"/>
        <v>0</v>
      </c>
      <c r="H137" s="275">
        <f t="shared" si="101"/>
        <v>0</v>
      </c>
      <c r="I137" s="275">
        <f t="shared" si="101"/>
        <v>0</v>
      </c>
      <c r="J137" s="275">
        <f t="shared" si="101"/>
        <v>0</v>
      </c>
      <c r="K137" s="275">
        <f t="shared" si="101"/>
        <v>0</v>
      </c>
      <c r="L137" s="275">
        <f t="shared" si="101"/>
        <v>0</v>
      </c>
      <c r="M137" s="275">
        <f t="shared" si="101"/>
        <v>0</v>
      </c>
      <c r="N137" s="275">
        <f t="shared" si="101"/>
        <v>0</v>
      </c>
      <c r="O137" s="275">
        <f t="shared" si="101"/>
        <v>0</v>
      </c>
      <c r="P137" s="275">
        <f t="shared" si="101"/>
        <v>0</v>
      </c>
      <c r="R137" s="875"/>
    </row>
    <row r="138" spans="1:18" ht="276" hidden="1" thickTop="1" thickBot="1" x14ac:dyDescent="0.25">
      <c r="A138" s="873" t="s">
        <v>1101</v>
      </c>
      <c r="B138" s="873" t="s">
        <v>1102</v>
      </c>
      <c r="C138" s="873" t="s">
        <v>197</v>
      </c>
      <c r="D138" s="873" t="s">
        <v>1103</v>
      </c>
      <c r="E138" s="874">
        <f t="shared" ref="E138" si="102">F138</f>
        <v>0</v>
      </c>
      <c r="F138" s="278"/>
      <c r="G138" s="278"/>
      <c r="H138" s="278"/>
      <c r="I138" s="278"/>
      <c r="J138" s="874">
        <f t="shared" ref="J138" si="103">L138+O138</f>
        <v>0</v>
      </c>
      <c r="K138" s="278"/>
      <c r="L138" s="278"/>
      <c r="M138" s="278"/>
      <c r="N138" s="278"/>
      <c r="O138" s="871">
        <f t="shared" ref="O138" si="104">K138</f>
        <v>0</v>
      </c>
      <c r="P138" s="874">
        <f t="shared" ref="P138" si="105">E138+J138</f>
        <v>0</v>
      </c>
      <c r="R138" s="875"/>
    </row>
    <row r="139" spans="1:18" ht="409.6" thickTop="1" thickBot="1" x14ac:dyDescent="0.25">
      <c r="A139" s="864" t="s">
        <v>275</v>
      </c>
      <c r="B139" s="864" t="s">
        <v>276</v>
      </c>
      <c r="C139" s="864" t="s">
        <v>211</v>
      </c>
      <c r="D139" s="864" t="s">
        <v>471</v>
      </c>
      <c r="E139" s="860">
        <f t="shared" si="99"/>
        <v>3283295</v>
      </c>
      <c r="F139" s="444">
        <v>3283295</v>
      </c>
      <c r="G139" s="444"/>
      <c r="H139" s="444"/>
      <c r="I139" s="444"/>
      <c r="J139" s="860">
        <f t="shared" si="92"/>
        <v>0</v>
      </c>
      <c r="K139" s="860"/>
      <c r="L139" s="444"/>
      <c r="M139" s="444"/>
      <c r="N139" s="444"/>
      <c r="O139" s="869">
        <f t="shared" si="98"/>
        <v>0</v>
      </c>
      <c r="P139" s="860">
        <f>+J139+E139</f>
        <v>3283295</v>
      </c>
      <c r="R139" s="297"/>
    </row>
    <row r="140" spans="1:18" ht="138.75" thickTop="1" thickBot="1" x14ac:dyDescent="0.25">
      <c r="A140" s="489" t="s">
        <v>932</v>
      </c>
      <c r="B140" s="489" t="s">
        <v>933</v>
      </c>
      <c r="C140" s="489"/>
      <c r="D140" s="489" t="s">
        <v>934</v>
      </c>
      <c r="E140" s="472">
        <f t="shared" si="99"/>
        <v>159297</v>
      </c>
      <c r="F140" s="472">
        <f>F141</f>
        <v>159297</v>
      </c>
      <c r="G140" s="472">
        <f t="shared" ref="G140:I140" si="106">G141</f>
        <v>0</v>
      </c>
      <c r="H140" s="472">
        <f t="shared" si="106"/>
        <v>0</v>
      </c>
      <c r="I140" s="472">
        <f t="shared" si="106"/>
        <v>0</v>
      </c>
      <c r="J140" s="472">
        <f t="shared" si="92"/>
        <v>0</v>
      </c>
      <c r="K140" s="472">
        <f t="shared" ref="K140:N140" si="107">K141</f>
        <v>0</v>
      </c>
      <c r="L140" s="472">
        <f t="shared" si="107"/>
        <v>0</v>
      </c>
      <c r="M140" s="472">
        <f t="shared" si="107"/>
        <v>0</v>
      </c>
      <c r="N140" s="472">
        <f t="shared" si="107"/>
        <v>0</v>
      </c>
      <c r="O140" s="472">
        <f t="shared" si="98"/>
        <v>0</v>
      </c>
      <c r="P140" s="472">
        <f>+J140+E140</f>
        <v>159297</v>
      </c>
      <c r="R140" s="297"/>
    </row>
    <row r="141" spans="1:18" ht="276" thickTop="1" thickBot="1" x14ac:dyDescent="0.25">
      <c r="A141" s="864" t="s">
        <v>502</v>
      </c>
      <c r="B141" s="864" t="s">
        <v>503</v>
      </c>
      <c r="C141" s="864" t="s">
        <v>211</v>
      </c>
      <c r="D141" s="864" t="s">
        <v>504</v>
      </c>
      <c r="E141" s="860">
        <f t="shared" si="99"/>
        <v>159297</v>
      </c>
      <c r="F141" s="444">
        <v>159297</v>
      </c>
      <c r="G141" s="444"/>
      <c r="H141" s="444"/>
      <c r="I141" s="444"/>
      <c r="J141" s="860">
        <f t="shared" si="92"/>
        <v>0</v>
      </c>
      <c r="K141" s="860"/>
      <c r="L141" s="444"/>
      <c r="M141" s="444"/>
      <c r="N141" s="444"/>
      <c r="O141" s="869">
        <f t="shared" si="98"/>
        <v>0</v>
      </c>
      <c r="P141" s="860">
        <f>+J141+E141</f>
        <v>159297</v>
      </c>
      <c r="R141" s="297"/>
    </row>
    <row r="142" spans="1:18" ht="367.5" thickTop="1" thickBot="1" x14ac:dyDescent="0.25">
      <c r="A142" s="864" t="s">
        <v>362</v>
      </c>
      <c r="B142" s="864" t="s">
        <v>361</v>
      </c>
      <c r="C142" s="864" t="s">
        <v>52</v>
      </c>
      <c r="D142" s="864" t="s">
        <v>472</v>
      </c>
      <c r="E142" s="860">
        <f t="shared" si="99"/>
        <v>2842500</v>
      </c>
      <c r="F142" s="444">
        <v>2842500</v>
      </c>
      <c r="G142" s="444"/>
      <c r="H142" s="444"/>
      <c r="I142" s="444"/>
      <c r="J142" s="860">
        <f t="shared" si="92"/>
        <v>0</v>
      </c>
      <c r="K142" s="860"/>
      <c r="L142" s="444"/>
      <c r="M142" s="444"/>
      <c r="N142" s="444"/>
      <c r="O142" s="869">
        <f t="shared" si="98"/>
        <v>0</v>
      </c>
      <c r="P142" s="860">
        <f>E142+J142</f>
        <v>2842500</v>
      </c>
      <c r="R142" s="297"/>
    </row>
    <row r="143" spans="1:18" s="272" customFormat="1" ht="93" thickTop="1" thickBot="1" x14ac:dyDescent="0.25">
      <c r="A143" s="489" t="s">
        <v>779</v>
      </c>
      <c r="B143" s="489" t="s">
        <v>780</v>
      </c>
      <c r="C143" s="489"/>
      <c r="D143" s="489" t="s">
        <v>781</v>
      </c>
      <c r="E143" s="472">
        <f>E144</f>
        <v>758000</v>
      </c>
      <c r="F143" s="472">
        <f t="shared" ref="F143:P143" si="108">F144</f>
        <v>758000</v>
      </c>
      <c r="G143" s="472">
        <f t="shared" si="108"/>
        <v>0</v>
      </c>
      <c r="H143" s="472">
        <f t="shared" si="108"/>
        <v>0</v>
      </c>
      <c r="I143" s="472">
        <f t="shared" si="108"/>
        <v>0</v>
      </c>
      <c r="J143" s="472">
        <f t="shared" si="108"/>
        <v>0</v>
      </c>
      <c r="K143" s="472">
        <f t="shared" si="108"/>
        <v>0</v>
      </c>
      <c r="L143" s="472">
        <f t="shared" si="108"/>
        <v>0</v>
      </c>
      <c r="M143" s="472">
        <f t="shared" si="108"/>
        <v>0</v>
      </c>
      <c r="N143" s="472">
        <f t="shared" si="108"/>
        <v>0</v>
      </c>
      <c r="O143" s="472">
        <f t="shared" si="108"/>
        <v>0</v>
      </c>
      <c r="P143" s="472">
        <f t="shared" si="108"/>
        <v>758000</v>
      </c>
      <c r="Q143" s="624"/>
      <c r="R143" s="298"/>
    </row>
    <row r="144" spans="1:18" ht="230.25" thickTop="1" thickBot="1" x14ac:dyDescent="0.25">
      <c r="A144" s="864" t="s">
        <v>339</v>
      </c>
      <c r="B144" s="864" t="s">
        <v>340</v>
      </c>
      <c r="C144" s="864" t="s">
        <v>217</v>
      </c>
      <c r="D144" s="864" t="s">
        <v>677</v>
      </c>
      <c r="E144" s="860">
        <f t="shared" si="99"/>
        <v>758000</v>
      </c>
      <c r="F144" s="444">
        <v>758000</v>
      </c>
      <c r="G144" s="444"/>
      <c r="H144" s="444"/>
      <c r="I144" s="444"/>
      <c r="J144" s="860">
        <f t="shared" si="92"/>
        <v>0</v>
      </c>
      <c r="K144" s="444"/>
      <c r="L144" s="444"/>
      <c r="M144" s="444"/>
      <c r="N144" s="444"/>
      <c r="O144" s="869">
        <f t="shared" si="98"/>
        <v>0</v>
      </c>
      <c r="P144" s="860">
        <f>E144+J144</f>
        <v>758000</v>
      </c>
      <c r="R144" s="297"/>
    </row>
    <row r="145" spans="1:18" ht="93" thickTop="1" thickBot="1" x14ac:dyDescent="0.25">
      <c r="A145" s="864" t="s">
        <v>444</v>
      </c>
      <c r="B145" s="864" t="s">
        <v>386</v>
      </c>
      <c r="C145" s="864" t="s">
        <v>387</v>
      </c>
      <c r="D145" s="864" t="s">
        <v>385</v>
      </c>
      <c r="E145" s="575">
        <f t="shared" si="99"/>
        <v>107000</v>
      </c>
      <c r="F145" s="444">
        <v>107000</v>
      </c>
      <c r="G145" s="444">
        <v>88000</v>
      </c>
      <c r="H145" s="444"/>
      <c r="I145" s="444"/>
      <c r="J145" s="860">
        <f t="shared" si="92"/>
        <v>0</v>
      </c>
      <c r="K145" s="444"/>
      <c r="L145" s="444"/>
      <c r="M145" s="444"/>
      <c r="N145" s="444"/>
      <c r="O145" s="869">
        <f t="shared" si="98"/>
        <v>0</v>
      </c>
      <c r="P145" s="860">
        <f>E145+J145</f>
        <v>107000</v>
      </c>
      <c r="R145" s="297"/>
    </row>
    <row r="146" spans="1:18" ht="230.25" hidden="1" thickTop="1" thickBot="1" x14ac:dyDescent="0.25">
      <c r="A146" s="279" t="s">
        <v>1148</v>
      </c>
      <c r="B146" s="279" t="s">
        <v>1149</v>
      </c>
      <c r="C146" s="279"/>
      <c r="D146" s="279" t="s">
        <v>1147</v>
      </c>
      <c r="E146" s="275">
        <f>E147+E150+E154+E157</f>
        <v>0</v>
      </c>
      <c r="F146" s="275">
        <f t="shared" ref="F146:P146" si="109">F147+F150+F154+F157</f>
        <v>0</v>
      </c>
      <c r="G146" s="275">
        <f t="shared" si="109"/>
        <v>0</v>
      </c>
      <c r="H146" s="275">
        <f t="shared" si="109"/>
        <v>0</v>
      </c>
      <c r="I146" s="275">
        <f t="shared" si="109"/>
        <v>0</v>
      </c>
      <c r="J146" s="275">
        <f t="shared" si="109"/>
        <v>0</v>
      </c>
      <c r="K146" s="275">
        <f t="shared" si="109"/>
        <v>0</v>
      </c>
      <c r="L146" s="275">
        <f t="shared" si="109"/>
        <v>0</v>
      </c>
      <c r="M146" s="275">
        <f t="shared" si="109"/>
        <v>0</v>
      </c>
      <c r="N146" s="275">
        <f t="shared" si="109"/>
        <v>0</v>
      </c>
      <c r="O146" s="275">
        <f t="shared" si="109"/>
        <v>0</v>
      </c>
      <c r="P146" s="275">
        <f t="shared" si="109"/>
        <v>0</v>
      </c>
      <c r="R146" s="297"/>
    </row>
    <row r="147" spans="1:18" ht="409.6" hidden="1" thickTop="1" thickBot="1" x14ac:dyDescent="0.7">
      <c r="A147" s="911" t="s">
        <v>1153</v>
      </c>
      <c r="B147" s="911" t="s">
        <v>1154</v>
      </c>
      <c r="C147" s="911" t="s">
        <v>52</v>
      </c>
      <c r="D147" s="299" t="s">
        <v>1150</v>
      </c>
      <c r="E147" s="903">
        <f t="shared" ref="E147:E150" si="110">F147</f>
        <v>0</v>
      </c>
      <c r="F147" s="903"/>
      <c r="G147" s="903"/>
      <c r="H147" s="903"/>
      <c r="I147" s="903"/>
      <c r="J147" s="903">
        <f t="shared" ref="J147:J150" si="111">L147+O147</f>
        <v>0</v>
      </c>
      <c r="K147" s="906">
        <v>0</v>
      </c>
      <c r="L147" s="903"/>
      <c r="M147" s="903"/>
      <c r="N147" s="903"/>
      <c r="O147" s="906">
        <f t="shared" ref="O147:O150" si="112">K147</f>
        <v>0</v>
      </c>
      <c r="P147" s="903">
        <f t="shared" ref="P147:P150" si="113">E147+J147</f>
        <v>0</v>
      </c>
      <c r="Q147" s="913"/>
      <c r="R147" s="909"/>
    </row>
    <row r="148" spans="1:18" ht="409.6" hidden="1" thickTop="1" thickBot="1" x14ac:dyDescent="0.25">
      <c r="A148" s="904"/>
      <c r="B148" s="904"/>
      <c r="C148" s="904"/>
      <c r="D148" s="300" t="s">
        <v>1151</v>
      </c>
      <c r="E148" s="904"/>
      <c r="F148" s="904"/>
      <c r="G148" s="904"/>
      <c r="H148" s="904"/>
      <c r="I148" s="904"/>
      <c r="J148" s="904"/>
      <c r="K148" s="907"/>
      <c r="L148" s="904"/>
      <c r="M148" s="904"/>
      <c r="N148" s="904"/>
      <c r="O148" s="907"/>
      <c r="P148" s="904"/>
      <c r="Q148" s="913"/>
      <c r="R148" s="910"/>
    </row>
    <row r="149" spans="1:18" ht="409.6" hidden="1" thickTop="1" thickBot="1" x14ac:dyDescent="0.25">
      <c r="A149" s="905"/>
      <c r="B149" s="905"/>
      <c r="C149" s="905"/>
      <c r="D149" s="301" t="s">
        <v>1152</v>
      </c>
      <c r="E149" s="905"/>
      <c r="F149" s="905"/>
      <c r="G149" s="905"/>
      <c r="H149" s="905"/>
      <c r="I149" s="905"/>
      <c r="J149" s="905"/>
      <c r="K149" s="908"/>
      <c r="L149" s="905"/>
      <c r="M149" s="905"/>
      <c r="N149" s="905"/>
      <c r="O149" s="908"/>
      <c r="P149" s="905"/>
      <c r="Q149" s="913"/>
      <c r="R149" s="910"/>
    </row>
    <row r="150" spans="1:18" ht="409.6" hidden="1" thickTop="1" thickBot="1" x14ac:dyDescent="0.7">
      <c r="A150" s="911" t="s">
        <v>1159</v>
      </c>
      <c r="B150" s="911" t="s">
        <v>1160</v>
      </c>
      <c r="C150" s="911" t="s">
        <v>52</v>
      </c>
      <c r="D150" s="299" t="s">
        <v>1155</v>
      </c>
      <c r="E150" s="903">
        <f t="shared" si="110"/>
        <v>0</v>
      </c>
      <c r="F150" s="903"/>
      <c r="G150" s="903"/>
      <c r="H150" s="903"/>
      <c r="I150" s="903"/>
      <c r="J150" s="903">
        <f t="shared" si="111"/>
        <v>0</v>
      </c>
      <c r="K150" s="906">
        <v>0</v>
      </c>
      <c r="L150" s="903"/>
      <c r="M150" s="903"/>
      <c r="N150" s="903"/>
      <c r="O150" s="903">
        <f t="shared" si="112"/>
        <v>0</v>
      </c>
      <c r="P150" s="903">
        <f t="shared" si="113"/>
        <v>0</v>
      </c>
      <c r="R150" s="909"/>
    </row>
    <row r="151" spans="1:18" ht="409.6" hidden="1" thickTop="1" thickBot="1" x14ac:dyDescent="0.25">
      <c r="A151" s="904"/>
      <c r="B151" s="904"/>
      <c r="C151" s="904"/>
      <c r="D151" s="300" t="s">
        <v>1156</v>
      </c>
      <c r="E151" s="904"/>
      <c r="F151" s="904"/>
      <c r="G151" s="904"/>
      <c r="H151" s="904"/>
      <c r="I151" s="904"/>
      <c r="J151" s="904"/>
      <c r="K151" s="907"/>
      <c r="L151" s="904"/>
      <c r="M151" s="904"/>
      <c r="N151" s="904"/>
      <c r="O151" s="904"/>
      <c r="P151" s="904"/>
      <c r="R151" s="912"/>
    </row>
    <row r="152" spans="1:18" ht="409.6" hidden="1" thickTop="1" thickBot="1" x14ac:dyDescent="0.25">
      <c r="A152" s="904"/>
      <c r="B152" s="904"/>
      <c r="C152" s="904"/>
      <c r="D152" s="300" t="s">
        <v>1157</v>
      </c>
      <c r="E152" s="904"/>
      <c r="F152" s="904"/>
      <c r="G152" s="904"/>
      <c r="H152" s="904"/>
      <c r="I152" s="904"/>
      <c r="J152" s="904"/>
      <c r="K152" s="907"/>
      <c r="L152" s="904"/>
      <c r="M152" s="904"/>
      <c r="N152" s="904"/>
      <c r="O152" s="904"/>
      <c r="P152" s="904"/>
      <c r="R152" s="912"/>
    </row>
    <row r="153" spans="1:18" ht="184.5" hidden="1" thickTop="1" thickBot="1" x14ac:dyDescent="0.25">
      <c r="A153" s="905"/>
      <c r="B153" s="905"/>
      <c r="C153" s="905"/>
      <c r="D153" s="301" t="s">
        <v>1158</v>
      </c>
      <c r="E153" s="905"/>
      <c r="F153" s="905"/>
      <c r="G153" s="905"/>
      <c r="H153" s="905"/>
      <c r="I153" s="905"/>
      <c r="J153" s="905"/>
      <c r="K153" s="908"/>
      <c r="L153" s="905"/>
      <c r="M153" s="905"/>
      <c r="N153" s="905"/>
      <c r="O153" s="905"/>
      <c r="P153" s="905"/>
      <c r="R153" s="912"/>
    </row>
    <row r="154" spans="1:18" ht="409.6" hidden="1" thickTop="1" thickBot="1" x14ac:dyDescent="0.7">
      <c r="A154" s="911" t="s">
        <v>1161</v>
      </c>
      <c r="B154" s="911" t="s">
        <v>1162</v>
      </c>
      <c r="C154" s="911" t="s">
        <v>52</v>
      </c>
      <c r="D154" s="299" t="s">
        <v>1163</v>
      </c>
      <c r="E154" s="903">
        <f t="shared" ref="E154" si="114">F154</f>
        <v>0</v>
      </c>
      <c r="F154" s="903"/>
      <c r="G154" s="903"/>
      <c r="H154" s="903"/>
      <c r="I154" s="903"/>
      <c r="J154" s="903">
        <f t="shared" ref="J154" si="115">L154+O154</f>
        <v>0</v>
      </c>
      <c r="K154" s="906">
        <v>0</v>
      </c>
      <c r="L154" s="903"/>
      <c r="M154" s="903"/>
      <c r="N154" s="903"/>
      <c r="O154" s="906">
        <f t="shared" ref="O154" si="116">K154</f>
        <v>0</v>
      </c>
      <c r="P154" s="903">
        <f t="shared" ref="P154" si="117">E154+J154</f>
        <v>0</v>
      </c>
      <c r="R154" s="909"/>
    </row>
    <row r="155" spans="1:18" ht="409.6" hidden="1" thickTop="1" thickBot="1" x14ac:dyDescent="0.25">
      <c r="A155" s="904"/>
      <c r="B155" s="904"/>
      <c r="C155" s="904"/>
      <c r="D155" s="300" t="s">
        <v>1164</v>
      </c>
      <c r="E155" s="904"/>
      <c r="F155" s="904"/>
      <c r="G155" s="904"/>
      <c r="H155" s="904"/>
      <c r="I155" s="904"/>
      <c r="J155" s="904"/>
      <c r="K155" s="907"/>
      <c r="L155" s="904"/>
      <c r="M155" s="904"/>
      <c r="N155" s="904"/>
      <c r="O155" s="907"/>
      <c r="P155" s="904"/>
      <c r="R155" s="910"/>
    </row>
    <row r="156" spans="1:18" ht="138.75" hidden="1" thickTop="1" thickBot="1" x14ac:dyDescent="0.25">
      <c r="A156" s="905"/>
      <c r="B156" s="905"/>
      <c r="C156" s="905"/>
      <c r="D156" s="301" t="s">
        <v>1165</v>
      </c>
      <c r="E156" s="905"/>
      <c r="F156" s="905"/>
      <c r="G156" s="905"/>
      <c r="H156" s="905"/>
      <c r="I156" s="905"/>
      <c r="J156" s="905"/>
      <c r="K156" s="908"/>
      <c r="L156" s="905"/>
      <c r="M156" s="905"/>
      <c r="N156" s="905"/>
      <c r="O156" s="908"/>
      <c r="P156" s="905"/>
      <c r="R156" s="910"/>
    </row>
    <row r="157" spans="1:18" ht="409.6" hidden="1" thickTop="1" thickBot="1" x14ac:dyDescent="0.7">
      <c r="A157" s="911" t="s">
        <v>1169</v>
      </c>
      <c r="B157" s="911" t="s">
        <v>1170</v>
      </c>
      <c r="C157" s="911" t="s">
        <v>52</v>
      </c>
      <c r="D157" s="299" t="s">
        <v>1166</v>
      </c>
      <c r="E157" s="903">
        <f t="shared" ref="E157" si="118">F157</f>
        <v>0</v>
      </c>
      <c r="F157" s="903"/>
      <c r="G157" s="903"/>
      <c r="H157" s="903"/>
      <c r="I157" s="903"/>
      <c r="J157" s="903">
        <f t="shared" ref="J157" si="119">L157+O157</f>
        <v>0</v>
      </c>
      <c r="K157" s="906">
        <v>0</v>
      </c>
      <c r="L157" s="903"/>
      <c r="M157" s="903"/>
      <c r="N157" s="903"/>
      <c r="O157" s="906">
        <f t="shared" ref="O157" si="120">K157</f>
        <v>0</v>
      </c>
      <c r="P157" s="903">
        <f t="shared" ref="P157" si="121">E157+J157</f>
        <v>0</v>
      </c>
      <c r="R157" s="909"/>
    </row>
    <row r="158" spans="1:18" ht="352.5" hidden="1" customHeight="1" x14ac:dyDescent="0.2">
      <c r="A158" s="904"/>
      <c r="B158" s="904"/>
      <c r="C158" s="904"/>
      <c r="D158" s="300" t="s">
        <v>1167</v>
      </c>
      <c r="E158" s="904"/>
      <c r="F158" s="904"/>
      <c r="G158" s="904"/>
      <c r="H158" s="904"/>
      <c r="I158" s="904"/>
      <c r="J158" s="904"/>
      <c r="K158" s="907"/>
      <c r="L158" s="904"/>
      <c r="M158" s="904"/>
      <c r="N158" s="904"/>
      <c r="O158" s="907"/>
      <c r="P158" s="904"/>
      <c r="R158" s="910"/>
    </row>
    <row r="159" spans="1:18" ht="93" hidden="1" thickTop="1" thickBot="1" x14ac:dyDescent="0.25">
      <c r="A159" s="905"/>
      <c r="B159" s="905"/>
      <c r="C159" s="905"/>
      <c r="D159" s="301" t="s">
        <v>1168</v>
      </c>
      <c r="E159" s="905"/>
      <c r="F159" s="905"/>
      <c r="G159" s="905"/>
      <c r="H159" s="905"/>
      <c r="I159" s="905"/>
      <c r="J159" s="905"/>
      <c r="K159" s="908"/>
      <c r="L159" s="905"/>
      <c r="M159" s="905"/>
      <c r="N159" s="905"/>
      <c r="O159" s="908"/>
      <c r="P159" s="905"/>
      <c r="R159" s="910"/>
    </row>
    <row r="160" spans="1:18" ht="230.25" thickTop="1" thickBot="1" x14ac:dyDescent="0.25">
      <c r="A160" s="864" t="s">
        <v>1374</v>
      </c>
      <c r="B160" s="864" t="s">
        <v>1371</v>
      </c>
      <c r="C160" s="864" t="s">
        <v>218</v>
      </c>
      <c r="D160" s="499" t="s">
        <v>1372</v>
      </c>
      <c r="E160" s="575">
        <f t="shared" ref="E160" si="122">F160</f>
        <v>1184000</v>
      </c>
      <c r="F160" s="444">
        <f>((210000)+785000)+189000</f>
        <v>1184000</v>
      </c>
      <c r="G160" s="444"/>
      <c r="H160" s="444"/>
      <c r="I160" s="444"/>
      <c r="J160" s="860">
        <f t="shared" ref="J160" si="123">L160+O160</f>
        <v>0</v>
      </c>
      <c r="K160" s="444"/>
      <c r="L160" s="444"/>
      <c r="M160" s="444"/>
      <c r="N160" s="444"/>
      <c r="O160" s="869">
        <f t="shared" ref="O160" si="124">K160</f>
        <v>0</v>
      </c>
      <c r="P160" s="860">
        <f>E160+J160</f>
        <v>1184000</v>
      </c>
      <c r="R160" s="876"/>
    </row>
    <row r="161" spans="1:18" s="272" customFormat="1" ht="48" thickTop="1" thickBot="1" x14ac:dyDescent="0.25">
      <c r="A161" s="489" t="s">
        <v>782</v>
      </c>
      <c r="B161" s="489" t="s">
        <v>783</v>
      </c>
      <c r="C161" s="489"/>
      <c r="D161" s="489" t="s">
        <v>784</v>
      </c>
      <c r="E161" s="472">
        <f>SUM(E162:E163)</f>
        <v>36472882</v>
      </c>
      <c r="F161" s="472">
        <f t="shared" ref="F161:P161" si="125">SUM(F162:F163)</f>
        <v>36472882</v>
      </c>
      <c r="G161" s="472">
        <f t="shared" si="125"/>
        <v>6612545</v>
      </c>
      <c r="H161" s="472">
        <f t="shared" si="125"/>
        <v>920829</v>
      </c>
      <c r="I161" s="472">
        <f t="shared" si="125"/>
        <v>0</v>
      </c>
      <c r="J161" s="472">
        <f t="shared" si="125"/>
        <v>9056604</v>
      </c>
      <c r="K161" s="472">
        <f t="shared" si="125"/>
        <v>3025900</v>
      </c>
      <c r="L161" s="472">
        <f t="shared" si="125"/>
        <v>5970336</v>
      </c>
      <c r="M161" s="472">
        <f t="shared" si="125"/>
        <v>1653040</v>
      </c>
      <c r="N161" s="472">
        <f t="shared" si="125"/>
        <v>414600</v>
      </c>
      <c r="O161" s="472">
        <f t="shared" si="125"/>
        <v>3086268</v>
      </c>
      <c r="P161" s="472">
        <f t="shared" si="125"/>
        <v>45529486</v>
      </c>
      <c r="Q161" s="624"/>
      <c r="R161" s="298"/>
    </row>
    <row r="162" spans="1:18" ht="184.5" thickTop="1" thickBot="1" x14ac:dyDescent="0.25">
      <c r="A162" s="864" t="s">
        <v>341</v>
      </c>
      <c r="B162" s="864" t="s">
        <v>343</v>
      </c>
      <c r="C162" s="864" t="s">
        <v>203</v>
      </c>
      <c r="D162" s="499" t="s">
        <v>345</v>
      </c>
      <c r="E162" s="860">
        <f t="shared" si="99"/>
        <v>12724065</v>
      </c>
      <c r="F162" s="444">
        <f>(12694065)+30000</f>
        <v>12724065</v>
      </c>
      <c r="G162" s="447">
        <f>(2293360+2454115+1865070)</f>
        <v>6612545</v>
      </c>
      <c r="H162" s="447">
        <f>((6000+34105+94725+91275+3000+264710+207240+113635+19405)+15430)+71304</f>
        <v>920829</v>
      </c>
      <c r="I162" s="444"/>
      <c r="J162" s="860">
        <f t="shared" ref="J162:J174" si="126">L162+O162</f>
        <v>8590704</v>
      </c>
      <c r="K162" s="444">
        <f>(2000000+260000+300000)</f>
        <v>2560000</v>
      </c>
      <c r="L162" s="444">
        <f>(5275704-60368+600000+155000)</f>
        <v>5970336</v>
      </c>
      <c r="M162" s="444">
        <f>(1468040+180000+5000)</f>
        <v>1653040</v>
      </c>
      <c r="N162" s="444">
        <f>(215600+55000+23000+62000+58000+1000)</f>
        <v>414600</v>
      </c>
      <c r="O162" s="869">
        <f>(K162+60368)</f>
        <v>2620368</v>
      </c>
      <c r="P162" s="860">
        <f t="shared" ref="P162:P174" si="127">E162+J162</f>
        <v>21314769</v>
      </c>
      <c r="R162" s="875"/>
    </row>
    <row r="163" spans="1:18" ht="138.75" thickTop="1" thickBot="1" x14ac:dyDescent="0.25">
      <c r="A163" s="864" t="s">
        <v>342</v>
      </c>
      <c r="B163" s="864" t="s">
        <v>344</v>
      </c>
      <c r="C163" s="864" t="s">
        <v>203</v>
      </c>
      <c r="D163" s="499" t="s">
        <v>346</v>
      </c>
      <c r="E163" s="860">
        <f t="shared" si="99"/>
        <v>23748817</v>
      </c>
      <c r="F163" s="444">
        <f>(23428817)+320000</f>
        <v>23748817</v>
      </c>
      <c r="G163" s="444"/>
      <c r="H163" s="444"/>
      <c r="I163" s="444"/>
      <c r="J163" s="860">
        <f t="shared" si="126"/>
        <v>465900</v>
      </c>
      <c r="K163" s="444">
        <v>465900</v>
      </c>
      <c r="L163" s="444"/>
      <c r="M163" s="444"/>
      <c r="N163" s="444"/>
      <c r="O163" s="869">
        <f t="shared" ref="O163:O174" si="128">K163</f>
        <v>465900</v>
      </c>
      <c r="P163" s="860">
        <f t="shared" si="127"/>
        <v>24214717</v>
      </c>
      <c r="R163" s="875"/>
    </row>
    <row r="164" spans="1:18" ht="91.5" thickTop="1" thickBot="1" x14ac:dyDescent="0.25">
      <c r="A164" s="151" t="s">
        <v>785</v>
      </c>
      <c r="B164" s="151" t="s">
        <v>786</v>
      </c>
      <c r="C164" s="151"/>
      <c r="D164" s="560" t="s">
        <v>787</v>
      </c>
      <c r="E164" s="860">
        <f>SUM(E165)</f>
        <v>0</v>
      </c>
      <c r="F164" s="860">
        <f t="shared" ref="F164:P164" si="129">SUM(F165)</f>
        <v>0</v>
      </c>
      <c r="G164" s="860">
        <f t="shared" si="129"/>
        <v>0</v>
      </c>
      <c r="H164" s="860">
        <f t="shared" si="129"/>
        <v>0</v>
      </c>
      <c r="I164" s="860">
        <f t="shared" si="129"/>
        <v>0</v>
      </c>
      <c r="J164" s="860">
        <f>SUM(J165)</f>
        <v>6000000</v>
      </c>
      <c r="K164" s="860">
        <f t="shared" si="129"/>
        <v>6000000</v>
      </c>
      <c r="L164" s="860">
        <f t="shared" si="129"/>
        <v>0</v>
      </c>
      <c r="M164" s="860">
        <f t="shared" si="129"/>
        <v>0</v>
      </c>
      <c r="N164" s="860">
        <f t="shared" si="129"/>
        <v>0</v>
      </c>
      <c r="O164" s="860">
        <f t="shared" si="129"/>
        <v>6000000</v>
      </c>
      <c r="P164" s="860">
        <f t="shared" si="129"/>
        <v>6000000</v>
      </c>
      <c r="R164" s="875"/>
    </row>
    <row r="165" spans="1:18" s="272" customFormat="1" ht="93" thickTop="1" thickBot="1" x14ac:dyDescent="0.25">
      <c r="A165" s="489" t="s">
        <v>788</v>
      </c>
      <c r="B165" s="489" t="s">
        <v>789</v>
      </c>
      <c r="C165" s="489"/>
      <c r="D165" s="482" t="s">
        <v>790</v>
      </c>
      <c r="E165" s="472">
        <f>SUM(E166:E167)</f>
        <v>0</v>
      </c>
      <c r="F165" s="472">
        <f>SUM(F166:F167)</f>
        <v>0</v>
      </c>
      <c r="G165" s="472">
        <f>SUM(G166:G167)</f>
        <v>0</v>
      </c>
      <c r="H165" s="472">
        <f>SUM(H166:H167)</f>
        <v>0</v>
      </c>
      <c r="I165" s="472">
        <f>SUM(I166:I167)</f>
        <v>0</v>
      </c>
      <c r="J165" s="472">
        <f t="shared" ref="J165:O165" si="130">SUM(J166:J167)</f>
        <v>6000000</v>
      </c>
      <c r="K165" s="472">
        <f t="shared" si="130"/>
        <v>6000000</v>
      </c>
      <c r="L165" s="472">
        <f t="shared" si="130"/>
        <v>0</v>
      </c>
      <c r="M165" s="472">
        <f t="shared" si="130"/>
        <v>0</v>
      </c>
      <c r="N165" s="472">
        <f t="shared" si="130"/>
        <v>0</v>
      </c>
      <c r="O165" s="472">
        <f t="shared" si="130"/>
        <v>6000000</v>
      </c>
      <c r="P165" s="472">
        <f>SUM(P166:P167)</f>
        <v>6000000</v>
      </c>
      <c r="Q165" s="624"/>
      <c r="R165" s="302"/>
    </row>
    <row r="166" spans="1:18" ht="138.75" thickTop="1" thickBot="1" x14ac:dyDescent="0.25">
      <c r="A166" s="864" t="s">
        <v>381</v>
      </c>
      <c r="B166" s="864" t="s">
        <v>379</v>
      </c>
      <c r="C166" s="864" t="s">
        <v>354</v>
      </c>
      <c r="D166" s="499" t="s">
        <v>380</v>
      </c>
      <c r="E166" s="860">
        <f t="shared" si="99"/>
        <v>0</v>
      </c>
      <c r="F166" s="444"/>
      <c r="G166" s="444"/>
      <c r="H166" s="444"/>
      <c r="I166" s="444"/>
      <c r="J166" s="860">
        <f t="shared" si="126"/>
        <v>6000000</v>
      </c>
      <c r="K166" s="444">
        <v>6000000</v>
      </c>
      <c r="L166" s="444"/>
      <c r="M166" s="444"/>
      <c r="N166" s="444"/>
      <c r="O166" s="869">
        <f t="shared" si="128"/>
        <v>6000000</v>
      </c>
      <c r="P166" s="860">
        <f t="shared" si="127"/>
        <v>6000000</v>
      </c>
      <c r="R166" s="875"/>
    </row>
    <row r="167" spans="1:18" ht="409.6" hidden="1" thickTop="1" thickBot="1" x14ac:dyDescent="0.25">
      <c r="A167" s="873" t="s">
        <v>1171</v>
      </c>
      <c r="B167" s="873" t="s">
        <v>1172</v>
      </c>
      <c r="C167" s="873" t="s">
        <v>354</v>
      </c>
      <c r="D167" s="285" t="s">
        <v>1173</v>
      </c>
      <c r="E167" s="874">
        <f t="shared" si="99"/>
        <v>0</v>
      </c>
      <c r="F167" s="278"/>
      <c r="G167" s="278"/>
      <c r="H167" s="278"/>
      <c r="I167" s="278"/>
      <c r="J167" s="874">
        <f t="shared" si="126"/>
        <v>0</v>
      </c>
      <c r="K167" s="278">
        <v>0</v>
      </c>
      <c r="L167" s="278"/>
      <c r="M167" s="278"/>
      <c r="N167" s="278"/>
      <c r="O167" s="871">
        <f t="shared" si="128"/>
        <v>0</v>
      </c>
      <c r="P167" s="874">
        <f t="shared" si="127"/>
        <v>0</v>
      </c>
      <c r="R167" s="875"/>
    </row>
    <row r="168" spans="1:18" ht="47.25" thickTop="1" thickBot="1" x14ac:dyDescent="0.25">
      <c r="A168" s="151" t="s">
        <v>795</v>
      </c>
      <c r="B168" s="466" t="s">
        <v>792</v>
      </c>
      <c r="C168" s="466"/>
      <c r="D168" s="466" t="s">
        <v>793</v>
      </c>
      <c r="E168" s="860">
        <f t="shared" ref="E168:P168" si="131">E172+E169</f>
        <v>0</v>
      </c>
      <c r="F168" s="860">
        <f t="shared" si="131"/>
        <v>0</v>
      </c>
      <c r="G168" s="860">
        <f t="shared" si="131"/>
        <v>0</v>
      </c>
      <c r="H168" s="860">
        <f t="shared" si="131"/>
        <v>0</v>
      </c>
      <c r="I168" s="860">
        <f t="shared" si="131"/>
        <v>0</v>
      </c>
      <c r="J168" s="860">
        <f t="shared" si="131"/>
        <v>2761400</v>
      </c>
      <c r="K168" s="860">
        <f t="shared" si="131"/>
        <v>2296400</v>
      </c>
      <c r="L168" s="860">
        <f t="shared" si="131"/>
        <v>465000</v>
      </c>
      <c r="M168" s="860">
        <f t="shared" si="131"/>
        <v>0</v>
      </c>
      <c r="N168" s="860">
        <f t="shared" si="131"/>
        <v>0</v>
      </c>
      <c r="O168" s="860">
        <f t="shared" si="131"/>
        <v>2296400</v>
      </c>
      <c r="P168" s="860">
        <f t="shared" si="131"/>
        <v>2761400</v>
      </c>
      <c r="R168" s="875"/>
    </row>
    <row r="169" spans="1:18" ht="91.5" thickTop="1" thickBot="1" x14ac:dyDescent="0.25">
      <c r="A169" s="467" t="s">
        <v>986</v>
      </c>
      <c r="B169" s="469" t="s">
        <v>848</v>
      </c>
      <c r="C169" s="469"/>
      <c r="D169" s="469" t="s">
        <v>849</v>
      </c>
      <c r="E169" s="468">
        <f>E170</f>
        <v>0</v>
      </c>
      <c r="F169" s="468">
        <f t="shared" ref="F169:P173" si="132">F170</f>
        <v>0</v>
      </c>
      <c r="G169" s="468">
        <f t="shared" si="132"/>
        <v>0</v>
      </c>
      <c r="H169" s="468">
        <f t="shared" si="132"/>
        <v>0</v>
      </c>
      <c r="I169" s="468">
        <f t="shared" si="132"/>
        <v>0</v>
      </c>
      <c r="J169" s="468">
        <f t="shared" si="132"/>
        <v>2296400</v>
      </c>
      <c r="K169" s="468">
        <f t="shared" si="132"/>
        <v>2296400</v>
      </c>
      <c r="L169" s="468">
        <f t="shared" si="132"/>
        <v>0</v>
      </c>
      <c r="M169" s="468">
        <f t="shared" si="132"/>
        <v>0</v>
      </c>
      <c r="N169" s="468">
        <f t="shared" si="132"/>
        <v>0</v>
      </c>
      <c r="O169" s="468">
        <f t="shared" si="132"/>
        <v>2296400</v>
      </c>
      <c r="P169" s="468">
        <f t="shared" si="132"/>
        <v>2296400</v>
      </c>
      <c r="R169" s="875"/>
    </row>
    <row r="170" spans="1:18" ht="146.25" thickTop="1" thickBot="1" x14ac:dyDescent="0.25">
      <c r="A170" s="489" t="s">
        <v>982</v>
      </c>
      <c r="B170" s="489" t="s">
        <v>867</v>
      </c>
      <c r="C170" s="489"/>
      <c r="D170" s="489" t="s">
        <v>868</v>
      </c>
      <c r="E170" s="472">
        <f>E171</f>
        <v>0</v>
      </c>
      <c r="F170" s="472">
        <f t="shared" si="132"/>
        <v>0</v>
      </c>
      <c r="G170" s="472">
        <f t="shared" si="132"/>
        <v>0</v>
      </c>
      <c r="H170" s="472">
        <f t="shared" si="132"/>
        <v>0</v>
      </c>
      <c r="I170" s="472">
        <f t="shared" si="132"/>
        <v>0</v>
      </c>
      <c r="J170" s="472">
        <f t="shared" si="132"/>
        <v>2296400</v>
      </c>
      <c r="K170" s="472">
        <f t="shared" si="132"/>
        <v>2296400</v>
      </c>
      <c r="L170" s="472">
        <f t="shared" si="132"/>
        <v>0</v>
      </c>
      <c r="M170" s="472">
        <f t="shared" si="132"/>
        <v>0</v>
      </c>
      <c r="N170" s="472">
        <f t="shared" si="132"/>
        <v>0</v>
      </c>
      <c r="O170" s="472">
        <f t="shared" si="132"/>
        <v>2296400</v>
      </c>
      <c r="P170" s="472">
        <f t="shared" si="132"/>
        <v>2296400</v>
      </c>
      <c r="R170" s="875"/>
    </row>
    <row r="171" spans="1:18" ht="99.75" thickTop="1" thickBot="1" x14ac:dyDescent="0.25">
      <c r="A171" s="864" t="s">
        <v>983</v>
      </c>
      <c r="B171" s="864" t="s">
        <v>984</v>
      </c>
      <c r="C171" s="864" t="s">
        <v>317</v>
      </c>
      <c r="D171" s="864" t="s">
        <v>985</v>
      </c>
      <c r="E171" s="860">
        <f>E172</f>
        <v>0</v>
      </c>
      <c r="F171" s="444"/>
      <c r="G171" s="444"/>
      <c r="H171" s="444"/>
      <c r="I171" s="444"/>
      <c r="J171" s="860">
        <f>L171+O171</f>
        <v>2296400</v>
      </c>
      <c r="K171" s="444">
        <v>2296400</v>
      </c>
      <c r="L171" s="444"/>
      <c r="M171" s="444"/>
      <c r="N171" s="444"/>
      <c r="O171" s="869">
        <f>K171</f>
        <v>2296400</v>
      </c>
      <c r="P171" s="860">
        <f>E171+J171</f>
        <v>2296400</v>
      </c>
      <c r="R171" s="875"/>
    </row>
    <row r="172" spans="1:18" ht="136.5" thickTop="1" thickBot="1" x14ac:dyDescent="0.25">
      <c r="A172" s="467" t="s">
        <v>797</v>
      </c>
      <c r="B172" s="469" t="s">
        <v>734</v>
      </c>
      <c r="C172" s="469"/>
      <c r="D172" s="469" t="s">
        <v>732</v>
      </c>
      <c r="E172" s="468">
        <f>E173</f>
        <v>0</v>
      </c>
      <c r="F172" s="468">
        <f t="shared" si="132"/>
        <v>0</v>
      </c>
      <c r="G172" s="468">
        <f t="shared" si="132"/>
        <v>0</v>
      </c>
      <c r="H172" s="468">
        <f t="shared" si="132"/>
        <v>0</v>
      </c>
      <c r="I172" s="468">
        <f t="shared" si="132"/>
        <v>0</v>
      </c>
      <c r="J172" s="468">
        <f t="shared" si="132"/>
        <v>465000</v>
      </c>
      <c r="K172" s="468">
        <f t="shared" si="132"/>
        <v>0</v>
      </c>
      <c r="L172" s="468">
        <f t="shared" si="132"/>
        <v>465000</v>
      </c>
      <c r="M172" s="468">
        <f t="shared" si="132"/>
        <v>0</v>
      </c>
      <c r="N172" s="468">
        <f t="shared" si="132"/>
        <v>0</v>
      </c>
      <c r="O172" s="468">
        <f t="shared" si="132"/>
        <v>0</v>
      </c>
      <c r="P172" s="468">
        <f t="shared" si="132"/>
        <v>465000</v>
      </c>
      <c r="R172" s="875"/>
    </row>
    <row r="173" spans="1:18" ht="48" thickTop="1" thickBot="1" x14ac:dyDescent="0.25">
      <c r="A173" s="470" t="s">
        <v>796</v>
      </c>
      <c r="B173" s="470" t="s">
        <v>737</v>
      </c>
      <c r="C173" s="470"/>
      <c r="D173" s="482" t="s">
        <v>735</v>
      </c>
      <c r="E173" s="472">
        <f>E174</f>
        <v>0</v>
      </c>
      <c r="F173" s="472">
        <f t="shared" si="132"/>
        <v>0</v>
      </c>
      <c r="G173" s="472">
        <f t="shared" si="132"/>
        <v>0</v>
      </c>
      <c r="H173" s="472">
        <f t="shared" si="132"/>
        <v>0</v>
      </c>
      <c r="I173" s="472">
        <f t="shared" si="132"/>
        <v>0</v>
      </c>
      <c r="J173" s="472">
        <f t="shared" si="132"/>
        <v>465000</v>
      </c>
      <c r="K173" s="472">
        <f t="shared" si="132"/>
        <v>0</v>
      </c>
      <c r="L173" s="472">
        <f t="shared" si="132"/>
        <v>465000</v>
      </c>
      <c r="M173" s="472">
        <f t="shared" si="132"/>
        <v>0</v>
      </c>
      <c r="N173" s="472">
        <f t="shared" si="132"/>
        <v>0</v>
      </c>
      <c r="O173" s="472">
        <f t="shared" si="132"/>
        <v>0</v>
      </c>
      <c r="P173" s="472">
        <f t="shared" si="132"/>
        <v>465000</v>
      </c>
      <c r="R173" s="875"/>
    </row>
    <row r="174" spans="1:18" ht="409.6" thickTop="1" thickBot="1" x14ac:dyDescent="0.7">
      <c r="A174" s="920" t="s">
        <v>439</v>
      </c>
      <c r="B174" s="920" t="s">
        <v>352</v>
      </c>
      <c r="C174" s="920" t="s">
        <v>178</v>
      </c>
      <c r="D174" s="484" t="s">
        <v>457</v>
      </c>
      <c r="E174" s="927">
        <f t="shared" si="99"/>
        <v>0</v>
      </c>
      <c r="F174" s="925"/>
      <c r="G174" s="925"/>
      <c r="H174" s="925"/>
      <c r="I174" s="925"/>
      <c r="J174" s="927">
        <f t="shared" si="126"/>
        <v>465000</v>
      </c>
      <c r="K174" s="925"/>
      <c r="L174" s="925">
        <v>465000</v>
      </c>
      <c r="M174" s="925"/>
      <c r="N174" s="925"/>
      <c r="O174" s="923">
        <f t="shared" si="128"/>
        <v>0</v>
      </c>
      <c r="P174" s="924">
        <f t="shared" si="127"/>
        <v>465000</v>
      </c>
      <c r="R174" s="297"/>
    </row>
    <row r="175" spans="1:18" ht="184.5" thickTop="1" thickBot="1" x14ac:dyDescent="0.25">
      <c r="A175" s="933"/>
      <c r="B175" s="934"/>
      <c r="C175" s="933"/>
      <c r="D175" s="488" t="s">
        <v>458</v>
      </c>
      <c r="E175" s="933"/>
      <c r="F175" s="935"/>
      <c r="G175" s="935"/>
      <c r="H175" s="935"/>
      <c r="I175" s="935"/>
      <c r="J175" s="933"/>
      <c r="K175" s="933"/>
      <c r="L175" s="935"/>
      <c r="M175" s="935"/>
      <c r="N175" s="935"/>
      <c r="O175" s="936"/>
      <c r="P175" s="937"/>
      <c r="R175" s="297"/>
    </row>
    <row r="176" spans="1:18" ht="181.5" thickTop="1" thickBot="1" x14ac:dyDescent="0.25">
      <c r="A176" s="828">
        <v>1000000</v>
      </c>
      <c r="B176" s="828"/>
      <c r="C176" s="828"/>
      <c r="D176" s="829" t="s">
        <v>24</v>
      </c>
      <c r="E176" s="830">
        <f>E177</f>
        <v>145732895</v>
      </c>
      <c r="F176" s="831">
        <f t="shared" ref="F176:G176" si="133">F177</f>
        <v>145732895</v>
      </c>
      <c r="G176" s="831">
        <f t="shared" si="133"/>
        <v>103167225</v>
      </c>
      <c r="H176" s="831">
        <f>H177</f>
        <v>7734640</v>
      </c>
      <c r="I176" s="831">
        <f>I177</f>
        <v>0</v>
      </c>
      <c r="J176" s="830">
        <f>J177</f>
        <v>14379770</v>
      </c>
      <c r="K176" s="831">
        <f>K177</f>
        <v>4666920</v>
      </c>
      <c r="L176" s="831">
        <f>L177</f>
        <v>9603770</v>
      </c>
      <c r="M176" s="831">
        <f t="shared" ref="M176" si="134">M177</f>
        <v>7102670</v>
      </c>
      <c r="N176" s="831">
        <f>N177</f>
        <v>306880</v>
      </c>
      <c r="O176" s="830">
        <f>O177</f>
        <v>4776000</v>
      </c>
      <c r="P176" s="831">
        <f t="shared" ref="P176" si="135">P177</f>
        <v>160112665</v>
      </c>
    </row>
    <row r="177" spans="1:18" ht="181.5" thickTop="1" thickBot="1" x14ac:dyDescent="0.25">
      <c r="A177" s="832">
        <v>1010000</v>
      </c>
      <c r="B177" s="832"/>
      <c r="C177" s="832"/>
      <c r="D177" s="833" t="s">
        <v>41</v>
      </c>
      <c r="E177" s="834">
        <f>E178+E180+E194+E189</f>
        <v>145732895</v>
      </c>
      <c r="F177" s="834">
        <f>F178+F180+F194+F189</f>
        <v>145732895</v>
      </c>
      <c r="G177" s="834">
        <f>G178+G180+G194+G189</f>
        <v>103167225</v>
      </c>
      <c r="H177" s="834">
        <f>H178+H180+H194+H189</f>
        <v>7734640</v>
      </c>
      <c r="I177" s="834">
        <f>I178+I180+I194+I189</f>
        <v>0</v>
      </c>
      <c r="J177" s="834">
        <f t="shared" ref="J177:J188" si="136">L177+O177</f>
        <v>14379770</v>
      </c>
      <c r="K177" s="834">
        <f>K178+K180+K194+K189</f>
        <v>4666920</v>
      </c>
      <c r="L177" s="834">
        <f>L178+L180+L194+L189</f>
        <v>9603770</v>
      </c>
      <c r="M177" s="834">
        <f>M178+M180+M194+M189</f>
        <v>7102670</v>
      </c>
      <c r="N177" s="834">
        <f>N178+N180+N194+N189</f>
        <v>306880</v>
      </c>
      <c r="O177" s="834">
        <f>O178+O180+O194+O189</f>
        <v>4776000</v>
      </c>
      <c r="P177" s="834">
        <f t="shared" ref="P177:P188" si="137">E177+J177</f>
        <v>160112665</v>
      </c>
      <c r="Q177" s="628" t="b">
        <f>P177=P179+P181+P182+P183+P184+P187+P188+P196+P193+P192+P185</f>
        <v>1</v>
      </c>
      <c r="R177" s="875"/>
    </row>
    <row r="178" spans="1:18" ht="47.25" thickTop="1" thickBot="1" x14ac:dyDescent="0.25">
      <c r="A178" s="151" t="s">
        <v>798</v>
      </c>
      <c r="B178" s="151" t="s">
        <v>751</v>
      </c>
      <c r="C178" s="151"/>
      <c r="D178" s="151" t="s">
        <v>752</v>
      </c>
      <c r="E178" s="860">
        <f>E179</f>
        <v>78240350</v>
      </c>
      <c r="F178" s="860">
        <f t="shared" ref="F178:P178" si="138">F179</f>
        <v>78240350</v>
      </c>
      <c r="G178" s="860">
        <f t="shared" si="138"/>
        <v>59906300</v>
      </c>
      <c r="H178" s="860">
        <f t="shared" si="138"/>
        <v>4525245</v>
      </c>
      <c r="I178" s="860">
        <f t="shared" si="138"/>
        <v>0</v>
      </c>
      <c r="J178" s="860">
        <f t="shared" si="138"/>
        <v>8879540</v>
      </c>
      <c r="K178" s="860">
        <f t="shared" si="138"/>
        <v>0</v>
      </c>
      <c r="L178" s="860">
        <f t="shared" si="138"/>
        <v>8840540</v>
      </c>
      <c r="M178" s="860">
        <f t="shared" si="138"/>
        <v>6717330</v>
      </c>
      <c r="N178" s="860">
        <f t="shared" si="138"/>
        <v>234900</v>
      </c>
      <c r="O178" s="860">
        <f t="shared" si="138"/>
        <v>39000</v>
      </c>
      <c r="P178" s="860">
        <f t="shared" si="138"/>
        <v>87119890</v>
      </c>
      <c r="Q178" s="628"/>
      <c r="R178" s="875"/>
    </row>
    <row r="179" spans="1:18" ht="93" thickTop="1" thickBot="1" x14ac:dyDescent="0.25">
      <c r="A179" s="864" t="s">
        <v>678</v>
      </c>
      <c r="B179" s="864" t="s">
        <v>679</v>
      </c>
      <c r="C179" s="864" t="s">
        <v>193</v>
      </c>
      <c r="D179" s="864" t="s">
        <v>1240</v>
      </c>
      <c r="E179" s="860">
        <f>F179</f>
        <v>78240350</v>
      </c>
      <c r="F179" s="444">
        <v>78240350</v>
      </c>
      <c r="G179" s="444">
        <v>59906300</v>
      </c>
      <c r="H179" s="444">
        <f>(3878085+33910+419090+159070+35090)</f>
        <v>4525245</v>
      </c>
      <c r="I179" s="444"/>
      <c r="J179" s="860">
        <f t="shared" si="136"/>
        <v>8879540</v>
      </c>
      <c r="K179" s="444">
        <v>0</v>
      </c>
      <c r="L179" s="444">
        <v>8840540</v>
      </c>
      <c r="M179" s="444">
        <v>6717330</v>
      </c>
      <c r="N179" s="444">
        <v>234900</v>
      </c>
      <c r="O179" s="869">
        <f>(K179+39000)</f>
        <v>39000</v>
      </c>
      <c r="P179" s="860">
        <f t="shared" si="137"/>
        <v>87119890</v>
      </c>
      <c r="R179" s="875"/>
    </row>
    <row r="180" spans="1:18" s="252" customFormat="1" ht="47.25" thickTop="1" thickBot="1" x14ac:dyDescent="0.25">
      <c r="A180" s="151" t="s">
        <v>799</v>
      </c>
      <c r="B180" s="151" t="s">
        <v>800</v>
      </c>
      <c r="C180" s="151"/>
      <c r="D180" s="151" t="s">
        <v>801</v>
      </c>
      <c r="E180" s="860">
        <f>SUM(E181:E188)-E186</f>
        <v>66472685</v>
      </c>
      <c r="F180" s="860">
        <f t="shared" ref="F180:P180" si="139">SUM(F181:F188)-F186</f>
        <v>66472685</v>
      </c>
      <c r="G180" s="860">
        <f t="shared" si="139"/>
        <v>43260925</v>
      </c>
      <c r="H180" s="860">
        <f t="shared" si="139"/>
        <v>3209395</v>
      </c>
      <c r="I180" s="860">
        <f t="shared" si="139"/>
        <v>0</v>
      </c>
      <c r="J180" s="860">
        <f t="shared" si="139"/>
        <v>5486230</v>
      </c>
      <c r="K180" s="860">
        <f t="shared" si="139"/>
        <v>4652920</v>
      </c>
      <c r="L180" s="860">
        <f t="shared" si="139"/>
        <v>763230</v>
      </c>
      <c r="M180" s="860">
        <f t="shared" si="139"/>
        <v>385340</v>
      </c>
      <c r="N180" s="860">
        <f t="shared" si="139"/>
        <v>71980</v>
      </c>
      <c r="O180" s="860">
        <f t="shared" si="139"/>
        <v>4723000</v>
      </c>
      <c r="P180" s="860">
        <f t="shared" si="139"/>
        <v>71958915</v>
      </c>
      <c r="Q180" s="616"/>
      <c r="R180" s="297"/>
    </row>
    <row r="181" spans="1:18" ht="48" thickTop="1" thickBot="1" x14ac:dyDescent="0.25">
      <c r="A181" s="864" t="s">
        <v>179</v>
      </c>
      <c r="B181" s="864" t="s">
        <v>180</v>
      </c>
      <c r="C181" s="864" t="s">
        <v>182</v>
      </c>
      <c r="D181" s="864" t="s">
        <v>183</v>
      </c>
      <c r="E181" s="860">
        <f t="shared" ref="E181:E185" si="140">F181</f>
        <v>1100800</v>
      </c>
      <c r="F181" s="444">
        <v>1100800</v>
      </c>
      <c r="G181" s="444"/>
      <c r="H181" s="444"/>
      <c r="I181" s="444"/>
      <c r="J181" s="860">
        <f t="shared" si="136"/>
        <v>0</v>
      </c>
      <c r="K181" s="444"/>
      <c r="L181" s="444"/>
      <c r="M181" s="444"/>
      <c r="N181" s="444"/>
      <c r="O181" s="869">
        <f t="shared" ref="O181:O188" si="141">K181</f>
        <v>0</v>
      </c>
      <c r="P181" s="860">
        <f t="shared" si="137"/>
        <v>1100800</v>
      </c>
      <c r="R181" s="297"/>
    </row>
    <row r="182" spans="1:18" ht="93" thickTop="1" thickBot="1" x14ac:dyDescent="0.25">
      <c r="A182" s="864" t="s">
        <v>184</v>
      </c>
      <c r="B182" s="864" t="s">
        <v>185</v>
      </c>
      <c r="C182" s="864" t="s">
        <v>186</v>
      </c>
      <c r="D182" s="864" t="s">
        <v>187</v>
      </c>
      <c r="E182" s="860">
        <f t="shared" si="140"/>
        <v>15273555</v>
      </c>
      <c r="F182" s="444">
        <v>15273555</v>
      </c>
      <c r="G182" s="444">
        <v>11168800</v>
      </c>
      <c r="H182" s="444">
        <f>(893620+10630+122500+36000+23230)</f>
        <v>1085980</v>
      </c>
      <c r="I182" s="444"/>
      <c r="J182" s="860">
        <f t="shared" si="136"/>
        <v>120000</v>
      </c>
      <c r="K182" s="444">
        <v>0</v>
      </c>
      <c r="L182" s="444">
        <v>120000</v>
      </c>
      <c r="M182" s="444">
        <v>17940</v>
      </c>
      <c r="N182" s="444">
        <v>19880</v>
      </c>
      <c r="O182" s="869">
        <f t="shared" si="141"/>
        <v>0</v>
      </c>
      <c r="P182" s="860">
        <f t="shared" si="137"/>
        <v>15393555</v>
      </c>
      <c r="R182" s="875"/>
    </row>
    <row r="183" spans="1:18" ht="93" thickTop="1" thickBot="1" x14ac:dyDescent="0.25">
      <c r="A183" s="864" t="s">
        <v>188</v>
      </c>
      <c r="B183" s="864" t="s">
        <v>189</v>
      </c>
      <c r="C183" s="864" t="s">
        <v>186</v>
      </c>
      <c r="D183" s="864" t="s">
        <v>481</v>
      </c>
      <c r="E183" s="860">
        <f t="shared" si="140"/>
        <v>2274910</v>
      </c>
      <c r="F183" s="444">
        <v>2274910</v>
      </c>
      <c r="G183" s="444">
        <v>1467815</v>
      </c>
      <c r="H183" s="444">
        <f>(339200+5150+95015+5150)</f>
        <v>444515</v>
      </c>
      <c r="I183" s="444"/>
      <c r="J183" s="860">
        <f t="shared" si="136"/>
        <v>4738920</v>
      </c>
      <c r="K183" s="444">
        <v>4652920</v>
      </c>
      <c r="L183" s="444">
        <v>86000</v>
      </c>
      <c r="M183" s="444">
        <v>14100</v>
      </c>
      <c r="N183" s="444">
        <v>7300</v>
      </c>
      <c r="O183" s="869">
        <f t="shared" si="141"/>
        <v>4652920</v>
      </c>
      <c r="P183" s="860">
        <f t="shared" si="137"/>
        <v>7013830</v>
      </c>
      <c r="R183" s="875"/>
    </row>
    <row r="184" spans="1:18" ht="184.5" thickTop="1" thickBot="1" x14ac:dyDescent="0.25">
      <c r="A184" s="864" t="s">
        <v>190</v>
      </c>
      <c r="B184" s="864" t="s">
        <v>181</v>
      </c>
      <c r="C184" s="864" t="s">
        <v>191</v>
      </c>
      <c r="D184" s="864" t="s">
        <v>192</v>
      </c>
      <c r="E184" s="860">
        <f t="shared" si="140"/>
        <v>16744655</v>
      </c>
      <c r="F184" s="444">
        <v>16744655</v>
      </c>
      <c r="G184" s="444">
        <v>11922920</v>
      </c>
      <c r="H184" s="444">
        <f>946300+11800+502850+99600+41080</f>
        <v>1601630</v>
      </c>
      <c r="I184" s="444"/>
      <c r="J184" s="860">
        <f t="shared" si="136"/>
        <v>481300</v>
      </c>
      <c r="K184" s="444">
        <v>0</v>
      </c>
      <c r="L184" s="444">
        <v>477820</v>
      </c>
      <c r="M184" s="444">
        <v>342900</v>
      </c>
      <c r="N184" s="444">
        <v>44800</v>
      </c>
      <c r="O184" s="869">
        <f>(K184+3480)</f>
        <v>3480</v>
      </c>
      <c r="P184" s="860">
        <f t="shared" si="137"/>
        <v>17225955</v>
      </c>
      <c r="R184" s="875"/>
    </row>
    <row r="185" spans="1:18" ht="93" thickTop="1" thickBot="1" x14ac:dyDescent="0.25">
      <c r="A185" s="864" t="s">
        <v>1365</v>
      </c>
      <c r="B185" s="864" t="s">
        <v>1366</v>
      </c>
      <c r="C185" s="864" t="s">
        <v>1368</v>
      </c>
      <c r="D185" s="864" t="s">
        <v>1367</v>
      </c>
      <c r="E185" s="860">
        <f t="shared" si="140"/>
        <v>334365</v>
      </c>
      <c r="F185" s="444">
        <v>334365</v>
      </c>
      <c r="G185" s="444"/>
      <c r="H185" s="444"/>
      <c r="I185" s="444"/>
      <c r="J185" s="860">
        <f t="shared" si="136"/>
        <v>0</v>
      </c>
      <c r="K185" s="444"/>
      <c r="L185" s="444"/>
      <c r="M185" s="444"/>
      <c r="N185" s="444"/>
      <c r="O185" s="869">
        <f>(K185)</f>
        <v>0</v>
      </c>
      <c r="P185" s="860">
        <f t="shared" si="137"/>
        <v>334365</v>
      </c>
      <c r="R185" s="875"/>
    </row>
    <row r="186" spans="1:18" ht="93" thickTop="1" thickBot="1" x14ac:dyDescent="0.25">
      <c r="A186" s="489" t="s">
        <v>802</v>
      </c>
      <c r="B186" s="489" t="s">
        <v>803</v>
      </c>
      <c r="C186" s="489"/>
      <c r="D186" s="489" t="s">
        <v>804</v>
      </c>
      <c r="E186" s="472">
        <f>SUM(E187:E188)</f>
        <v>30744400</v>
      </c>
      <c r="F186" s="472">
        <f t="shared" ref="F186:P186" si="142">SUM(F187:F188)</f>
        <v>30744400</v>
      </c>
      <c r="G186" s="472">
        <f t="shared" si="142"/>
        <v>18701390</v>
      </c>
      <c r="H186" s="472">
        <f t="shared" si="142"/>
        <v>77270</v>
      </c>
      <c r="I186" s="472">
        <f t="shared" si="142"/>
        <v>0</v>
      </c>
      <c r="J186" s="472">
        <f t="shared" si="142"/>
        <v>146010</v>
      </c>
      <c r="K186" s="472">
        <f t="shared" si="142"/>
        <v>0</v>
      </c>
      <c r="L186" s="472">
        <f t="shared" si="142"/>
        <v>79410</v>
      </c>
      <c r="M186" s="472">
        <f t="shared" si="142"/>
        <v>10400</v>
      </c>
      <c r="N186" s="472">
        <f t="shared" si="142"/>
        <v>0</v>
      </c>
      <c r="O186" s="472">
        <f t="shared" si="142"/>
        <v>66600</v>
      </c>
      <c r="P186" s="472">
        <f t="shared" si="142"/>
        <v>30890410</v>
      </c>
      <c r="R186" s="875"/>
    </row>
    <row r="187" spans="1:18" ht="138.75" thickTop="1" thickBot="1" x14ac:dyDescent="0.25">
      <c r="A187" s="864" t="s">
        <v>347</v>
      </c>
      <c r="B187" s="864" t="s">
        <v>348</v>
      </c>
      <c r="C187" s="864" t="s">
        <v>194</v>
      </c>
      <c r="D187" s="864" t="s">
        <v>482</v>
      </c>
      <c r="E187" s="860">
        <f>F187</f>
        <v>23987945</v>
      </c>
      <c r="F187" s="444">
        <v>23987945</v>
      </c>
      <c r="G187" s="444">
        <v>18701390</v>
      </c>
      <c r="H187" s="444">
        <f>(70300+6600+370)</f>
        <v>77270</v>
      </c>
      <c r="I187" s="444"/>
      <c r="J187" s="860">
        <f t="shared" si="136"/>
        <v>146010</v>
      </c>
      <c r="K187" s="444">
        <v>0</v>
      </c>
      <c r="L187" s="444">
        <v>79410</v>
      </c>
      <c r="M187" s="444">
        <v>10400</v>
      </c>
      <c r="N187" s="444"/>
      <c r="O187" s="869">
        <f>(K187+66600)</f>
        <v>66600</v>
      </c>
      <c r="P187" s="860">
        <f t="shared" si="137"/>
        <v>24133955</v>
      </c>
      <c r="R187" s="875"/>
    </row>
    <row r="188" spans="1:18" ht="93" thickTop="1" thickBot="1" x14ac:dyDescent="0.25">
      <c r="A188" s="864" t="s">
        <v>349</v>
      </c>
      <c r="B188" s="864" t="s">
        <v>350</v>
      </c>
      <c r="C188" s="864" t="s">
        <v>194</v>
      </c>
      <c r="D188" s="864" t="s">
        <v>483</v>
      </c>
      <c r="E188" s="860">
        <f>F188</f>
        <v>6756455</v>
      </c>
      <c r="F188" s="444">
        <v>6756455</v>
      </c>
      <c r="G188" s="444"/>
      <c r="H188" s="444"/>
      <c r="I188" s="444"/>
      <c r="J188" s="860">
        <f t="shared" si="136"/>
        <v>0</v>
      </c>
      <c r="K188" s="444"/>
      <c r="L188" s="444"/>
      <c r="M188" s="444"/>
      <c r="N188" s="444"/>
      <c r="O188" s="869">
        <f t="shared" si="141"/>
        <v>0</v>
      </c>
      <c r="P188" s="860">
        <f t="shared" si="137"/>
        <v>6756455</v>
      </c>
      <c r="R188" s="297"/>
    </row>
    <row r="189" spans="1:18" ht="47.25" thickTop="1" thickBot="1" x14ac:dyDescent="0.25">
      <c r="A189" s="151" t="s">
        <v>973</v>
      </c>
      <c r="B189" s="466" t="s">
        <v>792</v>
      </c>
      <c r="C189" s="466"/>
      <c r="D189" s="466" t="s">
        <v>793</v>
      </c>
      <c r="E189" s="860">
        <f>SUM(E190)</f>
        <v>1019860</v>
      </c>
      <c r="F189" s="860">
        <f t="shared" ref="F189:P189" si="143">SUM(F190)</f>
        <v>1019860</v>
      </c>
      <c r="G189" s="860">
        <f t="shared" si="143"/>
        <v>0</v>
      </c>
      <c r="H189" s="860">
        <f t="shared" si="143"/>
        <v>0</v>
      </c>
      <c r="I189" s="860">
        <f t="shared" si="143"/>
        <v>0</v>
      </c>
      <c r="J189" s="860">
        <f t="shared" si="143"/>
        <v>14000</v>
      </c>
      <c r="K189" s="860">
        <f t="shared" si="143"/>
        <v>14000</v>
      </c>
      <c r="L189" s="860">
        <f t="shared" si="143"/>
        <v>0</v>
      </c>
      <c r="M189" s="860">
        <f t="shared" si="143"/>
        <v>0</v>
      </c>
      <c r="N189" s="860">
        <f t="shared" si="143"/>
        <v>0</v>
      </c>
      <c r="O189" s="860">
        <f t="shared" si="143"/>
        <v>14000</v>
      </c>
      <c r="P189" s="860">
        <f t="shared" si="143"/>
        <v>1033860</v>
      </c>
      <c r="R189" s="297"/>
    </row>
    <row r="190" spans="1:18" ht="136.5" thickTop="1" thickBot="1" x14ac:dyDescent="0.25">
      <c r="A190" s="467" t="s">
        <v>974</v>
      </c>
      <c r="B190" s="467" t="s">
        <v>734</v>
      </c>
      <c r="C190" s="467"/>
      <c r="D190" s="467" t="s">
        <v>732</v>
      </c>
      <c r="E190" s="468">
        <f>E191+E193</f>
        <v>1019860</v>
      </c>
      <c r="F190" s="468">
        <f t="shared" ref="F190:O190" si="144">F191+F193</f>
        <v>1019860</v>
      </c>
      <c r="G190" s="468">
        <f t="shared" si="144"/>
        <v>0</v>
      </c>
      <c r="H190" s="468">
        <f t="shared" si="144"/>
        <v>0</v>
      </c>
      <c r="I190" s="468">
        <f t="shared" si="144"/>
        <v>0</v>
      </c>
      <c r="J190" s="468">
        <f t="shared" si="144"/>
        <v>14000</v>
      </c>
      <c r="K190" s="468">
        <f t="shared" si="144"/>
        <v>14000</v>
      </c>
      <c r="L190" s="468">
        <f t="shared" si="144"/>
        <v>0</v>
      </c>
      <c r="M190" s="468">
        <f t="shared" si="144"/>
        <v>0</v>
      </c>
      <c r="N190" s="468">
        <f t="shared" si="144"/>
        <v>0</v>
      </c>
      <c r="O190" s="468">
        <f t="shared" si="144"/>
        <v>14000</v>
      </c>
      <c r="P190" s="468">
        <f>P191+P193</f>
        <v>1033860</v>
      </c>
      <c r="R190" s="297"/>
    </row>
    <row r="191" spans="1:18" ht="93" thickTop="1" thickBot="1" x14ac:dyDescent="0.25">
      <c r="A191" s="489" t="s">
        <v>1115</v>
      </c>
      <c r="B191" s="489" t="s">
        <v>1116</v>
      </c>
      <c r="C191" s="489"/>
      <c r="D191" s="489" t="s">
        <v>1114</v>
      </c>
      <c r="E191" s="472">
        <f>E192</f>
        <v>1019860</v>
      </c>
      <c r="F191" s="472">
        <f t="shared" ref="F191:P191" si="145">F192</f>
        <v>1019860</v>
      </c>
      <c r="G191" s="472">
        <f t="shared" si="145"/>
        <v>0</v>
      </c>
      <c r="H191" s="472">
        <f t="shared" si="145"/>
        <v>0</v>
      </c>
      <c r="I191" s="472">
        <f t="shared" si="145"/>
        <v>0</v>
      </c>
      <c r="J191" s="472">
        <f t="shared" si="145"/>
        <v>0</v>
      </c>
      <c r="K191" s="472">
        <f t="shared" si="145"/>
        <v>0</v>
      </c>
      <c r="L191" s="472">
        <f t="shared" si="145"/>
        <v>0</v>
      </c>
      <c r="M191" s="472">
        <f t="shared" si="145"/>
        <v>0</v>
      </c>
      <c r="N191" s="472">
        <f t="shared" si="145"/>
        <v>0</v>
      </c>
      <c r="O191" s="472">
        <f t="shared" si="145"/>
        <v>0</v>
      </c>
      <c r="P191" s="472">
        <f t="shared" si="145"/>
        <v>1019860</v>
      </c>
      <c r="R191" s="297"/>
    </row>
    <row r="192" spans="1:18" ht="153" customHeight="1" thickTop="1" thickBot="1" x14ac:dyDescent="0.25">
      <c r="A192" s="864" t="s">
        <v>1118</v>
      </c>
      <c r="B192" s="864" t="s">
        <v>1119</v>
      </c>
      <c r="C192" s="864" t="s">
        <v>225</v>
      </c>
      <c r="D192" s="864" t="s">
        <v>1117</v>
      </c>
      <c r="E192" s="860">
        <f t="shared" ref="E192:E193" si="146">F192</f>
        <v>1019860</v>
      </c>
      <c r="F192" s="444">
        <v>1019860</v>
      </c>
      <c r="G192" s="444"/>
      <c r="H192" s="444"/>
      <c r="I192" s="444"/>
      <c r="J192" s="860">
        <f>L192+O192</f>
        <v>0</v>
      </c>
      <c r="K192" s="444"/>
      <c r="L192" s="444"/>
      <c r="M192" s="444"/>
      <c r="N192" s="444"/>
      <c r="O192" s="869">
        <f>K192</f>
        <v>0</v>
      </c>
      <c r="P192" s="860">
        <f>E192+J192</f>
        <v>1019860</v>
      </c>
      <c r="R192" s="297"/>
    </row>
    <row r="193" spans="1:18" ht="93" thickTop="1" thickBot="1" x14ac:dyDescent="0.25">
      <c r="A193" s="864" t="s">
        <v>975</v>
      </c>
      <c r="B193" s="864" t="s">
        <v>209</v>
      </c>
      <c r="C193" s="864" t="s">
        <v>178</v>
      </c>
      <c r="D193" s="864" t="s">
        <v>36</v>
      </c>
      <c r="E193" s="860">
        <f t="shared" si="146"/>
        <v>0</v>
      </c>
      <c r="F193" s="444"/>
      <c r="G193" s="444"/>
      <c r="H193" s="444"/>
      <c r="I193" s="444"/>
      <c r="J193" s="860">
        <f t="shared" ref="J193" si="147">L193+O193</f>
        <v>14000</v>
      </c>
      <c r="K193" s="444">
        <v>14000</v>
      </c>
      <c r="L193" s="444"/>
      <c r="M193" s="444"/>
      <c r="N193" s="444"/>
      <c r="O193" s="869">
        <f t="shared" ref="O193" si="148">K193</f>
        <v>14000</v>
      </c>
      <c r="P193" s="860">
        <f t="shared" ref="P193" si="149">E193+J193</f>
        <v>14000</v>
      </c>
      <c r="R193" s="875"/>
    </row>
    <row r="194" spans="1:18" ht="47.25" hidden="1" thickTop="1" thickBot="1" x14ac:dyDescent="0.25">
      <c r="A194" s="250" t="s">
        <v>805</v>
      </c>
      <c r="B194" s="250" t="s">
        <v>745</v>
      </c>
      <c r="C194" s="250"/>
      <c r="D194" s="250" t="s">
        <v>746</v>
      </c>
      <c r="E194" s="874">
        <f>E195</f>
        <v>0</v>
      </c>
      <c r="F194" s="874">
        <f t="shared" ref="F194:P195" si="150">F195</f>
        <v>0</v>
      </c>
      <c r="G194" s="874">
        <f t="shared" si="150"/>
        <v>0</v>
      </c>
      <c r="H194" s="874">
        <f t="shared" si="150"/>
        <v>0</v>
      </c>
      <c r="I194" s="874">
        <f t="shared" si="150"/>
        <v>0</v>
      </c>
      <c r="J194" s="874">
        <f t="shared" si="150"/>
        <v>0</v>
      </c>
      <c r="K194" s="874">
        <f t="shared" si="150"/>
        <v>0</v>
      </c>
      <c r="L194" s="874">
        <f t="shared" si="150"/>
        <v>0</v>
      </c>
      <c r="M194" s="874">
        <f t="shared" si="150"/>
        <v>0</v>
      </c>
      <c r="N194" s="874">
        <f t="shared" si="150"/>
        <v>0</v>
      </c>
      <c r="O194" s="874">
        <f t="shared" si="150"/>
        <v>0</v>
      </c>
      <c r="P194" s="874">
        <f t="shared" si="150"/>
        <v>0</v>
      </c>
      <c r="R194" s="297"/>
    </row>
    <row r="195" spans="1:18" ht="271.5" hidden="1" thickTop="1" thickBot="1" x14ac:dyDescent="0.25">
      <c r="A195" s="253" t="s">
        <v>806</v>
      </c>
      <c r="B195" s="253" t="s">
        <v>748</v>
      </c>
      <c r="C195" s="253"/>
      <c r="D195" s="253" t="s">
        <v>749</v>
      </c>
      <c r="E195" s="270">
        <f>E196</f>
        <v>0</v>
      </c>
      <c r="F195" s="270">
        <f t="shared" si="150"/>
        <v>0</v>
      </c>
      <c r="G195" s="270">
        <f t="shared" si="150"/>
        <v>0</v>
      </c>
      <c r="H195" s="270">
        <f t="shared" si="150"/>
        <v>0</v>
      </c>
      <c r="I195" s="270">
        <f t="shared" si="150"/>
        <v>0</v>
      </c>
      <c r="J195" s="270">
        <f t="shared" si="150"/>
        <v>0</v>
      </c>
      <c r="K195" s="270">
        <f t="shared" si="150"/>
        <v>0</v>
      </c>
      <c r="L195" s="270">
        <f t="shared" si="150"/>
        <v>0</v>
      </c>
      <c r="M195" s="270">
        <f t="shared" si="150"/>
        <v>0</v>
      </c>
      <c r="N195" s="270">
        <f t="shared" si="150"/>
        <v>0</v>
      </c>
      <c r="O195" s="270">
        <f t="shared" si="150"/>
        <v>0</v>
      </c>
      <c r="P195" s="270">
        <f t="shared" si="150"/>
        <v>0</v>
      </c>
      <c r="R195" s="297"/>
    </row>
    <row r="196" spans="1:18" ht="93" hidden="1" thickTop="1" thickBot="1" x14ac:dyDescent="0.25">
      <c r="A196" s="873" t="s">
        <v>618</v>
      </c>
      <c r="B196" s="873" t="s">
        <v>377</v>
      </c>
      <c r="C196" s="873" t="s">
        <v>45</v>
      </c>
      <c r="D196" s="873" t="s">
        <v>378</v>
      </c>
      <c r="E196" s="874">
        <f t="shared" ref="E196" si="151">F196</f>
        <v>0</v>
      </c>
      <c r="F196" s="278">
        <v>0</v>
      </c>
      <c r="G196" s="278"/>
      <c r="H196" s="278"/>
      <c r="I196" s="278"/>
      <c r="J196" s="874">
        <f>L196+O196</f>
        <v>0</v>
      </c>
      <c r="K196" s="278"/>
      <c r="L196" s="278"/>
      <c r="M196" s="278"/>
      <c r="N196" s="278"/>
      <c r="O196" s="871">
        <f>K196</f>
        <v>0</v>
      </c>
      <c r="P196" s="874">
        <f>E196+J196</f>
        <v>0</v>
      </c>
      <c r="R196" s="297"/>
    </row>
    <row r="197" spans="1:18" ht="136.5" thickTop="1" thickBot="1" x14ac:dyDescent="0.25">
      <c r="A197" s="828" t="s">
        <v>22</v>
      </c>
      <c r="B197" s="828"/>
      <c r="C197" s="828"/>
      <c r="D197" s="829" t="s">
        <v>23</v>
      </c>
      <c r="E197" s="830">
        <f>E198</f>
        <v>112568924</v>
      </c>
      <c r="F197" s="831">
        <f t="shared" ref="F197:G197" si="152">F198</f>
        <v>112568924</v>
      </c>
      <c r="G197" s="831">
        <f t="shared" si="152"/>
        <v>50998970</v>
      </c>
      <c r="H197" s="831">
        <f>H198</f>
        <v>4785071</v>
      </c>
      <c r="I197" s="831">
        <f t="shared" ref="I197" si="153">I198</f>
        <v>0</v>
      </c>
      <c r="J197" s="830">
        <f>J198</f>
        <v>9230456</v>
      </c>
      <c r="K197" s="831">
        <f>K198</f>
        <v>7097437</v>
      </c>
      <c r="L197" s="831">
        <f>L198</f>
        <v>2053849</v>
      </c>
      <c r="M197" s="831">
        <f t="shared" ref="M197" si="154">M198</f>
        <v>1042780</v>
      </c>
      <c r="N197" s="831">
        <f>N198</f>
        <v>366828</v>
      </c>
      <c r="O197" s="830">
        <f>O198</f>
        <v>7176607</v>
      </c>
      <c r="P197" s="831">
        <f t="shared" ref="P197" si="155">P198</f>
        <v>121799380</v>
      </c>
    </row>
    <row r="198" spans="1:18" ht="178.5" customHeight="1" thickTop="1" thickBot="1" x14ac:dyDescent="0.25">
      <c r="A198" s="832" t="s">
        <v>21</v>
      </c>
      <c r="B198" s="832"/>
      <c r="C198" s="832"/>
      <c r="D198" s="833" t="s">
        <v>37</v>
      </c>
      <c r="E198" s="834">
        <f>E199+E205+E218+E221+E227</f>
        <v>112568924</v>
      </c>
      <c r="F198" s="834">
        <f t="shared" ref="F198:I198" si="156">F199+F205+F218+F221+F227</f>
        <v>112568924</v>
      </c>
      <c r="G198" s="834">
        <f t="shared" si="156"/>
        <v>50998970</v>
      </c>
      <c r="H198" s="834">
        <f t="shared" si="156"/>
        <v>4785071</v>
      </c>
      <c r="I198" s="834">
        <f t="shared" si="156"/>
        <v>0</v>
      </c>
      <c r="J198" s="834">
        <f>L198+O198</f>
        <v>9230456</v>
      </c>
      <c r="K198" s="834">
        <f t="shared" ref="K198:O198" si="157">K199+K205+K218+K221+K227</f>
        <v>7097437</v>
      </c>
      <c r="L198" s="834">
        <f t="shared" si="157"/>
        <v>2053849</v>
      </c>
      <c r="M198" s="834">
        <f t="shared" si="157"/>
        <v>1042780</v>
      </c>
      <c r="N198" s="834">
        <f t="shared" si="157"/>
        <v>366828</v>
      </c>
      <c r="O198" s="834">
        <f t="shared" si="157"/>
        <v>7176607</v>
      </c>
      <c r="P198" s="834">
        <f>E198+J198</f>
        <v>121799380</v>
      </c>
      <c r="Q198" s="628" t="b">
        <f>P198=P201+P203+P204+P207+P208+P210+P212+P213+P215+P216+P217+P220+P226+P224+P229</f>
        <v>1</v>
      </c>
      <c r="R198" s="875"/>
    </row>
    <row r="199" spans="1:18" ht="91.5" thickTop="1" thickBot="1" x14ac:dyDescent="0.25">
      <c r="A199" s="151" t="s">
        <v>807</v>
      </c>
      <c r="B199" s="151" t="s">
        <v>754</v>
      </c>
      <c r="C199" s="151"/>
      <c r="D199" s="151" t="s">
        <v>755</v>
      </c>
      <c r="E199" s="576">
        <f>SUM(E200:E204)-E200-E202</f>
        <v>19041780</v>
      </c>
      <c r="F199" s="576">
        <f t="shared" ref="F199:P199" si="158">SUM(F200:F204)-F200-F202</f>
        <v>19041780</v>
      </c>
      <c r="G199" s="576">
        <f t="shared" si="158"/>
        <v>8950680</v>
      </c>
      <c r="H199" s="576">
        <f t="shared" si="158"/>
        <v>1018510</v>
      </c>
      <c r="I199" s="576">
        <f t="shared" si="158"/>
        <v>0</v>
      </c>
      <c r="J199" s="576">
        <f t="shared" si="158"/>
        <v>903993</v>
      </c>
      <c r="K199" s="576">
        <f t="shared" si="158"/>
        <v>537693</v>
      </c>
      <c r="L199" s="576">
        <f t="shared" si="158"/>
        <v>366300</v>
      </c>
      <c r="M199" s="576">
        <f t="shared" si="158"/>
        <v>180000</v>
      </c>
      <c r="N199" s="576">
        <f t="shared" si="158"/>
        <v>108000</v>
      </c>
      <c r="O199" s="576">
        <f t="shared" si="158"/>
        <v>537693</v>
      </c>
      <c r="P199" s="576">
        <f t="shared" si="158"/>
        <v>19945773</v>
      </c>
      <c r="Q199" s="628"/>
      <c r="R199" s="875"/>
    </row>
    <row r="200" spans="1:18" s="272" customFormat="1" ht="138.75" thickTop="1" thickBot="1" x14ac:dyDescent="0.25">
      <c r="A200" s="489" t="s">
        <v>808</v>
      </c>
      <c r="B200" s="489" t="s">
        <v>809</v>
      </c>
      <c r="C200" s="489"/>
      <c r="D200" s="489" t="s">
        <v>810</v>
      </c>
      <c r="E200" s="577">
        <f>E201</f>
        <v>6040461</v>
      </c>
      <c r="F200" s="577">
        <f t="shared" ref="F200:P200" si="159">F201</f>
        <v>6040461</v>
      </c>
      <c r="G200" s="577">
        <f t="shared" si="159"/>
        <v>4559615</v>
      </c>
      <c r="H200" s="577">
        <f t="shared" si="159"/>
        <v>137400</v>
      </c>
      <c r="I200" s="577">
        <f t="shared" si="159"/>
        <v>0</v>
      </c>
      <c r="J200" s="577">
        <f t="shared" si="159"/>
        <v>0</v>
      </c>
      <c r="K200" s="577">
        <f t="shared" si="159"/>
        <v>0</v>
      </c>
      <c r="L200" s="577">
        <f t="shared" si="159"/>
        <v>0</v>
      </c>
      <c r="M200" s="577">
        <f t="shared" si="159"/>
        <v>0</v>
      </c>
      <c r="N200" s="577">
        <f t="shared" si="159"/>
        <v>0</v>
      </c>
      <c r="O200" s="577">
        <f t="shared" si="159"/>
        <v>0</v>
      </c>
      <c r="P200" s="577">
        <f t="shared" si="159"/>
        <v>6040461</v>
      </c>
      <c r="Q200" s="630"/>
      <c r="R200" s="302"/>
    </row>
    <row r="201" spans="1:18" ht="138.75" thickTop="1" thickBot="1" x14ac:dyDescent="0.25">
      <c r="A201" s="864" t="s">
        <v>195</v>
      </c>
      <c r="B201" s="864" t="s">
        <v>196</v>
      </c>
      <c r="C201" s="864" t="s">
        <v>197</v>
      </c>
      <c r="D201" s="864" t="s">
        <v>680</v>
      </c>
      <c r="E201" s="446">
        <f t="shared" ref="E201:E216" si="160">F201</f>
        <v>6040461</v>
      </c>
      <c r="F201" s="447">
        <v>6040461</v>
      </c>
      <c r="G201" s="447">
        <v>4559615</v>
      </c>
      <c r="H201" s="447">
        <f>(96665+5295+31600+3840)</f>
        <v>137400</v>
      </c>
      <c r="I201" s="447"/>
      <c r="J201" s="860">
        <f t="shared" ref="J201:J226" si="161">L201+O201</f>
        <v>0</v>
      </c>
      <c r="K201" s="447"/>
      <c r="L201" s="459"/>
      <c r="M201" s="459"/>
      <c r="N201" s="459"/>
      <c r="O201" s="869">
        <f t="shared" ref="O201:O226" si="162">K201</f>
        <v>0</v>
      </c>
      <c r="P201" s="860">
        <f>+J201+E201</f>
        <v>6040461</v>
      </c>
      <c r="Q201" s="631"/>
      <c r="R201" s="297"/>
    </row>
    <row r="202" spans="1:18" s="272" customFormat="1" ht="93" thickTop="1" thickBot="1" x14ac:dyDescent="0.25">
      <c r="A202" s="489" t="s">
        <v>811</v>
      </c>
      <c r="B202" s="489" t="s">
        <v>812</v>
      </c>
      <c r="C202" s="489"/>
      <c r="D202" s="489" t="s">
        <v>813</v>
      </c>
      <c r="E202" s="490">
        <f>SUM(E203:E204)</f>
        <v>13001319</v>
      </c>
      <c r="F202" s="490">
        <f t="shared" ref="F202:P202" si="163">SUM(F203:F204)</f>
        <v>13001319</v>
      </c>
      <c r="G202" s="490">
        <f t="shared" si="163"/>
        <v>4391065</v>
      </c>
      <c r="H202" s="490">
        <f t="shared" si="163"/>
        <v>881110</v>
      </c>
      <c r="I202" s="490">
        <f t="shared" si="163"/>
        <v>0</v>
      </c>
      <c r="J202" s="490">
        <f t="shared" si="163"/>
        <v>903993</v>
      </c>
      <c r="K202" s="490">
        <f t="shared" si="163"/>
        <v>537693</v>
      </c>
      <c r="L202" s="490">
        <f t="shared" si="163"/>
        <v>366300</v>
      </c>
      <c r="M202" s="490">
        <f t="shared" si="163"/>
        <v>180000</v>
      </c>
      <c r="N202" s="490">
        <f t="shared" si="163"/>
        <v>108000</v>
      </c>
      <c r="O202" s="490">
        <f t="shared" si="163"/>
        <v>537693</v>
      </c>
      <c r="P202" s="490">
        <f t="shared" si="163"/>
        <v>13905312</v>
      </c>
      <c r="Q202" s="632"/>
      <c r="R202" s="298"/>
    </row>
    <row r="203" spans="1:18" ht="93" thickTop="1" thickBot="1" x14ac:dyDescent="0.25">
      <c r="A203" s="864" t="s">
        <v>201</v>
      </c>
      <c r="B203" s="864" t="s">
        <v>202</v>
      </c>
      <c r="C203" s="864" t="s">
        <v>197</v>
      </c>
      <c r="D203" s="864" t="s">
        <v>10</v>
      </c>
      <c r="E203" s="446">
        <f t="shared" si="160"/>
        <v>4920329</v>
      </c>
      <c r="F203" s="447">
        <v>4920329</v>
      </c>
      <c r="G203" s="447">
        <v>2954350</v>
      </c>
      <c r="H203" s="447">
        <f>(567760+5370+142130+2090)</f>
        <v>717350</v>
      </c>
      <c r="I203" s="447"/>
      <c r="J203" s="860">
        <f t="shared" si="161"/>
        <v>903993</v>
      </c>
      <c r="K203" s="447">
        <f>(537693)</f>
        <v>537693</v>
      </c>
      <c r="L203" s="459">
        <v>366300</v>
      </c>
      <c r="M203" s="459">
        <v>180000</v>
      </c>
      <c r="N203" s="459">
        <f>(95000)+13000</f>
        <v>108000</v>
      </c>
      <c r="O203" s="869">
        <f>K203</f>
        <v>537693</v>
      </c>
      <c r="P203" s="860">
        <f t="shared" ref="P203:P226" si="164">E203+J203</f>
        <v>5824322</v>
      </c>
      <c r="R203" s="875"/>
    </row>
    <row r="204" spans="1:18" ht="93" thickTop="1" thickBot="1" x14ac:dyDescent="0.25">
      <c r="A204" s="864" t="s">
        <v>365</v>
      </c>
      <c r="B204" s="864" t="s">
        <v>366</v>
      </c>
      <c r="C204" s="864" t="s">
        <v>197</v>
      </c>
      <c r="D204" s="864" t="s">
        <v>367</v>
      </c>
      <c r="E204" s="446">
        <f t="shared" si="160"/>
        <v>8080990</v>
      </c>
      <c r="F204" s="447">
        <v>8080990</v>
      </c>
      <c r="G204" s="447">
        <v>1436715</v>
      </c>
      <c r="H204" s="447">
        <f>(99760+4560+57520+1920)</f>
        <v>163760</v>
      </c>
      <c r="I204" s="447"/>
      <c r="J204" s="860">
        <f t="shared" si="161"/>
        <v>0</v>
      </c>
      <c r="K204" s="447"/>
      <c r="L204" s="459"/>
      <c r="M204" s="459"/>
      <c r="N204" s="459"/>
      <c r="O204" s="869">
        <f t="shared" si="162"/>
        <v>0</v>
      </c>
      <c r="P204" s="860">
        <f t="shared" si="164"/>
        <v>8080990</v>
      </c>
      <c r="R204" s="875"/>
    </row>
    <row r="205" spans="1:18" ht="47.25" thickTop="1" thickBot="1" x14ac:dyDescent="0.25">
      <c r="A205" s="151" t="s">
        <v>814</v>
      </c>
      <c r="B205" s="151" t="s">
        <v>815</v>
      </c>
      <c r="C205" s="864"/>
      <c r="D205" s="151" t="s">
        <v>816</v>
      </c>
      <c r="E205" s="446">
        <f>SUM(E206:E217)-E206-E209-E211-E214</f>
        <v>93488144</v>
      </c>
      <c r="F205" s="446">
        <f t="shared" ref="F205:P205" si="165">SUM(F206:F217)-F206-F209-F211-F214</f>
        <v>93488144</v>
      </c>
      <c r="G205" s="446">
        <f t="shared" si="165"/>
        <v>42048290</v>
      </c>
      <c r="H205" s="446">
        <f t="shared" si="165"/>
        <v>3766561</v>
      </c>
      <c r="I205" s="446">
        <f t="shared" si="165"/>
        <v>0</v>
      </c>
      <c r="J205" s="446">
        <f t="shared" si="165"/>
        <v>8026463</v>
      </c>
      <c r="K205" s="446">
        <f t="shared" si="165"/>
        <v>6259744</v>
      </c>
      <c r="L205" s="446">
        <f t="shared" si="165"/>
        <v>1687549</v>
      </c>
      <c r="M205" s="446">
        <f t="shared" si="165"/>
        <v>862780</v>
      </c>
      <c r="N205" s="446">
        <f t="shared" si="165"/>
        <v>258828</v>
      </c>
      <c r="O205" s="446">
        <f t="shared" si="165"/>
        <v>6338914</v>
      </c>
      <c r="P205" s="446">
        <f t="shared" si="165"/>
        <v>101514607</v>
      </c>
      <c r="R205" s="875"/>
    </row>
    <row r="206" spans="1:18" s="272" customFormat="1" ht="93" thickTop="1" thickBot="1" x14ac:dyDescent="0.25">
      <c r="A206" s="489" t="s">
        <v>817</v>
      </c>
      <c r="B206" s="489" t="s">
        <v>818</v>
      </c>
      <c r="C206" s="489"/>
      <c r="D206" s="489" t="s">
        <v>819</v>
      </c>
      <c r="E206" s="490">
        <f>SUM(E207:E208)</f>
        <v>25324232</v>
      </c>
      <c r="F206" s="490">
        <f t="shared" ref="F206:P206" si="166">SUM(F207:F208)</f>
        <v>25324232</v>
      </c>
      <c r="G206" s="490">
        <f t="shared" si="166"/>
        <v>0</v>
      </c>
      <c r="H206" s="490">
        <f t="shared" si="166"/>
        <v>0</v>
      </c>
      <c r="I206" s="490">
        <f t="shared" si="166"/>
        <v>0</v>
      </c>
      <c r="J206" s="490">
        <f t="shared" si="166"/>
        <v>0</v>
      </c>
      <c r="K206" s="490">
        <f t="shared" si="166"/>
        <v>0</v>
      </c>
      <c r="L206" s="490">
        <f t="shared" si="166"/>
        <v>0</v>
      </c>
      <c r="M206" s="490">
        <f t="shared" si="166"/>
        <v>0</v>
      </c>
      <c r="N206" s="490">
        <f t="shared" si="166"/>
        <v>0</v>
      </c>
      <c r="O206" s="490">
        <f t="shared" si="166"/>
        <v>0</v>
      </c>
      <c r="P206" s="490">
        <f t="shared" si="166"/>
        <v>25324232</v>
      </c>
      <c r="Q206" s="624"/>
      <c r="R206" s="302"/>
    </row>
    <row r="207" spans="1:18" ht="138.75" thickTop="1" thickBot="1" x14ac:dyDescent="0.25">
      <c r="A207" s="864" t="s">
        <v>46</v>
      </c>
      <c r="B207" s="864" t="s">
        <v>198</v>
      </c>
      <c r="C207" s="864" t="s">
        <v>207</v>
      </c>
      <c r="D207" s="864" t="s">
        <v>47</v>
      </c>
      <c r="E207" s="446">
        <f t="shared" si="160"/>
        <v>22258032</v>
      </c>
      <c r="F207" s="447">
        <v>22258032</v>
      </c>
      <c r="G207" s="444"/>
      <c r="H207" s="444"/>
      <c r="I207" s="444"/>
      <c r="J207" s="860">
        <f t="shared" si="161"/>
        <v>0</v>
      </c>
      <c r="K207" s="444"/>
      <c r="L207" s="444"/>
      <c r="M207" s="444"/>
      <c r="N207" s="444"/>
      <c r="O207" s="869">
        <f t="shared" si="162"/>
        <v>0</v>
      </c>
      <c r="P207" s="860">
        <f t="shared" si="164"/>
        <v>22258032</v>
      </c>
      <c r="R207" s="875"/>
    </row>
    <row r="208" spans="1:18" ht="138.75" thickTop="1" thickBot="1" x14ac:dyDescent="0.25">
      <c r="A208" s="864" t="s">
        <v>48</v>
      </c>
      <c r="B208" s="864" t="s">
        <v>199</v>
      </c>
      <c r="C208" s="864" t="s">
        <v>207</v>
      </c>
      <c r="D208" s="864" t="s">
        <v>4</v>
      </c>
      <c r="E208" s="446">
        <f t="shared" si="160"/>
        <v>3066200</v>
      </c>
      <c r="F208" s="447">
        <v>3066200</v>
      </c>
      <c r="G208" s="444"/>
      <c r="H208" s="444"/>
      <c r="I208" s="444"/>
      <c r="J208" s="860">
        <f t="shared" si="161"/>
        <v>0</v>
      </c>
      <c r="K208" s="444"/>
      <c r="L208" s="444"/>
      <c r="M208" s="444"/>
      <c r="N208" s="444"/>
      <c r="O208" s="869">
        <f t="shared" si="162"/>
        <v>0</v>
      </c>
      <c r="P208" s="860">
        <f t="shared" si="164"/>
        <v>3066200</v>
      </c>
      <c r="R208" s="875"/>
    </row>
    <row r="209" spans="1:18" s="272" customFormat="1" ht="184.5" thickTop="1" thickBot="1" x14ac:dyDescent="0.25">
      <c r="A209" s="489" t="s">
        <v>820</v>
      </c>
      <c r="B209" s="489" t="s">
        <v>821</v>
      </c>
      <c r="C209" s="489"/>
      <c r="D209" s="489" t="s">
        <v>822</v>
      </c>
      <c r="E209" s="490">
        <f>E210</f>
        <v>53300</v>
      </c>
      <c r="F209" s="490">
        <f t="shared" ref="F209:P209" si="167">F210</f>
        <v>53300</v>
      </c>
      <c r="G209" s="490">
        <f t="shared" si="167"/>
        <v>0</v>
      </c>
      <c r="H209" s="490">
        <f t="shared" si="167"/>
        <v>0</v>
      </c>
      <c r="I209" s="490">
        <f t="shared" si="167"/>
        <v>0</v>
      </c>
      <c r="J209" s="490">
        <f t="shared" si="167"/>
        <v>0</v>
      </c>
      <c r="K209" s="490">
        <f t="shared" si="167"/>
        <v>0</v>
      </c>
      <c r="L209" s="490">
        <f t="shared" si="167"/>
        <v>0</v>
      </c>
      <c r="M209" s="490">
        <f t="shared" si="167"/>
        <v>0</v>
      </c>
      <c r="N209" s="490">
        <f t="shared" si="167"/>
        <v>0</v>
      </c>
      <c r="O209" s="490">
        <f t="shared" si="167"/>
        <v>0</v>
      </c>
      <c r="P209" s="490">
        <f t="shared" si="167"/>
        <v>53300</v>
      </c>
      <c r="Q209" s="624"/>
      <c r="R209" s="306"/>
    </row>
    <row r="210" spans="1:18" ht="184.5" thickTop="1" thickBot="1" x14ac:dyDescent="0.25">
      <c r="A210" s="864" t="s">
        <v>49</v>
      </c>
      <c r="B210" s="864" t="s">
        <v>200</v>
      </c>
      <c r="C210" s="864" t="s">
        <v>207</v>
      </c>
      <c r="D210" s="864" t="s">
        <v>363</v>
      </c>
      <c r="E210" s="446">
        <f>F210</f>
        <v>53300</v>
      </c>
      <c r="F210" s="447">
        <v>53300</v>
      </c>
      <c r="G210" s="447"/>
      <c r="H210" s="447"/>
      <c r="I210" s="444"/>
      <c r="J210" s="860">
        <f t="shared" si="161"/>
        <v>0</v>
      </c>
      <c r="K210" s="444"/>
      <c r="L210" s="447"/>
      <c r="M210" s="447"/>
      <c r="N210" s="447"/>
      <c r="O210" s="869">
        <f t="shared" si="162"/>
        <v>0</v>
      </c>
      <c r="P210" s="860">
        <f t="shared" si="164"/>
        <v>53300</v>
      </c>
      <c r="R210" s="875"/>
    </row>
    <row r="211" spans="1:18" ht="93" thickTop="1" thickBot="1" x14ac:dyDescent="0.25">
      <c r="A211" s="489" t="s">
        <v>823</v>
      </c>
      <c r="B211" s="489" t="s">
        <v>824</v>
      </c>
      <c r="C211" s="489"/>
      <c r="D211" s="489" t="s">
        <v>825</v>
      </c>
      <c r="E211" s="490">
        <f>SUM(E212:E213)</f>
        <v>62849146</v>
      </c>
      <c r="F211" s="490">
        <f t="shared" ref="F211:P211" si="168">SUM(F212:F213)</f>
        <v>62849146</v>
      </c>
      <c r="G211" s="490">
        <f t="shared" si="168"/>
        <v>40789410</v>
      </c>
      <c r="H211" s="490">
        <f t="shared" si="168"/>
        <v>3766561</v>
      </c>
      <c r="I211" s="490">
        <f t="shared" si="168"/>
        <v>0</v>
      </c>
      <c r="J211" s="490">
        <f t="shared" si="168"/>
        <v>8026463</v>
      </c>
      <c r="K211" s="490">
        <f t="shared" si="168"/>
        <v>6259744</v>
      </c>
      <c r="L211" s="490">
        <f t="shared" si="168"/>
        <v>1687549</v>
      </c>
      <c r="M211" s="490">
        <f t="shared" si="168"/>
        <v>862780</v>
      </c>
      <c r="N211" s="490">
        <f t="shared" si="168"/>
        <v>258828</v>
      </c>
      <c r="O211" s="490">
        <f t="shared" si="168"/>
        <v>6338914</v>
      </c>
      <c r="P211" s="490">
        <f t="shared" si="168"/>
        <v>70875609</v>
      </c>
      <c r="R211" s="875"/>
    </row>
    <row r="212" spans="1:18" ht="184.5" thickTop="1" thickBot="1" x14ac:dyDescent="0.25">
      <c r="A212" s="864" t="s">
        <v>28</v>
      </c>
      <c r="B212" s="864" t="s">
        <v>204</v>
      </c>
      <c r="C212" s="864" t="s">
        <v>207</v>
      </c>
      <c r="D212" s="864" t="s">
        <v>50</v>
      </c>
      <c r="E212" s="446">
        <f t="shared" si="160"/>
        <v>57335156</v>
      </c>
      <c r="F212" s="447">
        <f>((57087290)+120000)+127866</f>
        <v>57335156</v>
      </c>
      <c r="G212" s="447">
        <f>(12879510+12795060+10845985+4268855)</f>
        <v>40789410</v>
      </c>
      <c r="H212" s="447">
        <f>((568195+101700+408980+67080+521160+40690+421560+252585+9315+25800+17640+132495+378400+3930+411080+5380+95115+57590)+120000)+127866</f>
        <v>3766561</v>
      </c>
      <c r="I212" s="447"/>
      <c r="J212" s="860">
        <f t="shared" si="161"/>
        <v>8026463</v>
      </c>
      <c r="K212" s="447">
        <v>6259744</v>
      </c>
      <c r="L212" s="447">
        <f>(808722+957997-58300-20870)</f>
        <v>1687549</v>
      </c>
      <c r="M212" s="447">
        <f>(242165+620615)</f>
        <v>862780</v>
      </c>
      <c r="N212" s="447">
        <f>(197561+60767)+500</f>
        <v>258828</v>
      </c>
      <c r="O212" s="869">
        <f>(K212+58300+20870)</f>
        <v>6338914</v>
      </c>
      <c r="P212" s="860">
        <f t="shared" si="164"/>
        <v>65361619</v>
      </c>
      <c r="R212" s="875"/>
    </row>
    <row r="213" spans="1:18" ht="184.5" thickTop="1" thickBot="1" x14ac:dyDescent="0.25">
      <c r="A213" s="864" t="s">
        <v>29</v>
      </c>
      <c r="B213" s="864" t="s">
        <v>205</v>
      </c>
      <c r="C213" s="864" t="s">
        <v>207</v>
      </c>
      <c r="D213" s="864" t="s">
        <v>51</v>
      </c>
      <c r="E213" s="446">
        <f t="shared" si="160"/>
        <v>5513990</v>
      </c>
      <c r="F213" s="447">
        <v>5513990</v>
      </c>
      <c r="G213" s="447"/>
      <c r="H213" s="447"/>
      <c r="I213" s="447"/>
      <c r="J213" s="860">
        <f t="shared" si="161"/>
        <v>0</v>
      </c>
      <c r="K213" s="447">
        <v>0</v>
      </c>
      <c r="L213" s="447"/>
      <c r="M213" s="447"/>
      <c r="N213" s="447"/>
      <c r="O213" s="869">
        <f t="shared" si="162"/>
        <v>0</v>
      </c>
      <c r="P213" s="860">
        <f t="shared" si="164"/>
        <v>5513990</v>
      </c>
      <c r="R213" s="875"/>
    </row>
    <row r="214" spans="1:18" ht="93" thickTop="1" thickBot="1" x14ac:dyDescent="0.25">
      <c r="A214" s="578" t="s">
        <v>826</v>
      </c>
      <c r="B214" s="489" t="s">
        <v>827</v>
      </c>
      <c r="C214" s="489"/>
      <c r="D214" s="489" t="s">
        <v>828</v>
      </c>
      <c r="E214" s="490">
        <f>SUM(E215:E217)</f>
        <v>5261466</v>
      </c>
      <c r="F214" s="490">
        <f t="shared" ref="F214:P214" si="169">SUM(F215:F217)</f>
        <v>5261466</v>
      </c>
      <c r="G214" s="490">
        <f t="shared" si="169"/>
        <v>1258880</v>
      </c>
      <c r="H214" s="490">
        <f t="shared" si="169"/>
        <v>0</v>
      </c>
      <c r="I214" s="490">
        <f t="shared" si="169"/>
        <v>0</v>
      </c>
      <c r="J214" s="490">
        <f t="shared" si="169"/>
        <v>0</v>
      </c>
      <c r="K214" s="490">
        <f t="shared" si="169"/>
        <v>0</v>
      </c>
      <c r="L214" s="490">
        <f t="shared" si="169"/>
        <v>0</v>
      </c>
      <c r="M214" s="490">
        <f t="shared" si="169"/>
        <v>0</v>
      </c>
      <c r="N214" s="490">
        <f t="shared" si="169"/>
        <v>0</v>
      </c>
      <c r="O214" s="490">
        <f t="shared" si="169"/>
        <v>0</v>
      </c>
      <c r="P214" s="490">
        <f t="shared" si="169"/>
        <v>5261466</v>
      </c>
      <c r="R214" s="875"/>
    </row>
    <row r="215" spans="1:18" ht="276" thickTop="1" thickBot="1" x14ac:dyDescent="0.25">
      <c r="A215" s="579" t="s">
        <v>30</v>
      </c>
      <c r="B215" s="579" t="s">
        <v>206</v>
      </c>
      <c r="C215" s="579" t="s">
        <v>207</v>
      </c>
      <c r="D215" s="864" t="s">
        <v>31</v>
      </c>
      <c r="E215" s="446">
        <f t="shared" si="160"/>
        <v>1016620</v>
      </c>
      <c r="F215" s="447">
        <v>1016620</v>
      </c>
      <c r="G215" s="444"/>
      <c r="H215" s="444"/>
      <c r="I215" s="444"/>
      <c r="J215" s="860">
        <f t="shared" si="161"/>
        <v>0</v>
      </c>
      <c r="K215" s="444"/>
      <c r="L215" s="444"/>
      <c r="M215" s="444"/>
      <c r="N215" s="444"/>
      <c r="O215" s="869">
        <f t="shared" si="162"/>
        <v>0</v>
      </c>
      <c r="P215" s="860">
        <f t="shared" si="164"/>
        <v>1016620</v>
      </c>
      <c r="R215" s="875"/>
    </row>
    <row r="216" spans="1:18" ht="184.5" thickTop="1" thickBot="1" x14ac:dyDescent="0.25">
      <c r="A216" s="579" t="s">
        <v>530</v>
      </c>
      <c r="B216" s="579" t="s">
        <v>528</v>
      </c>
      <c r="C216" s="579" t="s">
        <v>207</v>
      </c>
      <c r="D216" s="864" t="s">
        <v>529</v>
      </c>
      <c r="E216" s="446">
        <f t="shared" si="160"/>
        <v>2490471</v>
      </c>
      <c r="F216" s="447">
        <v>2490471</v>
      </c>
      <c r="G216" s="444"/>
      <c r="H216" s="444"/>
      <c r="I216" s="444"/>
      <c r="J216" s="860">
        <f t="shared" si="161"/>
        <v>0</v>
      </c>
      <c r="K216" s="444"/>
      <c r="L216" s="444"/>
      <c r="M216" s="444"/>
      <c r="N216" s="444"/>
      <c r="O216" s="869">
        <f t="shared" si="162"/>
        <v>0</v>
      </c>
      <c r="P216" s="860">
        <f t="shared" si="164"/>
        <v>2490471</v>
      </c>
      <c r="R216" s="875"/>
    </row>
    <row r="217" spans="1:18" ht="93" thickTop="1" thickBot="1" x14ac:dyDescent="0.25">
      <c r="A217" s="579" t="s">
        <v>32</v>
      </c>
      <c r="B217" s="579" t="s">
        <v>208</v>
      </c>
      <c r="C217" s="579" t="s">
        <v>207</v>
      </c>
      <c r="D217" s="864" t="s">
        <v>33</v>
      </c>
      <c r="E217" s="446">
        <f>F217</f>
        <v>1754375</v>
      </c>
      <c r="F217" s="447">
        <v>1754375</v>
      </c>
      <c r="G217" s="444">
        <v>1258880</v>
      </c>
      <c r="H217" s="444"/>
      <c r="I217" s="444"/>
      <c r="J217" s="860">
        <f t="shared" si="161"/>
        <v>0</v>
      </c>
      <c r="K217" s="444">
        <v>0</v>
      </c>
      <c r="L217" s="444"/>
      <c r="M217" s="444"/>
      <c r="N217" s="444"/>
      <c r="O217" s="869">
        <f t="shared" si="162"/>
        <v>0</v>
      </c>
      <c r="P217" s="860">
        <f t="shared" si="164"/>
        <v>1754375</v>
      </c>
      <c r="R217" s="875"/>
    </row>
    <row r="218" spans="1:18" ht="91.5" thickTop="1" thickBot="1" x14ac:dyDescent="0.25">
      <c r="A218" s="151" t="s">
        <v>829</v>
      </c>
      <c r="B218" s="151" t="s">
        <v>786</v>
      </c>
      <c r="C218" s="151"/>
      <c r="D218" s="560" t="s">
        <v>787</v>
      </c>
      <c r="E218" s="446">
        <f>E219</f>
        <v>39000</v>
      </c>
      <c r="F218" s="446">
        <f t="shared" ref="F218:P219" si="170">F219</f>
        <v>39000</v>
      </c>
      <c r="G218" s="446">
        <f t="shared" si="170"/>
        <v>0</v>
      </c>
      <c r="H218" s="446">
        <f t="shared" si="170"/>
        <v>0</v>
      </c>
      <c r="I218" s="446">
        <f t="shared" si="170"/>
        <v>0</v>
      </c>
      <c r="J218" s="446">
        <f t="shared" si="170"/>
        <v>0</v>
      </c>
      <c r="K218" s="446">
        <f t="shared" si="170"/>
        <v>0</v>
      </c>
      <c r="L218" s="446">
        <f t="shared" si="170"/>
        <v>0</v>
      </c>
      <c r="M218" s="446">
        <f t="shared" si="170"/>
        <v>0</v>
      </c>
      <c r="N218" s="446">
        <f t="shared" si="170"/>
        <v>0</v>
      </c>
      <c r="O218" s="446">
        <f t="shared" si="170"/>
        <v>0</v>
      </c>
      <c r="P218" s="446">
        <f t="shared" si="170"/>
        <v>39000</v>
      </c>
      <c r="R218" s="875"/>
    </row>
    <row r="219" spans="1:18" ht="93" thickTop="1" thickBot="1" x14ac:dyDescent="0.25">
      <c r="A219" s="578" t="s">
        <v>830</v>
      </c>
      <c r="B219" s="578" t="s">
        <v>789</v>
      </c>
      <c r="C219" s="578"/>
      <c r="D219" s="489" t="s">
        <v>790</v>
      </c>
      <c r="E219" s="490">
        <f>E220</f>
        <v>39000</v>
      </c>
      <c r="F219" s="490">
        <f t="shared" si="170"/>
        <v>39000</v>
      </c>
      <c r="G219" s="490">
        <f t="shared" si="170"/>
        <v>0</v>
      </c>
      <c r="H219" s="490">
        <f t="shared" si="170"/>
        <v>0</v>
      </c>
      <c r="I219" s="490">
        <f t="shared" si="170"/>
        <v>0</v>
      </c>
      <c r="J219" s="490">
        <f t="shared" si="170"/>
        <v>0</v>
      </c>
      <c r="K219" s="490">
        <f t="shared" si="170"/>
        <v>0</v>
      </c>
      <c r="L219" s="490">
        <f t="shared" si="170"/>
        <v>0</v>
      </c>
      <c r="M219" s="490">
        <f t="shared" si="170"/>
        <v>0</v>
      </c>
      <c r="N219" s="490">
        <f t="shared" si="170"/>
        <v>0</v>
      </c>
      <c r="O219" s="490">
        <f t="shared" si="170"/>
        <v>0</v>
      </c>
      <c r="P219" s="490">
        <f t="shared" si="170"/>
        <v>39000</v>
      </c>
      <c r="R219" s="875"/>
    </row>
    <row r="220" spans="1:18" ht="276" thickTop="1" thickBot="1" x14ac:dyDescent="0.25">
      <c r="A220" s="579" t="s">
        <v>356</v>
      </c>
      <c r="B220" s="579" t="s">
        <v>355</v>
      </c>
      <c r="C220" s="579" t="s">
        <v>354</v>
      </c>
      <c r="D220" s="864" t="s">
        <v>681</v>
      </c>
      <c r="E220" s="446">
        <f>F220</f>
        <v>39000</v>
      </c>
      <c r="F220" s="447">
        <v>39000</v>
      </c>
      <c r="G220" s="444"/>
      <c r="H220" s="444"/>
      <c r="I220" s="444"/>
      <c r="J220" s="860">
        <f t="shared" si="161"/>
        <v>0</v>
      </c>
      <c r="K220" s="444"/>
      <c r="L220" s="444"/>
      <c r="M220" s="444"/>
      <c r="N220" s="444"/>
      <c r="O220" s="869">
        <f t="shared" si="162"/>
        <v>0</v>
      </c>
      <c r="P220" s="860">
        <f t="shared" si="164"/>
        <v>39000</v>
      </c>
      <c r="R220" s="297"/>
    </row>
    <row r="221" spans="1:18" ht="47.25" thickTop="1" thickBot="1" x14ac:dyDescent="0.25">
      <c r="A221" s="151" t="s">
        <v>831</v>
      </c>
      <c r="B221" s="466" t="s">
        <v>792</v>
      </c>
      <c r="C221" s="466"/>
      <c r="D221" s="466" t="s">
        <v>793</v>
      </c>
      <c r="E221" s="446">
        <f>E225+E222</f>
        <v>0</v>
      </c>
      <c r="F221" s="446">
        <f t="shared" ref="F221:P221" si="171">F225+F222</f>
        <v>0</v>
      </c>
      <c r="G221" s="446">
        <f t="shared" si="171"/>
        <v>0</v>
      </c>
      <c r="H221" s="446">
        <f t="shared" si="171"/>
        <v>0</v>
      </c>
      <c r="I221" s="446">
        <f t="shared" si="171"/>
        <v>0</v>
      </c>
      <c r="J221" s="446">
        <f t="shared" si="171"/>
        <v>300000</v>
      </c>
      <c r="K221" s="446">
        <f t="shared" si="171"/>
        <v>300000</v>
      </c>
      <c r="L221" s="446">
        <f t="shared" si="171"/>
        <v>0</v>
      </c>
      <c r="M221" s="446">
        <f t="shared" si="171"/>
        <v>0</v>
      </c>
      <c r="N221" s="446">
        <f t="shared" si="171"/>
        <v>0</v>
      </c>
      <c r="O221" s="446">
        <f t="shared" si="171"/>
        <v>300000</v>
      </c>
      <c r="P221" s="446">
        <f t="shared" si="171"/>
        <v>300000</v>
      </c>
      <c r="R221" s="297"/>
    </row>
    <row r="222" spans="1:18" ht="91.5" hidden="1" thickTop="1" thickBot="1" x14ac:dyDescent="0.25">
      <c r="A222" s="467" t="s">
        <v>1203</v>
      </c>
      <c r="B222" s="467" t="s">
        <v>848</v>
      </c>
      <c r="C222" s="467"/>
      <c r="D222" s="467" t="s">
        <v>849</v>
      </c>
      <c r="E222" s="468">
        <f>E223</f>
        <v>0</v>
      </c>
      <c r="F222" s="468">
        <f t="shared" ref="F222:P223" si="172">F223</f>
        <v>0</v>
      </c>
      <c r="G222" s="468">
        <f t="shared" si="172"/>
        <v>0</v>
      </c>
      <c r="H222" s="468">
        <f t="shared" si="172"/>
        <v>0</v>
      </c>
      <c r="I222" s="468">
        <f t="shared" si="172"/>
        <v>0</v>
      </c>
      <c r="J222" s="468">
        <f t="shared" si="172"/>
        <v>0</v>
      </c>
      <c r="K222" s="468">
        <f t="shared" si="172"/>
        <v>0</v>
      </c>
      <c r="L222" s="468">
        <f t="shared" si="172"/>
        <v>0</v>
      </c>
      <c r="M222" s="468">
        <f t="shared" si="172"/>
        <v>0</v>
      </c>
      <c r="N222" s="468">
        <f t="shared" si="172"/>
        <v>0</v>
      </c>
      <c r="O222" s="468">
        <f t="shared" si="172"/>
        <v>0</v>
      </c>
      <c r="P222" s="468">
        <f t="shared" si="172"/>
        <v>0</v>
      </c>
      <c r="R222" s="297"/>
    </row>
    <row r="223" spans="1:18" ht="145.5" hidden="1" thickTop="1" thickBot="1" x14ac:dyDescent="0.25">
      <c r="A223" s="489" t="s">
        <v>1204</v>
      </c>
      <c r="B223" s="489" t="s">
        <v>867</v>
      </c>
      <c r="C223" s="489"/>
      <c r="D223" s="489" t="s">
        <v>1194</v>
      </c>
      <c r="E223" s="472">
        <f>E224</f>
        <v>0</v>
      </c>
      <c r="F223" s="472">
        <f t="shared" si="172"/>
        <v>0</v>
      </c>
      <c r="G223" s="472">
        <f t="shared" si="172"/>
        <v>0</v>
      </c>
      <c r="H223" s="472">
        <f t="shared" si="172"/>
        <v>0</v>
      </c>
      <c r="I223" s="472">
        <f t="shared" si="172"/>
        <v>0</v>
      </c>
      <c r="J223" s="472">
        <f t="shared" si="172"/>
        <v>0</v>
      </c>
      <c r="K223" s="472">
        <f t="shared" si="172"/>
        <v>0</v>
      </c>
      <c r="L223" s="472">
        <f t="shared" si="172"/>
        <v>0</v>
      </c>
      <c r="M223" s="472">
        <f t="shared" si="172"/>
        <v>0</v>
      </c>
      <c r="N223" s="472">
        <f t="shared" si="172"/>
        <v>0</v>
      </c>
      <c r="O223" s="472">
        <f t="shared" si="172"/>
        <v>0</v>
      </c>
      <c r="P223" s="472">
        <f t="shared" si="172"/>
        <v>0</v>
      </c>
      <c r="R223" s="297"/>
    </row>
    <row r="224" spans="1:18" ht="145.5" hidden="1" thickTop="1" thickBot="1" x14ac:dyDescent="0.25">
      <c r="A224" s="864" t="s">
        <v>1205</v>
      </c>
      <c r="B224" s="864" t="s">
        <v>326</v>
      </c>
      <c r="C224" s="864" t="s">
        <v>317</v>
      </c>
      <c r="D224" s="864" t="s">
        <v>667</v>
      </c>
      <c r="E224" s="860">
        <f t="shared" ref="E224" si="173">F224</f>
        <v>0</v>
      </c>
      <c r="F224" s="444"/>
      <c r="G224" s="444"/>
      <c r="H224" s="444"/>
      <c r="I224" s="444"/>
      <c r="J224" s="860">
        <f t="shared" ref="J224" si="174">L224+O224</f>
        <v>0</v>
      </c>
      <c r="K224" s="444">
        <v>0</v>
      </c>
      <c r="L224" s="444"/>
      <c r="M224" s="444"/>
      <c r="N224" s="444"/>
      <c r="O224" s="869">
        <f t="shared" ref="O224" si="175">K224</f>
        <v>0</v>
      </c>
      <c r="P224" s="860">
        <f>E224+J224</f>
        <v>0</v>
      </c>
      <c r="R224" s="297"/>
    </row>
    <row r="225" spans="1:18" ht="136.5" thickTop="1" thickBot="1" x14ac:dyDescent="0.25">
      <c r="A225" s="467" t="s">
        <v>832</v>
      </c>
      <c r="B225" s="467" t="s">
        <v>734</v>
      </c>
      <c r="C225" s="467"/>
      <c r="D225" s="467" t="s">
        <v>732</v>
      </c>
      <c r="E225" s="524">
        <f>E226</f>
        <v>0</v>
      </c>
      <c r="F225" s="524">
        <f t="shared" ref="F225:P225" si="176">F226</f>
        <v>0</v>
      </c>
      <c r="G225" s="524">
        <f t="shared" si="176"/>
        <v>0</v>
      </c>
      <c r="H225" s="524">
        <f t="shared" si="176"/>
        <v>0</v>
      </c>
      <c r="I225" s="524">
        <f t="shared" si="176"/>
        <v>0</v>
      </c>
      <c r="J225" s="524">
        <f t="shared" si="176"/>
        <v>300000</v>
      </c>
      <c r="K225" s="524">
        <f t="shared" si="176"/>
        <v>300000</v>
      </c>
      <c r="L225" s="524">
        <f t="shared" si="176"/>
        <v>0</v>
      </c>
      <c r="M225" s="524">
        <f t="shared" si="176"/>
        <v>0</v>
      </c>
      <c r="N225" s="524">
        <f t="shared" si="176"/>
        <v>0</v>
      </c>
      <c r="O225" s="524">
        <f t="shared" si="176"/>
        <v>300000</v>
      </c>
      <c r="P225" s="524">
        <f t="shared" si="176"/>
        <v>300000</v>
      </c>
      <c r="R225" s="297"/>
    </row>
    <row r="226" spans="1:18" ht="93" thickTop="1" thickBot="1" x14ac:dyDescent="0.25">
      <c r="A226" s="864" t="s">
        <v>642</v>
      </c>
      <c r="B226" s="864" t="s">
        <v>209</v>
      </c>
      <c r="C226" s="864" t="s">
        <v>178</v>
      </c>
      <c r="D226" s="864" t="s">
        <v>36</v>
      </c>
      <c r="E226" s="860">
        <f t="shared" ref="E226" si="177">F226</f>
        <v>0</v>
      </c>
      <c r="F226" s="444"/>
      <c r="G226" s="444"/>
      <c r="H226" s="444"/>
      <c r="I226" s="444"/>
      <c r="J226" s="860">
        <f t="shared" si="161"/>
        <v>300000</v>
      </c>
      <c r="K226" s="444">
        <f>(300000)</f>
        <v>300000</v>
      </c>
      <c r="L226" s="444"/>
      <c r="M226" s="444"/>
      <c r="N226" s="444"/>
      <c r="O226" s="869">
        <f t="shared" si="162"/>
        <v>300000</v>
      </c>
      <c r="P226" s="860">
        <f t="shared" si="164"/>
        <v>300000</v>
      </c>
      <c r="R226" s="875"/>
    </row>
    <row r="227" spans="1:18" ht="47.25" hidden="1" thickTop="1" thickBot="1" x14ac:dyDescent="0.25">
      <c r="A227" s="250" t="s">
        <v>1213</v>
      </c>
      <c r="B227" s="250" t="s">
        <v>745</v>
      </c>
      <c r="C227" s="250"/>
      <c r="D227" s="250" t="s">
        <v>746</v>
      </c>
      <c r="E227" s="874">
        <f>E228</f>
        <v>0</v>
      </c>
      <c r="F227" s="874">
        <f t="shared" ref="F227:P228" si="178">F228</f>
        <v>0</v>
      </c>
      <c r="G227" s="874">
        <f t="shared" si="178"/>
        <v>0</v>
      </c>
      <c r="H227" s="874">
        <f t="shared" si="178"/>
        <v>0</v>
      </c>
      <c r="I227" s="874">
        <f t="shared" si="178"/>
        <v>0</v>
      </c>
      <c r="J227" s="874">
        <f t="shared" si="178"/>
        <v>0</v>
      </c>
      <c r="K227" s="874">
        <f t="shared" si="178"/>
        <v>0</v>
      </c>
      <c r="L227" s="874">
        <f t="shared" si="178"/>
        <v>0</v>
      </c>
      <c r="M227" s="874">
        <f t="shared" si="178"/>
        <v>0</v>
      </c>
      <c r="N227" s="874">
        <f t="shared" si="178"/>
        <v>0</v>
      </c>
      <c r="O227" s="874">
        <f t="shared" si="178"/>
        <v>0</v>
      </c>
      <c r="P227" s="874">
        <f t="shared" si="178"/>
        <v>0</v>
      </c>
      <c r="R227" s="875"/>
    </row>
    <row r="228" spans="1:18" ht="271.5" hidden="1" thickTop="1" thickBot="1" x14ac:dyDescent="0.25">
      <c r="A228" s="253" t="s">
        <v>1214</v>
      </c>
      <c r="B228" s="253" t="s">
        <v>748</v>
      </c>
      <c r="C228" s="253"/>
      <c r="D228" s="253" t="s">
        <v>749</v>
      </c>
      <c r="E228" s="270">
        <f>E229</f>
        <v>0</v>
      </c>
      <c r="F228" s="270">
        <f t="shared" si="178"/>
        <v>0</v>
      </c>
      <c r="G228" s="270">
        <f t="shared" si="178"/>
        <v>0</v>
      </c>
      <c r="H228" s="270">
        <f t="shared" si="178"/>
        <v>0</v>
      </c>
      <c r="I228" s="270">
        <f t="shared" si="178"/>
        <v>0</v>
      </c>
      <c r="J228" s="270">
        <f t="shared" si="178"/>
        <v>0</v>
      </c>
      <c r="K228" s="270">
        <f t="shared" si="178"/>
        <v>0</v>
      </c>
      <c r="L228" s="270">
        <f t="shared" si="178"/>
        <v>0</v>
      </c>
      <c r="M228" s="270">
        <f t="shared" si="178"/>
        <v>0</v>
      </c>
      <c r="N228" s="270">
        <f t="shared" si="178"/>
        <v>0</v>
      </c>
      <c r="O228" s="270">
        <f t="shared" si="178"/>
        <v>0</v>
      </c>
      <c r="P228" s="270">
        <f t="shared" si="178"/>
        <v>0</v>
      </c>
      <c r="R228" s="875"/>
    </row>
    <row r="229" spans="1:18" ht="93" hidden="1" thickTop="1" thickBot="1" x14ac:dyDescent="0.25">
      <c r="A229" s="873" t="s">
        <v>1215</v>
      </c>
      <c r="B229" s="873" t="s">
        <v>377</v>
      </c>
      <c r="C229" s="873" t="s">
        <v>45</v>
      </c>
      <c r="D229" s="873" t="s">
        <v>378</v>
      </c>
      <c r="E229" s="874">
        <f t="shared" ref="E229" si="179">F229</f>
        <v>0</v>
      </c>
      <c r="F229" s="278">
        <v>0</v>
      </c>
      <c r="G229" s="278"/>
      <c r="H229" s="278"/>
      <c r="I229" s="278"/>
      <c r="J229" s="874">
        <f>L229+O229</f>
        <v>0</v>
      </c>
      <c r="K229" s="278">
        <v>0</v>
      </c>
      <c r="L229" s="278"/>
      <c r="M229" s="278"/>
      <c r="N229" s="278"/>
      <c r="O229" s="871">
        <f>K229</f>
        <v>0</v>
      </c>
      <c r="P229" s="874">
        <f>E229+J229</f>
        <v>0</v>
      </c>
      <c r="R229" s="875"/>
    </row>
    <row r="230" spans="1:18" ht="181.5" thickTop="1" thickBot="1" x14ac:dyDescent="0.25">
      <c r="A230" s="828" t="s">
        <v>166</v>
      </c>
      <c r="B230" s="828"/>
      <c r="C230" s="828"/>
      <c r="D230" s="829" t="s">
        <v>587</v>
      </c>
      <c r="E230" s="830">
        <f>E231</f>
        <v>36557553</v>
      </c>
      <c r="F230" s="831">
        <f t="shared" ref="F230:G230" si="180">F231</f>
        <v>36557553</v>
      </c>
      <c r="G230" s="831">
        <f t="shared" si="180"/>
        <v>6530800</v>
      </c>
      <c r="H230" s="831">
        <f>H231</f>
        <v>165444</v>
      </c>
      <c r="I230" s="831">
        <f t="shared" ref="I230" si="181">I231</f>
        <v>0</v>
      </c>
      <c r="J230" s="830">
        <f>J231</f>
        <v>30949326</v>
      </c>
      <c r="K230" s="831">
        <f>K231</f>
        <v>30065326</v>
      </c>
      <c r="L230" s="831">
        <f>L231</f>
        <v>450000</v>
      </c>
      <c r="M230" s="831">
        <f t="shared" ref="M230" si="182">M231</f>
        <v>0</v>
      </c>
      <c r="N230" s="831">
        <f>N231</f>
        <v>0</v>
      </c>
      <c r="O230" s="830">
        <f>O231</f>
        <v>30499326</v>
      </c>
      <c r="P230" s="831">
        <f>P231</f>
        <v>67506879</v>
      </c>
      <c r="R230" s="297"/>
    </row>
    <row r="231" spans="1:18" ht="181.5" thickTop="1" thickBot="1" x14ac:dyDescent="0.25">
      <c r="A231" s="832" t="s">
        <v>167</v>
      </c>
      <c r="B231" s="832"/>
      <c r="C231" s="832"/>
      <c r="D231" s="833" t="s">
        <v>588</v>
      </c>
      <c r="E231" s="834">
        <f>E232+E236+E243</f>
        <v>36557553</v>
      </c>
      <c r="F231" s="834">
        <f t="shared" ref="F231:I231" si="183">F232+F236+F243</f>
        <v>36557553</v>
      </c>
      <c r="G231" s="834">
        <f t="shared" si="183"/>
        <v>6530800</v>
      </c>
      <c r="H231" s="834">
        <f t="shared" si="183"/>
        <v>165444</v>
      </c>
      <c r="I231" s="834">
        <f t="shared" si="183"/>
        <v>0</v>
      </c>
      <c r="J231" s="834">
        <f t="shared" ref="J231:J250" si="184">L231+O231</f>
        <v>30949326</v>
      </c>
      <c r="K231" s="834">
        <f t="shared" ref="K231:O231" si="185">K232+K236+K243</f>
        <v>30065326</v>
      </c>
      <c r="L231" s="834">
        <f t="shared" si="185"/>
        <v>450000</v>
      </c>
      <c r="M231" s="834">
        <f t="shared" si="185"/>
        <v>0</v>
      </c>
      <c r="N231" s="834">
        <f t="shared" si="185"/>
        <v>0</v>
      </c>
      <c r="O231" s="834">
        <f t="shared" si="185"/>
        <v>30499326</v>
      </c>
      <c r="P231" s="834">
        <f>E231+J231</f>
        <v>67506879</v>
      </c>
      <c r="Q231" s="628" t="b">
        <f>P231=P233+P238+P239+P240+P242+P247+P250+P234+P248+P241+P245+P235</f>
        <v>1</v>
      </c>
      <c r="R231" s="307"/>
    </row>
    <row r="232" spans="1:18" ht="47.25" thickTop="1" thickBot="1" x14ac:dyDescent="0.25">
      <c r="A232" s="151" t="s">
        <v>833</v>
      </c>
      <c r="B232" s="151" t="s">
        <v>727</v>
      </c>
      <c r="C232" s="151"/>
      <c r="D232" s="151" t="s">
        <v>728</v>
      </c>
      <c r="E232" s="860">
        <f>SUM(E233:E235)</f>
        <v>8935308</v>
      </c>
      <c r="F232" s="860">
        <f t="shared" ref="F232:N232" si="186">SUM(F233:F235)</f>
        <v>8935308</v>
      </c>
      <c r="G232" s="860">
        <f t="shared" si="186"/>
        <v>6530800</v>
      </c>
      <c r="H232" s="860">
        <f t="shared" si="186"/>
        <v>165444</v>
      </c>
      <c r="I232" s="860">
        <f t="shared" si="186"/>
        <v>0</v>
      </c>
      <c r="J232" s="860">
        <f t="shared" si="186"/>
        <v>88000</v>
      </c>
      <c r="K232" s="860">
        <f t="shared" si="186"/>
        <v>88000</v>
      </c>
      <c r="L232" s="860">
        <f t="shared" si="186"/>
        <v>0</v>
      </c>
      <c r="M232" s="860">
        <f t="shared" si="186"/>
        <v>0</v>
      </c>
      <c r="N232" s="860">
        <f t="shared" si="186"/>
        <v>0</v>
      </c>
      <c r="O232" s="860">
        <f>SUM(O233:O235)</f>
        <v>88000</v>
      </c>
      <c r="P232" s="860">
        <f>SUM(P233:P235)</f>
        <v>9023308</v>
      </c>
      <c r="Q232" s="628"/>
      <c r="R232" s="307"/>
    </row>
    <row r="233" spans="1:18" ht="230.25" thickTop="1" thickBot="1" x14ac:dyDescent="0.25">
      <c r="A233" s="864" t="s">
        <v>437</v>
      </c>
      <c r="B233" s="864" t="s">
        <v>248</v>
      </c>
      <c r="C233" s="864" t="s">
        <v>246</v>
      </c>
      <c r="D233" s="864" t="s">
        <v>247</v>
      </c>
      <c r="E233" s="446">
        <f>F233</f>
        <v>8900478</v>
      </c>
      <c r="F233" s="447">
        <v>8900478</v>
      </c>
      <c r="G233" s="447">
        <v>6530800</v>
      </c>
      <c r="H233" s="447">
        <f>61273+5208+94487+4476</f>
        <v>165444</v>
      </c>
      <c r="I233" s="447"/>
      <c r="J233" s="860">
        <f t="shared" si="184"/>
        <v>88000</v>
      </c>
      <c r="K233" s="447">
        <v>88000</v>
      </c>
      <c r="L233" s="459"/>
      <c r="M233" s="459"/>
      <c r="N233" s="459"/>
      <c r="O233" s="869">
        <f t="shared" ref="O233:O248" si="187">K233</f>
        <v>88000</v>
      </c>
      <c r="P233" s="860">
        <f t="shared" ref="P233:P241" si="188">+J233+E233</f>
        <v>8988478</v>
      </c>
      <c r="R233" s="307"/>
    </row>
    <row r="234" spans="1:18" ht="184.5" thickTop="1" thickBot="1" x14ac:dyDescent="0.25">
      <c r="A234" s="862" t="s">
        <v>669</v>
      </c>
      <c r="B234" s="862" t="s">
        <v>376</v>
      </c>
      <c r="C234" s="862" t="s">
        <v>662</v>
      </c>
      <c r="D234" s="862" t="s">
        <v>663</v>
      </c>
      <c r="E234" s="863">
        <f t="shared" ref="E234:E235" si="189">F234</f>
        <v>12000</v>
      </c>
      <c r="F234" s="450">
        <v>12000</v>
      </c>
      <c r="G234" s="450"/>
      <c r="H234" s="450"/>
      <c r="I234" s="450"/>
      <c r="J234" s="863">
        <f t="shared" si="184"/>
        <v>0</v>
      </c>
      <c r="K234" s="450"/>
      <c r="L234" s="460"/>
      <c r="M234" s="461"/>
      <c r="N234" s="461"/>
      <c r="O234" s="462">
        <f t="shared" si="187"/>
        <v>0</v>
      </c>
      <c r="P234" s="863">
        <f>+J234+E234</f>
        <v>12000</v>
      </c>
      <c r="R234" s="307"/>
    </row>
    <row r="235" spans="1:18" ht="93" thickTop="1" thickBot="1" x14ac:dyDescent="0.25">
      <c r="A235" s="862" t="s">
        <v>1282</v>
      </c>
      <c r="B235" s="862" t="s">
        <v>45</v>
      </c>
      <c r="C235" s="862" t="s">
        <v>44</v>
      </c>
      <c r="D235" s="862" t="s">
        <v>260</v>
      </c>
      <c r="E235" s="863">
        <f t="shared" si="189"/>
        <v>22830</v>
      </c>
      <c r="F235" s="450">
        <v>22830</v>
      </c>
      <c r="G235" s="450"/>
      <c r="H235" s="450"/>
      <c r="I235" s="450"/>
      <c r="J235" s="863">
        <f t="shared" si="184"/>
        <v>0</v>
      </c>
      <c r="K235" s="450"/>
      <c r="L235" s="460"/>
      <c r="M235" s="461"/>
      <c r="N235" s="461"/>
      <c r="O235" s="462"/>
      <c r="P235" s="863">
        <f>+J235+E235</f>
        <v>22830</v>
      </c>
      <c r="R235" s="307"/>
    </row>
    <row r="236" spans="1:18" ht="91.5" thickTop="1" thickBot="1" x14ac:dyDescent="0.25">
      <c r="A236" s="151" t="s">
        <v>834</v>
      </c>
      <c r="B236" s="466" t="s">
        <v>786</v>
      </c>
      <c r="C236" s="466"/>
      <c r="D236" s="560" t="s">
        <v>787</v>
      </c>
      <c r="E236" s="863">
        <f>SUM(E237:E242)-E237</f>
        <v>26622245</v>
      </c>
      <c r="F236" s="863">
        <f t="shared" ref="F236:P236" si="190">SUM(F237:F242)-F237</f>
        <v>26622245</v>
      </c>
      <c r="G236" s="863">
        <f t="shared" si="190"/>
        <v>0</v>
      </c>
      <c r="H236" s="863">
        <f t="shared" si="190"/>
        <v>0</v>
      </c>
      <c r="I236" s="863">
        <f t="shared" si="190"/>
        <v>0</v>
      </c>
      <c r="J236" s="863">
        <f t="shared" si="190"/>
        <v>26008600</v>
      </c>
      <c r="K236" s="863">
        <f t="shared" si="190"/>
        <v>26008600</v>
      </c>
      <c r="L236" s="863">
        <f t="shared" si="190"/>
        <v>0</v>
      </c>
      <c r="M236" s="863">
        <f t="shared" si="190"/>
        <v>0</v>
      </c>
      <c r="N236" s="863">
        <f t="shared" si="190"/>
        <v>0</v>
      </c>
      <c r="O236" s="863">
        <f t="shared" si="190"/>
        <v>26008600</v>
      </c>
      <c r="P236" s="863">
        <f t="shared" si="190"/>
        <v>52630845</v>
      </c>
      <c r="R236" s="307"/>
    </row>
    <row r="237" spans="1:18" s="272" customFormat="1" ht="184.5" thickTop="1" thickBot="1" x14ac:dyDescent="0.25">
      <c r="A237" s="489" t="s">
        <v>835</v>
      </c>
      <c r="B237" s="470" t="s">
        <v>836</v>
      </c>
      <c r="C237" s="470"/>
      <c r="D237" s="470" t="s">
        <v>837</v>
      </c>
      <c r="E237" s="561">
        <f>SUM(E238:E240)</f>
        <v>3200000</v>
      </c>
      <c r="F237" s="561">
        <f t="shared" ref="F237:P237" si="191">SUM(F238:F240)</f>
        <v>3200000</v>
      </c>
      <c r="G237" s="561">
        <f t="shared" si="191"/>
        <v>0</v>
      </c>
      <c r="H237" s="561">
        <f t="shared" si="191"/>
        <v>0</v>
      </c>
      <c r="I237" s="561">
        <f t="shared" si="191"/>
        <v>0</v>
      </c>
      <c r="J237" s="561">
        <f t="shared" si="191"/>
        <v>26008600</v>
      </c>
      <c r="K237" s="561">
        <f t="shared" si="191"/>
        <v>26008600</v>
      </c>
      <c r="L237" s="561">
        <f t="shared" si="191"/>
        <v>0</v>
      </c>
      <c r="M237" s="561">
        <f t="shared" si="191"/>
        <v>0</v>
      </c>
      <c r="N237" s="561">
        <f t="shared" si="191"/>
        <v>0</v>
      </c>
      <c r="O237" s="561">
        <f t="shared" si="191"/>
        <v>26008600</v>
      </c>
      <c r="P237" s="561">
        <f t="shared" si="191"/>
        <v>29208600</v>
      </c>
      <c r="Q237" s="624"/>
      <c r="R237" s="307"/>
    </row>
    <row r="238" spans="1:18" ht="138.75" thickTop="1" thickBot="1" x14ac:dyDescent="0.25">
      <c r="A238" s="864" t="s">
        <v>292</v>
      </c>
      <c r="B238" s="864" t="s">
        <v>293</v>
      </c>
      <c r="C238" s="864" t="s">
        <v>354</v>
      </c>
      <c r="D238" s="864" t="s">
        <v>294</v>
      </c>
      <c r="E238" s="446">
        <f t="shared" ref="E238:E250" si="192">F238</f>
        <v>1500000</v>
      </c>
      <c r="F238" s="447">
        <v>1500000</v>
      </c>
      <c r="G238" s="447"/>
      <c r="H238" s="447"/>
      <c r="I238" s="447"/>
      <c r="J238" s="860">
        <f t="shared" si="184"/>
        <v>4508600</v>
      </c>
      <c r="K238" s="447">
        <v>4508600</v>
      </c>
      <c r="L238" s="459"/>
      <c r="M238" s="459"/>
      <c r="N238" s="459"/>
      <c r="O238" s="869">
        <f t="shared" si="187"/>
        <v>4508600</v>
      </c>
      <c r="P238" s="860">
        <f t="shared" si="188"/>
        <v>6008600</v>
      </c>
      <c r="R238" s="307"/>
    </row>
    <row r="239" spans="1:18" ht="138.75" thickTop="1" thickBot="1" x14ac:dyDescent="0.25">
      <c r="A239" s="864" t="s">
        <v>314</v>
      </c>
      <c r="B239" s="864" t="s">
        <v>315</v>
      </c>
      <c r="C239" s="864" t="s">
        <v>295</v>
      </c>
      <c r="D239" s="864" t="s">
        <v>316</v>
      </c>
      <c r="E239" s="446">
        <f t="shared" si="192"/>
        <v>0</v>
      </c>
      <c r="F239" s="447"/>
      <c r="G239" s="447"/>
      <c r="H239" s="447"/>
      <c r="I239" s="447"/>
      <c r="J239" s="860">
        <f t="shared" si="184"/>
        <v>3000000</v>
      </c>
      <c r="K239" s="447">
        <v>3000000</v>
      </c>
      <c r="L239" s="459"/>
      <c r="M239" s="459"/>
      <c r="N239" s="459"/>
      <c r="O239" s="869">
        <f t="shared" si="187"/>
        <v>3000000</v>
      </c>
      <c r="P239" s="860">
        <f t="shared" si="188"/>
        <v>3000000</v>
      </c>
      <c r="R239" s="307"/>
    </row>
    <row r="240" spans="1:18" ht="184.5" thickTop="1" thickBot="1" x14ac:dyDescent="0.25">
      <c r="A240" s="864" t="s">
        <v>296</v>
      </c>
      <c r="B240" s="864" t="s">
        <v>297</v>
      </c>
      <c r="C240" s="864" t="s">
        <v>295</v>
      </c>
      <c r="D240" s="864" t="s">
        <v>484</v>
      </c>
      <c r="E240" s="446">
        <f t="shared" si="192"/>
        <v>1700000</v>
      </c>
      <c r="F240" s="447">
        <f>16700000-15000000</f>
        <v>1700000</v>
      </c>
      <c r="G240" s="447"/>
      <c r="H240" s="447"/>
      <c r="I240" s="447"/>
      <c r="J240" s="860">
        <f t="shared" si="184"/>
        <v>18500000</v>
      </c>
      <c r="K240" s="447">
        <v>18500000</v>
      </c>
      <c r="L240" s="459"/>
      <c r="M240" s="459"/>
      <c r="N240" s="459"/>
      <c r="O240" s="869">
        <f t="shared" si="187"/>
        <v>18500000</v>
      </c>
      <c r="P240" s="860">
        <f t="shared" si="188"/>
        <v>20200000</v>
      </c>
      <c r="R240" s="307"/>
    </row>
    <row r="241" spans="1:18" ht="230.25" thickTop="1" thickBot="1" x14ac:dyDescent="0.25">
      <c r="A241" s="864" t="s">
        <v>989</v>
      </c>
      <c r="B241" s="864" t="s">
        <v>310</v>
      </c>
      <c r="C241" s="864" t="s">
        <v>295</v>
      </c>
      <c r="D241" s="864" t="s">
        <v>311</v>
      </c>
      <c r="E241" s="446">
        <f t="shared" si="192"/>
        <v>8422245</v>
      </c>
      <c r="F241" s="447">
        <v>8422245</v>
      </c>
      <c r="G241" s="447"/>
      <c r="H241" s="447"/>
      <c r="I241" s="447"/>
      <c r="J241" s="860">
        <f t="shared" si="184"/>
        <v>0</v>
      </c>
      <c r="K241" s="447"/>
      <c r="L241" s="459"/>
      <c r="M241" s="459"/>
      <c r="N241" s="459"/>
      <c r="O241" s="869">
        <f t="shared" si="187"/>
        <v>0</v>
      </c>
      <c r="P241" s="860">
        <f t="shared" si="188"/>
        <v>8422245</v>
      </c>
      <c r="R241" s="307"/>
    </row>
    <row r="242" spans="1:18" ht="93" thickTop="1" thickBot="1" x14ac:dyDescent="0.25">
      <c r="A242" s="864" t="s">
        <v>300</v>
      </c>
      <c r="B242" s="864" t="s">
        <v>301</v>
      </c>
      <c r="C242" s="864" t="s">
        <v>295</v>
      </c>
      <c r="D242" s="864" t="s">
        <v>302</v>
      </c>
      <c r="E242" s="446">
        <f t="shared" si="192"/>
        <v>15000000</v>
      </c>
      <c r="F242" s="447">
        <f>(0)+15000000</f>
        <v>15000000</v>
      </c>
      <c r="G242" s="447"/>
      <c r="H242" s="447"/>
      <c r="I242" s="447"/>
      <c r="J242" s="860">
        <f t="shared" si="184"/>
        <v>0</v>
      </c>
      <c r="K242" s="444"/>
      <c r="L242" s="447"/>
      <c r="M242" s="447"/>
      <c r="N242" s="447"/>
      <c r="O242" s="869">
        <f t="shared" si="187"/>
        <v>0</v>
      </c>
      <c r="P242" s="860">
        <f t="shared" ref="P242" si="193">E242+J242</f>
        <v>15000000</v>
      </c>
      <c r="R242" s="297"/>
    </row>
    <row r="243" spans="1:18" ht="47.25" thickTop="1" thickBot="1" x14ac:dyDescent="0.25">
      <c r="A243" s="151" t="s">
        <v>838</v>
      </c>
      <c r="B243" s="151" t="s">
        <v>792</v>
      </c>
      <c r="C243" s="151"/>
      <c r="D243" s="151" t="s">
        <v>839</v>
      </c>
      <c r="E243" s="446">
        <f>E246+E244</f>
        <v>1000000</v>
      </c>
      <c r="F243" s="446">
        <f t="shared" ref="F243:P243" si="194">F246+F244</f>
        <v>1000000</v>
      </c>
      <c r="G243" s="446">
        <f t="shared" si="194"/>
        <v>0</v>
      </c>
      <c r="H243" s="446">
        <f t="shared" si="194"/>
        <v>0</v>
      </c>
      <c r="I243" s="446">
        <f t="shared" si="194"/>
        <v>0</v>
      </c>
      <c r="J243" s="446">
        <f t="shared" si="194"/>
        <v>4852726</v>
      </c>
      <c r="K243" s="446">
        <f t="shared" si="194"/>
        <v>3968726</v>
      </c>
      <c r="L243" s="446">
        <f t="shared" si="194"/>
        <v>450000</v>
      </c>
      <c r="M243" s="446">
        <f t="shared" si="194"/>
        <v>0</v>
      </c>
      <c r="N243" s="446">
        <f t="shared" si="194"/>
        <v>0</v>
      </c>
      <c r="O243" s="446">
        <f t="shared" si="194"/>
        <v>4402726</v>
      </c>
      <c r="P243" s="446">
        <f t="shared" si="194"/>
        <v>5852726</v>
      </c>
      <c r="R243" s="297"/>
    </row>
    <row r="244" spans="1:18" ht="91.5" thickTop="1" thickBot="1" x14ac:dyDescent="0.25">
      <c r="A244" s="467" t="s">
        <v>1286</v>
      </c>
      <c r="B244" s="467" t="s">
        <v>848</v>
      </c>
      <c r="C244" s="467"/>
      <c r="D244" s="467" t="s">
        <v>849</v>
      </c>
      <c r="E244" s="524">
        <f>E245</f>
        <v>0</v>
      </c>
      <c r="F244" s="524">
        <f t="shared" ref="F244:P244" si="195">F245</f>
        <v>0</v>
      </c>
      <c r="G244" s="524">
        <f t="shared" si="195"/>
        <v>0</v>
      </c>
      <c r="H244" s="524">
        <f t="shared" si="195"/>
        <v>0</v>
      </c>
      <c r="I244" s="524">
        <f t="shared" si="195"/>
        <v>0</v>
      </c>
      <c r="J244" s="524">
        <f t="shared" si="195"/>
        <v>1968726</v>
      </c>
      <c r="K244" s="524">
        <f t="shared" si="195"/>
        <v>1968726</v>
      </c>
      <c r="L244" s="524">
        <f t="shared" si="195"/>
        <v>0</v>
      </c>
      <c r="M244" s="524">
        <f t="shared" si="195"/>
        <v>0</v>
      </c>
      <c r="N244" s="524">
        <f t="shared" si="195"/>
        <v>0</v>
      </c>
      <c r="O244" s="524">
        <f t="shared" si="195"/>
        <v>1968726</v>
      </c>
      <c r="P244" s="524">
        <f t="shared" si="195"/>
        <v>1968726</v>
      </c>
      <c r="R244" s="297"/>
    </row>
    <row r="245" spans="1:18" ht="129.75" customHeight="1" thickTop="1" thickBot="1" x14ac:dyDescent="0.25">
      <c r="A245" s="864" t="s">
        <v>1287</v>
      </c>
      <c r="B245" s="864" t="s">
        <v>318</v>
      </c>
      <c r="C245" s="864" t="s">
        <v>317</v>
      </c>
      <c r="D245" s="864" t="s">
        <v>664</v>
      </c>
      <c r="E245" s="446">
        <f t="shared" ref="E245" si="196">F245</f>
        <v>0</v>
      </c>
      <c r="F245" s="447"/>
      <c r="G245" s="447"/>
      <c r="H245" s="447"/>
      <c r="I245" s="447"/>
      <c r="J245" s="860">
        <f>L245+O245</f>
        <v>1968726</v>
      </c>
      <c r="K245" s="444">
        <v>1968726</v>
      </c>
      <c r="L245" s="447"/>
      <c r="M245" s="447"/>
      <c r="N245" s="447"/>
      <c r="O245" s="869">
        <f>K245</f>
        <v>1968726</v>
      </c>
      <c r="P245" s="860">
        <f t="shared" ref="P245" si="197">E245+J245</f>
        <v>1968726</v>
      </c>
      <c r="R245" s="297"/>
    </row>
    <row r="246" spans="1:18" ht="136.5" thickTop="1" thickBot="1" x14ac:dyDescent="0.25">
      <c r="A246" s="467" t="s">
        <v>840</v>
      </c>
      <c r="B246" s="467" t="s">
        <v>734</v>
      </c>
      <c r="C246" s="467"/>
      <c r="D246" s="467" t="s">
        <v>732</v>
      </c>
      <c r="E246" s="524">
        <f t="shared" ref="E246:P246" si="198">E247+E249+E248</f>
        <v>1000000</v>
      </c>
      <c r="F246" s="524">
        <f t="shared" si="198"/>
        <v>1000000</v>
      </c>
      <c r="G246" s="524">
        <f t="shared" si="198"/>
        <v>0</v>
      </c>
      <c r="H246" s="524">
        <f t="shared" si="198"/>
        <v>0</v>
      </c>
      <c r="I246" s="524">
        <f t="shared" si="198"/>
        <v>0</v>
      </c>
      <c r="J246" s="524">
        <f t="shared" si="198"/>
        <v>2884000</v>
      </c>
      <c r="K246" s="524">
        <f t="shared" si="198"/>
        <v>2000000</v>
      </c>
      <c r="L246" s="524">
        <f t="shared" si="198"/>
        <v>450000</v>
      </c>
      <c r="M246" s="524">
        <f t="shared" si="198"/>
        <v>0</v>
      </c>
      <c r="N246" s="524">
        <f t="shared" si="198"/>
        <v>0</v>
      </c>
      <c r="O246" s="524">
        <f t="shared" si="198"/>
        <v>2434000</v>
      </c>
      <c r="P246" s="524">
        <f t="shared" si="198"/>
        <v>3884000</v>
      </c>
      <c r="R246" s="297"/>
    </row>
    <row r="247" spans="1:18" ht="48" thickTop="1" thickBot="1" x14ac:dyDescent="0.25">
      <c r="A247" s="864" t="s">
        <v>309</v>
      </c>
      <c r="B247" s="864" t="s">
        <v>224</v>
      </c>
      <c r="C247" s="864" t="s">
        <v>225</v>
      </c>
      <c r="D247" s="864" t="s">
        <v>43</v>
      </c>
      <c r="E247" s="446">
        <f t="shared" si="192"/>
        <v>1000000</v>
      </c>
      <c r="F247" s="447">
        <v>1000000</v>
      </c>
      <c r="G247" s="447"/>
      <c r="H247" s="447"/>
      <c r="I247" s="447"/>
      <c r="J247" s="860">
        <f t="shared" si="184"/>
        <v>2000000</v>
      </c>
      <c r="K247" s="444">
        <v>2000000</v>
      </c>
      <c r="L247" s="447"/>
      <c r="M247" s="447"/>
      <c r="N247" s="447"/>
      <c r="O247" s="869">
        <f t="shared" si="187"/>
        <v>2000000</v>
      </c>
      <c r="P247" s="860">
        <f>E247+J247</f>
        <v>3000000</v>
      </c>
      <c r="R247" s="307"/>
    </row>
    <row r="248" spans="1:18" ht="93" hidden="1" thickTop="1" thickBot="1" x14ac:dyDescent="0.25">
      <c r="A248" s="873" t="s">
        <v>976</v>
      </c>
      <c r="B248" s="873" t="s">
        <v>209</v>
      </c>
      <c r="C248" s="873" t="s">
        <v>178</v>
      </c>
      <c r="D248" s="873" t="s">
        <v>36</v>
      </c>
      <c r="E248" s="305">
        <f t="shared" si="192"/>
        <v>0</v>
      </c>
      <c r="F248" s="260"/>
      <c r="G248" s="260"/>
      <c r="H248" s="260"/>
      <c r="I248" s="260"/>
      <c r="J248" s="874">
        <f t="shared" si="184"/>
        <v>0</v>
      </c>
      <c r="K248" s="278"/>
      <c r="L248" s="260"/>
      <c r="M248" s="260"/>
      <c r="N248" s="260"/>
      <c r="O248" s="871">
        <f t="shared" si="187"/>
        <v>0</v>
      </c>
      <c r="P248" s="874">
        <f>E248+J248</f>
        <v>0</v>
      </c>
      <c r="R248" s="307"/>
    </row>
    <row r="249" spans="1:18" ht="48" thickTop="1" thickBot="1" x14ac:dyDescent="0.25">
      <c r="A249" s="489" t="s">
        <v>841</v>
      </c>
      <c r="B249" s="489" t="s">
        <v>737</v>
      </c>
      <c r="C249" s="489"/>
      <c r="D249" s="489" t="s">
        <v>842</v>
      </c>
      <c r="E249" s="490">
        <f>E250</f>
        <v>0</v>
      </c>
      <c r="F249" s="490">
        <f t="shared" ref="F249:P249" si="199">F250</f>
        <v>0</v>
      </c>
      <c r="G249" s="490">
        <f t="shared" si="199"/>
        <v>0</v>
      </c>
      <c r="H249" s="490">
        <f t="shared" si="199"/>
        <v>0</v>
      </c>
      <c r="I249" s="490">
        <f t="shared" si="199"/>
        <v>0</v>
      </c>
      <c r="J249" s="490">
        <f t="shared" si="199"/>
        <v>884000</v>
      </c>
      <c r="K249" s="490">
        <f t="shared" si="199"/>
        <v>0</v>
      </c>
      <c r="L249" s="490">
        <f t="shared" si="199"/>
        <v>450000</v>
      </c>
      <c r="M249" s="490">
        <f t="shared" si="199"/>
        <v>0</v>
      </c>
      <c r="N249" s="490">
        <f t="shared" si="199"/>
        <v>0</v>
      </c>
      <c r="O249" s="490">
        <f t="shared" si="199"/>
        <v>434000</v>
      </c>
      <c r="P249" s="490">
        <f t="shared" si="199"/>
        <v>884000</v>
      </c>
      <c r="R249" s="297"/>
    </row>
    <row r="250" spans="1:18" ht="409.6" thickTop="1" thickBot="1" x14ac:dyDescent="0.7">
      <c r="A250" s="920" t="s">
        <v>440</v>
      </c>
      <c r="B250" s="920" t="s">
        <v>352</v>
      </c>
      <c r="C250" s="920" t="s">
        <v>178</v>
      </c>
      <c r="D250" s="484" t="s">
        <v>457</v>
      </c>
      <c r="E250" s="927">
        <f t="shared" si="192"/>
        <v>0</v>
      </c>
      <c r="F250" s="925"/>
      <c r="G250" s="925"/>
      <c r="H250" s="925"/>
      <c r="I250" s="925"/>
      <c r="J250" s="927">
        <f t="shared" si="184"/>
        <v>884000</v>
      </c>
      <c r="K250" s="925"/>
      <c r="L250" s="925">
        <f>0+450000</f>
        <v>450000</v>
      </c>
      <c r="M250" s="925"/>
      <c r="N250" s="925"/>
      <c r="O250" s="923">
        <f>(K250+884000)-450000</f>
        <v>434000</v>
      </c>
      <c r="P250" s="924">
        <f>E250+J250</f>
        <v>884000</v>
      </c>
      <c r="R250" s="297"/>
    </row>
    <row r="251" spans="1:18" ht="184.5" thickTop="1" thickBot="1" x14ac:dyDescent="0.25">
      <c r="A251" s="920"/>
      <c r="B251" s="920"/>
      <c r="C251" s="920"/>
      <c r="D251" s="488" t="s">
        <v>458</v>
      </c>
      <c r="E251" s="927"/>
      <c r="F251" s="925"/>
      <c r="G251" s="925"/>
      <c r="H251" s="925"/>
      <c r="I251" s="925"/>
      <c r="J251" s="927"/>
      <c r="K251" s="925"/>
      <c r="L251" s="925"/>
      <c r="M251" s="925"/>
      <c r="N251" s="925"/>
      <c r="O251" s="923"/>
      <c r="P251" s="924"/>
      <c r="R251" s="297"/>
    </row>
    <row r="252" spans="1:18" ht="181.5" thickTop="1" thickBot="1" x14ac:dyDescent="0.25">
      <c r="A252" s="828" t="s">
        <v>566</v>
      </c>
      <c r="B252" s="828"/>
      <c r="C252" s="828"/>
      <c r="D252" s="829" t="s">
        <v>585</v>
      </c>
      <c r="E252" s="830">
        <f>E253</f>
        <v>395784457</v>
      </c>
      <c r="F252" s="831">
        <f t="shared" ref="F252:G252" si="200">F253</f>
        <v>395784457</v>
      </c>
      <c r="G252" s="831">
        <f t="shared" si="200"/>
        <v>8506105</v>
      </c>
      <c r="H252" s="831">
        <f>H253</f>
        <v>254069</v>
      </c>
      <c r="I252" s="831">
        <f t="shared" ref="I252" si="201">I253</f>
        <v>0</v>
      </c>
      <c r="J252" s="830">
        <f>J253</f>
        <v>54998993.590000004</v>
      </c>
      <c r="K252" s="831">
        <f>K253</f>
        <v>53698993.590000004</v>
      </c>
      <c r="L252" s="831">
        <f>L253</f>
        <v>0</v>
      </c>
      <c r="M252" s="831">
        <f t="shared" ref="M252" si="202">M253</f>
        <v>0</v>
      </c>
      <c r="N252" s="831">
        <f>N253</f>
        <v>0</v>
      </c>
      <c r="O252" s="830">
        <f>O253</f>
        <v>54998993.590000004</v>
      </c>
      <c r="P252" s="831">
        <f>P253</f>
        <v>450783450.59000003</v>
      </c>
      <c r="R252" s="297"/>
    </row>
    <row r="253" spans="1:18" ht="181.5" thickTop="1" thickBot="1" x14ac:dyDescent="0.25">
      <c r="A253" s="832" t="s">
        <v>567</v>
      </c>
      <c r="B253" s="832"/>
      <c r="C253" s="832"/>
      <c r="D253" s="833" t="s">
        <v>586</v>
      </c>
      <c r="E253" s="834">
        <f>E254+E258+E265+E278</f>
        <v>395784457</v>
      </c>
      <c r="F253" s="834">
        <f t="shared" ref="F253:I253" si="203">F254+F258+F265+F278</f>
        <v>395784457</v>
      </c>
      <c r="G253" s="834">
        <f t="shared" si="203"/>
        <v>8506105</v>
      </c>
      <c r="H253" s="834">
        <f t="shared" si="203"/>
        <v>254069</v>
      </c>
      <c r="I253" s="834">
        <f t="shared" si="203"/>
        <v>0</v>
      </c>
      <c r="J253" s="834">
        <f t="shared" ref="J253:J275" si="204">L253+O253</f>
        <v>54998993.590000004</v>
      </c>
      <c r="K253" s="834">
        <f t="shared" ref="K253:O253" si="205">K254+K258+K265+K278</f>
        <v>53698993.590000004</v>
      </c>
      <c r="L253" s="834">
        <f t="shared" si="205"/>
        <v>0</v>
      </c>
      <c r="M253" s="834">
        <f t="shared" si="205"/>
        <v>0</v>
      </c>
      <c r="N253" s="834">
        <f t="shared" si="205"/>
        <v>0</v>
      </c>
      <c r="O253" s="834">
        <f t="shared" si="205"/>
        <v>54998993.590000004</v>
      </c>
      <c r="P253" s="834">
        <f>E253+J253</f>
        <v>450783450.59000003</v>
      </c>
      <c r="Q253" s="628" t="b">
        <f>P253=P255+P256+P257+P260+P261+P262+P263+P267+P270+P272+P273+P275+P280+P281+P282+P264+P277</f>
        <v>1</v>
      </c>
      <c r="R253" s="291"/>
    </row>
    <row r="254" spans="1:18" ht="47.25" thickTop="1" thickBot="1" x14ac:dyDescent="0.25">
      <c r="A254" s="151" t="s">
        <v>843</v>
      </c>
      <c r="B254" s="151" t="s">
        <v>727</v>
      </c>
      <c r="C254" s="151"/>
      <c r="D254" s="151" t="s">
        <v>728</v>
      </c>
      <c r="E254" s="860">
        <f>SUM(E255:E257)</f>
        <v>9012595</v>
      </c>
      <c r="F254" s="860">
        <f t="shared" ref="F254:P254" si="206">SUM(F255:F257)</f>
        <v>9012595</v>
      </c>
      <c r="G254" s="860">
        <f t="shared" si="206"/>
        <v>6736115</v>
      </c>
      <c r="H254" s="860">
        <f t="shared" si="206"/>
        <v>189764</v>
      </c>
      <c r="I254" s="860">
        <f t="shared" si="206"/>
        <v>0</v>
      </c>
      <c r="J254" s="860">
        <f t="shared" si="206"/>
        <v>22000</v>
      </c>
      <c r="K254" s="860">
        <f t="shared" si="206"/>
        <v>22000</v>
      </c>
      <c r="L254" s="860">
        <f t="shared" si="206"/>
        <v>0</v>
      </c>
      <c r="M254" s="860">
        <f t="shared" si="206"/>
        <v>0</v>
      </c>
      <c r="N254" s="860">
        <f t="shared" si="206"/>
        <v>0</v>
      </c>
      <c r="O254" s="860">
        <f t="shared" si="206"/>
        <v>22000</v>
      </c>
      <c r="P254" s="860">
        <f t="shared" si="206"/>
        <v>9034595</v>
      </c>
      <c r="Q254" s="628"/>
      <c r="R254" s="291"/>
    </row>
    <row r="255" spans="1:18" ht="230.25" thickTop="1" thickBot="1" x14ac:dyDescent="0.25">
      <c r="A255" s="864" t="s">
        <v>568</v>
      </c>
      <c r="B255" s="864" t="s">
        <v>248</v>
      </c>
      <c r="C255" s="864" t="s">
        <v>246</v>
      </c>
      <c r="D255" s="864" t="s">
        <v>247</v>
      </c>
      <c r="E255" s="446">
        <f>F255</f>
        <v>8944984</v>
      </c>
      <c r="F255" s="447">
        <v>8944984</v>
      </c>
      <c r="G255" s="447">
        <v>6736115</v>
      </c>
      <c r="H255" s="447">
        <f>125302+7056+52006+5400</f>
        <v>189764</v>
      </c>
      <c r="I255" s="447"/>
      <c r="J255" s="860">
        <f t="shared" si="204"/>
        <v>22000</v>
      </c>
      <c r="K255" s="447">
        <v>22000</v>
      </c>
      <c r="L255" s="459"/>
      <c r="M255" s="459"/>
      <c r="N255" s="459"/>
      <c r="O255" s="869">
        <f t="shared" ref="O255:O273" si="207">K255</f>
        <v>22000</v>
      </c>
      <c r="P255" s="860">
        <f t="shared" ref="P255:P261" si="208">+J255+E255</f>
        <v>8966984</v>
      </c>
      <c r="R255" s="291"/>
    </row>
    <row r="256" spans="1:18" ht="184.5" thickTop="1" thickBot="1" x14ac:dyDescent="0.25">
      <c r="A256" s="862" t="s">
        <v>671</v>
      </c>
      <c r="B256" s="862" t="s">
        <v>376</v>
      </c>
      <c r="C256" s="862" t="s">
        <v>662</v>
      </c>
      <c r="D256" s="862" t="s">
        <v>663</v>
      </c>
      <c r="E256" s="446">
        <f>F256</f>
        <v>10000</v>
      </c>
      <c r="F256" s="447">
        <v>10000</v>
      </c>
      <c r="G256" s="447"/>
      <c r="H256" s="447"/>
      <c r="I256" s="447"/>
      <c r="J256" s="860">
        <f t="shared" si="204"/>
        <v>0</v>
      </c>
      <c r="K256" s="447"/>
      <c r="L256" s="459"/>
      <c r="M256" s="459"/>
      <c r="N256" s="459"/>
      <c r="O256" s="869">
        <f t="shared" si="207"/>
        <v>0</v>
      </c>
      <c r="P256" s="860">
        <f t="shared" si="208"/>
        <v>10000</v>
      </c>
      <c r="R256" s="291"/>
    </row>
    <row r="257" spans="1:18" ht="93" thickTop="1" thickBot="1" x14ac:dyDescent="0.25">
      <c r="A257" s="864" t="s">
        <v>569</v>
      </c>
      <c r="B257" s="864" t="s">
        <v>45</v>
      </c>
      <c r="C257" s="864" t="s">
        <v>44</v>
      </c>
      <c r="D257" s="864" t="s">
        <v>260</v>
      </c>
      <c r="E257" s="446">
        <f>F257</f>
        <v>57611</v>
      </c>
      <c r="F257" s="447">
        <v>57611</v>
      </c>
      <c r="G257" s="447"/>
      <c r="H257" s="447"/>
      <c r="I257" s="447"/>
      <c r="J257" s="860">
        <f t="shared" si="204"/>
        <v>0</v>
      </c>
      <c r="K257" s="447"/>
      <c r="L257" s="459"/>
      <c r="M257" s="459"/>
      <c r="N257" s="459"/>
      <c r="O257" s="869">
        <f t="shared" si="207"/>
        <v>0</v>
      </c>
      <c r="P257" s="860">
        <f t="shared" si="208"/>
        <v>57611</v>
      </c>
      <c r="R257" s="297"/>
    </row>
    <row r="258" spans="1:18" ht="91.5" thickTop="1" thickBot="1" x14ac:dyDescent="0.25">
      <c r="A258" s="151" t="s">
        <v>844</v>
      </c>
      <c r="B258" s="466" t="s">
        <v>786</v>
      </c>
      <c r="C258" s="466"/>
      <c r="D258" s="560" t="s">
        <v>787</v>
      </c>
      <c r="E258" s="446">
        <f>SUM(E259:E264)-E259</f>
        <v>324010792</v>
      </c>
      <c r="F258" s="446">
        <f t="shared" ref="F258:P258" si="209">SUM(F259:F264)-F259</f>
        <v>324010792</v>
      </c>
      <c r="G258" s="446">
        <f t="shared" si="209"/>
        <v>0</v>
      </c>
      <c r="H258" s="446">
        <f t="shared" si="209"/>
        <v>10000</v>
      </c>
      <c r="I258" s="446">
        <f t="shared" si="209"/>
        <v>0</v>
      </c>
      <c r="J258" s="446">
        <f t="shared" si="209"/>
        <v>5465000</v>
      </c>
      <c r="K258" s="446">
        <f t="shared" si="209"/>
        <v>5465000</v>
      </c>
      <c r="L258" s="446">
        <f t="shared" si="209"/>
        <v>0</v>
      </c>
      <c r="M258" s="446">
        <f t="shared" si="209"/>
        <v>0</v>
      </c>
      <c r="N258" s="446">
        <f t="shared" si="209"/>
        <v>0</v>
      </c>
      <c r="O258" s="446">
        <f t="shared" si="209"/>
        <v>5465000</v>
      </c>
      <c r="P258" s="446">
        <f t="shared" si="209"/>
        <v>329475792</v>
      </c>
      <c r="R258" s="297"/>
    </row>
    <row r="259" spans="1:18" ht="184.5" thickTop="1" thickBot="1" x14ac:dyDescent="0.25">
      <c r="A259" s="489" t="s">
        <v>845</v>
      </c>
      <c r="B259" s="470" t="s">
        <v>836</v>
      </c>
      <c r="C259" s="470"/>
      <c r="D259" s="470" t="s">
        <v>837</v>
      </c>
      <c r="E259" s="490">
        <f>SUM(E260:E261)</f>
        <v>105250000</v>
      </c>
      <c r="F259" s="490">
        <f>SUM(F260:F261)</f>
        <v>105250000</v>
      </c>
      <c r="G259" s="490">
        <f t="shared" ref="G259:P259" si="210">SUM(G260:G261)</f>
        <v>0</v>
      </c>
      <c r="H259" s="490">
        <f t="shared" si="210"/>
        <v>0</v>
      </c>
      <c r="I259" s="490">
        <f t="shared" si="210"/>
        <v>0</v>
      </c>
      <c r="J259" s="490">
        <f t="shared" si="210"/>
        <v>250000</v>
      </c>
      <c r="K259" s="490">
        <f t="shared" si="210"/>
        <v>250000</v>
      </c>
      <c r="L259" s="490">
        <f t="shared" si="210"/>
        <v>0</v>
      </c>
      <c r="M259" s="490">
        <f t="shared" si="210"/>
        <v>0</v>
      </c>
      <c r="N259" s="490">
        <f t="shared" si="210"/>
        <v>0</v>
      </c>
      <c r="O259" s="490">
        <f t="shared" si="210"/>
        <v>250000</v>
      </c>
      <c r="P259" s="490">
        <f t="shared" si="210"/>
        <v>105500000</v>
      </c>
      <c r="R259" s="297"/>
    </row>
    <row r="260" spans="1:18" ht="138.75" thickTop="1" thickBot="1" x14ac:dyDescent="0.25">
      <c r="A260" s="864" t="s">
        <v>570</v>
      </c>
      <c r="B260" s="864" t="s">
        <v>391</v>
      </c>
      <c r="C260" s="864" t="s">
        <v>295</v>
      </c>
      <c r="D260" s="864" t="s">
        <v>392</v>
      </c>
      <c r="E260" s="446">
        <f t="shared" ref="E260:E273" si="211">F260</f>
        <v>97600000</v>
      </c>
      <c r="F260" s="447">
        <f>(35000000+15000000)+47600000</f>
        <v>97600000</v>
      </c>
      <c r="G260" s="447"/>
      <c r="H260" s="447"/>
      <c r="I260" s="447"/>
      <c r="J260" s="860">
        <f t="shared" si="204"/>
        <v>0</v>
      </c>
      <c r="K260" s="447"/>
      <c r="L260" s="459"/>
      <c r="M260" s="459"/>
      <c r="N260" s="459"/>
      <c r="O260" s="869">
        <f t="shared" si="207"/>
        <v>0</v>
      </c>
      <c r="P260" s="860">
        <f t="shared" si="208"/>
        <v>97600000</v>
      </c>
      <c r="R260" s="297"/>
    </row>
    <row r="261" spans="1:18" ht="138.75" thickTop="1" thickBot="1" x14ac:dyDescent="0.25">
      <c r="A261" s="864" t="s">
        <v>571</v>
      </c>
      <c r="B261" s="864" t="s">
        <v>298</v>
      </c>
      <c r="C261" s="864" t="s">
        <v>295</v>
      </c>
      <c r="D261" s="864" t="s">
        <v>299</v>
      </c>
      <c r="E261" s="446">
        <f t="shared" si="211"/>
        <v>7650000</v>
      </c>
      <c r="F261" s="447">
        <f>(650000)+7000000</f>
        <v>7650000</v>
      </c>
      <c r="G261" s="447"/>
      <c r="H261" s="447"/>
      <c r="I261" s="447"/>
      <c r="J261" s="860">
        <f t="shared" si="204"/>
        <v>250000</v>
      </c>
      <c r="K261" s="447">
        <v>250000</v>
      </c>
      <c r="L261" s="459"/>
      <c r="M261" s="459"/>
      <c r="N261" s="459"/>
      <c r="O261" s="869">
        <f t="shared" si="207"/>
        <v>250000</v>
      </c>
      <c r="P261" s="860">
        <f t="shared" si="208"/>
        <v>7900000</v>
      </c>
      <c r="R261" s="297"/>
    </row>
    <row r="262" spans="1:18" ht="230.25" thickTop="1" thickBot="1" x14ac:dyDescent="0.25">
      <c r="A262" s="864" t="s">
        <v>572</v>
      </c>
      <c r="B262" s="864" t="s">
        <v>310</v>
      </c>
      <c r="C262" s="864" t="s">
        <v>295</v>
      </c>
      <c r="D262" s="864" t="s">
        <v>311</v>
      </c>
      <c r="E262" s="446">
        <f t="shared" si="211"/>
        <v>2574000</v>
      </c>
      <c r="F262" s="447">
        <v>2574000</v>
      </c>
      <c r="G262" s="447"/>
      <c r="H262" s="447"/>
      <c r="I262" s="447"/>
      <c r="J262" s="860">
        <f t="shared" si="204"/>
        <v>0</v>
      </c>
      <c r="K262" s="444"/>
      <c r="L262" s="447"/>
      <c r="M262" s="447"/>
      <c r="N262" s="447"/>
      <c r="O262" s="869">
        <f t="shared" si="207"/>
        <v>0</v>
      </c>
      <c r="P262" s="860">
        <f t="shared" ref="P262:P267" si="212">E262+J262</f>
        <v>2574000</v>
      </c>
      <c r="R262" s="297"/>
    </row>
    <row r="263" spans="1:18" ht="93" thickTop="1" thickBot="1" x14ac:dyDescent="0.25">
      <c r="A263" s="864" t="s">
        <v>573</v>
      </c>
      <c r="B263" s="864" t="s">
        <v>301</v>
      </c>
      <c r="C263" s="864" t="s">
        <v>295</v>
      </c>
      <c r="D263" s="864" t="s">
        <v>302</v>
      </c>
      <c r="E263" s="446">
        <f t="shared" si="211"/>
        <v>211462942</v>
      </c>
      <c r="F263" s="447">
        <f>(229382942)-17920000</f>
        <v>211462942</v>
      </c>
      <c r="G263" s="447"/>
      <c r="H263" s="447">
        <v>10000</v>
      </c>
      <c r="I263" s="447"/>
      <c r="J263" s="860">
        <f t="shared" si="204"/>
        <v>5215000</v>
      </c>
      <c r="K263" s="444">
        <v>5215000</v>
      </c>
      <c r="L263" s="447"/>
      <c r="M263" s="447"/>
      <c r="N263" s="447"/>
      <c r="O263" s="869">
        <f t="shared" si="207"/>
        <v>5215000</v>
      </c>
      <c r="P263" s="860">
        <f t="shared" si="212"/>
        <v>216677942</v>
      </c>
      <c r="R263" s="291"/>
    </row>
    <row r="264" spans="1:18" ht="138.75" thickTop="1" thickBot="1" x14ac:dyDescent="0.25">
      <c r="A264" s="864" t="s">
        <v>1289</v>
      </c>
      <c r="B264" s="864" t="s">
        <v>1290</v>
      </c>
      <c r="C264" s="864" t="s">
        <v>1291</v>
      </c>
      <c r="D264" s="864" t="s">
        <v>1288</v>
      </c>
      <c r="E264" s="446">
        <f t="shared" si="211"/>
        <v>4723850</v>
      </c>
      <c r="F264" s="447">
        <v>4723850</v>
      </c>
      <c r="G264" s="447"/>
      <c r="H264" s="447"/>
      <c r="I264" s="447"/>
      <c r="J264" s="860">
        <f t="shared" si="204"/>
        <v>0</v>
      </c>
      <c r="K264" s="444"/>
      <c r="L264" s="447"/>
      <c r="M264" s="447"/>
      <c r="N264" s="447"/>
      <c r="O264" s="869">
        <f t="shared" si="207"/>
        <v>0</v>
      </c>
      <c r="P264" s="860">
        <f t="shared" si="212"/>
        <v>4723850</v>
      </c>
      <c r="R264" s="291"/>
    </row>
    <row r="265" spans="1:18" ht="47.25" thickTop="1" thickBot="1" x14ac:dyDescent="0.25">
      <c r="A265" s="151" t="s">
        <v>846</v>
      </c>
      <c r="B265" s="466" t="s">
        <v>792</v>
      </c>
      <c r="C265" s="466"/>
      <c r="D265" s="466" t="s">
        <v>793</v>
      </c>
      <c r="E265" s="446">
        <f>E266+E268+E271</f>
        <v>60032000</v>
      </c>
      <c r="F265" s="446">
        <f t="shared" ref="F265:P265" si="213">F266+F268+F271</f>
        <v>60032000</v>
      </c>
      <c r="G265" s="446">
        <f t="shared" si="213"/>
        <v>0</v>
      </c>
      <c r="H265" s="446">
        <f t="shared" si="213"/>
        <v>0</v>
      </c>
      <c r="I265" s="446">
        <f t="shared" si="213"/>
        <v>0</v>
      </c>
      <c r="J265" s="446">
        <f>J266+J268+J271</f>
        <v>49511993.590000004</v>
      </c>
      <c r="K265" s="446">
        <f t="shared" si="213"/>
        <v>48211993.590000004</v>
      </c>
      <c r="L265" s="446">
        <f t="shared" si="213"/>
        <v>0</v>
      </c>
      <c r="M265" s="446">
        <f t="shared" si="213"/>
        <v>0</v>
      </c>
      <c r="N265" s="446">
        <f t="shared" si="213"/>
        <v>0</v>
      </c>
      <c r="O265" s="446">
        <f t="shared" si="213"/>
        <v>49511993.590000004</v>
      </c>
      <c r="P265" s="446">
        <f t="shared" si="213"/>
        <v>109543993.59</v>
      </c>
      <c r="R265" s="297"/>
    </row>
    <row r="266" spans="1:18" ht="91.5" thickTop="1" thickBot="1" x14ac:dyDescent="0.25">
      <c r="A266" s="467" t="s">
        <v>847</v>
      </c>
      <c r="B266" s="467" t="s">
        <v>848</v>
      </c>
      <c r="C266" s="467"/>
      <c r="D266" s="467" t="s">
        <v>849</v>
      </c>
      <c r="E266" s="524">
        <f>E267</f>
        <v>0</v>
      </c>
      <c r="F266" s="524">
        <f t="shared" ref="F266:P266" si="214">F267</f>
        <v>0</v>
      </c>
      <c r="G266" s="524">
        <f t="shared" si="214"/>
        <v>0</v>
      </c>
      <c r="H266" s="524">
        <f t="shared" si="214"/>
        <v>0</v>
      </c>
      <c r="I266" s="524">
        <f t="shared" si="214"/>
        <v>0</v>
      </c>
      <c r="J266" s="524">
        <f t="shared" si="214"/>
        <v>7670000</v>
      </c>
      <c r="K266" s="524">
        <f t="shared" si="214"/>
        <v>7670000</v>
      </c>
      <c r="L266" s="524">
        <f t="shared" si="214"/>
        <v>0</v>
      </c>
      <c r="M266" s="524">
        <f t="shared" si="214"/>
        <v>0</v>
      </c>
      <c r="N266" s="524">
        <f t="shared" si="214"/>
        <v>0</v>
      </c>
      <c r="O266" s="524">
        <f t="shared" si="214"/>
        <v>7670000</v>
      </c>
      <c r="P266" s="524">
        <f t="shared" si="214"/>
        <v>7670000</v>
      </c>
      <c r="R266" s="297"/>
    </row>
    <row r="267" spans="1:18" ht="99.75" thickTop="1" thickBot="1" x14ac:dyDescent="0.25">
      <c r="A267" s="864" t="s">
        <v>574</v>
      </c>
      <c r="B267" s="864" t="s">
        <v>318</v>
      </c>
      <c r="C267" s="864" t="s">
        <v>317</v>
      </c>
      <c r="D267" s="864" t="s">
        <v>664</v>
      </c>
      <c r="E267" s="446">
        <f t="shared" si="211"/>
        <v>0</v>
      </c>
      <c r="F267" s="447"/>
      <c r="G267" s="447"/>
      <c r="H267" s="447"/>
      <c r="I267" s="447"/>
      <c r="J267" s="860">
        <f>L267+O267</f>
        <v>7670000</v>
      </c>
      <c r="K267" s="444">
        <f>6670000+1000000</f>
        <v>7670000</v>
      </c>
      <c r="L267" s="447"/>
      <c r="M267" s="447"/>
      <c r="N267" s="447"/>
      <c r="O267" s="869">
        <f>K267</f>
        <v>7670000</v>
      </c>
      <c r="P267" s="860">
        <f t="shared" si="212"/>
        <v>7670000</v>
      </c>
      <c r="R267" s="291"/>
    </row>
    <row r="268" spans="1:18" ht="136.5" thickTop="1" thickBot="1" x14ac:dyDescent="0.25">
      <c r="A268" s="467" t="s">
        <v>850</v>
      </c>
      <c r="B268" s="467" t="s">
        <v>851</v>
      </c>
      <c r="C268" s="467"/>
      <c r="D268" s="467" t="s">
        <v>852</v>
      </c>
      <c r="E268" s="524">
        <f t="shared" ref="E268:P269" si="215">E269</f>
        <v>59886000</v>
      </c>
      <c r="F268" s="524">
        <f t="shared" si="215"/>
        <v>59886000</v>
      </c>
      <c r="G268" s="524">
        <f t="shared" si="215"/>
        <v>0</v>
      </c>
      <c r="H268" s="524">
        <f t="shared" si="215"/>
        <v>0</v>
      </c>
      <c r="I268" s="524">
        <f t="shared" si="215"/>
        <v>0</v>
      </c>
      <c r="J268" s="524">
        <f t="shared" si="215"/>
        <v>16400000</v>
      </c>
      <c r="K268" s="524">
        <f t="shared" si="215"/>
        <v>16400000</v>
      </c>
      <c r="L268" s="524">
        <f t="shared" si="215"/>
        <v>0</v>
      </c>
      <c r="M268" s="524">
        <f t="shared" si="215"/>
        <v>0</v>
      </c>
      <c r="N268" s="524">
        <f t="shared" si="215"/>
        <v>0</v>
      </c>
      <c r="O268" s="524">
        <f t="shared" si="215"/>
        <v>16400000</v>
      </c>
      <c r="P268" s="524">
        <f t="shared" si="215"/>
        <v>76286000</v>
      </c>
      <c r="R268" s="297"/>
    </row>
    <row r="269" spans="1:18" ht="138.75" thickTop="1" thickBot="1" x14ac:dyDescent="0.25">
      <c r="A269" s="864" t="s">
        <v>1029</v>
      </c>
      <c r="B269" s="489" t="s">
        <v>1030</v>
      </c>
      <c r="C269" s="467"/>
      <c r="D269" s="489" t="s">
        <v>1031</v>
      </c>
      <c r="E269" s="490">
        <f t="shared" si="215"/>
        <v>59886000</v>
      </c>
      <c r="F269" s="490">
        <f t="shared" si="215"/>
        <v>59886000</v>
      </c>
      <c r="G269" s="490">
        <f t="shared" si="215"/>
        <v>0</v>
      </c>
      <c r="H269" s="490">
        <f t="shared" si="215"/>
        <v>0</v>
      </c>
      <c r="I269" s="490">
        <f t="shared" si="215"/>
        <v>0</v>
      </c>
      <c r="J269" s="490">
        <f t="shared" si="215"/>
        <v>16400000</v>
      </c>
      <c r="K269" s="490">
        <f t="shared" si="215"/>
        <v>16400000</v>
      </c>
      <c r="L269" s="490">
        <f t="shared" si="215"/>
        <v>0</v>
      </c>
      <c r="M269" s="490">
        <f t="shared" si="215"/>
        <v>0</v>
      </c>
      <c r="N269" s="490">
        <f t="shared" si="215"/>
        <v>0</v>
      </c>
      <c r="O269" s="490">
        <f t="shared" si="215"/>
        <v>16400000</v>
      </c>
      <c r="P269" s="490">
        <f t="shared" si="215"/>
        <v>76286000</v>
      </c>
      <c r="R269" s="297"/>
    </row>
    <row r="270" spans="1:18" ht="230.25" thickTop="1" thickBot="1" x14ac:dyDescent="0.25">
      <c r="A270" s="864" t="s">
        <v>575</v>
      </c>
      <c r="B270" s="864" t="s">
        <v>306</v>
      </c>
      <c r="C270" s="864" t="s">
        <v>308</v>
      </c>
      <c r="D270" s="864" t="s">
        <v>307</v>
      </c>
      <c r="E270" s="446">
        <f t="shared" si="211"/>
        <v>59886000</v>
      </c>
      <c r="F270" s="447">
        <f>(41966000)+17920000</f>
        <v>59886000</v>
      </c>
      <c r="G270" s="447"/>
      <c r="H270" s="447"/>
      <c r="I270" s="447"/>
      <c r="J270" s="860">
        <f t="shared" si="204"/>
        <v>16400000</v>
      </c>
      <c r="K270" s="447">
        <f>((105000000-10000000-1000000)-47600000)-30000000</f>
        <v>16400000</v>
      </c>
      <c r="L270" s="459"/>
      <c r="M270" s="459"/>
      <c r="N270" s="459"/>
      <c r="O270" s="869">
        <f>K270</f>
        <v>16400000</v>
      </c>
      <c r="P270" s="860">
        <f>+J270+E270</f>
        <v>76286000</v>
      </c>
      <c r="R270" s="291"/>
    </row>
    <row r="271" spans="1:18" ht="136.5" thickTop="1" thickBot="1" x14ac:dyDescent="0.25">
      <c r="A271" s="467" t="s">
        <v>853</v>
      </c>
      <c r="B271" s="467" t="s">
        <v>734</v>
      </c>
      <c r="C271" s="467"/>
      <c r="D271" s="467" t="s">
        <v>732</v>
      </c>
      <c r="E271" s="524">
        <f>SUM(E272:E277)-E274</f>
        <v>146000</v>
      </c>
      <c r="F271" s="524">
        <f t="shared" ref="F271:P271" si="216">SUM(F272:F277)-F274</f>
        <v>146000</v>
      </c>
      <c r="G271" s="524">
        <f t="shared" si="216"/>
        <v>0</v>
      </c>
      <c r="H271" s="524">
        <f t="shared" si="216"/>
        <v>0</v>
      </c>
      <c r="I271" s="524">
        <f t="shared" si="216"/>
        <v>0</v>
      </c>
      <c r="J271" s="524">
        <f t="shared" si="216"/>
        <v>25441993.59</v>
      </c>
      <c r="K271" s="524">
        <f t="shared" si="216"/>
        <v>24141993.59</v>
      </c>
      <c r="L271" s="524">
        <f t="shared" si="216"/>
        <v>0</v>
      </c>
      <c r="M271" s="524">
        <f t="shared" si="216"/>
        <v>0</v>
      </c>
      <c r="N271" s="524">
        <f t="shared" si="216"/>
        <v>0</v>
      </c>
      <c r="O271" s="524">
        <f t="shared" si="216"/>
        <v>25441993.59</v>
      </c>
      <c r="P271" s="524">
        <f t="shared" si="216"/>
        <v>25587993.59</v>
      </c>
      <c r="R271" s="291"/>
    </row>
    <row r="272" spans="1:18" ht="48" thickTop="1" thickBot="1" x14ac:dyDescent="0.25">
      <c r="A272" s="864" t="s">
        <v>576</v>
      </c>
      <c r="B272" s="864" t="s">
        <v>224</v>
      </c>
      <c r="C272" s="864" t="s">
        <v>225</v>
      </c>
      <c r="D272" s="864" t="s">
        <v>43</v>
      </c>
      <c r="E272" s="446">
        <f t="shared" si="211"/>
        <v>0</v>
      </c>
      <c r="F272" s="447"/>
      <c r="G272" s="447"/>
      <c r="H272" s="447"/>
      <c r="I272" s="447"/>
      <c r="J272" s="860">
        <f t="shared" si="204"/>
        <v>13296993.59</v>
      </c>
      <c r="K272" s="444">
        <f>(12560000)+736993.59</f>
        <v>13296993.59</v>
      </c>
      <c r="L272" s="447"/>
      <c r="M272" s="447"/>
      <c r="N272" s="447"/>
      <c r="O272" s="869">
        <f t="shared" si="207"/>
        <v>13296993.59</v>
      </c>
      <c r="P272" s="860">
        <f>E272+J272</f>
        <v>13296993.59</v>
      </c>
      <c r="R272" s="291"/>
    </row>
    <row r="273" spans="1:18" ht="93" thickTop="1" thickBot="1" x14ac:dyDescent="0.25">
      <c r="A273" s="864" t="s">
        <v>577</v>
      </c>
      <c r="B273" s="864" t="s">
        <v>209</v>
      </c>
      <c r="C273" s="864" t="s">
        <v>178</v>
      </c>
      <c r="D273" s="864" t="s">
        <v>36</v>
      </c>
      <c r="E273" s="446">
        <f t="shared" si="211"/>
        <v>0</v>
      </c>
      <c r="F273" s="447"/>
      <c r="G273" s="447"/>
      <c r="H273" s="447"/>
      <c r="I273" s="447"/>
      <c r="J273" s="860">
        <f t="shared" si="204"/>
        <v>10845000</v>
      </c>
      <c r="K273" s="444">
        <f>((11305000)+3000000)-3460000</f>
        <v>10845000</v>
      </c>
      <c r="L273" s="447"/>
      <c r="M273" s="447"/>
      <c r="N273" s="447"/>
      <c r="O273" s="869">
        <f t="shared" si="207"/>
        <v>10845000</v>
      </c>
      <c r="P273" s="860">
        <f>E273+J273</f>
        <v>10845000</v>
      </c>
      <c r="R273" s="291"/>
    </row>
    <row r="274" spans="1:18" ht="48" thickTop="1" thickBot="1" x14ac:dyDescent="0.25">
      <c r="A274" s="489" t="s">
        <v>854</v>
      </c>
      <c r="B274" s="489" t="s">
        <v>737</v>
      </c>
      <c r="C274" s="489"/>
      <c r="D274" s="489" t="s">
        <v>842</v>
      </c>
      <c r="E274" s="490">
        <f t="shared" ref="E274:P274" si="217">E275+E277</f>
        <v>146000</v>
      </c>
      <c r="F274" s="490">
        <f t="shared" si="217"/>
        <v>146000</v>
      </c>
      <c r="G274" s="490">
        <f t="shared" si="217"/>
        <v>0</v>
      </c>
      <c r="H274" s="490">
        <f t="shared" si="217"/>
        <v>0</v>
      </c>
      <c r="I274" s="490">
        <f t="shared" si="217"/>
        <v>0</v>
      </c>
      <c r="J274" s="490">
        <f t="shared" si="217"/>
        <v>1300000</v>
      </c>
      <c r="K274" s="490">
        <f t="shared" si="217"/>
        <v>0</v>
      </c>
      <c r="L274" s="490">
        <f t="shared" si="217"/>
        <v>0</v>
      </c>
      <c r="M274" s="490">
        <f t="shared" si="217"/>
        <v>0</v>
      </c>
      <c r="N274" s="490">
        <f t="shared" si="217"/>
        <v>0</v>
      </c>
      <c r="O274" s="490">
        <f t="shared" si="217"/>
        <v>1300000</v>
      </c>
      <c r="P274" s="490">
        <f t="shared" si="217"/>
        <v>1446000</v>
      </c>
      <c r="R274" s="297"/>
    </row>
    <row r="275" spans="1:18" ht="409.6" thickTop="1" thickBot="1" x14ac:dyDescent="0.7">
      <c r="A275" s="920" t="s">
        <v>578</v>
      </c>
      <c r="B275" s="920" t="s">
        <v>352</v>
      </c>
      <c r="C275" s="920" t="s">
        <v>178</v>
      </c>
      <c r="D275" s="484" t="s">
        <v>457</v>
      </c>
      <c r="E275" s="927"/>
      <c r="F275" s="925"/>
      <c r="G275" s="925"/>
      <c r="H275" s="925"/>
      <c r="I275" s="925"/>
      <c r="J275" s="927">
        <f t="shared" si="204"/>
        <v>1300000</v>
      </c>
      <c r="K275" s="925"/>
      <c r="L275" s="925">
        <v>0</v>
      </c>
      <c r="M275" s="925"/>
      <c r="N275" s="925"/>
      <c r="O275" s="923">
        <v>1300000</v>
      </c>
      <c r="P275" s="924">
        <f>E275+J275</f>
        <v>1300000</v>
      </c>
      <c r="R275" s="297"/>
    </row>
    <row r="276" spans="1:18" ht="184.5" thickTop="1" thickBot="1" x14ac:dyDescent="0.25">
      <c r="A276" s="920"/>
      <c r="B276" s="920"/>
      <c r="C276" s="920"/>
      <c r="D276" s="488" t="s">
        <v>458</v>
      </c>
      <c r="E276" s="927"/>
      <c r="F276" s="925"/>
      <c r="G276" s="925"/>
      <c r="H276" s="925"/>
      <c r="I276" s="925"/>
      <c r="J276" s="927"/>
      <c r="K276" s="925"/>
      <c r="L276" s="925"/>
      <c r="M276" s="925"/>
      <c r="N276" s="925"/>
      <c r="O276" s="923"/>
      <c r="P276" s="924"/>
      <c r="R276" s="297"/>
    </row>
    <row r="277" spans="1:18" ht="93" thickTop="1" thickBot="1" x14ac:dyDescent="0.25">
      <c r="A277" s="864" t="s">
        <v>1338</v>
      </c>
      <c r="B277" s="864" t="s">
        <v>269</v>
      </c>
      <c r="C277" s="864" t="s">
        <v>178</v>
      </c>
      <c r="D277" s="488" t="s">
        <v>267</v>
      </c>
      <c r="E277" s="446">
        <f t="shared" ref="E277" si="218">F277</f>
        <v>146000</v>
      </c>
      <c r="F277" s="447">
        <v>146000</v>
      </c>
      <c r="G277" s="447"/>
      <c r="H277" s="447"/>
      <c r="I277" s="447"/>
      <c r="J277" s="860">
        <f t="shared" ref="J277" si="219">L277+O277</f>
        <v>0</v>
      </c>
      <c r="K277" s="444"/>
      <c r="L277" s="447"/>
      <c r="M277" s="447"/>
      <c r="N277" s="447"/>
      <c r="O277" s="869">
        <f t="shared" ref="O277" si="220">K277</f>
        <v>0</v>
      </c>
      <c r="P277" s="860">
        <f>E277+J277</f>
        <v>146000</v>
      </c>
      <c r="R277" s="297"/>
    </row>
    <row r="278" spans="1:18" ht="47.25" thickTop="1" thickBot="1" x14ac:dyDescent="0.25">
      <c r="A278" s="151" t="s">
        <v>855</v>
      </c>
      <c r="B278" s="151" t="s">
        <v>739</v>
      </c>
      <c r="C278" s="151"/>
      <c r="D278" s="569" t="s">
        <v>740</v>
      </c>
      <c r="E278" s="860">
        <f>E279</f>
        <v>2729070</v>
      </c>
      <c r="F278" s="860">
        <f t="shared" ref="F278:P278" si="221">F279</f>
        <v>2729070</v>
      </c>
      <c r="G278" s="860">
        <f t="shared" si="221"/>
        <v>1769990</v>
      </c>
      <c r="H278" s="860">
        <f t="shared" si="221"/>
        <v>54305</v>
      </c>
      <c r="I278" s="860">
        <f t="shared" si="221"/>
        <v>0</v>
      </c>
      <c r="J278" s="860">
        <f t="shared" si="221"/>
        <v>0</v>
      </c>
      <c r="K278" s="860">
        <f t="shared" si="221"/>
        <v>0</v>
      </c>
      <c r="L278" s="860">
        <f t="shared" si="221"/>
        <v>0</v>
      </c>
      <c r="M278" s="860">
        <f t="shared" si="221"/>
        <v>0</v>
      </c>
      <c r="N278" s="860">
        <f t="shared" si="221"/>
        <v>0</v>
      </c>
      <c r="O278" s="860">
        <f t="shared" si="221"/>
        <v>0</v>
      </c>
      <c r="P278" s="860">
        <f t="shared" si="221"/>
        <v>2729070</v>
      </c>
      <c r="R278" s="297"/>
    </row>
    <row r="279" spans="1:18" ht="181.5" thickTop="1" thickBot="1" x14ac:dyDescent="0.25">
      <c r="A279" s="467" t="s">
        <v>857</v>
      </c>
      <c r="B279" s="467" t="s">
        <v>858</v>
      </c>
      <c r="C279" s="467"/>
      <c r="D279" s="570" t="s">
        <v>856</v>
      </c>
      <c r="E279" s="468">
        <f>SUM(E280:E282)</f>
        <v>2729070</v>
      </c>
      <c r="F279" s="468">
        <f t="shared" ref="F279:P279" si="222">SUM(F280:F282)</f>
        <v>2729070</v>
      </c>
      <c r="G279" s="468">
        <f t="shared" si="222"/>
        <v>1769990</v>
      </c>
      <c r="H279" s="468">
        <f t="shared" si="222"/>
        <v>54305</v>
      </c>
      <c r="I279" s="468">
        <f t="shared" si="222"/>
        <v>0</v>
      </c>
      <c r="J279" s="468">
        <f t="shared" si="222"/>
        <v>0</v>
      </c>
      <c r="K279" s="468">
        <f t="shared" si="222"/>
        <v>0</v>
      </c>
      <c r="L279" s="468">
        <f t="shared" si="222"/>
        <v>0</v>
      </c>
      <c r="M279" s="468">
        <f t="shared" si="222"/>
        <v>0</v>
      </c>
      <c r="N279" s="468">
        <f t="shared" si="222"/>
        <v>0</v>
      </c>
      <c r="O279" s="468">
        <f t="shared" si="222"/>
        <v>0</v>
      </c>
      <c r="P279" s="468">
        <f t="shared" si="222"/>
        <v>2729070</v>
      </c>
      <c r="R279" s="297"/>
    </row>
    <row r="280" spans="1:18" ht="184.5" thickTop="1" thickBot="1" x14ac:dyDescent="0.25">
      <c r="A280" s="864" t="s">
        <v>579</v>
      </c>
      <c r="B280" s="864" t="s">
        <v>536</v>
      </c>
      <c r="C280" s="864" t="s">
        <v>263</v>
      </c>
      <c r="D280" s="864" t="s">
        <v>537</v>
      </c>
      <c r="E280" s="446">
        <f>F280</f>
        <v>200000</v>
      </c>
      <c r="F280" s="447">
        <f>(63040)+136960</f>
        <v>200000</v>
      </c>
      <c r="G280" s="447"/>
      <c r="H280" s="447"/>
      <c r="I280" s="447"/>
      <c r="J280" s="860">
        <f>L280+O280</f>
        <v>0</v>
      </c>
      <c r="K280" s="444"/>
      <c r="L280" s="447"/>
      <c r="M280" s="447"/>
      <c r="N280" s="447"/>
      <c r="O280" s="869">
        <f>K280</f>
        <v>0</v>
      </c>
      <c r="P280" s="860">
        <f>E280+J280</f>
        <v>200000</v>
      </c>
      <c r="R280" s="297"/>
    </row>
    <row r="281" spans="1:18" ht="93" thickTop="1" thickBot="1" x14ac:dyDescent="0.25">
      <c r="A281" s="864" t="s">
        <v>580</v>
      </c>
      <c r="B281" s="864" t="s">
        <v>262</v>
      </c>
      <c r="C281" s="864" t="s">
        <v>263</v>
      </c>
      <c r="D281" s="864" t="s">
        <v>261</v>
      </c>
      <c r="E281" s="446">
        <f t="shared" ref="E281:E282" si="223">F281</f>
        <v>2529070</v>
      </c>
      <c r="F281" s="447">
        <v>2529070</v>
      </c>
      <c r="G281" s="447">
        <v>1769990</v>
      </c>
      <c r="H281" s="447">
        <f>(2060+40860+11385)</f>
        <v>54305</v>
      </c>
      <c r="I281" s="447"/>
      <c r="J281" s="860">
        <f>L281+O281</f>
        <v>0</v>
      </c>
      <c r="K281" s="444"/>
      <c r="L281" s="447"/>
      <c r="M281" s="447"/>
      <c r="N281" s="447"/>
      <c r="O281" s="869">
        <f>K281</f>
        <v>0</v>
      </c>
      <c r="P281" s="860">
        <f>E281+J281</f>
        <v>2529070</v>
      </c>
      <c r="R281" s="875"/>
    </row>
    <row r="282" spans="1:18" ht="93" hidden="1" thickTop="1" thickBot="1" x14ac:dyDescent="0.25">
      <c r="A282" s="873" t="s">
        <v>581</v>
      </c>
      <c r="B282" s="873" t="s">
        <v>582</v>
      </c>
      <c r="C282" s="873" t="s">
        <v>263</v>
      </c>
      <c r="D282" s="873" t="s">
        <v>583</v>
      </c>
      <c r="E282" s="305">
        <f t="shared" si="223"/>
        <v>0</v>
      </c>
      <c r="F282" s="260">
        <f>(1219000)-1219000</f>
        <v>0</v>
      </c>
      <c r="G282" s="260">
        <f>(354000+540000)-894000</f>
        <v>0</v>
      </c>
      <c r="H282" s="260">
        <f>(6000+3000)-9000</f>
        <v>0</v>
      </c>
      <c r="I282" s="260"/>
      <c r="J282" s="874">
        <f>L282+O282</f>
        <v>0</v>
      </c>
      <c r="K282" s="278"/>
      <c r="L282" s="260"/>
      <c r="M282" s="260"/>
      <c r="N282" s="260"/>
      <c r="O282" s="871">
        <f>K282</f>
        <v>0</v>
      </c>
      <c r="P282" s="874">
        <f>E282+J282</f>
        <v>0</v>
      </c>
      <c r="R282" s="297"/>
    </row>
    <row r="283" spans="1:18" ht="316.5" thickTop="1" thickBot="1" x14ac:dyDescent="0.25">
      <c r="A283" s="828" t="s">
        <v>25</v>
      </c>
      <c r="B283" s="828"/>
      <c r="C283" s="828"/>
      <c r="D283" s="829" t="s">
        <v>388</v>
      </c>
      <c r="E283" s="830">
        <f>E284</f>
        <v>3985330</v>
      </c>
      <c r="F283" s="831">
        <f t="shared" ref="F283:G283" si="224">F284</f>
        <v>3985330</v>
      </c>
      <c r="G283" s="831">
        <f t="shared" si="224"/>
        <v>2707790</v>
      </c>
      <c r="H283" s="831">
        <f>H284</f>
        <v>117376</v>
      </c>
      <c r="I283" s="831">
        <f t="shared" ref="I283" si="225">I284</f>
        <v>0</v>
      </c>
      <c r="J283" s="830">
        <f>J284</f>
        <v>32971688</v>
      </c>
      <c r="K283" s="831">
        <f>K284</f>
        <v>32971688</v>
      </c>
      <c r="L283" s="831">
        <f>L284</f>
        <v>0</v>
      </c>
      <c r="M283" s="831">
        <f t="shared" ref="M283" si="226">M284</f>
        <v>0</v>
      </c>
      <c r="N283" s="831">
        <f>N284</f>
        <v>0</v>
      </c>
      <c r="O283" s="830">
        <f>O284</f>
        <v>32971688</v>
      </c>
      <c r="P283" s="831">
        <f t="shared" ref="P283" si="227">P284</f>
        <v>36957018</v>
      </c>
    </row>
    <row r="284" spans="1:18" ht="181.5" thickTop="1" thickBot="1" x14ac:dyDescent="0.25">
      <c r="A284" s="832" t="s">
        <v>26</v>
      </c>
      <c r="B284" s="832"/>
      <c r="C284" s="832"/>
      <c r="D284" s="833" t="s">
        <v>945</v>
      </c>
      <c r="E284" s="834">
        <f>E285+E289+E292</f>
        <v>3985330</v>
      </c>
      <c r="F284" s="834">
        <f t="shared" ref="F284:I284" si="228">F285+F289+F292</f>
        <v>3985330</v>
      </c>
      <c r="G284" s="834">
        <f t="shared" si="228"/>
        <v>2707790</v>
      </c>
      <c r="H284" s="834">
        <f t="shared" si="228"/>
        <v>117376</v>
      </c>
      <c r="I284" s="834">
        <f t="shared" si="228"/>
        <v>0</v>
      </c>
      <c r="J284" s="834">
        <f>L284+O284</f>
        <v>32971688</v>
      </c>
      <c r="K284" s="834">
        <f t="shared" ref="K284:O284" si="229">K285+K289+K292</f>
        <v>32971688</v>
      </c>
      <c r="L284" s="834">
        <f t="shared" si="229"/>
        <v>0</v>
      </c>
      <c r="M284" s="834">
        <f t="shared" si="229"/>
        <v>0</v>
      </c>
      <c r="N284" s="834">
        <f t="shared" si="229"/>
        <v>0</v>
      </c>
      <c r="O284" s="834">
        <f t="shared" si="229"/>
        <v>32971688</v>
      </c>
      <c r="P284" s="834">
        <f t="shared" ref="P284:P300" si="230">E284+J284</f>
        <v>36957018</v>
      </c>
      <c r="Q284" s="628" t="b">
        <f>P284=P296+P298+P299+P286+P300+P291+P297+P287+P294+P288+P303+P305</f>
        <v>1</v>
      </c>
      <c r="R284" s="875"/>
    </row>
    <row r="285" spans="1:18" ht="47.25" thickTop="1" thickBot="1" x14ac:dyDescent="0.25">
      <c r="A285" s="151" t="s">
        <v>859</v>
      </c>
      <c r="B285" s="151" t="s">
        <v>727</v>
      </c>
      <c r="C285" s="151"/>
      <c r="D285" s="151" t="s">
        <v>728</v>
      </c>
      <c r="E285" s="860">
        <f t="shared" ref="E285:P285" si="231">SUM(E286:E288)</f>
        <v>3685330</v>
      </c>
      <c r="F285" s="860">
        <f t="shared" si="231"/>
        <v>3685330</v>
      </c>
      <c r="G285" s="860">
        <f t="shared" si="231"/>
        <v>2707790</v>
      </c>
      <c r="H285" s="860">
        <f t="shared" si="231"/>
        <v>117376</v>
      </c>
      <c r="I285" s="860">
        <f t="shared" si="231"/>
        <v>0</v>
      </c>
      <c r="J285" s="860">
        <f t="shared" si="231"/>
        <v>0</v>
      </c>
      <c r="K285" s="860">
        <f t="shared" si="231"/>
        <v>0</v>
      </c>
      <c r="L285" s="860">
        <f t="shared" si="231"/>
        <v>0</v>
      </c>
      <c r="M285" s="860">
        <f t="shared" si="231"/>
        <v>0</v>
      </c>
      <c r="N285" s="860">
        <f t="shared" si="231"/>
        <v>0</v>
      </c>
      <c r="O285" s="860">
        <f t="shared" si="231"/>
        <v>0</v>
      </c>
      <c r="P285" s="860">
        <f t="shared" si="231"/>
        <v>3685330</v>
      </c>
      <c r="Q285" s="628"/>
      <c r="R285" s="875"/>
    </row>
    <row r="286" spans="1:18" ht="230.25" thickTop="1" thickBot="1" x14ac:dyDescent="0.25">
      <c r="A286" s="864" t="s">
        <v>433</v>
      </c>
      <c r="B286" s="864" t="s">
        <v>248</v>
      </c>
      <c r="C286" s="864" t="s">
        <v>246</v>
      </c>
      <c r="D286" s="864" t="s">
        <v>247</v>
      </c>
      <c r="E286" s="860">
        <f>F286</f>
        <v>3675330</v>
      </c>
      <c r="F286" s="444">
        <v>3675330</v>
      </c>
      <c r="G286" s="444">
        <v>2707790</v>
      </c>
      <c r="H286" s="444">
        <f>1845+45196+70335</f>
        <v>117376</v>
      </c>
      <c r="I286" s="444"/>
      <c r="J286" s="860">
        <f t="shared" ref="J286:J300" si="232">L286+O286</f>
        <v>0</v>
      </c>
      <c r="K286" s="444"/>
      <c r="L286" s="444"/>
      <c r="M286" s="444"/>
      <c r="N286" s="444"/>
      <c r="O286" s="869">
        <f>K286</f>
        <v>0</v>
      </c>
      <c r="P286" s="860">
        <f t="shared" si="230"/>
        <v>3675330</v>
      </c>
      <c r="Q286" s="628"/>
      <c r="R286" s="297"/>
    </row>
    <row r="287" spans="1:18" ht="184.5" thickTop="1" thickBot="1" x14ac:dyDescent="0.25">
      <c r="A287" s="862" t="s">
        <v>672</v>
      </c>
      <c r="B287" s="862" t="s">
        <v>376</v>
      </c>
      <c r="C287" s="862" t="s">
        <v>662</v>
      </c>
      <c r="D287" s="862" t="s">
        <v>663</v>
      </c>
      <c r="E287" s="446">
        <f>F287</f>
        <v>10000</v>
      </c>
      <c r="F287" s="447">
        <v>10000</v>
      </c>
      <c r="G287" s="447"/>
      <c r="H287" s="447"/>
      <c r="I287" s="447"/>
      <c r="J287" s="860">
        <f t="shared" si="232"/>
        <v>0</v>
      </c>
      <c r="K287" s="447"/>
      <c r="L287" s="459"/>
      <c r="M287" s="459"/>
      <c r="N287" s="459"/>
      <c r="O287" s="869">
        <f t="shared" ref="O287:O288" si="233">K287</f>
        <v>0</v>
      </c>
      <c r="P287" s="860">
        <f t="shared" ref="P287:P288" si="234">+J287+E287</f>
        <v>10000</v>
      </c>
      <c r="Q287" s="628"/>
      <c r="R287" s="297"/>
    </row>
    <row r="288" spans="1:18" ht="93" hidden="1" thickTop="1" thickBot="1" x14ac:dyDescent="0.25">
      <c r="A288" s="864" t="s">
        <v>988</v>
      </c>
      <c r="B288" s="864" t="s">
        <v>45</v>
      </c>
      <c r="C288" s="864" t="s">
        <v>44</v>
      </c>
      <c r="D288" s="864" t="s">
        <v>260</v>
      </c>
      <c r="E288" s="860">
        <f>F288</f>
        <v>0</v>
      </c>
      <c r="F288" s="444">
        <v>0</v>
      </c>
      <c r="G288" s="444"/>
      <c r="H288" s="444"/>
      <c r="I288" s="444"/>
      <c r="J288" s="860">
        <f t="shared" si="232"/>
        <v>0</v>
      </c>
      <c r="K288" s="447"/>
      <c r="L288" s="459"/>
      <c r="M288" s="459"/>
      <c r="N288" s="459"/>
      <c r="O288" s="869">
        <f t="shared" si="233"/>
        <v>0</v>
      </c>
      <c r="P288" s="860">
        <f t="shared" si="234"/>
        <v>0</v>
      </c>
      <c r="Q288" s="628"/>
      <c r="R288" s="297"/>
    </row>
    <row r="289" spans="1:18" ht="47.25" thickTop="1" thickBot="1" x14ac:dyDescent="0.25">
      <c r="A289" s="151" t="s">
        <v>860</v>
      </c>
      <c r="B289" s="151" t="s">
        <v>815</v>
      </c>
      <c r="C289" s="864"/>
      <c r="D289" s="151" t="s">
        <v>816</v>
      </c>
      <c r="E289" s="446">
        <f>E290</f>
        <v>0</v>
      </c>
      <c r="F289" s="446">
        <f t="shared" ref="F289:P290" si="235">F290</f>
        <v>0</v>
      </c>
      <c r="G289" s="446">
        <f t="shared" si="235"/>
        <v>0</v>
      </c>
      <c r="H289" s="446">
        <f t="shared" si="235"/>
        <v>0</v>
      </c>
      <c r="I289" s="446">
        <f t="shared" si="235"/>
        <v>0</v>
      </c>
      <c r="J289" s="446">
        <f t="shared" si="235"/>
        <v>20000000</v>
      </c>
      <c r="K289" s="446">
        <f t="shared" si="235"/>
        <v>20000000</v>
      </c>
      <c r="L289" s="446">
        <f t="shared" si="235"/>
        <v>0</v>
      </c>
      <c r="M289" s="446">
        <f t="shared" si="235"/>
        <v>0</v>
      </c>
      <c r="N289" s="446">
        <f t="shared" si="235"/>
        <v>0</v>
      </c>
      <c r="O289" s="446">
        <f t="shared" si="235"/>
        <v>20000000</v>
      </c>
      <c r="P289" s="446">
        <f t="shared" si="235"/>
        <v>20000000</v>
      </c>
      <c r="Q289" s="628"/>
      <c r="R289" s="297"/>
    </row>
    <row r="290" spans="1:18" ht="93" thickTop="1" thickBot="1" x14ac:dyDescent="0.25">
      <c r="A290" s="489" t="s">
        <v>861</v>
      </c>
      <c r="B290" s="489" t="s">
        <v>862</v>
      </c>
      <c r="C290" s="489"/>
      <c r="D290" s="489" t="s">
        <v>863</v>
      </c>
      <c r="E290" s="490">
        <f>E291</f>
        <v>0</v>
      </c>
      <c r="F290" s="490">
        <f t="shared" si="235"/>
        <v>0</v>
      </c>
      <c r="G290" s="490">
        <f t="shared" si="235"/>
        <v>0</v>
      </c>
      <c r="H290" s="490">
        <f t="shared" si="235"/>
        <v>0</v>
      </c>
      <c r="I290" s="490">
        <f t="shared" si="235"/>
        <v>0</v>
      </c>
      <c r="J290" s="490">
        <f t="shared" si="235"/>
        <v>20000000</v>
      </c>
      <c r="K290" s="490">
        <f t="shared" si="235"/>
        <v>20000000</v>
      </c>
      <c r="L290" s="490">
        <f t="shared" si="235"/>
        <v>0</v>
      </c>
      <c r="M290" s="490">
        <f t="shared" si="235"/>
        <v>0</v>
      </c>
      <c r="N290" s="490">
        <f t="shared" si="235"/>
        <v>0</v>
      </c>
      <c r="O290" s="490">
        <f t="shared" si="235"/>
        <v>20000000</v>
      </c>
      <c r="P290" s="490">
        <f t="shared" si="235"/>
        <v>20000000</v>
      </c>
      <c r="Q290" s="628"/>
      <c r="R290" s="297"/>
    </row>
    <row r="291" spans="1:18" ht="409.6" thickTop="1" thickBot="1" x14ac:dyDescent="0.25">
      <c r="A291" s="864" t="s">
        <v>449</v>
      </c>
      <c r="B291" s="864" t="s">
        <v>450</v>
      </c>
      <c r="C291" s="864" t="s">
        <v>207</v>
      </c>
      <c r="D291" s="864" t="s">
        <v>1331</v>
      </c>
      <c r="E291" s="860">
        <f t="shared" ref="E291:E298" si="236">F291</f>
        <v>0</v>
      </c>
      <c r="F291" s="444"/>
      <c r="G291" s="444"/>
      <c r="H291" s="444"/>
      <c r="I291" s="444"/>
      <c r="J291" s="860">
        <f t="shared" si="232"/>
        <v>20000000</v>
      </c>
      <c r="K291" s="444">
        <v>20000000</v>
      </c>
      <c r="L291" s="444"/>
      <c r="M291" s="444"/>
      <c r="N291" s="444"/>
      <c r="O291" s="869">
        <f t="shared" ref="O291" si="237">K291</f>
        <v>20000000</v>
      </c>
      <c r="P291" s="860">
        <f t="shared" si="230"/>
        <v>20000000</v>
      </c>
      <c r="Q291" s="628"/>
      <c r="R291" s="875"/>
    </row>
    <row r="292" spans="1:18" ht="47.25" thickTop="1" thickBot="1" x14ac:dyDescent="0.25">
      <c r="A292" s="151" t="s">
        <v>864</v>
      </c>
      <c r="B292" s="151" t="s">
        <v>792</v>
      </c>
      <c r="C292" s="864"/>
      <c r="D292" s="151" t="s">
        <v>839</v>
      </c>
      <c r="E292" s="860">
        <f>E293+E301</f>
        <v>300000</v>
      </c>
      <c r="F292" s="860">
        <f t="shared" ref="F292:P292" si="238">F293+F301</f>
        <v>300000</v>
      </c>
      <c r="G292" s="860">
        <f t="shared" si="238"/>
        <v>0</v>
      </c>
      <c r="H292" s="860">
        <f t="shared" si="238"/>
        <v>0</v>
      </c>
      <c r="I292" s="860">
        <f t="shared" si="238"/>
        <v>0</v>
      </c>
      <c r="J292" s="860">
        <f t="shared" si="238"/>
        <v>12971688</v>
      </c>
      <c r="K292" s="860">
        <f t="shared" si="238"/>
        <v>12971688</v>
      </c>
      <c r="L292" s="860">
        <f t="shared" si="238"/>
        <v>0</v>
      </c>
      <c r="M292" s="860">
        <f t="shared" si="238"/>
        <v>0</v>
      </c>
      <c r="N292" s="860">
        <f t="shared" si="238"/>
        <v>0</v>
      </c>
      <c r="O292" s="860">
        <f t="shared" si="238"/>
        <v>12971688</v>
      </c>
      <c r="P292" s="860">
        <f t="shared" si="238"/>
        <v>13271688</v>
      </c>
      <c r="Q292" s="628"/>
      <c r="R292" s="297"/>
    </row>
    <row r="293" spans="1:18" ht="91.5" thickTop="1" thickBot="1" x14ac:dyDescent="0.25">
      <c r="A293" s="467" t="s">
        <v>865</v>
      </c>
      <c r="B293" s="467" t="s">
        <v>848</v>
      </c>
      <c r="C293" s="467"/>
      <c r="D293" s="467" t="s">
        <v>849</v>
      </c>
      <c r="E293" s="468">
        <f t="shared" ref="E293:P293" si="239">SUM(E294:E300)-E295</f>
        <v>0</v>
      </c>
      <c r="F293" s="468">
        <f t="shared" si="239"/>
        <v>0</v>
      </c>
      <c r="G293" s="468">
        <f t="shared" si="239"/>
        <v>0</v>
      </c>
      <c r="H293" s="468">
        <f t="shared" si="239"/>
        <v>0</v>
      </c>
      <c r="I293" s="468">
        <f t="shared" si="239"/>
        <v>0</v>
      </c>
      <c r="J293" s="468">
        <f t="shared" si="239"/>
        <v>12971688</v>
      </c>
      <c r="K293" s="468">
        <f t="shared" si="239"/>
        <v>12971688</v>
      </c>
      <c r="L293" s="468">
        <f t="shared" si="239"/>
        <v>0</v>
      </c>
      <c r="M293" s="468">
        <f t="shared" si="239"/>
        <v>0</v>
      </c>
      <c r="N293" s="468">
        <f t="shared" si="239"/>
        <v>0</v>
      </c>
      <c r="O293" s="468">
        <f t="shared" si="239"/>
        <v>12971688</v>
      </c>
      <c r="P293" s="468">
        <f t="shared" si="239"/>
        <v>12971688</v>
      </c>
      <c r="Q293" s="628"/>
      <c r="R293" s="297"/>
    </row>
    <row r="294" spans="1:18" ht="99.75" thickTop="1" thickBot="1" x14ac:dyDescent="0.25">
      <c r="A294" s="864" t="s">
        <v>987</v>
      </c>
      <c r="B294" s="864" t="s">
        <v>318</v>
      </c>
      <c r="C294" s="864" t="s">
        <v>317</v>
      </c>
      <c r="D294" s="864" t="s">
        <v>664</v>
      </c>
      <c r="E294" s="860">
        <f t="shared" ref="E294" si="240">F294</f>
        <v>0</v>
      </c>
      <c r="F294" s="444"/>
      <c r="G294" s="444"/>
      <c r="H294" s="444"/>
      <c r="I294" s="444"/>
      <c r="J294" s="860">
        <f t="shared" ref="J294" si="241">L294+O294</f>
        <v>706113</v>
      </c>
      <c r="K294" s="444">
        <v>706113</v>
      </c>
      <c r="L294" s="444"/>
      <c r="M294" s="444"/>
      <c r="N294" s="444"/>
      <c r="O294" s="869">
        <f>K294</f>
        <v>706113</v>
      </c>
      <c r="P294" s="860">
        <f t="shared" ref="P294" si="242">E294+J294</f>
        <v>706113</v>
      </c>
      <c r="Q294" s="628"/>
      <c r="R294" s="875"/>
    </row>
    <row r="295" spans="1:18" ht="146.25" thickTop="1" thickBot="1" x14ac:dyDescent="0.25">
      <c r="A295" s="489" t="s">
        <v>866</v>
      </c>
      <c r="B295" s="489" t="s">
        <v>867</v>
      </c>
      <c r="C295" s="489"/>
      <c r="D295" s="489" t="s">
        <v>868</v>
      </c>
      <c r="E295" s="472">
        <f>SUM(E296:E297)</f>
        <v>0</v>
      </c>
      <c r="F295" s="472">
        <f t="shared" ref="F295:P295" si="243">SUM(F296:F297)</f>
        <v>0</v>
      </c>
      <c r="G295" s="472">
        <f t="shared" si="243"/>
        <v>0</v>
      </c>
      <c r="H295" s="472">
        <f t="shared" si="243"/>
        <v>0</v>
      </c>
      <c r="I295" s="472">
        <f t="shared" si="243"/>
        <v>0</v>
      </c>
      <c r="J295" s="472">
        <f t="shared" si="243"/>
        <v>3192710</v>
      </c>
      <c r="K295" s="472">
        <f t="shared" si="243"/>
        <v>3192710</v>
      </c>
      <c r="L295" s="472">
        <f t="shared" si="243"/>
        <v>0</v>
      </c>
      <c r="M295" s="472">
        <f t="shared" si="243"/>
        <v>0</v>
      </c>
      <c r="N295" s="472">
        <f t="shared" si="243"/>
        <v>0</v>
      </c>
      <c r="O295" s="472">
        <f t="shared" si="243"/>
        <v>3192710</v>
      </c>
      <c r="P295" s="472">
        <f t="shared" si="243"/>
        <v>3192710</v>
      </c>
      <c r="Q295" s="628"/>
      <c r="R295" s="297"/>
    </row>
    <row r="296" spans="1:18" ht="99.75" thickTop="1" thickBot="1" x14ac:dyDescent="0.25">
      <c r="A296" s="864" t="s">
        <v>323</v>
      </c>
      <c r="B296" s="864" t="s">
        <v>324</v>
      </c>
      <c r="C296" s="864" t="s">
        <v>317</v>
      </c>
      <c r="D296" s="864" t="s">
        <v>665</v>
      </c>
      <c r="E296" s="860">
        <f t="shared" si="236"/>
        <v>0</v>
      </c>
      <c r="F296" s="444"/>
      <c r="G296" s="444"/>
      <c r="H296" s="444"/>
      <c r="I296" s="444"/>
      <c r="J296" s="860">
        <f t="shared" si="232"/>
        <v>1944219</v>
      </c>
      <c r="K296" s="444">
        <v>1944219</v>
      </c>
      <c r="L296" s="444"/>
      <c r="M296" s="444"/>
      <c r="N296" s="444"/>
      <c r="O296" s="869">
        <f>K296</f>
        <v>1944219</v>
      </c>
      <c r="P296" s="860">
        <f t="shared" si="230"/>
        <v>1944219</v>
      </c>
      <c r="Q296" s="615"/>
      <c r="R296" s="875"/>
    </row>
    <row r="297" spans="1:18" ht="99.75" thickTop="1" thickBot="1" x14ac:dyDescent="0.25">
      <c r="A297" s="864" t="s">
        <v>534</v>
      </c>
      <c r="B297" s="864" t="s">
        <v>535</v>
      </c>
      <c r="C297" s="864" t="s">
        <v>317</v>
      </c>
      <c r="D297" s="864" t="s">
        <v>666</v>
      </c>
      <c r="E297" s="860">
        <f t="shared" si="236"/>
        <v>0</v>
      </c>
      <c r="F297" s="444"/>
      <c r="G297" s="444"/>
      <c r="H297" s="444"/>
      <c r="I297" s="444"/>
      <c r="J297" s="860">
        <f t="shared" si="232"/>
        <v>1248491</v>
      </c>
      <c r="K297" s="444">
        <v>1248491</v>
      </c>
      <c r="L297" s="444"/>
      <c r="M297" s="444"/>
      <c r="N297" s="444"/>
      <c r="O297" s="869">
        <f>K297</f>
        <v>1248491</v>
      </c>
      <c r="P297" s="860">
        <f t="shared" si="230"/>
        <v>1248491</v>
      </c>
      <c r="Q297" s="615"/>
      <c r="R297" s="875"/>
    </row>
    <row r="298" spans="1:18" ht="145.5" thickTop="1" thickBot="1" x14ac:dyDescent="0.25">
      <c r="A298" s="864" t="s">
        <v>325</v>
      </c>
      <c r="B298" s="864" t="s">
        <v>326</v>
      </c>
      <c r="C298" s="864" t="s">
        <v>317</v>
      </c>
      <c r="D298" s="864" t="s">
        <v>667</v>
      </c>
      <c r="E298" s="860">
        <f t="shared" si="236"/>
        <v>0</v>
      </c>
      <c r="F298" s="444"/>
      <c r="G298" s="444"/>
      <c r="H298" s="444"/>
      <c r="I298" s="444"/>
      <c r="J298" s="860">
        <f t="shared" si="232"/>
        <v>1300000</v>
      </c>
      <c r="K298" s="444">
        <v>1300000</v>
      </c>
      <c r="L298" s="444"/>
      <c r="M298" s="444"/>
      <c r="N298" s="444"/>
      <c r="O298" s="869">
        <f>K298</f>
        <v>1300000</v>
      </c>
      <c r="P298" s="860">
        <f t="shared" si="230"/>
        <v>1300000</v>
      </c>
      <c r="Q298" s="615"/>
    </row>
    <row r="299" spans="1:18" ht="99.75" thickTop="1" thickBot="1" x14ac:dyDescent="0.3">
      <c r="A299" s="864" t="s">
        <v>327</v>
      </c>
      <c r="B299" s="864" t="s">
        <v>328</v>
      </c>
      <c r="C299" s="864" t="s">
        <v>317</v>
      </c>
      <c r="D299" s="864" t="s">
        <v>668</v>
      </c>
      <c r="E299" s="860">
        <f>F299</f>
        <v>0</v>
      </c>
      <c r="F299" s="444"/>
      <c r="G299" s="444"/>
      <c r="H299" s="444"/>
      <c r="I299" s="444"/>
      <c r="J299" s="860">
        <f t="shared" si="232"/>
        <v>7772865</v>
      </c>
      <c r="K299" s="444">
        <f>7272865+500000</f>
        <v>7772865</v>
      </c>
      <c r="L299" s="444"/>
      <c r="M299" s="444"/>
      <c r="N299" s="444"/>
      <c r="O299" s="869">
        <f>K299</f>
        <v>7772865</v>
      </c>
      <c r="P299" s="860">
        <f t="shared" si="230"/>
        <v>7772865</v>
      </c>
      <c r="Q299" s="633"/>
      <c r="R299" s="875"/>
    </row>
    <row r="300" spans="1:18" ht="138.75" hidden="1" thickTop="1" thickBot="1" x14ac:dyDescent="0.25">
      <c r="A300" s="873" t="s">
        <v>454</v>
      </c>
      <c r="B300" s="873" t="s">
        <v>364</v>
      </c>
      <c r="C300" s="873" t="s">
        <v>178</v>
      </c>
      <c r="D300" s="873" t="s">
        <v>274</v>
      </c>
      <c r="E300" s="874">
        <f>F300</f>
        <v>0</v>
      </c>
      <c r="F300" s="278"/>
      <c r="G300" s="278"/>
      <c r="H300" s="278"/>
      <c r="I300" s="278"/>
      <c r="J300" s="874">
        <f t="shared" si="232"/>
        <v>0</v>
      </c>
      <c r="K300" s="278">
        <v>0</v>
      </c>
      <c r="L300" s="278"/>
      <c r="M300" s="278"/>
      <c r="N300" s="278"/>
      <c r="O300" s="871">
        <f>K300</f>
        <v>0</v>
      </c>
      <c r="P300" s="874">
        <f t="shared" si="230"/>
        <v>0</v>
      </c>
      <c r="R300" s="875"/>
    </row>
    <row r="301" spans="1:18" ht="136.5" thickTop="1" thickBot="1" x14ac:dyDescent="0.25">
      <c r="A301" s="467" t="s">
        <v>1064</v>
      </c>
      <c r="B301" s="467" t="s">
        <v>734</v>
      </c>
      <c r="C301" s="467"/>
      <c r="D301" s="467" t="s">
        <v>732</v>
      </c>
      <c r="E301" s="524">
        <f>E302</f>
        <v>300000</v>
      </c>
      <c r="F301" s="524">
        <f>F302</f>
        <v>300000</v>
      </c>
      <c r="G301" s="524">
        <f>G302</f>
        <v>0</v>
      </c>
      <c r="H301" s="524">
        <f>H302</f>
        <v>0</v>
      </c>
      <c r="I301" s="524">
        <f>I302</f>
        <v>0</v>
      </c>
      <c r="J301" s="524">
        <f t="shared" ref="J301:O301" si="244">J302</f>
        <v>0</v>
      </c>
      <c r="K301" s="524">
        <f t="shared" si="244"/>
        <v>0</v>
      </c>
      <c r="L301" s="524">
        <f t="shared" si="244"/>
        <v>0</v>
      </c>
      <c r="M301" s="524">
        <f t="shared" si="244"/>
        <v>0</v>
      </c>
      <c r="N301" s="524">
        <f t="shared" si="244"/>
        <v>0</v>
      </c>
      <c r="O301" s="524">
        <f t="shared" si="244"/>
        <v>0</v>
      </c>
      <c r="P301" s="524">
        <f>P302</f>
        <v>300000</v>
      </c>
      <c r="R301" s="875"/>
    </row>
    <row r="302" spans="1:18" ht="48" thickTop="1" thickBot="1" x14ac:dyDescent="0.25">
      <c r="A302" s="489" t="s">
        <v>1065</v>
      </c>
      <c r="B302" s="489" t="s">
        <v>737</v>
      </c>
      <c r="C302" s="489"/>
      <c r="D302" s="489" t="s">
        <v>842</v>
      </c>
      <c r="E302" s="490">
        <f>E303+E305</f>
        <v>300000</v>
      </c>
      <c r="F302" s="490">
        <f t="shared" ref="F302:P302" si="245">F303+F305</f>
        <v>300000</v>
      </c>
      <c r="G302" s="490">
        <f t="shared" si="245"/>
        <v>0</v>
      </c>
      <c r="H302" s="490">
        <f t="shared" si="245"/>
        <v>0</v>
      </c>
      <c r="I302" s="490">
        <f t="shared" si="245"/>
        <v>0</v>
      </c>
      <c r="J302" s="490">
        <f t="shared" si="245"/>
        <v>0</v>
      </c>
      <c r="K302" s="490">
        <f t="shared" si="245"/>
        <v>0</v>
      </c>
      <c r="L302" s="490">
        <f t="shared" si="245"/>
        <v>0</v>
      </c>
      <c r="M302" s="490">
        <f t="shared" si="245"/>
        <v>0</v>
      </c>
      <c r="N302" s="490">
        <f t="shared" si="245"/>
        <v>0</v>
      </c>
      <c r="O302" s="490">
        <f t="shared" si="245"/>
        <v>0</v>
      </c>
      <c r="P302" s="490">
        <f t="shared" si="245"/>
        <v>300000</v>
      </c>
      <c r="R302" s="875"/>
    </row>
    <row r="303" spans="1:18" ht="409.6" hidden="1" thickTop="1" thickBot="1" x14ac:dyDescent="0.7">
      <c r="A303" s="917" t="s">
        <v>1066</v>
      </c>
      <c r="B303" s="917" t="s">
        <v>352</v>
      </c>
      <c r="C303" s="917" t="s">
        <v>178</v>
      </c>
      <c r="D303" s="303" t="s">
        <v>457</v>
      </c>
      <c r="E303" s="918">
        <f t="shared" ref="E303" si="246">F303</f>
        <v>0</v>
      </c>
      <c r="F303" s="919"/>
      <c r="G303" s="919"/>
      <c r="H303" s="919"/>
      <c r="I303" s="919"/>
      <c r="J303" s="918">
        <f t="shared" ref="J303" si="247">L303+O303</f>
        <v>0</v>
      </c>
      <c r="K303" s="919"/>
      <c r="L303" s="919"/>
      <c r="M303" s="919"/>
      <c r="N303" s="919"/>
      <c r="O303" s="926">
        <f>K303</f>
        <v>0</v>
      </c>
      <c r="P303" s="914">
        <f>E303+J303</f>
        <v>0</v>
      </c>
      <c r="R303" s="875"/>
    </row>
    <row r="304" spans="1:18" ht="184.5" hidden="1" thickTop="1" thickBot="1" x14ac:dyDescent="0.25">
      <c r="A304" s="917"/>
      <c r="B304" s="917"/>
      <c r="C304" s="917"/>
      <c r="D304" s="304" t="s">
        <v>458</v>
      </c>
      <c r="E304" s="918"/>
      <c r="F304" s="919"/>
      <c r="G304" s="919"/>
      <c r="H304" s="919"/>
      <c r="I304" s="919"/>
      <c r="J304" s="918"/>
      <c r="K304" s="919"/>
      <c r="L304" s="919"/>
      <c r="M304" s="919"/>
      <c r="N304" s="919"/>
      <c r="O304" s="926"/>
      <c r="P304" s="914"/>
      <c r="R304" s="875"/>
    </row>
    <row r="305" spans="1:18" ht="93" thickTop="1" thickBot="1" x14ac:dyDescent="0.25">
      <c r="A305" s="864" t="s">
        <v>1362</v>
      </c>
      <c r="B305" s="864" t="s">
        <v>269</v>
      </c>
      <c r="C305" s="864" t="s">
        <v>178</v>
      </c>
      <c r="D305" s="488" t="s">
        <v>267</v>
      </c>
      <c r="E305" s="860">
        <f>F305</f>
        <v>300000</v>
      </c>
      <c r="F305" s="444">
        <v>300000</v>
      </c>
      <c r="G305" s="444"/>
      <c r="H305" s="444"/>
      <c r="I305" s="444"/>
      <c r="J305" s="860">
        <f t="shared" ref="J305" si="248">L305+O305</f>
        <v>0</v>
      </c>
      <c r="K305" s="444"/>
      <c r="L305" s="444"/>
      <c r="M305" s="444"/>
      <c r="N305" s="444"/>
      <c r="O305" s="869">
        <f>K305</f>
        <v>0</v>
      </c>
      <c r="P305" s="860">
        <f t="shared" ref="P305" si="249">E305+J305</f>
        <v>300000</v>
      </c>
      <c r="R305" s="875"/>
    </row>
    <row r="306" spans="1:18" ht="181.5" thickTop="1" thickBot="1" x14ac:dyDescent="0.25">
      <c r="A306" s="828" t="s">
        <v>168</v>
      </c>
      <c r="B306" s="828"/>
      <c r="C306" s="828"/>
      <c r="D306" s="829" t="s">
        <v>946</v>
      </c>
      <c r="E306" s="830">
        <f>E307</f>
        <v>8172083</v>
      </c>
      <c r="F306" s="831">
        <f t="shared" ref="F306:G306" si="250">F307</f>
        <v>8172083</v>
      </c>
      <c r="G306" s="831">
        <f t="shared" si="250"/>
        <v>6097950</v>
      </c>
      <c r="H306" s="831">
        <f>H307</f>
        <v>195000</v>
      </c>
      <c r="I306" s="831">
        <f t="shared" ref="I306" si="251">I307</f>
        <v>0</v>
      </c>
      <c r="J306" s="830">
        <f>J307</f>
        <v>1498100</v>
      </c>
      <c r="K306" s="831">
        <f>K307</f>
        <v>1498100</v>
      </c>
      <c r="L306" s="831">
        <f>L307</f>
        <v>0</v>
      </c>
      <c r="M306" s="831">
        <f t="shared" ref="M306" si="252">M307</f>
        <v>0</v>
      </c>
      <c r="N306" s="831">
        <f>N307</f>
        <v>0</v>
      </c>
      <c r="O306" s="830">
        <f>O307</f>
        <v>1498100</v>
      </c>
      <c r="P306" s="831">
        <f t="shared" ref="P306" si="253">P307</f>
        <v>9670183</v>
      </c>
    </row>
    <row r="307" spans="1:18" ht="181.5" thickTop="1" thickBot="1" x14ac:dyDescent="0.25">
      <c r="A307" s="832" t="s">
        <v>169</v>
      </c>
      <c r="B307" s="832"/>
      <c r="C307" s="832"/>
      <c r="D307" s="833" t="s">
        <v>947</v>
      </c>
      <c r="E307" s="834">
        <f>E308+E311</f>
        <v>8172083</v>
      </c>
      <c r="F307" s="834">
        <f>F308+F311</f>
        <v>8172083</v>
      </c>
      <c r="G307" s="834">
        <f>G308+G311</f>
        <v>6097950</v>
      </c>
      <c r="H307" s="834">
        <f>H308+H311</f>
        <v>195000</v>
      </c>
      <c r="I307" s="834">
        <f>I308+I311</f>
        <v>0</v>
      </c>
      <c r="J307" s="834">
        <f>L307+O307</f>
        <v>1498100</v>
      </c>
      <c r="K307" s="834">
        <f>K308+K311</f>
        <v>1498100</v>
      </c>
      <c r="L307" s="834">
        <f>L308+L311</f>
        <v>0</v>
      </c>
      <c r="M307" s="834">
        <f>M308+M311</f>
        <v>0</v>
      </c>
      <c r="N307" s="834">
        <f>N308+N311</f>
        <v>0</v>
      </c>
      <c r="O307" s="834">
        <f>O308+O311</f>
        <v>1498100</v>
      </c>
      <c r="P307" s="834">
        <f>E307+J307</f>
        <v>9670183</v>
      </c>
      <c r="Q307" s="628" t="b">
        <f>P307=P309+P310+P313</f>
        <v>1</v>
      </c>
      <c r="R307" s="875"/>
    </row>
    <row r="308" spans="1:18" ht="47.25" thickTop="1" thickBot="1" x14ac:dyDescent="0.25">
      <c r="A308" s="151" t="s">
        <v>869</v>
      </c>
      <c r="B308" s="151" t="s">
        <v>727</v>
      </c>
      <c r="C308" s="151"/>
      <c r="D308" s="151" t="s">
        <v>728</v>
      </c>
      <c r="E308" s="860">
        <f>SUM(E309:E310)</f>
        <v>8172083</v>
      </c>
      <c r="F308" s="860">
        <f t="shared" ref="F308:P308" si="254">SUM(F309:F310)</f>
        <v>8172083</v>
      </c>
      <c r="G308" s="860">
        <f t="shared" si="254"/>
        <v>6097950</v>
      </c>
      <c r="H308" s="860">
        <f t="shared" si="254"/>
        <v>195000</v>
      </c>
      <c r="I308" s="860">
        <f t="shared" si="254"/>
        <v>0</v>
      </c>
      <c r="J308" s="860">
        <f t="shared" si="254"/>
        <v>90000</v>
      </c>
      <c r="K308" s="860">
        <f t="shared" si="254"/>
        <v>90000</v>
      </c>
      <c r="L308" s="860">
        <f t="shared" si="254"/>
        <v>0</v>
      </c>
      <c r="M308" s="860">
        <f t="shared" si="254"/>
        <v>0</v>
      </c>
      <c r="N308" s="860">
        <f t="shared" si="254"/>
        <v>0</v>
      </c>
      <c r="O308" s="860">
        <f t="shared" si="254"/>
        <v>90000</v>
      </c>
      <c r="P308" s="860">
        <f t="shared" si="254"/>
        <v>8262083</v>
      </c>
      <c r="Q308" s="628"/>
      <c r="R308" s="875"/>
    </row>
    <row r="309" spans="1:18" ht="230.25" thickTop="1" thickBot="1" x14ac:dyDescent="0.25">
      <c r="A309" s="864" t="s">
        <v>435</v>
      </c>
      <c r="B309" s="864" t="s">
        <v>248</v>
      </c>
      <c r="C309" s="864" t="s">
        <v>246</v>
      </c>
      <c r="D309" s="864" t="s">
        <v>247</v>
      </c>
      <c r="E309" s="860">
        <f>F309</f>
        <v>8164495</v>
      </c>
      <c r="F309" s="444">
        <v>8164495</v>
      </c>
      <c r="G309" s="444">
        <v>6097950</v>
      </c>
      <c r="H309" s="444">
        <f>151000+3000+41000</f>
        <v>195000</v>
      </c>
      <c r="I309" s="444"/>
      <c r="J309" s="860">
        <f>L309+O309</f>
        <v>90000</v>
      </c>
      <c r="K309" s="444">
        <v>90000</v>
      </c>
      <c r="L309" s="444"/>
      <c r="M309" s="444"/>
      <c r="N309" s="444"/>
      <c r="O309" s="869">
        <f>K309</f>
        <v>90000</v>
      </c>
      <c r="P309" s="860">
        <f>E309+J309</f>
        <v>8254495</v>
      </c>
      <c r="Q309" s="628"/>
      <c r="R309" s="875"/>
    </row>
    <row r="310" spans="1:18" ht="184.5" thickTop="1" thickBot="1" x14ac:dyDescent="0.25">
      <c r="A310" s="864" t="s">
        <v>673</v>
      </c>
      <c r="B310" s="864" t="s">
        <v>376</v>
      </c>
      <c r="C310" s="864" t="s">
        <v>662</v>
      </c>
      <c r="D310" s="864" t="s">
        <v>663</v>
      </c>
      <c r="E310" s="446">
        <f>F310</f>
        <v>7588</v>
      </c>
      <c r="F310" s="447">
        <v>7588</v>
      </c>
      <c r="G310" s="447"/>
      <c r="H310" s="447"/>
      <c r="I310" s="447"/>
      <c r="J310" s="860">
        <f t="shared" ref="J310" si="255">L310+O310</f>
        <v>0</v>
      </c>
      <c r="K310" s="447"/>
      <c r="L310" s="459"/>
      <c r="M310" s="459"/>
      <c r="N310" s="459"/>
      <c r="O310" s="869">
        <f t="shared" ref="O310" si="256">K310</f>
        <v>0</v>
      </c>
      <c r="P310" s="860">
        <f t="shared" ref="P310" si="257">+J310+E310</f>
        <v>7588</v>
      </c>
      <c r="Q310" s="628"/>
      <c r="R310" s="875"/>
    </row>
    <row r="311" spans="1:18" ht="47.25" thickTop="1" thickBot="1" x14ac:dyDescent="0.25">
      <c r="A311" s="151" t="s">
        <v>965</v>
      </c>
      <c r="B311" s="151" t="s">
        <v>792</v>
      </c>
      <c r="C311" s="864"/>
      <c r="D311" s="151" t="s">
        <v>839</v>
      </c>
      <c r="E311" s="860">
        <f>E312</f>
        <v>0</v>
      </c>
      <c r="F311" s="860">
        <f t="shared" ref="F311:P312" si="258">F312</f>
        <v>0</v>
      </c>
      <c r="G311" s="860">
        <f t="shared" si="258"/>
        <v>0</v>
      </c>
      <c r="H311" s="860">
        <f t="shared" si="258"/>
        <v>0</v>
      </c>
      <c r="I311" s="860">
        <f t="shared" si="258"/>
        <v>0</v>
      </c>
      <c r="J311" s="860">
        <f t="shared" si="258"/>
        <v>1408100</v>
      </c>
      <c r="K311" s="860">
        <f t="shared" si="258"/>
        <v>1408100</v>
      </c>
      <c r="L311" s="860">
        <f t="shared" si="258"/>
        <v>0</v>
      </c>
      <c r="M311" s="860">
        <f t="shared" si="258"/>
        <v>0</v>
      </c>
      <c r="N311" s="860">
        <f t="shared" si="258"/>
        <v>0</v>
      </c>
      <c r="O311" s="860">
        <f t="shared" si="258"/>
        <v>1408100</v>
      </c>
      <c r="P311" s="860">
        <f t="shared" si="258"/>
        <v>1408100</v>
      </c>
      <c r="Q311" s="628"/>
      <c r="R311" s="875"/>
    </row>
    <row r="312" spans="1:18" ht="91.5" thickTop="1" thickBot="1" x14ac:dyDescent="0.25">
      <c r="A312" s="467" t="s">
        <v>966</v>
      </c>
      <c r="B312" s="467" t="s">
        <v>848</v>
      </c>
      <c r="C312" s="467"/>
      <c r="D312" s="467" t="s">
        <v>849</v>
      </c>
      <c r="E312" s="468">
        <f>E313</f>
        <v>0</v>
      </c>
      <c r="F312" s="468">
        <f t="shared" si="258"/>
        <v>0</v>
      </c>
      <c r="G312" s="468">
        <f t="shared" si="258"/>
        <v>0</v>
      </c>
      <c r="H312" s="468">
        <f t="shared" si="258"/>
        <v>0</v>
      </c>
      <c r="I312" s="468">
        <f t="shared" si="258"/>
        <v>0</v>
      </c>
      <c r="J312" s="468">
        <f t="shared" si="258"/>
        <v>1408100</v>
      </c>
      <c r="K312" s="468">
        <f t="shared" si="258"/>
        <v>1408100</v>
      </c>
      <c r="L312" s="468">
        <f t="shared" si="258"/>
        <v>0</v>
      </c>
      <c r="M312" s="468">
        <f t="shared" si="258"/>
        <v>0</v>
      </c>
      <c r="N312" s="468">
        <f t="shared" si="258"/>
        <v>0</v>
      </c>
      <c r="O312" s="468">
        <f t="shared" si="258"/>
        <v>1408100</v>
      </c>
      <c r="P312" s="468">
        <f t="shared" si="258"/>
        <v>1408100</v>
      </c>
      <c r="Q312" s="628"/>
      <c r="R312" s="875"/>
    </row>
    <row r="313" spans="1:18" ht="138.75" thickTop="1" thickBot="1" x14ac:dyDescent="0.25">
      <c r="A313" s="864" t="s">
        <v>967</v>
      </c>
      <c r="B313" s="864" t="s">
        <v>968</v>
      </c>
      <c r="C313" s="864" t="s">
        <v>317</v>
      </c>
      <c r="D313" s="864" t="s">
        <v>969</v>
      </c>
      <c r="E313" s="446">
        <f>F313</f>
        <v>0</v>
      </c>
      <c r="F313" s="447"/>
      <c r="G313" s="447"/>
      <c r="H313" s="447"/>
      <c r="I313" s="447"/>
      <c r="J313" s="860">
        <f t="shared" ref="J313" si="259">L313+O313</f>
        <v>1408100</v>
      </c>
      <c r="K313" s="447">
        <v>1408100</v>
      </c>
      <c r="L313" s="459"/>
      <c r="M313" s="459"/>
      <c r="N313" s="459"/>
      <c r="O313" s="869">
        <f t="shared" ref="O313" si="260">K313</f>
        <v>1408100</v>
      </c>
      <c r="P313" s="860">
        <f t="shared" ref="P313" si="261">+J313+E313</f>
        <v>1408100</v>
      </c>
      <c r="Q313" s="628"/>
      <c r="R313" s="875"/>
    </row>
    <row r="314" spans="1:18" ht="136.5" thickTop="1" thickBot="1" x14ac:dyDescent="0.25">
      <c r="A314" s="828" t="s">
        <v>461</v>
      </c>
      <c r="B314" s="828"/>
      <c r="C314" s="828"/>
      <c r="D314" s="829" t="s">
        <v>463</v>
      </c>
      <c r="E314" s="830">
        <f>E315</f>
        <v>116755191</v>
      </c>
      <c r="F314" s="831">
        <f t="shared" ref="F314:G314" si="262">F315</f>
        <v>116755191</v>
      </c>
      <c r="G314" s="831">
        <f t="shared" si="262"/>
        <v>3273700</v>
      </c>
      <c r="H314" s="831">
        <f>H315</f>
        <v>131446</v>
      </c>
      <c r="I314" s="831">
        <f t="shared" ref="I314" si="263">I315</f>
        <v>0</v>
      </c>
      <c r="J314" s="830">
        <f>J315</f>
        <v>23631150</v>
      </c>
      <c r="K314" s="831">
        <f>K315</f>
        <v>23631150</v>
      </c>
      <c r="L314" s="831">
        <f>L315</f>
        <v>0</v>
      </c>
      <c r="M314" s="831">
        <f t="shared" ref="M314" si="264">M315</f>
        <v>0</v>
      </c>
      <c r="N314" s="831">
        <f>N315</f>
        <v>0</v>
      </c>
      <c r="O314" s="830">
        <f>O315</f>
        <v>23631150</v>
      </c>
      <c r="P314" s="831">
        <f t="shared" ref="P314" si="265">P315</f>
        <v>140386341</v>
      </c>
    </row>
    <row r="315" spans="1:18" ht="181.5" thickTop="1" thickBot="1" x14ac:dyDescent="0.25">
      <c r="A315" s="832" t="s">
        <v>462</v>
      </c>
      <c r="B315" s="832"/>
      <c r="C315" s="832"/>
      <c r="D315" s="833" t="s">
        <v>464</v>
      </c>
      <c r="E315" s="834">
        <f>E316+E319</f>
        <v>116755191</v>
      </c>
      <c r="F315" s="834">
        <f>F316+F319</f>
        <v>116755191</v>
      </c>
      <c r="G315" s="834">
        <f>G316+G319</f>
        <v>3273700</v>
      </c>
      <c r="H315" s="834">
        <f>H316+H319</f>
        <v>131446</v>
      </c>
      <c r="I315" s="834">
        <f>I316+I319</f>
        <v>0</v>
      </c>
      <c r="J315" s="834">
        <f>L315+O315</f>
        <v>23631150</v>
      </c>
      <c r="K315" s="834">
        <f>K316+K319</f>
        <v>23631150</v>
      </c>
      <c r="L315" s="834">
        <f>L316+L319</f>
        <v>0</v>
      </c>
      <c r="M315" s="834">
        <f>M316+M319</f>
        <v>0</v>
      </c>
      <c r="N315" s="834">
        <f>N316+N319</f>
        <v>0</v>
      </c>
      <c r="O315" s="834">
        <f>O316+O319</f>
        <v>23631150</v>
      </c>
      <c r="P315" s="834">
        <f>E315+J315</f>
        <v>140386341</v>
      </c>
      <c r="Q315" s="628" t="b">
        <f>P315=P317+P324+P318+P322+P327+P325</f>
        <v>1</v>
      </c>
      <c r="R315" s="875"/>
    </row>
    <row r="316" spans="1:18" ht="47.25" thickTop="1" thickBot="1" x14ac:dyDescent="0.25">
      <c r="A316" s="151" t="s">
        <v>870</v>
      </c>
      <c r="B316" s="151" t="s">
        <v>727</v>
      </c>
      <c r="C316" s="151"/>
      <c r="D316" s="151" t="s">
        <v>728</v>
      </c>
      <c r="E316" s="860">
        <f>SUM(E317:E318)</f>
        <v>6963391</v>
      </c>
      <c r="F316" s="860">
        <f t="shared" ref="F316:P316" si="266">SUM(F317:F318)</f>
        <v>6963391</v>
      </c>
      <c r="G316" s="860">
        <f t="shared" si="266"/>
        <v>3273700</v>
      </c>
      <c r="H316" s="860">
        <f t="shared" si="266"/>
        <v>131446</v>
      </c>
      <c r="I316" s="860">
        <f t="shared" si="266"/>
        <v>0</v>
      </c>
      <c r="J316" s="860">
        <f t="shared" si="266"/>
        <v>0</v>
      </c>
      <c r="K316" s="860">
        <f t="shared" si="266"/>
        <v>0</v>
      </c>
      <c r="L316" s="860">
        <f t="shared" si="266"/>
        <v>0</v>
      </c>
      <c r="M316" s="860">
        <f t="shared" si="266"/>
        <v>0</v>
      </c>
      <c r="N316" s="860">
        <f t="shared" si="266"/>
        <v>0</v>
      </c>
      <c r="O316" s="860">
        <f t="shared" si="266"/>
        <v>0</v>
      </c>
      <c r="P316" s="860">
        <f t="shared" si="266"/>
        <v>6963391</v>
      </c>
      <c r="Q316" s="628"/>
      <c r="R316" s="875"/>
    </row>
    <row r="317" spans="1:18" ht="230.25" thickTop="1" thickBot="1" x14ac:dyDescent="0.25">
      <c r="A317" s="864" t="s">
        <v>465</v>
      </c>
      <c r="B317" s="864" t="s">
        <v>248</v>
      </c>
      <c r="C317" s="864" t="s">
        <v>246</v>
      </c>
      <c r="D317" s="864" t="s">
        <v>247</v>
      </c>
      <c r="E317" s="860">
        <f>F317</f>
        <v>6963391</v>
      </c>
      <c r="F317" s="444">
        <f>(6322671)+640720</f>
        <v>6963391</v>
      </c>
      <c r="G317" s="444">
        <f>(3273700)</f>
        <v>3273700</v>
      </c>
      <c r="H317" s="444">
        <f>86000+2822+39624+3000</f>
        <v>131446</v>
      </c>
      <c r="I317" s="444"/>
      <c r="J317" s="860">
        <f>L317+O317</f>
        <v>0</v>
      </c>
      <c r="K317" s="444"/>
      <c r="L317" s="444"/>
      <c r="M317" s="444"/>
      <c r="N317" s="444"/>
      <c r="O317" s="869">
        <f>K317</f>
        <v>0</v>
      </c>
      <c r="P317" s="860">
        <f>E317+J317</f>
        <v>6963391</v>
      </c>
      <c r="Q317" s="628"/>
      <c r="R317" s="875"/>
    </row>
    <row r="318" spans="1:18" ht="184.5" hidden="1" thickTop="1" thickBot="1" x14ac:dyDescent="0.25">
      <c r="A318" s="873" t="s">
        <v>674</v>
      </c>
      <c r="B318" s="873" t="s">
        <v>376</v>
      </c>
      <c r="C318" s="873" t="s">
        <v>662</v>
      </c>
      <c r="D318" s="873" t="s">
        <v>663</v>
      </c>
      <c r="E318" s="305">
        <f>F318</f>
        <v>0</v>
      </c>
      <c r="F318" s="260"/>
      <c r="G318" s="260"/>
      <c r="H318" s="260"/>
      <c r="I318" s="260"/>
      <c r="J318" s="874">
        <f t="shared" ref="J318" si="267">L318+O318</f>
        <v>0</v>
      </c>
      <c r="K318" s="260"/>
      <c r="L318" s="261"/>
      <c r="M318" s="261"/>
      <c r="N318" s="261"/>
      <c r="O318" s="871">
        <f t="shared" ref="O318" si="268">K318</f>
        <v>0</v>
      </c>
      <c r="P318" s="874">
        <f t="shared" ref="P318" si="269">+J318+E318</f>
        <v>0</v>
      </c>
      <c r="Q318" s="628"/>
      <c r="R318" s="875"/>
    </row>
    <row r="319" spans="1:18" ht="47.25" thickTop="1" thickBot="1" x14ac:dyDescent="0.25">
      <c r="A319" s="151" t="s">
        <v>871</v>
      </c>
      <c r="B319" s="151" t="s">
        <v>792</v>
      </c>
      <c r="C319" s="864"/>
      <c r="D319" s="151" t="s">
        <v>839</v>
      </c>
      <c r="E319" s="860">
        <f>E320+E326</f>
        <v>109791800</v>
      </c>
      <c r="F319" s="860">
        <f t="shared" ref="F319:P319" si="270">F320+F326</f>
        <v>109791800</v>
      </c>
      <c r="G319" s="860">
        <f t="shared" si="270"/>
        <v>0</v>
      </c>
      <c r="H319" s="860">
        <f t="shared" si="270"/>
        <v>0</v>
      </c>
      <c r="I319" s="860">
        <f t="shared" si="270"/>
        <v>0</v>
      </c>
      <c r="J319" s="860">
        <f t="shared" si="270"/>
        <v>23631150</v>
      </c>
      <c r="K319" s="860">
        <f t="shared" si="270"/>
        <v>23631150</v>
      </c>
      <c r="L319" s="860">
        <f t="shared" si="270"/>
        <v>0</v>
      </c>
      <c r="M319" s="860">
        <f t="shared" si="270"/>
        <v>0</v>
      </c>
      <c r="N319" s="860">
        <f t="shared" si="270"/>
        <v>0</v>
      </c>
      <c r="O319" s="860">
        <f t="shared" si="270"/>
        <v>23631150</v>
      </c>
      <c r="P319" s="860">
        <f t="shared" si="270"/>
        <v>133422950</v>
      </c>
      <c r="Q319" s="628"/>
      <c r="R319" s="297"/>
    </row>
    <row r="320" spans="1:18" ht="136.5" thickTop="1" thickBot="1" x14ac:dyDescent="0.25">
      <c r="A320" s="467" t="s">
        <v>872</v>
      </c>
      <c r="B320" s="467" t="s">
        <v>851</v>
      </c>
      <c r="C320" s="467"/>
      <c r="D320" s="467" t="s">
        <v>852</v>
      </c>
      <c r="E320" s="468">
        <f>E323+E325</f>
        <v>109791800</v>
      </c>
      <c r="F320" s="468">
        <f t="shared" ref="F320:P320" si="271">F323+F325</f>
        <v>109791800</v>
      </c>
      <c r="G320" s="468">
        <f t="shared" si="271"/>
        <v>0</v>
      </c>
      <c r="H320" s="468">
        <f t="shared" si="271"/>
        <v>0</v>
      </c>
      <c r="I320" s="468">
        <f t="shared" si="271"/>
        <v>0</v>
      </c>
      <c r="J320" s="468">
        <f t="shared" si="271"/>
        <v>0</v>
      </c>
      <c r="K320" s="468">
        <f t="shared" si="271"/>
        <v>0</v>
      </c>
      <c r="L320" s="468">
        <f t="shared" si="271"/>
        <v>0</v>
      </c>
      <c r="M320" s="468">
        <f t="shared" si="271"/>
        <v>0</v>
      </c>
      <c r="N320" s="468">
        <f t="shared" si="271"/>
        <v>0</v>
      </c>
      <c r="O320" s="468">
        <f t="shared" si="271"/>
        <v>0</v>
      </c>
      <c r="P320" s="468">
        <f t="shared" si="271"/>
        <v>109791800</v>
      </c>
      <c r="Q320" s="628"/>
      <c r="R320" s="297"/>
    </row>
    <row r="321" spans="1:18" ht="138.75" hidden="1" thickTop="1" thickBot="1" x14ac:dyDescent="0.25">
      <c r="A321" s="489" t="s">
        <v>1094</v>
      </c>
      <c r="B321" s="489" t="s">
        <v>1095</v>
      </c>
      <c r="C321" s="489"/>
      <c r="D321" s="489" t="s">
        <v>1093</v>
      </c>
      <c r="E321" s="472">
        <f>E322</f>
        <v>0</v>
      </c>
      <c r="F321" s="472">
        <f t="shared" ref="F321:P323" si="272">F322</f>
        <v>0</v>
      </c>
      <c r="G321" s="472">
        <f t="shared" si="272"/>
        <v>0</v>
      </c>
      <c r="H321" s="472">
        <f t="shared" si="272"/>
        <v>0</v>
      </c>
      <c r="I321" s="472">
        <f t="shared" si="272"/>
        <v>0</v>
      </c>
      <c r="J321" s="472">
        <f t="shared" si="272"/>
        <v>0</v>
      </c>
      <c r="K321" s="472">
        <f t="shared" si="272"/>
        <v>0</v>
      </c>
      <c r="L321" s="472">
        <f t="shared" si="272"/>
        <v>0</v>
      </c>
      <c r="M321" s="472">
        <f t="shared" si="272"/>
        <v>0</v>
      </c>
      <c r="N321" s="472">
        <f t="shared" si="272"/>
        <v>0</v>
      </c>
      <c r="O321" s="472">
        <f t="shared" si="272"/>
        <v>0</v>
      </c>
      <c r="P321" s="472">
        <f t="shared" si="272"/>
        <v>0</v>
      </c>
      <c r="Q321" s="628"/>
      <c r="R321" s="297"/>
    </row>
    <row r="322" spans="1:18" ht="93" hidden="1" thickTop="1" thickBot="1" x14ac:dyDescent="0.25">
      <c r="A322" s="864" t="s">
        <v>485</v>
      </c>
      <c r="B322" s="864" t="s">
        <v>428</v>
      </c>
      <c r="C322" s="864" t="s">
        <v>429</v>
      </c>
      <c r="D322" s="864" t="s">
        <v>430</v>
      </c>
      <c r="E322" s="860">
        <f>F322</f>
        <v>0</v>
      </c>
      <c r="F322" s="444">
        <f>7903408-7903408</f>
        <v>0</v>
      </c>
      <c r="G322" s="444"/>
      <c r="H322" s="444"/>
      <c r="I322" s="444"/>
      <c r="J322" s="860">
        <f>L322+O322</f>
        <v>0</v>
      </c>
      <c r="K322" s="444"/>
      <c r="L322" s="444"/>
      <c r="M322" s="444"/>
      <c r="N322" s="444"/>
      <c r="O322" s="869">
        <f>K322</f>
        <v>0</v>
      </c>
      <c r="P322" s="860">
        <f>E322+J322</f>
        <v>0</v>
      </c>
      <c r="Q322" s="628"/>
      <c r="R322" s="297"/>
    </row>
    <row r="323" spans="1:18" ht="138.75" thickTop="1" thickBot="1" x14ac:dyDescent="0.25">
      <c r="A323" s="489" t="s">
        <v>873</v>
      </c>
      <c r="B323" s="489" t="s">
        <v>874</v>
      </c>
      <c r="C323" s="489"/>
      <c r="D323" s="489" t="s">
        <v>875</v>
      </c>
      <c r="E323" s="472">
        <f>E324</f>
        <v>109641800</v>
      </c>
      <c r="F323" s="472">
        <f t="shared" si="272"/>
        <v>109641800</v>
      </c>
      <c r="G323" s="472">
        <f t="shared" si="272"/>
        <v>0</v>
      </c>
      <c r="H323" s="472">
        <f t="shared" si="272"/>
        <v>0</v>
      </c>
      <c r="I323" s="472">
        <f t="shared" si="272"/>
        <v>0</v>
      </c>
      <c r="J323" s="472">
        <f t="shared" si="272"/>
        <v>0</v>
      </c>
      <c r="K323" s="472">
        <f t="shared" si="272"/>
        <v>0</v>
      </c>
      <c r="L323" s="472">
        <f t="shared" si="272"/>
        <v>0</v>
      </c>
      <c r="M323" s="472">
        <f t="shared" si="272"/>
        <v>0</v>
      </c>
      <c r="N323" s="472">
        <f t="shared" si="272"/>
        <v>0</v>
      </c>
      <c r="O323" s="472">
        <f t="shared" si="272"/>
        <v>0</v>
      </c>
      <c r="P323" s="472">
        <f t="shared" si="272"/>
        <v>109641800</v>
      </c>
      <c r="Q323" s="628"/>
      <c r="R323" s="297"/>
    </row>
    <row r="324" spans="1:18" ht="93" thickTop="1" thickBot="1" x14ac:dyDescent="0.25">
      <c r="A324" s="864" t="s">
        <v>486</v>
      </c>
      <c r="B324" s="864" t="s">
        <v>303</v>
      </c>
      <c r="C324" s="864" t="s">
        <v>305</v>
      </c>
      <c r="D324" s="864" t="s">
        <v>304</v>
      </c>
      <c r="E324" s="860">
        <f>F324</f>
        <v>109641800</v>
      </c>
      <c r="F324" s="444">
        <f>(106941800)+2700000</f>
        <v>109641800</v>
      </c>
      <c r="G324" s="444"/>
      <c r="H324" s="444"/>
      <c r="I324" s="444"/>
      <c r="J324" s="860">
        <f>L324+O324</f>
        <v>0</v>
      </c>
      <c r="K324" s="444"/>
      <c r="L324" s="444"/>
      <c r="M324" s="444"/>
      <c r="N324" s="444"/>
      <c r="O324" s="869">
        <f>K324</f>
        <v>0</v>
      </c>
      <c r="P324" s="860">
        <f>E324+J324</f>
        <v>109641800</v>
      </c>
      <c r="Q324" s="628"/>
      <c r="R324" s="297"/>
    </row>
    <row r="325" spans="1:18" ht="93" thickTop="1" thickBot="1" x14ac:dyDescent="0.25">
      <c r="A325" s="864" t="s">
        <v>1201</v>
      </c>
      <c r="B325" s="864" t="s">
        <v>1202</v>
      </c>
      <c r="C325" s="864" t="s">
        <v>308</v>
      </c>
      <c r="D325" s="864" t="s">
        <v>1200</v>
      </c>
      <c r="E325" s="860">
        <f>F325</f>
        <v>150000</v>
      </c>
      <c r="F325" s="444">
        <v>150000</v>
      </c>
      <c r="G325" s="444"/>
      <c r="H325" s="444"/>
      <c r="I325" s="444"/>
      <c r="J325" s="860">
        <f>L325+O325</f>
        <v>0</v>
      </c>
      <c r="K325" s="444"/>
      <c r="L325" s="444"/>
      <c r="M325" s="444"/>
      <c r="N325" s="444"/>
      <c r="O325" s="869">
        <f>K325</f>
        <v>0</v>
      </c>
      <c r="P325" s="860">
        <f>E325+J325</f>
        <v>150000</v>
      </c>
      <c r="Q325" s="628"/>
      <c r="R325" s="297"/>
    </row>
    <row r="326" spans="1:18" ht="136.5" thickTop="1" thickBot="1" x14ac:dyDescent="0.25">
      <c r="A326" s="467" t="s">
        <v>1325</v>
      </c>
      <c r="B326" s="467" t="s">
        <v>734</v>
      </c>
      <c r="C326" s="467"/>
      <c r="D326" s="467" t="s">
        <v>732</v>
      </c>
      <c r="E326" s="468">
        <f>E327</f>
        <v>0</v>
      </c>
      <c r="F326" s="468">
        <f t="shared" ref="F326:P326" si="273">F327</f>
        <v>0</v>
      </c>
      <c r="G326" s="468">
        <f t="shared" si="273"/>
        <v>0</v>
      </c>
      <c r="H326" s="468">
        <f t="shared" si="273"/>
        <v>0</v>
      </c>
      <c r="I326" s="468">
        <f t="shared" si="273"/>
        <v>0</v>
      </c>
      <c r="J326" s="468">
        <f t="shared" si="273"/>
        <v>23631150</v>
      </c>
      <c r="K326" s="468">
        <f t="shared" si="273"/>
        <v>23631150</v>
      </c>
      <c r="L326" s="468">
        <f t="shared" si="273"/>
        <v>0</v>
      </c>
      <c r="M326" s="468">
        <f t="shared" si="273"/>
        <v>0</v>
      </c>
      <c r="N326" s="468">
        <f t="shared" si="273"/>
        <v>0</v>
      </c>
      <c r="O326" s="468">
        <f t="shared" si="273"/>
        <v>23631150</v>
      </c>
      <c r="P326" s="468">
        <f t="shared" si="273"/>
        <v>23631150</v>
      </c>
      <c r="Q326" s="628"/>
      <c r="R326" s="297"/>
    </row>
    <row r="327" spans="1:18" ht="93" thickTop="1" thickBot="1" x14ac:dyDescent="0.25">
      <c r="A327" s="864" t="s">
        <v>1326</v>
      </c>
      <c r="B327" s="864" t="s">
        <v>209</v>
      </c>
      <c r="C327" s="864" t="s">
        <v>178</v>
      </c>
      <c r="D327" s="864" t="s">
        <v>1327</v>
      </c>
      <c r="E327" s="860">
        <f>F327</f>
        <v>0</v>
      </c>
      <c r="F327" s="444">
        <v>0</v>
      </c>
      <c r="G327" s="444"/>
      <c r="H327" s="444"/>
      <c r="I327" s="444"/>
      <c r="J327" s="860">
        <f>L327+O327</f>
        <v>23631150</v>
      </c>
      <c r="K327" s="444">
        <f>(7903408)+15727742</f>
        <v>23631150</v>
      </c>
      <c r="L327" s="444"/>
      <c r="M327" s="444"/>
      <c r="N327" s="444"/>
      <c r="O327" s="869">
        <f>K327</f>
        <v>23631150</v>
      </c>
      <c r="P327" s="860">
        <f>E327+J327</f>
        <v>23631150</v>
      </c>
      <c r="Q327" s="628"/>
      <c r="R327" s="297"/>
    </row>
    <row r="328" spans="1:18" ht="136.5" thickTop="1" thickBot="1" x14ac:dyDescent="0.25">
      <c r="A328" s="828" t="s">
        <v>174</v>
      </c>
      <c r="B328" s="828"/>
      <c r="C328" s="828"/>
      <c r="D328" s="829" t="s">
        <v>368</v>
      </c>
      <c r="E328" s="830">
        <f>E329</f>
        <v>8319400</v>
      </c>
      <c r="F328" s="831">
        <f t="shared" ref="F328:G328" si="274">F329</f>
        <v>8319400</v>
      </c>
      <c r="G328" s="831">
        <f t="shared" si="274"/>
        <v>0</v>
      </c>
      <c r="H328" s="831">
        <f>H329</f>
        <v>0</v>
      </c>
      <c r="I328" s="831">
        <f t="shared" ref="I328" si="275">I329</f>
        <v>0</v>
      </c>
      <c r="J328" s="830">
        <f>J329</f>
        <v>800000</v>
      </c>
      <c r="K328" s="831">
        <f>K329</f>
        <v>800000</v>
      </c>
      <c r="L328" s="831">
        <f>L329</f>
        <v>0</v>
      </c>
      <c r="M328" s="831">
        <f t="shared" ref="M328" si="276">M329</f>
        <v>0</v>
      </c>
      <c r="N328" s="831">
        <f>N329</f>
        <v>0</v>
      </c>
      <c r="O328" s="830">
        <f>O329</f>
        <v>800000</v>
      </c>
      <c r="P328" s="831">
        <f t="shared" ref="P328" si="277">P329</f>
        <v>9119400</v>
      </c>
    </row>
    <row r="329" spans="1:18" ht="136.5" thickTop="1" thickBot="1" x14ac:dyDescent="0.25">
      <c r="A329" s="832" t="s">
        <v>175</v>
      </c>
      <c r="B329" s="832"/>
      <c r="C329" s="832"/>
      <c r="D329" s="833" t="s">
        <v>369</v>
      </c>
      <c r="E329" s="834">
        <f>E330+E338</f>
        <v>8319400</v>
      </c>
      <c r="F329" s="834">
        <f>F330+F338</f>
        <v>8319400</v>
      </c>
      <c r="G329" s="834">
        <f t="shared" ref="G329:O329" si="278">G330+G338</f>
        <v>0</v>
      </c>
      <c r="H329" s="834">
        <f t="shared" si="278"/>
        <v>0</v>
      </c>
      <c r="I329" s="834">
        <f t="shared" si="278"/>
        <v>0</v>
      </c>
      <c r="J329" s="834">
        <f t="shared" ref="J329:J337" si="279">L329+O329</f>
        <v>800000</v>
      </c>
      <c r="K329" s="834">
        <f t="shared" si="278"/>
        <v>800000</v>
      </c>
      <c r="L329" s="834">
        <f t="shared" si="278"/>
        <v>0</v>
      </c>
      <c r="M329" s="834">
        <f t="shared" si="278"/>
        <v>0</v>
      </c>
      <c r="N329" s="834">
        <f t="shared" si="278"/>
        <v>0</v>
      </c>
      <c r="O329" s="834">
        <f t="shared" si="278"/>
        <v>800000</v>
      </c>
      <c r="P329" s="834">
        <f t="shared" ref="P329:P337" si="280">E329+J329</f>
        <v>9119400</v>
      </c>
      <c r="Q329" s="628" t="b">
        <f>P329=P334+P335+P337+P340+P332</f>
        <v>1</v>
      </c>
      <c r="R329" s="875"/>
    </row>
    <row r="330" spans="1:18" ht="47.25" thickTop="1" thickBot="1" x14ac:dyDescent="0.25">
      <c r="A330" s="151" t="s">
        <v>876</v>
      </c>
      <c r="B330" s="151" t="s">
        <v>792</v>
      </c>
      <c r="C330" s="864"/>
      <c r="D330" s="151" t="s">
        <v>839</v>
      </c>
      <c r="E330" s="576">
        <f t="shared" ref="E330:P330" si="281">E333+E331</f>
        <v>8319400</v>
      </c>
      <c r="F330" s="576">
        <f t="shared" si="281"/>
        <v>8319400</v>
      </c>
      <c r="G330" s="576">
        <f t="shared" si="281"/>
        <v>0</v>
      </c>
      <c r="H330" s="576">
        <f t="shared" si="281"/>
        <v>0</v>
      </c>
      <c r="I330" s="576">
        <f t="shared" si="281"/>
        <v>0</v>
      </c>
      <c r="J330" s="576">
        <f t="shared" si="281"/>
        <v>800000</v>
      </c>
      <c r="K330" s="576">
        <f t="shared" si="281"/>
        <v>800000</v>
      </c>
      <c r="L330" s="576">
        <f t="shared" si="281"/>
        <v>0</v>
      </c>
      <c r="M330" s="576">
        <f t="shared" si="281"/>
        <v>0</v>
      </c>
      <c r="N330" s="576">
        <f t="shared" si="281"/>
        <v>0</v>
      </c>
      <c r="O330" s="576">
        <f t="shared" si="281"/>
        <v>800000</v>
      </c>
      <c r="P330" s="576">
        <f t="shared" si="281"/>
        <v>9119400</v>
      </c>
      <c r="Q330" s="628"/>
      <c r="R330" s="875"/>
    </row>
    <row r="331" spans="1:18" ht="91.5" thickTop="1" thickBot="1" x14ac:dyDescent="0.25">
      <c r="A331" s="467" t="s">
        <v>1091</v>
      </c>
      <c r="B331" s="467" t="s">
        <v>848</v>
      </c>
      <c r="C331" s="467"/>
      <c r="D331" s="467" t="s">
        <v>849</v>
      </c>
      <c r="E331" s="610">
        <f>E332</f>
        <v>74340</v>
      </c>
      <c r="F331" s="610">
        <f>F332</f>
        <v>74340</v>
      </c>
      <c r="G331" s="610">
        <f t="shared" ref="G331:O331" si="282">G332</f>
        <v>0</v>
      </c>
      <c r="H331" s="610">
        <f t="shared" si="282"/>
        <v>0</v>
      </c>
      <c r="I331" s="610">
        <f t="shared" si="282"/>
        <v>0</v>
      </c>
      <c r="J331" s="610">
        <f t="shared" si="282"/>
        <v>0</v>
      </c>
      <c r="K331" s="610">
        <f t="shared" si="282"/>
        <v>0</v>
      </c>
      <c r="L331" s="610">
        <f t="shared" si="282"/>
        <v>0</v>
      </c>
      <c r="M331" s="610">
        <f t="shared" si="282"/>
        <v>0</v>
      </c>
      <c r="N331" s="610">
        <f t="shared" si="282"/>
        <v>0</v>
      </c>
      <c r="O331" s="610">
        <f t="shared" si="282"/>
        <v>0</v>
      </c>
      <c r="P331" s="610">
        <f>P332</f>
        <v>74340</v>
      </c>
      <c r="Q331" s="628"/>
      <c r="R331" s="875"/>
    </row>
    <row r="332" spans="1:18" ht="138.75" thickTop="1" thickBot="1" x14ac:dyDescent="0.25">
      <c r="A332" s="864" t="s">
        <v>1092</v>
      </c>
      <c r="B332" s="864" t="s">
        <v>364</v>
      </c>
      <c r="C332" s="864" t="s">
        <v>178</v>
      </c>
      <c r="D332" s="864" t="s">
        <v>274</v>
      </c>
      <c r="E332" s="860">
        <f t="shared" ref="E332" si="283">F332</f>
        <v>74340</v>
      </c>
      <c r="F332" s="444">
        <v>74340</v>
      </c>
      <c r="G332" s="444"/>
      <c r="H332" s="444"/>
      <c r="I332" s="444"/>
      <c r="J332" s="860">
        <f t="shared" ref="J332" si="284">L332+O332</f>
        <v>0</v>
      </c>
      <c r="K332" s="444"/>
      <c r="L332" s="444"/>
      <c r="M332" s="444"/>
      <c r="N332" s="444"/>
      <c r="O332" s="869">
        <f>K332</f>
        <v>0</v>
      </c>
      <c r="P332" s="860">
        <f t="shared" ref="P332" si="285">E332+J332</f>
        <v>74340</v>
      </c>
      <c r="Q332" s="628"/>
      <c r="R332" s="875"/>
    </row>
    <row r="333" spans="1:18" ht="136.5" thickTop="1" thickBot="1" x14ac:dyDescent="0.25">
      <c r="A333" s="467" t="s">
        <v>877</v>
      </c>
      <c r="B333" s="467" t="s">
        <v>734</v>
      </c>
      <c r="C333" s="467"/>
      <c r="D333" s="467" t="s">
        <v>732</v>
      </c>
      <c r="E333" s="610">
        <f>SUM(E334:E337)-E336</f>
        <v>8245060</v>
      </c>
      <c r="F333" s="610">
        <f t="shared" ref="F333:P333" si="286">SUM(F334:F337)-F336</f>
        <v>8245060</v>
      </c>
      <c r="G333" s="610">
        <f t="shared" si="286"/>
        <v>0</v>
      </c>
      <c r="H333" s="610">
        <f t="shared" si="286"/>
        <v>0</v>
      </c>
      <c r="I333" s="610">
        <f t="shared" si="286"/>
        <v>0</v>
      </c>
      <c r="J333" s="610">
        <f t="shared" si="286"/>
        <v>800000</v>
      </c>
      <c r="K333" s="610">
        <f t="shared" si="286"/>
        <v>800000</v>
      </c>
      <c r="L333" s="610">
        <f t="shared" si="286"/>
        <v>0</v>
      </c>
      <c r="M333" s="610">
        <f t="shared" si="286"/>
        <v>0</v>
      </c>
      <c r="N333" s="610">
        <f t="shared" si="286"/>
        <v>0</v>
      </c>
      <c r="O333" s="610">
        <f t="shared" si="286"/>
        <v>800000</v>
      </c>
      <c r="P333" s="610">
        <f t="shared" si="286"/>
        <v>9045060</v>
      </c>
      <c r="Q333" s="628"/>
      <c r="R333" s="875"/>
    </row>
    <row r="334" spans="1:18" ht="93" thickTop="1" thickBot="1" x14ac:dyDescent="0.25">
      <c r="A334" s="864" t="s">
        <v>272</v>
      </c>
      <c r="B334" s="864" t="s">
        <v>273</v>
      </c>
      <c r="C334" s="864" t="s">
        <v>271</v>
      </c>
      <c r="D334" s="864" t="s">
        <v>270</v>
      </c>
      <c r="E334" s="860">
        <f t="shared" ref="E334:E337" si="287">F334</f>
        <v>5260060</v>
      </c>
      <c r="F334" s="444">
        <f>5760060-500000</f>
        <v>5260060</v>
      </c>
      <c r="G334" s="444"/>
      <c r="H334" s="444"/>
      <c r="I334" s="444"/>
      <c r="J334" s="860">
        <f t="shared" si="279"/>
        <v>0</v>
      </c>
      <c r="K334" s="444"/>
      <c r="L334" s="444"/>
      <c r="M334" s="444"/>
      <c r="N334" s="444"/>
      <c r="O334" s="869">
        <f>K334</f>
        <v>0</v>
      </c>
      <c r="P334" s="860">
        <f t="shared" si="280"/>
        <v>5260060</v>
      </c>
      <c r="R334" s="875"/>
    </row>
    <row r="335" spans="1:18" ht="138.75" thickTop="1" thickBot="1" x14ac:dyDescent="0.25">
      <c r="A335" s="864" t="s">
        <v>264</v>
      </c>
      <c r="B335" s="864" t="s">
        <v>266</v>
      </c>
      <c r="C335" s="864" t="s">
        <v>225</v>
      </c>
      <c r="D335" s="864" t="s">
        <v>265</v>
      </c>
      <c r="E335" s="860">
        <f t="shared" si="287"/>
        <v>1085000</v>
      </c>
      <c r="F335" s="444">
        <v>1085000</v>
      </c>
      <c r="G335" s="444"/>
      <c r="H335" s="444"/>
      <c r="I335" s="444"/>
      <c r="J335" s="860">
        <f t="shared" si="279"/>
        <v>0</v>
      </c>
      <c r="K335" s="444"/>
      <c r="L335" s="444"/>
      <c r="M335" s="444"/>
      <c r="N335" s="444"/>
      <c r="O335" s="869">
        <f>K335</f>
        <v>0</v>
      </c>
      <c r="P335" s="860">
        <f t="shared" si="280"/>
        <v>1085000</v>
      </c>
      <c r="R335" s="875"/>
    </row>
    <row r="336" spans="1:18" ht="48" thickTop="1" thickBot="1" x14ac:dyDescent="0.25">
      <c r="A336" s="489" t="s">
        <v>878</v>
      </c>
      <c r="B336" s="489" t="s">
        <v>737</v>
      </c>
      <c r="C336" s="489"/>
      <c r="D336" s="489" t="s">
        <v>735</v>
      </c>
      <c r="E336" s="472">
        <f>E337</f>
        <v>1900000</v>
      </c>
      <c r="F336" s="472">
        <f t="shared" ref="F336:P336" si="288">F337</f>
        <v>1900000</v>
      </c>
      <c r="G336" s="472">
        <f t="shared" si="288"/>
        <v>0</v>
      </c>
      <c r="H336" s="472">
        <f t="shared" si="288"/>
        <v>0</v>
      </c>
      <c r="I336" s="472">
        <f t="shared" si="288"/>
        <v>0</v>
      </c>
      <c r="J336" s="472">
        <f t="shared" si="288"/>
        <v>800000</v>
      </c>
      <c r="K336" s="472">
        <f t="shared" si="288"/>
        <v>800000</v>
      </c>
      <c r="L336" s="472">
        <f t="shared" si="288"/>
        <v>0</v>
      </c>
      <c r="M336" s="472">
        <f t="shared" si="288"/>
        <v>0</v>
      </c>
      <c r="N336" s="472">
        <f t="shared" si="288"/>
        <v>0</v>
      </c>
      <c r="O336" s="472">
        <f t="shared" si="288"/>
        <v>800000</v>
      </c>
      <c r="P336" s="472">
        <f t="shared" si="288"/>
        <v>2700000</v>
      </c>
      <c r="R336" s="875"/>
    </row>
    <row r="337" spans="1:18" ht="93" thickTop="1" thickBot="1" x14ac:dyDescent="0.25">
      <c r="A337" s="864" t="s">
        <v>268</v>
      </c>
      <c r="B337" s="864" t="s">
        <v>269</v>
      </c>
      <c r="C337" s="864" t="s">
        <v>178</v>
      </c>
      <c r="D337" s="864" t="s">
        <v>267</v>
      </c>
      <c r="E337" s="860">
        <f t="shared" si="287"/>
        <v>1900000</v>
      </c>
      <c r="F337" s="444">
        <f>(1200000+700000)</f>
        <v>1900000</v>
      </c>
      <c r="G337" s="444"/>
      <c r="H337" s="444"/>
      <c r="I337" s="444"/>
      <c r="J337" s="860">
        <f t="shared" si="279"/>
        <v>800000</v>
      </c>
      <c r="K337" s="444">
        <v>800000</v>
      </c>
      <c r="L337" s="444"/>
      <c r="M337" s="444"/>
      <c r="N337" s="444"/>
      <c r="O337" s="869">
        <f>K337</f>
        <v>800000</v>
      </c>
      <c r="P337" s="860">
        <f t="shared" si="280"/>
        <v>2700000</v>
      </c>
      <c r="R337" s="875"/>
    </row>
    <row r="338" spans="1:18" ht="47.25" hidden="1" thickTop="1" thickBot="1" x14ac:dyDescent="0.25">
      <c r="A338" s="250" t="s">
        <v>961</v>
      </c>
      <c r="B338" s="250" t="s">
        <v>745</v>
      </c>
      <c r="C338" s="250"/>
      <c r="D338" s="250" t="s">
        <v>746</v>
      </c>
      <c r="E338" s="874">
        <f>E339</f>
        <v>0</v>
      </c>
      <c r="F338" s="874">
        <f t="shared" ref="F338:P339" si="289">F339</f>
        <v>0</v>
      </c>
      <c r="G338" s="874">
        <f t="shared" si="289"/>
        <v>0</v>
      </c>
      <c r="H338" s="874">
        <f t="shared" si="289"/>
        <v>0</v>
      </c>
      <c r="I338" s="874">
        <f t="shared" si="289"/>
        <v>0</v>
      </c>
      <c r="J338" s="874">
        <f t="shared" si="289"/>
        <v>0</v>
      </c>
      <c r="K338" s="874">
        <f t="shared" si="289"/>
        <v>0</v>
      </c>
      <c r="L338" s="874">
        <f t="shared" si="289"/>
        <v>0</v>
      </c>
      <c r="M338" s="874">
        <f t="shared" si="289"/>
        <v>0</v>
      </c>
      <c r="N338" s="874">
        <f t="shared" si="289"/>
        <v>0</v>
      </c>
      <c r="O338" s="874">
        <f t="shared" si="289"/>
        <v>0</v>
      </c>
      <c r="P338" s="874">
        <f t="shared" si="289"/>
        <v>0</v>
      </c>
      <c r="R338" s="875"/>
    </row>
    <row r="339" spans="1:18" ht="271.5" hidden="1" thickTop="1" thickBot="1" x14ac:dyDescent="0.25">
      <c r="A339" s="253" t="s">
        <v>962</v>
      </c>
      <c r="B339" s="253" t="s">
        <v>748</v>
      </c>
      <c r="C339" s="253"/>
      <c r="D339" s="253" t="s">
        <v>749</v>
      </c>
      <c r="E339" s="270">
        <f>E340</f>
        <v>0</v>
      </c>
      <c r="F339" s="270">
        <f t="shared" si="289"/>
        <v>0</v>
      </c>
      <c r="G339" s="270">
        <f t="shared" si="289"/>
        <v>0</v>
      </c>
      <c r="H339" s="270">
        <f t="shared" si="289"/>
        <v>0</v>
      </c>
      <c r="I339" s="270">
        <f t="shared" si="289"/>
        <v>0</v>
      </c>
      <c r="J339" s="270">
        <f t="shared" si="289"/>
        <v>0</v>
      </c>
      <c r="K339" s="270">
        <f t="shared" si="289"/>
        <v>0</v>
      </c>
      <c r="L339" s="270">
        <f t="shared" si="289"/>
        <v>0</v>
      </c>
      <c r="M339" s="270">
        <f t="shared" si="289"/>
        <v>0</v>
      </c>
      <c r="N339" s="270">
        <f t="shared" si="289"/>
        <v>0</v>
      </c>
      <c r="O339" s="270">
        <f t="shared" si="289"/>
        <v>0</v>
      </c>
      <c r="P339" s="270">
        <f t="shared" si="289"/>
        <v>0</v>
      </c>
      <c r="R339" s="875"/>
    </row>
    <row r="340" spans="1:18" ht="93" hidden="1" thickTop="1" thickBot="1" x14ac:dyDescent="0.25">
      <c r="A340" s="873" t="s">
        <v>963</v>
      </c>
      <c r="B340" s="873" t="s">
        <v>377</v>
      </c>
      <c r="C340" s="873" t="s">
        <v>45</v>
      </c>
      <c r="D340" s="873" t="s">
        <v>378</v>
      </c>
      <c r="E340" s="874">
        <f t="shared" ref="E340" si="290">F340</f>
        <v>0</v>
      </c>
      <c r="F340" s="278">
        <v>0</v>
      </c>
      <c r="G340" s="278"/>
      <c r="H340" s="278"/>
      <c r="I340" s="278"/>
      <c r="J340" s="874">
        <f>L340+O340</f>
        <v>0</v>
      </c>
      <c r="K340" s="278">
        <v>0</v>
      </c>
      <c r="L340" s="278"/>
      <c r="M340" s="278"/>
      <c r="N340" s="278"/>
      <c r="O340" s="871">
        <f>K340</f>
        <v>0</v>
      </c>
      <c r="P340" s="874">
        <f>E340+J340</f>
        <v>0</v>
      </c>
      <c r="R340" s="875"/>
    </row>
    <row r="341" spans="1:18" ht="226.5" thickTop="1" thickBot="1" x14ac:dyDescent="0.25">
      <c r="A341" s="828" t="s">
        <v>172</v>
      </c>
      <c r="B341" s="828"/>
      <c r="C341" s="828"/>
      <c r="D341" s="829" t="s">
        <v>938</v>
      </c>
      <c r="E341" s="830">
        <f>E342</f>
        <v>6793333</v>
      </c>
      <c r="F341" s="831">
        <f t="shared" ref="F341:G341" si="291">F342</f>
        <v>6793333</v>
      </c>
      <c r="G341" s="831">
        <f t="shared" si="291"/>
        <v>5204880</v>
      </c>
      <c r="H341" s="831">
        <f>H342</f>
        <v>171531</v>
      </c>
      <c r="I341" s="831">
        <f t="shared" ref="I341" si="292">I342</f>
        <v>0</v>
      </c>
      <c r="J341" s="830">
        <f>J342</f>
        <v>746000</v>
      </c>
      <c r="K341" s="831">
        <f>K342</f>
        <v>46000</v>
      </c>
      <c r="L341" s="831">
        <f>L342</f>
        <v>652000</v>
      </c>
      <c r="M341" s="831">
        <f t="shared" ref="M341" si="293">M342</f>
        <v>0</v>
      </c>
      <c r="N341" s="831">
        <f>N342</f>
        <v>0</v>
      </c>
      <c r="O341" s="830">
        <f>O342</f>
        <v>94000</v>
      </c>
      <c r="P341" s="831">
        <f t="shared" ref="P341" si="294">P342</f>
        <v>7539333</v>
      </c>
    </row>
    <row r="342" spans="1:18" ht="181.5" thickTop="1" thickBot="1" x14ac:dyDescent="0.25">
      <c r="A342" s="832" t="s">
        <v>173</v>
      </c>
      <c r="B342" s="832"/>
      <c r="C342" s="832"/>
      <c r="D342" s="833" t="s">
        <v>937</v>
      </c>
      <c r="E342" s="834">
        <f>E343+E346</f>
        <v>6793333</v>
      </c>
      <c r="F342" s="834">
        <f t="shared" ref="F342:I342" si="295">F343+F346</f>
        <v>6793333</v>
      </c>
      <c r="G342" s="834">
        <f t="shared" si="295"/>
        <v>5204880</v>
      </c>
      <c r="H342" s="834">
        <f t="shared" si="295"/>
        <v>171531</v>
      </c>
      <c r="I342" s="834">
        <f t="shared" si="295"/>
        <v>0</v>
      </c>
      <c r="J342" s="834">
        <f>L342+O342</f>
        <v>746000</v>
      </c>
      <c r="K342" s="834">
        <f t="shared" ref="K342:O342" si="296">K343+K346</f>
        <v>46000</v>
      </c>
      <c r="L342" s="834">
        <f t="shared" si="296"/>
        <v>652000</v>
      </c>
      <c r="M342" s="834">
        <f t="shared" si="296"/>
        <v>0</v>
      </c>
      <c r="N342" s="834">
        <f t="shared" si="296"/>
        <v>0</v>
      </c>
      <c r="O342" s="834">
        <f t="shared" si="296"/>
        <v>94000</v>
      </c>
      <c r="P342" s="834">
        <f t="shared" ref="P342:P348" si="297">E342+J342</f>
        <v>7539333</v>
      </c>
      <c r="Q342" s="628" t="b">
        <f>P342=P344+P348</f>
        <v>1</v>
      </c>
      <c r="R342" s="875"/>
    </row>
    <row r="343" spans="1:18" ht="47.25" thickTop="1" thickBot="1" x14ac:dyDescent="0.25">
      <c r="A343" s="151" t="s">
        <v>879</v>
      </c>
      <c r="B343" s="151" t="s">
        <v>727</v>
      </c>
      <c r="C343" s="151"/>
      <c r="D343" s="151" t="s">
        <v>728</v>
      </c>
      <c r="E343" s="860">
        <f>SUM(E344:E345)</f>
        <v>6793333</v>
      </c>
      <c r="F343" s="860">
        <f t="shared" ref="F343:N343" si="298">SUM(F344:F345)</f>
        <v>6793333</v>
      </c>
      <c r="G343" s="860">
        <f t="shared" si="298"/>
        <v>5204880</v>
      </c>
      <c r="H343" s="860">
        <f t="shared" si="298"/>
        <v>171531</v>
      </c>
      <c r="I343" s="860">
        <f t="shared" si="298"/>
        <v>0</v>
      </c>
      <c r="J343" s="860">
        <f t="shared" si="298"/>
        <v>46000</v>
      </c>
      <c r="K343" s="860">
        <f t="shared" si="298"/>
        <v>46000</v>
      </c>
      <c r="L343" s="860">
        <f t="shared" si="298"/>
        <v>0</v>
      </c>
      <c r="M343" s="860">
        <f t="shared" si="298"/>
        <v>0</v>
      </c>
      <c r="N343" s="860">
        <f t="shared" si="298"/>
        <v>0</v>
      </c>
      <c r="O343" s="860">
        <f>SUM(O344:O345)</f>
        <v>46000</v>
      </c>
      <c r="P343" s="860">
        <f t="shared" ref="P343" si="299">SUM(P344:P345)</f>
        <v>6839333</v>
      </c>
      <c r="Q343" s="628"/>
      <c r="R343" s="875"/>
    </row>
    <row r="344" spans="1:18" ht="230.25" thickTop="1" thickBot="1" x14ac:dyDescent="0.25">
      <c r="A344" s="864" t="s">
        <v>438</v>
      </c>
      <c r="B344" s="864" t="s">
        <v>248</v>
      </c>
      <c r="C344" s="864" t="s">
        <v>246</v>
      </c>
      <c r="D344" s="864" t="s">
        <v>247</v>
      </c>
      <c r="E344" s="860">
        <f>F344</f>
        <v>6793333</v>
      </c>
      <c r="F344" s="444">
        <v>6793333</v>
      </c>
      <c r="G344" s="444">
        <v>5204880</v>
      </c>
      <c r="H344" s="444">
        <f>120400+4752+42719+3660</f>
        <v>171531</v>
      </c>
      <c r="I344" s="444"/>
      <c r="J344" s="860">
        <f t="shared" ref="J344:J348" si="300">L344+O344</f>
        <v>46000</v>
      </c>
      <c r="K344" s="444">
        <v>46000</v>
      </c>
      <c r="L344" s="444"/>
      <c r="M344" s="444"/>
      <c r="N344" s="444"/>
      <c r="O344" s="869">
        <f>K344</f>
        <v>46000</v>
      </c>
      <c r="P344" s="860">
        <f t="shared" si="297"/>
        <v>6839333</v>
      </c>
      <c r="Q344" s="628"/>
      <c r="R344" s="875"/>
    </row>
    <row r="345" spans="1:18" ht="184.5" hidden="1" thickTop="1" thickBot="1" x14ac:dyDescent="0.25">
      <c r="A345" s="873" t="s">
        <v>675</v>
      </c>
      <c r="B345" s="873" t="s">
        <v>376</v>
      </c>
      <c r="C345" s="873" t="s">
        <v>662</v>
      </c>
      <c r="D345" s="873" t="s">
        <v>663</v>
      </c>
      <c r="E345" s="305">
        <f>F345</f>
        <v>0</v>
      </c>
      <c r="F345" s="260">
        <v>0</v>
      </c>
      <c r="G345" s="260"/>
      <c r="H345" s="260"/>
      <c r="I345" s="260"/>
      <c r="J345" s="874">
        <f t="shared" si="300"/>
        <v>0</v>
      </c>
      <c r="K345" s="260"/>
      <c r="L345" s="261"/>
      <c r="M345" s="261"/>
      <c r="N345" s="261"/>
      <c r="O345" s="871">
        <f t="shared" ref="O345" si="301">K345</f>
        <v>0</v>
      </c>
      <c r="P345" s="874">
        <f t="shared" ref="P345" si="302">+J345+E345</f>
        <v>0</v>
      </c>
      <c r="Q345" s="628"/>
      <c r="R345" s="875"/>
    </row>
    <row r="346" spans="1:18" ht="47.25" thickTop="1" thickBot="1" x14ac:dyDescent="0.25">
      <c r="A346" s="151" t="s">
        <v>880</v>
      </c>
      <c r="B346" s="151" t="s">
        <v>739</v>
      </c>
      <c r="C346" s="151"/>
      <c r="D346" s="151" t="s">
        <v>740</v>
      </c>
      <c r="E346" s="446">
        <f>E347</f>
        <v>0</v>
      </c>
      <c r="F346" s="446">
        <f t="shared" ref="F346:P347" si="303">F347</f>
        <v>0</v>
      </c>
      <c r="G346" s="446">
        <f t="shared" si="303"/>
        <v>0</v>
      </c>
      <c r="H346" s="446">
        <f t="shared" si="303"/>
        <v>0</v>
      </c>
      <c r="I346" s="446">
        <f t="shared" si="303"/>
        <v>0</v>
      </c>
      <c r="J346" s="446">
        <f t="shared" si="303"/>
        <v>700000</v>
      </c>
      <c r="K346" s="446">
        <f t="shared" si="303"/>
        <v>0</v>
      </c>
      <c r="L346" s="446">
        <f t="shared" si="303"/>
        <v>652000</v>
      </c>
      <c r="M346" s="446">
        <f t="shared" si="303"/>
        <v>0</v>
      </c>
      <c r="N346" s="446">
        <f t="shared" si="303"/>
        <v>0</v>
      </c>
      <c r="O346" s="446">
        <f t="shared" si="303"/>
        <v>48000</v>
      </c>
      <c r="P346" s="446">
        <f t="shared" si="303"/>
        <v>700000</v>
      </c>
      <c r="Q346" s="628"/>
      <c r="R346" s="875"/>
    </row>
    <row r="347" spans="1:18" ht="91.5" thickTop="1" thickBot="1" x14ac:dyDescent="0.25">
      <c r="A347" s="467" t="s">
        <v>881</v>
      </c>
      <c r="B347" s="467" t="s">
        <v>882</v>
      </c>
      <c r="C347" s="467"/>
      <c r="D347" s="467" t="s">
        <v>883</v>
      </c>
      <c r="E347" s="524">
        <f>E348</f>
        <v>0</v>
      </c>
      <c r="F347" s="524">
        <f t="shared" si="303"/>
        <v>0</v>
      </c>
      <c r="G347" s="524">
        <f t="shared" si="303"/>
        <v>0</v>
      </c>
      <c r="H347" s="524">
        <f t="shared" si="303"/>
        <v>0</v>
      </c>
      <c r="I347" s="524">
        <f t="shared" si="303"/>
        <v>0</v>
      </c>
      <c r="J347" s="524">
        <f t="shared" si="303"/>
        <v>700000</v>
      </c>
      <c r="K347" s="524">
        <f t="shared" si="303"/>
        <v>0</v>
      </c>
      <c r="L347" s="524">
        <f t="shared" si="303"/>
        <v>652000</v>
      </c>
      <c r="M347" s="524">
        <f t="shared" si="303"/>
        <v>0</v>
      </c>
      <c r="N347" s="524">
        <f t="shared" si="303"/>
        <v>0</v>
      </c>
      <c r="O347" s="524">
        <f t="shared" si="303"/>
        <v>48000</v>
      </c>
      <c r="P347" s="524">
        <f t="shared" si="303"/>
        <v>700000</v>
      </c>
      <c r="Q347" s="628"/>
      <c r="R347" s="875"/>
    </row>
    <row r="348" spans="1:18" ht="93" thickTop="1" thickBot="1" x14ac:dyDescent="0.25">
      <c r="A348" s="864" t="s">
        <v>1258</v>
      </c>
      <c r="B348" s="864" t="s">
        <v>1259</v>
      </c>
      <c r="C348" s="864" t="s">
        <v>53</v>
      </c>
      <c r="D348" s="864" t="s">
        <v>1260</v>
      </c>
      <c r="E348" s="860">
        <v>0</v>
      </c>
      <c r="F348" s="444"/>
      <c r="G348" s="444"/>
      <c r="H348" s="444"/>
      <c r="I348" s="444"/>
      <c r="J348" s="860">
        <f t="shared" si="300"/>
        <v>700000</v>
      </c>
      <c r="K348" s="860"/>
      <c r="L348" s="444">
        <v>652000</v>
      </c>
      <c r="M348" s="444"/>
      <c r="N348" s="444"/>
      <c r="O348" s="869">
        <f>K348+48000</f>
        <v>48000</v>
      </c>
      <c r="P348" s="860">
        <f t="shared" si="297"/>
        <v>700000</v>
      </c>
      <c r="Q348" s="628" t="b">
        <f>J348='d9'!F17</f>
        <v>1</v>
      </c>
    </row>
    <row r="349" spans="1:18" ht="136.5" thickTop="1" thickBot="1" x14ac:dyDescent="0.25">
      <c r="A349" s="828" t="s">
        <v>170</v>
      </c>
      <c r="B349" s="828"/>
      <c r="C349" s="828"/>
      <c r="D349" s="829" t="s">
        <v>950</v>
      </c>
      <c r="E349" s="830">
        <f>E350</f>
        <v>10120960</v>
      </c>
      <c r="F349" s="831">
        <f t="shared" ref="F349:G349" si="304">F350</f>
        <v>10120960</v>
      </c>
      <c r="G349" s="831">
        <f t="shared" si="304"/>
        <v>7650520</v>
      </c>
      <c r="H349" s="831">
        <f>H350</f>
        <v>103980</v>
      </c>
      <c r="I349" s="831">
        <f t="shared" ref="I349" si="305">I350</f>
        <v>0</v>
      </c>
      <c r="J349" s="830">
        <f>J350</f>
        <v>490000</v>
      </c>
      <c r="K349" s="831">
        <f>K350</f>
        <v>490000</v>
      </c>
      <c r="L349" s="831">
        <f>L350</f>
        <v>0</v>
      </c>
      <c r="M349" s="831">
        <f t="shared" ref="M349" si="306">M350</f>
        <v>0</v>
      </c>
      <c r="N349" s="831">
        <f>N350</f>
        <v>0</v>
      </c>
      <c r="O349" s="830">
        <f>O350</f>
        <v>490000</v>
      </c>
      <c r="P349" s="831">
        <f t="shared" ref="P349" si="307">P350</f>
        <v>10610960</v>
      </c>
    </row>
    <row r="350" spans="1:18" ht="181.5" thickTop="1" thickBot="1" x14ac:dyDescent="0.25">
      <c r="A350" s="832" t="s">
        <v>171</v>
      </c>
      <c r="B350" s="832"/>
      <c r="C350" s="832"/>
      <c r="D350" s="833" t="s">
        <v>949</v>
      </c>
      <c r="E350" s="834">
        <f>E351+E353</f>
        <v>10120960</v>
      </c>
      <c r="F350" s="834">
        <f t="shared" ref="F350:I350" si="308">F351+F353</f>
        <v>10120960</v>
      </c>
      <c r="G350" s="834">
        <f t="shared" si="308"/>
        <v>7650520</v>
      </c>
      <c r="H350" s="834">
        <f t="shared" si="308"/>
        <v>103980</v>
      </c>
      <c r="I350" s="834">
        <f t="shared" si="308"/>
        <v>0</v>
      </c>
      <c r="J350" s="834">
        <f>L350+O350</f>
        <v>490000</v>
      </c>
      <c r="K350" s="834">
        <f t="shared" ref="K350:O350" si="309">K351+K353</f>
        <v>490000</v>
      </c>
      <c r="L350" s="834">
        <f t="shared" si="309"/>
        <v>0</v>
      </c>
      <c r="M350" s="834">
        <f t="shared" si="309"/>
        <v>0</v>
      </c>
      <c r="N350" s="834">
        <f t="shared" si="309"/>
        <v>0</v>
      </c>
      <c r="O350" s="834">
        <f t="shared" si="309"/>
        <v>490000</v>
      </c>
      <c r="P350" s="834">
        <f>E350+J350</f>
        <v>10610960</v>
      </c>
      <c r="Q350" s="628" t="b">
        <f>P350=P355+P357+P352</f>
        <v>1</v>
      </c>
      <c r="R350" s="291"/>
    </row>
    <row r="351" spans="1:18" ht="47.25" thickTop="1" thickBot="1" x14ac:dyDescent="0.25">
      <c r="A351" s="151" t="s">
        <v>884</v>
      </c>
      <c r="B351" s="151" t="s">
        <v>727</v>
      </c>
      <c r="C351" s="151"/>
      <c r="D351" s="151" t="s">
        <v>728</v>
      </c>
      <c r="E351" s="860">
        <f>SUM(E352)</f>
        <v>9820960</v>
      </c>
      <c r="F351" s="860">
        <f t="shared" ref="F351:P351" si="310">SUM(F352)</f>
        <v>9820960</v>
      </c>
      <c r="G351" s="860">
        <f t="shared" si="310"/>
        <v>7650520</v>
      </c>
      <c r="H351" s="860">
        <f t="shared" si="310"/>
        <v>103980</v>
      </c>
      <c r="I351" s="860">
        <f t="shared" si="310"/>
        <v>0</v>
      </c>
      <c r="J351" s="860">
        <f t="shared" si="310"/>
        <v>40000</v>
      </c>
      <c r="K351" s="860">
        <f t="shared" si="310"/>
        <v>40000</v>
      </c>
      <c r="L351" s="860">
        <f t="shared" si="310"/>
        <v>0</v>
      </c>
      <c r="M351" s="860">
        <f t="shared" si="310"/>
        <v>0</v>
      </c>
      <c r="N351" s="860">
        <f t="shared" si="310"/>
        <v>0</v>
      </c>
      <c r="O351" s="860">
        <f t="shared" si="310"/>
        <v>40000</v>
      </c>
      <c r="P351" s="860">
        <f t="shared" si="310"/>
        <v>9860960</v>
      </c>
      <c r="Q351" s="628"/>
      <c r="R351" s="291"/>
    </row>
    <row r="352" spans="1:18" ht="230.25" thickTop="1" thickBot="1" x14ac:dyDescent="0.25">
      <c r="A352" s="864" t="s">
        <v>434</v>
      </c>
      <c r="B352" s="864" t="s">
        <v>248</v>
      </c>
      <c r="C352" s="864" t="s">
        <v>246</v>
      </c>
      <c r="D352" s="864" t="s">
        <v>247</v>
      </c>
      <c r="E352" s="860">
        <f>F352</f>
        <v>9820960</v>
      </c>
      <c r="F352" s="444">
        <v>9820960</v>
      </c>
      <c r="G352" s="444">
        <v>7650520</v>
      </c>
      <c r="H352" s="444">
        <f>82000+2000+19980</f>
        <v>103980</v>
      </c>
      <c r="I352" s="444"/>
      <c r="J352" s="860">
        <f>L352+O352</f>
        <v>40000</v>
      </c>
      <c r="K352" s="444">
        <v>40000</v>
      </c>
      <c r="L352" s="444"/>
      <c r="M352" s="444"/>
      <c r="N352" s="444"/>
      <c r="O352" s="869">
        <f>K352</f>
        <v>40000</v>
      </c>
      <c r="P352" s="860">
        <f>E352+J352</f>
        <v>9860960</v>
      </c>
      <c r="R352" s="291"/>
    </row>
    <row r="353" spans="1:19" ht="47.25" thickTop="1" thickBot="1" x14ac:dyDescent="0.25">
      <c r="A353" s="151" t="s">
        <v>885</v>
      </c>
      <c r="B353" s="151" t="s">
        <v>792</v>
      </c>
      <c r="C353" s="864"/>
      <c r="D353" s="151" t="s">
        <v>839</v>
      </c>
      <c r="E353" s="860">
        <f t="shared" ref="E353:P353" si="311">E354+E356</f>
        <v>300000</v>
      </c>
      <c r="F353" s="860">
        <f t="shared" si="311"/>
        <v>300000</v>
      </c>
      <c r="G353" s="860">
        <f t="shared" si="311"/>
        <v>0</v>
      </c>
      <c r="H353" s="860">
        <f t="shared" si="311"/>
        <v>0</v>
      </c>
      <c r="I353" s="860">
        <f t="shared" si="311"/>
        <v>0</v>
      </c>
      <c r="J353" s="860">
        <f t="shared" si="311"/>
        <v>450000</v>
      </c>
      <c r="K353" s="860">
        <f t="shared" si="311"/>
        <v>450000</v>
      </c>
      <c r="L353" s="860">
        <f t="shared" si="311"/>
        <v>0</v>
      </c>
      <c r="M353" s="860">
        <f t="shared" si="311"/>
        <v>0</v>
      </c>
      <c r="N353" s="860">
        <f t="shared" si="311"/>
        <v>0</v>
      </c>
      <c r="O353" s="860">
        <f t="shared" si="311"/>
        <v>450000</v>
      </c>
      <c r="P353" s="860">
        <f t="shared" si="311"/>
        <v>750000</v>
      </c>
      <c r="R353" s="293"/>
    </row>
    <row r="354" spans="1:19" ht="91.5" thickTop="1" thickBot="1" x14ac:dyDescent="0.25">
      <c r="A354" s="467" t="s">
        <v>886</v>
      </c>
      <c r="B354" s="467" t="s">
        <v>887</v>
      </c>
      <c r="C354" s="467"/>
      <c r="D354" s="467" t="s">
        <v>888</v>
      </c>
      <c r="E354" s="468">
        <f>SUM(E355)</f>
        <v>300000</v>
      </c>
      <c r="F354" s="468">
        <f t="shared" ref="F354:P354" si="312">SUM(F355)</f>
        <v>300000</v>
      </c>
      <c r="G354" s="468">
        <f t="shared" si="312"/>
        <v>0</v>
      </c>
      <c r="H354" s="468">
        <f t="shared" si="312"/>
        <v>0</v>
      </c>
      <c r="I354" s="468">
        <f t="shared" si="312"/>
        <v>0</v>
      </c>
      <c r="J354" s="468">
        <f t="shared" si="312"/>
        <v>400000</v>
      </c>
      <c r="K354" s="468">
        <f t="shared" si="312"/>
        <v>400000</v>
      </c>
      <c r="L354" s="468">
        <f t="shared" si="312"/>
        <v>0</v>
      </c>
      <c r="M354" s="468">
        <f t="shared" si="312"/>
        <v>0</v>
      </c>
      <c r="N354" s="468">
        <f t="shared" si="312"/>
        <v>0</v>
      </c>
      <c r="O354" s="468">
        <f t="shared" si="312"/>
        <v>400000</v>
      </c>
      <c r="P354" s="468">
        <f t="shared" si="312"/>
        <v>700000</v>
      </c>
      <c r="R354" s="293"/>
    </row>
    <row r="355" spans="1:19" ht="93" thickTop="1" thickBot="1" x14ac:dyDescent="0.25">
      <c r="A355" s="864" t="s">
        <v>319</v>
      </c>
      <c r="B355" s="864" t="s">
        <v>320</v>
      </c>
      <c r="C355" s="864" t="s">
        <v>321</v>
      </c>
      <c r="D355" s="864" t="s">
        <v>479</v>
      </c>
      <c r="E355" s="860">
        <f>F355</f>
        <v>300000</v>
      </c>
      <c r="F355" s="444">
        <v>300000</v>
      </c>
      <c r="G355" s="444"/>
      <c r="H355" s="444"/>
      <c r="I355" s="444"/>
      <c r="J355" s="860">
        <f>L355+O355</f>
        <v>400000</v>
      </c>
      <c r="K355" s="444">
        <v>400000</v>
      </c>
      <c r="L355" s="444"/>
      <c r="M355" s="444"/>
      <c r="N355" s="444"/>
      <c r="O355" s="869">
        <f>K355</f>
        <v>400000</v>
      </c>
      <c r="P355" s="860">
        <f>E355+J355</f>
        <v>700000</v>
      </c>
      <c r="R355" s="291"/>
    </row>
    <row r="356" spans="1:19" ht="136.5" thickTop="1" thickBot="1" x14ac:dyDescent="0.25">
      <c r="A356" s="467" t="s">
        <v>889</v>
      </c>
      <c r="B356" s="467" t="s">
        <v>734</v>
      </c>
      <c r="C356" s="864"/>
      <c r="D356" s="467" t="s">
        <v>890</v>
      </c>
      <c r="E356" s="468">
        <f>SUM(E357)</f>
        <v>0</v>
      </c>
      <c r="F356" s="468">
        <f t="shared" ref="F356:P356" si="313">SUM(F357)</f>
        <v>0</v>
      </c>
      <c r="G356" s="468">
        <f t="shared" si="313"/>
        <v>0</v>
      </c>
      <c r="H356" s="468">
        <f t="shared" si="313"/>
        <v>0</v>
      </c>
      <c r="I356" s="468">
        <f t="shared" si="313"/>
        <v>0</v>
      </c>
      <c r="J356" s="468">
        <f t="shared" si="313"/>
        <v>50000</v>
      </c>
      <c r="K356" s="468">
        <f t="shared" si="313"/>
        <v>50000</v>
      </c>
      <c r="L356" s="468">
        <f t="shared" si="313"/>
        <v>0</v>
      </c>
      <c r="M356" s="468">
        <f t="shared" si="313"/>
        <v>0</v>
      </c>
      <c r="N356" s="468">
        <f t="shared" si="313"/>
        <v>0</v>
      </c>
      <c r="O356" s="468">
        <f t="shared" si="313"/>
        <v>50000</v>
      </c>
      <c r="P356" s="468">
        <f t="shared" si="313"/>
        <v>50000</v>
      </c>
    </row>
    <row r="357" spans="1:19" ht="138.75" thickTop="1" thickBot="1" x14ac:dyDescent="0.25">
      <c r="A357" s="864" t="s">
        <v>382</v>
      </c>
      <c r="B357" s="864" t="s">
        <v>383</v>
      </c>
      <c r="C357" s="864" t="s">
        <v>178</v>
      </c>
      <c r="D357" s="864" t="s">
        <v>384</v>
      </c>
      <c r="E357" s="860">
        <f>F357</f>
        <v>0</v>
      </c>
      <c r="F357" s="444"/>
      <c r="G357" s="444"/>
      <c r="H357" s="444"/>
      <c r="I357" s="444"/>
      <c r="J357" s="860">
        <f>L357+O357</f>
        <v>50000</v>
      </c>
      <c r="K357" s="444">
        <v>50000</v>
      </c>
      <c r="L357" s="444"/>
      <c r="M357" s="444"/>
      <c r="N357" s="444"/>
      <c r="O357" s="869">
        <f>K357</f>
        <v>50000</v>
      </c>
      <c r="P357" s="860">
        <f>E357+J357</f>
        <v>50000</v>
      </c>
      <c r="R357" s="291"/>
    </row>
    <row r="358" spans="1:19" ht="136.5" thickTop="1" thickBot="1" x14ac:dyDescent="0.25">
      <c r="A358" s="828" t="s">
        <v>176</v>
      </c>
      <c r="B358" s="828"/>
      <c r="C358" s="828"/>
      <c r="D358" s="829" t="s">
        <v>27</v>
      </c>
      <c r="E358" s="830">
        <f>E359</f>
        <v>133659663.37</v>
      </c>
      <c r="F358" s="831">
        <f t="shared" ref="F358:G358" si="314">F359</f>
        <v>133659663.37</v>
      </c>
      <c r="G358" s="831">
        <f t="shared" si="314"/>
        <v>8023550</v>
      </c>
      <c r="H358" s="831">
        <f>H359</f>
        <v>254660</v>
      </c>
      <c r="I358" s="831">
        <f t="shared" ref="I358" si="315">I359</f>
        <v>0</v>
      </c>
      <c r="J358" s="830">
        <f>J359</f>
        <v>0</v>
      </c>
      <c r="K358" s="831">
        <f>K359</f>
        <v>0</v>
      </c>
      <c r="L358" s="831">
        <f>L359</f>
        <v>0</v>
      </c>
      <c r="M358" s="831">
        <f t="shared" ref="M358" si="316">M359</f>
        <v>0</v>
      </c>
      <c r="N358" s="831">
        <f>N359</f>
        <v>0</v>
      </c>
      <c r="O358" s="830">
        <f>O359</f>
        <v>0</v>
      </c>
      <c r="P358" s="831">
        <f t="shared" ref="P358" si="317">P359</f>
        <v>133659663.37</v>
      </c>
    </row>
    <row r="359" spans="1:19" ht="136.5" thickTop="1" thickBot="1" x14ac:dyDescent="0.25">
      <c r="A359" s="832" t="s">
        <v>177</v>
      </c>
      <c r="B359" s="832"/>
      <c r="C359" s="832"/>
      <c r="D359" s="833" t="s">
        <v>42</v>
      </c>
      <c r="E359" s="834">
        <f>E360+E366+E373+E363</f>
        <v>133659663.37</v>
      </c>
      <c r="F359" s="834">
        <f t="shared" ref="F359:P359" si="318">F360+F366+F373+F363</f>
        <v>133659663.37</v>
      </c>
      <c r="G359" s="834">
        <f t="shared" si="318"/>
        <v>8023550</v>
      </c>
      <c r="H359" s="834">
        <f t="shared" si="318"/>
        <v>254660</v>
      </c>
      <c r="I359" s="834">
        <f t="shared" si="318"/>
        <v>0</v>
      </c>
      <c r="J359" s="834">
        <f t="shared" si="318"/>
        <v>0</v>
      </c>
      <c r="K359" s="834">
        <f t="shared" si="318"/>
        <v>0</v>
      </c>
      <c r="L359" s="834">
        <f t="shared" si="318"/>
        <v>0</v>
      </c>
      <c r="M359" s="834">
        <f t="shared" si="318"/>
        <v>0</v>
      </c>
      <c r="N359" s="834">
        <f t="shared" si="318"/>
        <v>0</v>
      </c>
      <c r="O359" s="834">
        <f t="shared" si="318"/>
        <v>0</v>
      </c>
      <c r="P359" s="834">
        <f t="shared" si="318"/>
        <v>133659663.37</v>
      </c>
      <c r="Q359" s="628" t="b">
        <f>P359=P367+P369+P375+P361+P362+P372+P365</f>
        <v>1</v>
      </c>
      <c r="R359" s="291"/>
    </row>
    <row r="360" spans="1:19" ht="47.25" thickTop="1" thickBot="1" x14ac:dyDescent="0.25">
      <c r="A360" s="151" t="s">
        <v>891</v>
      </c>
      <c r="B360" s="151" t="s">
        <v>727</v>
      </c>
      <c r="C360" s="151"/>
      <c r="D360" s="151" t="s">
        <v>728</v>
      </c>
      <c r="E360" s="860">
        <f>SUM(E361:E362)</f>
        <v>10351190</v>
      </c>
      <c r="F360" s="860">
        <f t="shared" ref="F360:P360" si="319">SUM(F361:F362)</f>
        <v>10351190</v>
      </c>
      <c r="G360" s="860">
        <f t="shared" si="319"/>
        <v>8023550</v>
      </c>
      <c r="H360" s="860">
        <f t="shared" si="319"/>
        <v>254660</v>
      </c>
      <c r="I360" s="860">
        <f t="shared" si="319"/>
        <v>0</v>
      </c>
      <c r="J360" s="860">
        <f t="shared" si="319"/>
        <v>0</v>
      </c>
      <c r="K360" s="860">
        <f t="shared" si="319"/>
        <v>0</v>
      </c>
      <c r="L360" s="860">
        <f t="shared" si="319"/>
        <v>0</v>
      </c>
      <c r="M360" s="860">
        <f t="shared" si="319"/>
        <v>0</v>
      </c>
      <c r="N360" s="860">
        <f t="shared" si="319"/>
        <v>0</v>
      </c>
      <c r="O360" s="860">
        <f t="shared" si="319"/>
        <v>0</v>
      </c>
      <c r="P360" s="860">
        <f t="shared" si="319"/>
        <v>10351190</v>
      </c>
      <c r="Q360" s="628"/>
      <c r="R360" s="297"/>
    </row>
    <row r="361" spans="1:19" ht="230.25" thickTop="1" thickBot="1" x14ac:dyDescent="0.25">
      <c r="A361" s="864" t="s">
        <v>436</v>
      </c>
      <c r="B361" s="864" t="s">
        <v>248</v>
      </c>
      <c r="C361" s="864" t="s">
        <v>246</v>
      </c>
      <c r="D361" s="864" t="s">
        <v>247</v>
      </c>
      <c r="E361" s="860">
        <f>F361</f>
        <v>10344190</v>
      </c>
      <c r="F361" s="444">
        <v>10344190</v>
      </c>
      <c r="G361" s="444">
        <v>8023550</v>
      </c>
      <c r="H361" s="444">
        <f>144480+4120+99060+7000</f>
        <v>254660</v>
      </c>
      <c r="I361" s="444"/>
      <c r="J361" s="860">
        <f>L361+O361</f>
        <v>0</v>
      </c>
      <c r="K361" s="444"/>
      <c r="L361" s="444"/>
      <c r="M361" s="444"/>
      <c r="N361" s="444"/>
      <c r="O361" s="869">
        <f>K361</f>
        <v>0</v>
      </c>
      <c r="P361" s="860">
        <f>E361+J361</f>
        <v>10344190</v>
      </c>
      <c r="Q361" s="628" t="b">
        <f>K361='d6'!J100</f>
        <v>1</v>
      </c>
      <c r="R361" s="297"/>
      <c r="S361" s="293">
        <f>'d6'!J100</f>
        <v>0</v>
      </c>
    </row>
    <row r="362" spans="1:19" ht="184.5" thickTop="1" thickBot="1" x14ac:dyDescent="0.25">
      <c r="A362" s="864" t="s">
        <v>676</v>
      </c>
      <c r="B362" s="864" t="s">
        <v>376</v>
      </c>
      <c r="C362" s="864" t="s">
        <v>662</v>
      </c>
      <c r="D362" s="864" t="s">
        <v>663</v>
      </c>
      <c r="E362" s="446">
        <f>F362</f>
        <v>7000</v>
      </c>
      <c r="F362" s="447">
        <v>7000</v>
      </c>
      <c r="G362" s="447"/>
      <c r="H362" s="447"/>
      <c r="I362" s="447"/>
      <c r="J362" s="860">
        <f t="shared" ref="J362" si="320">L362+O362</f>
        <v>0</v>
      </c>
      <c r="K362" s="447"/>
      <c r="L362" s="459"/>
      <c r="M362" s="459"/>
      <c r="N362" s="459"/>
      <c r="O362" s="869">
        <f t="shared" ref="O362" si="321">K362</f>
        <v>0</v>
      </c>
      <c r="P362" s="860">
        <f t="shared" ref="P362" si="322">+J362+E362</f>
        <v>7000</v>
      </c>
      <c r="Q362" s="628"/>
      <c r="R362" s="297"/>
    </row>
    <row r="363" spans="1:19" ht="136.5" thickTop="1" thickBot="1" x14ac:dyDescent="0.25">
      <c r="A363" s="467" t="s">
        <v>1376</v>
      </c>
      <c r="B363" s="467" t="s">
        <v>734</v>
      </c>
      <c r="C363" s="467"/>
      <c r="D363" s="467" t="s">
        <v>732</v>
      </c>
      <c r="E363" s="610">
        <f>E364</f>
        <v>2500000</v>
      </c>
      <c r="F363" s="610">
        <f t="shared" ref="F363:P364" si="323">F364</f>
        <v>2500000</v>
      </c>
      <c r="G363" s="610">
        <f t="shared" si="323"/>
        <v>0</v>
      </c>
      <c r="H363" s="610">
        <f t="shared" si="323"/>
        <v>0</v>
      </c>
      <c r="I363" s="610">
        <f t="shared" si="323"/>
        <v>0</v>
      </c>
      <c r="J363" s="610">
        <f t="shared" si="323"/>
        <v>0</v>
      </c>
      <c r="K363" s="610">
        <f t="shared" si="323"/>
        <v>0</v>
      </c>
      <c r="L363" s="610">
        <f t="shared" si="323"/>
        <v>0</v>
      </c>
      <c r="M363" s="610">
        <f t="shared" si="323"/>
        <v>0</v>
      </c>
      <c r="N363" s="610">
        <f t="shared" si="323"/>
        <v>0</v>
      </c>
      <c r="O363" s="610">
        <f t="shared" si="323"/>
        <v>0</v>
      </c>
      <c r="P363" s="610">
        <f t="shared" si="323"/>
        <v>2500000</v>
      </c>
      <c r="Q363" s="628"/>
      <c r="R363" s="297"/>
    </row>
    <row r="364" spans="1:19" ht="48" thickTop="1" thickBot="1" x14ac:dyDescent="0.25">
      <c r="A364" s="489" t="s">
        <v>1377</v>
      </c>
      <c r="B364" s="489" t="s">
        <v>737</v>
      </c>
      <c r="C364" s="489"/>
      <c r="D364" s="489" t="s">
        <v>735</v>
      </c>
      <c r="E364" s="472">
        <f>E365</f>
        <v>2500000</v>
      </c>
      <c r="F364" s="472">
        <f t="shared" si="323"/>
        <v>2500000</v>
      </c>
      <c r="G364" s="472">
        <f t="shared" si="323"/>
        <v>0</v>
      </c>
      <c r="H364" s="472">
        <f t="shared" si="323"/>
        <v>0</v>
      </c>
      <c r="I364" s="472">
        <f t="shared" si="323"/>
        <v>0</v>
      </c>
      <c r="J364" s="472">
        <f t="shared" si="323"/>
        <v>0</v>
      </c>
      <c r="K364" s="472">
        <f t="shared" si="323"/>
        <v>0</v>
      </c>
      <c r="L364" s="472">
        <f t="shared" si="323"/>
        <v>0</v>
      </c>
      <c r="M364" s="472">
        <f t="shared" si="323"/>
        <v>0</v>
      </c>
      <c r="N364" s="472">
        <f t="shared" si="323"/>
        <v>0</v>
      </c>
      <c r="O364" s="472">
        <f t="shared" si="323"/>
        <v>0</v>
      </c>
      <c r="P364" s="472">
        <f t="shared" si="323"/>
        <v>2500000</v>
      </c>
      <c r="Q364" s="628"/>
      <c r="R364" s="297"/>
    </row>
    <row r="365" spans="1:19" ht="93" thickTop="1" thickBot="1" x14ac:dyDescent="0.25">
      <c r="A365" s="864" t="s">
        <v>1378</v>
      </c>
      <c r="B365" s="864" t="s">
        <v>269</v>
      </c>
      <c r="C365" s="864" t="s">
        <v>178</v>
      </c>
      <c r="D365" s="864" t="s">
        <v>267</v>
      </c>
      <c r="E365" s="860">
        <f t="shared" ref="E365" si="324">F365</f>
        <v>2500000</v>
      </c>
      <c r="F365" s="444">
        <v>2500000</v>
      </c>
      <c r="G365" s="444"/>
      <c r="H365" s="444"/>
      <c r="I365" s="444"/>
      <c r="J365" s="860">
        <f t="shared" ref="J365" si="325">L365+O365</f>
        <v>0</v>
      </c>
      <c r="K365" s="444"/>
      <c r="L365" s="444"/>
      <c r="M365" s="444"/>
      <c r="N365" s="444"/>
      <c r="O365" s="869">
        <f>K365</f>
        <v>0</v>
      </c>
      <c r="P365" s="860">
        <f t="shared" ref="P365" si="326">E365+J365</f>
        <v>2500000</v>
      </c>
      <c r="Q365" s="628"/>
      <c r="R365" s="297"/>
    </row>
    <row r="366" spans="1:19" ht="47.25" thickTop="1" thickBot="1" x14ac:dyDescent="0.25">
      <c r="A366" s="151" t="s">
        <v>892</v>
      </c>
      <c r="B366" s="151" t="s">
        <v>739</v>
      </c>
      <c r="C366" s="151"/>
      <c r="D366" s="151" t="s">
        <v>740</v>
      </c>
      <c r="E366" s="446">
        <f t="shared" ref="E366:P366" si="327">E367+E368+E370</f>
        <v>29095573.369999997</v>
      </c>
      <c r="F366" s="446">
        <f t="shared" si="327"/>
        <v>29095573.369999997</v>
      </c>
      <c r="G366" s="446">
        <f t="shared" si="327"/>
        <v>0</v>
      </c>
      <c r="H366" s="446">
        <f t="shared" si="327"/>
        <v>0</v>
      </c>
      <c r="I366" s="446">
        <f t="shared" si="327"/>
        <v>0</v>
      </c>
      <c r="J366" s="446">
        <f t="shared" si="327"/>
        <v>0</v>
      </c>
      <c r="K366" s="446">
        <f t="shared" si="327"/>
        <v>0</v>
      </c>
      <c r="L366" s="446">
        <f t="shared" si="327"/>
        <v>0</v>
      </c>
      <c r="M366" s="446">
        <f t="shared" si="327"/>
        <v>0</v>
      </c>
      <c r="N366" s="446">
        <f t="shared" si="327"/>
        <v>0</v>
      </c>
      <c r="O366" s="446">
        <f t="shared" si="327"/>
        <v>0</v>
      </c>
      <c r="P366" s="446">
        <f t="shared" si="327"/>
        <v>29095573.369999997</v>
      </c>
      <c r="Q366" s="628"/>
      <c r="R366" s="297"/>
    </row>
    <row r="367" spans="1:19" ht="91.5" thickTop="1" thickBot="1" x14ac:dyDescent="0.25">
      <c r="A367" s="591">
        <v>3718600</v>
      </c>
      <c r="B367" s="591">
        <v>8600</v>
      </c>
      <c r="C367" s="467" t="s">
        <v>376</v>
      </c>
      <c r="D367" s="591" t="s">
        <v>470</v>
      </c>
      <c r="E367" s="468">
        <f>F367</f>
        <v>9112018</v>
      </c>
      <c r="F367" s="468">
        <f>(8838983)+273035</f>
        <v>9112018</v>
      </c>
      <c r="G367" s="468"/>
      <c r="H367" s="468"/>
      <c r="I367" s="468"/>
      <c r="J367" s="468">
        <f>L367+O367</f>
        <v>0</v>
      </c>
      <c r="K367" s="468"/>
      <c r="L367" s="468"/>
      <c r="M367" s="468"/>
      <c r="N367" s="468"/>
      <c r="O367" s="593">
        <f>K367</f>
        <v>0</v>
      </c>
      <c r="P367" s="468">
        <f>E367+J367</f>
        <v>9112018</v>
      </c>
    </row>
    <row r="368" spans="1:19" ht="47.25" thickTop="1" thickBot="1" x14ac:dyDescent="0.25">
      <c r="A368" s="591">
        <v>3718700</v>
      </c>
      <c r="B368" s="591">
        <v>8700</v>
      </c>
      <c r="C368" s="467"/>
      <c r="D368" s="591" t="s">
        <v>893</v>
      </c>
      <c r="E368" s="468">
        <f t="shared" ref="E368:P368" si="328">E369</f>
        <v>19983555.369999997</v>
      </c>
      <c r="F368" s="468">
        <f t="shared" si="328"/>
        <v>19983555.369999997</v>
      </c>
      <c r="G368" s="468">
        <f t="shared" si="328"/>
        <v>0</v>
      </c>
      <c r="H368" s="468">
        <f t="shared" si="328"/>
        <v>0</v>
      </c>
      <c r="I368" s="468">
        <f t="shared" si="328"/>
        <v>0</v>
      </c>
      <c r="J368" s="468">
        <f t="shared" si="328"/>
        <v>0</v>
      </c>
      <c r="K368" s="468">
        <f t="shared" si="328"/>
        <v>0</v>
      </c>
      <c r="L368" s="468">
        <f t="shared" si="328"/>
        <v>0</v>
      </c>
      <c r="M368" s="468">
        <f t="shared" si="328"/>
        <v>0</v>
      </c>
      <c r="N368" s="468">
        <f t="shared" si="328"/>
        <v>0</v>
      </c>
      <c r="O368" s="468">
        <f t="shared" si="328"/>
        <v>0</v>
      </c>
      <c r="P368" s="468">
        <f t="shared" si="328"/>
        <v>19983555.369999997</v>
      </c>
    </row>
    <row r="369" spans="1:18" ht="93" thickTop="1" thickBot="1" x14ac:dyDescent="0.25">
      <c r="A369" s="562">
        <v>3718710</v>
      </c>
      <c r="B369" s="562">
        <v>8710</v>
      </c>
      <c r="C369" s="864" t="s">
        <v>44</v>
      </c>
      <c r="D369" s="499" t="s">
        <v>682</v>
      </c>
      <c r="E369" s="860">
        <f>F369</f>
        <v>19983555.369999997</v>
      </c>
      <c r="F369" s="444">
        <f>((((((3000000-1000000)+45085944.68)-7585175)-3513325)-3000000+3748848.69)-735866)-16016872</f>
        <v>19983555.369999997</v>
      </c>
      <c r="G369" s="444"/>
      <c r="H369" s="444"/>
      <c r="I369" s="444"/>
      <c r="J369" s="860">
        <f>L369+O369</f>
        <v>0</v>
      </c>
      <c r="K369" s="444"/>
      <c r="L369" s="444"/>
      <c r="M369" s="444"/>
      <c r="N369" s="444"/>
      <c r="O369" s="869">
        <f>K369</f>
        <v>0</v>
      </c>
      <c r="P369" s="860">
        <f>E369+J369</f>
        <v>19983555.369999997</v>
      </c>
    </row>
    <row r="370" spans="1:18" ht="47.25" hidden="1" thickTop="1" thickBot="1" x14ac:dyDescent="0.25">
      <c r="A370" s="591">
        <v>3718800</v>
      </c>
      <c r="B370" s="591">
        <v>8800</v>
      </c>
      <c r="C370" s="467"/>
      <c r="D370" s="591" t="s">
        <v>901</v>
      </c>
      <c r="E370" s="468">
        <f>E371</f>
        <v>0</v>
      </c>
      <c r="F370" s="468">
        <f>F371</f>
        <v>0</v>
      </c>
      <c r="G370" s="468">
        <f t="shared" ref="G370:P371" si="329">G371</f>
        <v>0</v>
      </c>
      <c r="H370" s="468">
        <f t="shared" si="329"/>
        <v>0</v>
      </c>
      <c r="I370" s="468">
        <f t="shared" si="329"/>
        <v>0</v>
      </c>
      <c r="J370" s="468">
        <f t="shared" si="329"/>
        <v>0</v>
      </c>
      <c r="K370" s="468">
        <f t="shared" si="329"/>
        <v>0</v>
      </c>
      <c r="L370" s="468">
        <f t="shared" si="329"/>
        <v>0</v>
      </c>
      <c r="M370" s="468">
        <f t="shared" si="329"/>
        <v>0</v>
      </c>
      <c r="N370" s="468">
        <f t="shared" si="329"/>
        <v>0</v>
      </c>
      <c r="O370" s="468">
        <f t="shared" si="329"/>
        <v>0</v>
      </c>
      <c r="P370" s="468">
        <f t="shared" si="329"/>
        <v>0</v>
      </c>
    </row>
    <row r="371" spans="1:18" ht="184.5" hidden="1" thickTop="1" thickBot="1" x14ac:dyDescent="0.25">
      <c r="A371" s="592">
        <v>3718880</v>
      </c>
      <c r="B371" s="592">
        <v>8880</v>
      </c>
      <c r="C371" s="489"/>
      <c r="D371" s="482" t="s">
        <v>1299</v>
      </c>
      <c r="E371" s="472">
        <f>E372</f>
        <v>0</v>
      </c>
      <c r="F371" s="472">
        <f t="shared" ref="F371" si="330">F372</f>
        <v>0</v>
      </c>
      <c r="G371" s="472">
        <f t="shared" si="329"/>
        <v>0</v>
      </c>
      <c r="H371" s="472">
        <f t="shared" si="329"/>
        <v>0</v>
      </c>
      <c r="I371" s="472">
        <f t="shared" si="329"/>
        <v>0</v>
      </c>
      <c r="J371" s="472">
        <f t="shared" si="329"/>
        <v>0</v>
      </c>
      <c r="K371" s="472">
        <f t="shared" si="329"/>
        <v>0</v>
      </c>
      <c r="L371" s="472">
        <f t="shared" si="329"/>
        <v>0</v>
      </c>
      <c r="M371" s="472">
        <f t="shared" si="329"/>
        <v>0</v>
      </c>
      <c r="N371" s="472">
        <f t="shared" si="329"/>
        <v>0</v>
      </c>
      <c r="O371" s="472">
        <f t="shared" si="329"/>
        <v>0</v>
      </c>
      <c r="P371" s="472">
        <f t="shared" si="329"/>
        <v>0</v>
      </c>
    </row>
    <row r="372" spans="1:18" ht="230.25" hidden="1" thickTop="1" thickBot="1" x14ac:dyDescent="0.25">
      <c r="A372" s="864">
        <v>3718881</v>
      </c>
      <c r="B372" s="864">
        <v>8881</v>
      </c>
      <c r="C372" s="864" t="s">
        <v>178</v>
      </c>
      <c r="D372" s="864" t="s">
        <v>1300</v>
      </c>
      <c r="E372" s="446">
        <f>F372</f>
        <v>0</v>
      </c>
      <c r="F372" s="447">
        <f>(2500000)-2500000</f>
        <v>0</v>
      </c>
      <c r="G372" s="447"/>
      <c r="H372" s="447"/>
      <c r="I372" s="447"/>
      <c r="J372" s="860">
        <f t="shared" ref="J372" si="331">L372+O372</f>
        <v>0</v>
      </c>
      <c r="K372" s="447"/>
      <c r="L372" s="459"/>
      <c r="M372" s="459"/>
      <c r="N372" s="459"/>
      <c r="O372" s="869">
        <f t="shared" ref="O372" si="332">K372</f>
        <v>0</v>
      </c>
      <c r="P372" s="860">
        <f t="shared" ref="P372" si="333">+J372+E372</f>
        <v>0</v>
      </c>
    </row>
    <row r="373" spans="1:18" ht="47.25" thickTop="1" thickBot="1" x14ac:dyDescent="0.25">
      <c r="A373" s="151" t="s">
        <v>894</v>
      </c>
      <c r="B373" s="151" t="s">
        <v>745</v>
      </c>
      <c r="C373" s="151"/>
      <c r="D373" s="151" t="s">
        <v>746</v>
      </c>
      <c r="E373" s="860">
        <f>E374</f>
        <v>91712900</v>
      </c>
      <c r="F373" s="860">
        <f t="shared" ref="F373:P374" si="334">F374</f>
        <v>91712900</v>
      </c>
      <c r="G373" s="860">
        <f t="shared" si="334"/>
        <v>0</v>
      </c>
      <c r="H373" s="860">
        <f t="shared" si="334"/>
        <v>0</v>
      </c>
      <c r="I373" s="860">
        <f t="shared" si="334"/>
        <v>0</v>
      </c>
      <c r="J373" s="860">
        <f t="shared" si="334"/>
        <v>0</v>
      </c>
      <c r="K373" s="860">
        <f t="shared" si="334"/>
        <v>0</v>
      </c>
      <c r="L373" s="860">
        <f t="shared" si="334"/>
        <v>0</v>
      </c>
      <c r="M373" s="860">
        <f t="shared" si="334"/>
        <v>0</v>
      </c>
      <c r="N373" s="860">
        <f t="shared" si="334"/>
        <v>0</v>
      </c>
      <c r="O373" s="860">
        <f t="shared" si="334"/>
        <v>0</v>
      </c>
      <c r="P373" s="860">
        <f t="shared" si="334"/>
        <v>91712900</v>
      </c>
    </row>
    <row r="374" spans="1:18" ht="91.5" thickTop="1" thickBot="1" x14ac:dyDescent="0.25">
      <c r="A374" s="591">
        <v>3719100</v>
      </c>
      <c r="B374" s="467" t="s">
        <v>896</v>
      </c>
      <c r="C374" s="467"/>
      <c r="D374" s="467" t="s">
        <v>895</v>
      </c>
      <c r="E374" s="468">
        <f>E375</f>
        <v>91712900</v>
      </c>
      <c r="F374" s="468">
        <f t="shared" si="334"/>
        <v>91712900</v>
      </c>
      <c r="G374" s="468">
        <f t="shared" si="334"/>
        <v>0</v>
      </c>
      <c r="H374" s="468">
        <f t="shared" si="334"/>
        <v>0</v>
      </c>
      <c r="I374" s="468">
        <f t="shared" si="334"/>
        <v>0</v>
      </c>
      <c r="J374" s="468">
        <f t="shared" si="334"/>
        <v>0</v>
      </c>
      <c r="K374" s="468">
        <f t="shared" si="334"/>
        <v>0</v>
      </c>
      <c r="L374" s="468">
        <f t="shared" si="334"/>
        <v>0</v>
      </c>
      <c r="M374" s="468">
        <f t="shared" si="334"/>
        <v>0</v>
      </c>
      <c r="N374" s="468">
        <f t="shared" si="334"/>
        <v>0</v>
      </c>
      <c r="O374" s="468">
        <f t="shared" si="334"/>
        <v>0</v>
      </c>
      <c r="P374" s="468">
        <f t="shared" si="334"/>
        <v>91712900</v>
      </c>
    </row>
    <row r="375" spans="1:18" ht="48" thickTop="1" thickBot="1" x14ac:dyDescent="0.25">
      <c r="A375" s="562">
        <v>3719110</v>
      </c>
      <c r="B375" s="562">
        <v>9110</v>
      </c>
      <c r="C375" s="864" t="s">
        <v>45</v>
      </c>
      <c r="D375" s="499" t="s">
        <v>469</v>
      </c>
      <c r="E375" s="860">
        <f>F375</f>
        <v>91712900</v>
      </c>
      <c r="F375" s="444">
        <v>91712900</v>
      </c>
      <c r="G375" s="444"/>
      <c r="H375" s="444"/>
      <c r="I375" s="444"/>
      <c r="J375" s="860">
        <f>L375+O375</f>
        <v>0</v>
      </c>
      <c r="K375" s="444"/>
      <c r="L375" s="444"/>
      <c r="M375" s="444"/>
      <c r="N375" s="444"/>
      <c r="O375" s="869">
        <f>K375</f>
        <v>0</v>
      </c>
      <c r="P375" s="860">
        <f>E375+J375</f>
        <v>91712900</v>
      </c>
    </row>
    <row r="376" spans="1:18" ht="159.75" customHeight="1" thickTop="1" thickBot="1" x14ac:dyDescent="0.25">
      <c r="A376" s="441" t="s">
        <v>396</v>
      </c>
      <c r="B376" s="441" t="s">
        <v>396</v>
      </c>
      <c r="C376" s="441" t="s">
        <v>396</v>
      </c>
      <c r="D376" s="441" t="s">
        <v>406</v>
      </c>
      <c r="E376" s="442">
        <f t="shared" ref="E376:P376" si="335">E16+E43+E198+E91+E119+E177++E284+E307+E359+E329+E342+E350+E315+E253+E231</f>
        <v>3267259727.6700001</v>
      </c>
      <c r="F376" s="442">
        <f t="shared" si="335"/>
        <v>3267259727.6700001</v>
      </c>
      <c r="G376" s="442">
        <f t="shared" si="335"/>
        <v>1567041024</v>
      </c>
      <c r="H376" s="442">
        <f t="shared" si="335"/>
        <v>222856754</v>
      </c>
      <c r="I376" s="442">
        <f t="shared" si="335"/>
        <v>0</v>
      </c>
      <c r="J376" s="442">
        <f t="shared" si="335"/>
        <v>444251955.96000004</v>
      </c>
      <c r="K376" s="442">
        <f t="shared" si="335"/>
        <v>253116490.59</v>
      </c>
      <c r="L376" s="442">
        <f t="shared" si="335"/>
        <v>185628937.37</v>
      </c>
      <c r="M376" s="442">
        <f t="shared" si="335"/>
        <v>55225789</v>
      </c>
      <c r="N376" s="442">
        <f t="shared" si="335"/>
        <v>15509364</v>
      </c>
      <c r="O376" s="442">
        <f t="shared" si="335"/>
        <v>258623018.59</v>
      </c>
      <c r="P376" s="442">
        <f t="shared" si="335"/>
        <v>3711511683.6300001</v>
      </c>
      <c r="Q376" s="612" t="b">
        <f>P376=J376+E376</f>
        <v>1</v>
      </c>
    </row>
    <row r="377" spans="1:18" ht="46.5" thickTop="1" x14ac:dyDescent="0.2">
      <c r="A377" s="952" t="s">
        <v>1230</v>
      </c>
      <c r="B377" s="953"/>
      <c r="C377" s="953"/>
      <c r="D377" s="953"/>
      <c r="E377" s="953"/>
      <c r="F377" s="953"/>
      <c r="G377" s="953"/>
      <c r="H377" s="953"/>
      <c r="I377" s="953"/>
      <c r="J377" s="953"/>
      <c r="K377" s="953"/>
      <c r="L377" s="953"/>
      <c r="M377" s="953"/>
      <c r="N377" s="953"/>
      <c r="O377" s="953"/>
      <c r="P377" s="953"/>
      <c r="Q377" s="634"/>
    </row>
    <row r="378" spans="1:18" ht="60.75" hidden="1" x14ac:dyDescent="0.2">
      <c r="A378" s="858"/>
      <c r="B378" s="859"/>
      <c r="C378" s="859"/>
      <c r="D378" s="859"/>
      <c r="E378" s="440">
        <f>F378</f>
        <v>3267259727.6700001</v>
      </c>
      <c r="F378" s="440">
        <f>(((((((3193579493+15000000-'d4'!F20)+11441007)-8903408)+86371703.98)-74000)-73325965)+4807848.69-3000000+47600000)-5736952</f>
        <v>3267259727.6700001</v>
      </c>
      <c r="G378" s="440">
        <f>((1769990+50998970+103167225+34055950+2551300+1241065255+97388110+91862005+24500+3924850)-59767131)</f>
        <v>1567041024</v>
      </c>
      <c r="H378" s="440">
        <f>((((64305+4537205+7734640+2175525+152010+198230190-5980497+5754505+3107172+6628199)+118900)+120000)+15430)+127866+71304-300000</f>
        <v>222556754</v>
      </c>
      <c r="I378" s="440">
        <v>0</v>
      </c>
      <c r="J378" s="440">
        <f>(((((((506071198+'d2'!E37)+1701336)+8903408)+5545498.37)+74000)-170420)+80000+3000000-47600000)-16299664.41+22773610</f>
        <v>444251955.95999998</v>
      </c>
      <c r="K378" s="440">
        <f>(((((((506071198-181772123-6000000-700000+'d2'!F37)+1701336)+8903408)+(5545498.37-2663342.37))+74000)-170420)+80000+3000000-47600000)-16299664.41+22773610</f>
        <v>253116490.59</v>
      </c>
      <c r="L378" s="440">
        <f>(((3616000+652000)+(163345550-3275910)+(9712850-109080)+(6580704-60368)+(2133019-79170))+2663342.37)+450000</f>
        <v>185628937.37</v>
      </c>
      <c r="M378" s="440">
        <f>(45127299+7102670+1953040+1042780)</f>
        <v>55225789</v>
      </c>
      <c r="N378" s="440">
        <f>(12370056+306880+465600+353328+2000000)+13500</f>
        <v>15509364</v>
      </c>
      <c r="O378" s="440">
        <f>((((((((2384000+48000+3275910+109080+60368+79170)+(506071198+'d2'!F37-181772123-6000000-700000)+1701336)+8903408)+(5545498.37-2663342.37))+74000)-450000)-170420)+80000+3000000-47600000)-16299664.41+22773610</f>
        <v>258623018.59</v>
      </c>
      <c r="P378" s="440">
        <f>(((((3699650691+15000000+'d2'!E37-'d4'!Q20)+13142343)+91917202.35)-73496385)+4887848.69)-16299664.41-5736952+22773610</f>
        <v>3711511683.6300001</v>
      </c>
      <c r="Q378" s="612" t="b">
        <f>E378+J378=P378</f>
        <v>1</v>
      </c>
      <c r="R378" s="309"/>
    </row>
    <row r="379" spans="1:18" ht="60.75" x14ac:dyDescent="0.2">
      <c r="A379" s="858"/>
      <c r="B379" s="859"/>
      <c r="C379" s="859"/>
      <c r="D379" s="859"/>
      <c r="E379" s="187"/>
      <c r="F379" s="187"/>
      <c r="G379" s="187"/>
      <c r="H379" s="187"/>
      <c r="I379" s="187"/>
      <c r="J379" s="187"/>
      <c r="K379" s="187"/>
      <c r="L379" s="187"/>
      <c r="M379" s="187"/>
      <c r="N379" s="187"/>
      <c r="O379" s="187"/>
      <c r="P379" s="187"/>
      <c r="Q379" s="612"/>
      <c r="R379" s="309"/>
    </row>
    <row r="380" spans="1:18" ht="75.75" customHeight="1" x14ac:dyDescent="0.65">
      <c r="A380" s="858"/>
      <c r="B380" s="859"/>
      <c r="C380" s="859"/>
      <c r="D380" s="439" t="s">
        <v>1363</v>
      </c>
      <c r="E380" s="857"/>
      <c r="F380" s="857"/>
      <c r="G380" s="183"/>
      <c r="H380" s="439"/>
      <c r="I380" s="438"/>
      <c r="J380" s="439"/>
      <c r="K380" s="439" t="s">
        <v>1364</v>
      </c>
      <c r="L380" s="438"/>
      <c r="M380" s="438"/>
      <c r="N380" s="438"/>
      <c r="O380" s="438"/>
      <c r="P380" s="438"/>
      <c r="Q380" s="634"/>
    </row>
    <row r="381" spans="1:18" ht="12.75" customHeight="1" x14ac:dyDescent="0.65">
      <c r="A381" s="858"/>
      <c r="B381" s="859"/>
      <c r="C381" s="859"/>
      <c r="D381" s="921"/>
      <c r="E381" s="921"/>
      <c r="F381" s="921"/>
      <c r="G381" s="921"/>
      <c r="H381" s="921"/>
      <c r="I381" s="921"/>
      <c r="J381" s="921"/>
      <c r="K381" s="921"/>
      <c r="L381" s="921"/>
      <c r="M381" s="921"/>
      <c r="N381" s="921"/>
      <c r="O381" s="921"/>
      <c r="P381" s="921"/>
      <c r="Q381" s="634"/>
    </row>
    <row r="382" spans="1:18" ht="46.5" thickBot="1" x14ac:dyDescent="0.7">
      <c r="A382" s="858"/>
      <c r="B382" s="859"/>
      <c r="C382" s="859"/>
      <c r="D382" s="439" t="s">
        <v>544</v>
      </c>
      <c r="E382" s="870"/>
      <c r="F382" s="870"/>
      <c r="G382" s="870"/>
      <c r="H382" s="439"/>
      <c r="I382" s="438"/>
      <c r="J382" s="438"/>
      <c r="K382" s="439" t="s">
        <v>545</v>
      </c>
      <c r="L382" s="438"/>
      <c r="M382" s="438"/>
      <c r="N382" s="438"/>
      <c r="O382" s="438"/>
      <c r="P382" s="438"/>
      <c r="Q382" s="634"/>
    </row>
    <row r="383" spans="1:18" ht="47.25" thickTop="1" thickBot="1" x14ac:dyDescent="0.7">
      <c r="A383" s="246"/>
      <c r="B383" s="246"/>
      <c r="C383" s="246"/>
      <c r="D383" s="951"/>
      <c r="E383" s="951"/>
      <c r="F383" s="951"/>
      <c r="G383" s="951"/>
      <c r="H383" s="951"/>
      <c r="I383" s="951"/>
      <c r="J383" s="951"/>
      <c r="K383" s="951"/>
      <c r="L383" s="951"/>
      <c r="M383" s="951"/>
      <c r="N383" s="951"/>
      <c r="O383" s="951"/>
      <c r="P383" s="951"/>
      <c r="Q383" s="635"/>
    </row>
    <row r="384" spans="1:18" ht="150.75" hidden="1" customHeight="1" x14ac:dyDescent="0.65">
      <c r="D384" s="951" t="s">
        <v>546</v>
      </c>
      <c r="E384" s="951"/>
      <c r="F384" s="951"/>
      <c r="G384" s="951"/>
      <c r="H384" s="951"/>
      <c r="I384" s="951"/>
      <c r="J384" s="951"/>
      <c r="K384" s="951"/>
      <c r="L384" s="951"/>
      <c r="M384" s="951"/>
      <c r="N384" s="951"/>
      <c r="O384" s="951"/>
      <c r="P384" s="951"/>
    </row>
    <row r="385" spans="1:18" ht="95.25" customHeight="1" thickTop="1" x14ac:dyDescent="0.55000000000000004">
      <c r="G385" s="311"/>
      <c r="H385" s="311"/>
      <c r="I385" s="655"/>
      <c r="J385" s="656"/>
      <c r="K385" s="656"/>
      <c r="L385" s="655"/>
      <c r="M385" s="655"/>
      <c r="N385" s="655"/>
      <c r="O385" s="655"/>
      <c r="P385" s="656"/>
      <c r="Q385" s="625"/>
    </row>
    <row r="386" spans="1:18" hidden="1" x14ac:dyDescent="0.2">
      <c r="E386" s="312"/>
      <c r="F386" s="313"/>
      <c r="G386" s="311"/>
      <c r="H386" s="311"/>
      <c r="I386" s="655"/>
      <c r="J386" s="657"/>
      <c r="K386" s="657"/>
      <c r="L386" s="655"/>
      <c r="M386" s="655"/>
      <c r="N386" s="655"/>
      <c r="O386" s="655"/>
      <c r="P386" s="656"/>
    </row>
    <row r="387" spans="1:18" hidden="1" x14ac:dyDescent="0.2">
      <c r="E387" s="312"/>
      <c r="F387" s="313"/>
      <c r="G387" s="311"/>
      <c r="H387" s="311"/>
      <c r="I387" s="655"/>
      <c r="J387" s="657"/>
      <c r="K387" s="657"/>
      <c r="L387" s="655"/>
      <c r="M387" s="655"/>
      <c r="N387" s="655"/>
      <c r="O387" s="655"/>
      <c r="P387" s="656"/>
    </row>
    <row r="388" spans="1:18" ht="60.75" x14ac:dyDescent="0.2">
      <c r="E388" s="612" t="b">
        <f>E378=E376</f>
        <v>1</v>
      </c>
      <c r="F388" s="612" t="b">
        <f>F378=F376</f>
        <v>1</v>
      </c>
      <c r="G388" s="612" t="b">
        <f>G378=G376</f>
        <v>1</v>
      </c>
      <c r="H388" s="612" t="b">
        <f t="shared" ref="H388:O388" si="336">H378=H376</f>
        <v>0</v>
      </c>
      <c r="I388" s="612" t="b">
        <f>I378=I376</f>
        <v>1</v>
      </c>
      <c r="J388" s="612" t="b">
        <f>J376=J378</f>
        <v>1</v>
      </c>
      <c r="K388" s="612" t="b">
        <f>K378=K376</f>
        <v>1</v>
      </c>
      <c r="L388" s="612" t="b">
        <f t="shared" si="336"/>
        <v>1</v>
      </c>
      <c r="M388" s="612" t="b">
        <f t="shared" si="336"/>
        <v>1</v>
      </c>
      <c r="N388" s="612" t="b">
        <f>N378=N376</f>
        <v>1</v>
      </c>
      <c r="O388" s="612" t="b">
        <f t="shared" si="336"/>
        <v>1</v>
      </c>
      <c r="P388" s="612" t="b">
        <f>P378=P376</f>
        <v>1</v>
      </c>
    </row>
    <row r="389" spans="1:18" ht="61.5" x14ac:dyDescent="0.2">
      <c r="E389" s="612" t="b">
        <f>E376=F376</f>
        <v>1</v>
      </c>
      <c r="F389" s="823">
        <f>F369/E376</f>
        <v>6.1163044984645244E-3</v>
      </c>
      <c r="G389" s="649"/>
      <c r="H389" s="650"/>
      <c r="I389" s="651"/>
      <c r="J389" s="612" t="b">
        <f>J378=L378+O378</f>
        <v>1</v>
      </c>
      <c r="K389" s="658"/>
      <c r="L389" s="612"/>
      <c r="M389" s="651"/>
      <c r="N389" s="651"/>
      <c r="O389" s="612"/>
      <c r="P389" s="612" t="b">
        <f>E376+J376=P376</f>
        <v>1</v>
      </c>
    </row>
    <row r="390" spans="1:18" ht="60.75" x14ac:dyDescent="0.2">
      <c r="E390" s="652"/>
      <c r="F390" s="653"/>
      <c r="G390" s="652"/>
      <c r="H390" s="654"/>
      <c r="I390" s="652"/>
      <c r="J390" s="312"/>
      <c r="K390" s="312"/>
    </row>
    <row r="391" spans="1:18" ht="61.5" x14ac:dyDescent="0.2">
      <c r="A391" s="779"/>
      <c r="B391" s="779"/>
      <c r="C391" s="779"/>
      <c r="D391" s="249"/>
      <c r="E391" s="779"/>
      <c r="F391" s="823">
        <f>400000/E376</f>
        <v>1.2242675310213379E-4</v>
      </c>
      <c r="G391" s="649"/>
      <c r="H391" s="314"/>
      <c r="I391" s="249"/>
      <c r="J391" s="280">
        <f>J376-J378</f>
        <v>0</v>
      </c>
      <c r="K391" s="280">
        <f>K376-K378</f>
        <v>0</v>
      </c>
      <c r="L391" s="280"/>
      <c r="M391" s="280"/>
      <c r="N391" s="280"/>
      <c r="O391" s="280">
        <f>O376-O378</f>
        <v>0</v>
      </c>
      <c r="P391" s="280"/>
    </row>
    <row r="392" spans="1:18" ht="61.5" x14ac:dyDescent="0.2">
      <c r="D392" s="249"/>
      <c r="E392" s="280"/>
      <c r="F392" s="316"/>
      <c r="G392" s="308"/>
      <c r="H392" s="314"/>
      <c r="I392" s="249"/>
      <c r="J392" s="280"/>
      <c r="K392" s="280"/>
      <c r="L392" s="317"/>
      <c r="P392" s="308"/>
      <c r="Q392" s="636"/>
      <c r="R392" s="318"/>
    </row>
    <row r="393" spans="1:18" ht="60.75" x14ac:dyDescent="0.2">
      <c r="A393" s="779"/>
      <c r="B393" s="779"/>
      <c r="C393" s="779"/>
      <c r="D393" s="249"/>
      <c r="E393" s="255"/>
      <c r="F393" s="255"/>
      <c r="G393" s="255"/>
      <c r="H393" s="255"/>
      <c r="I393" s="319"/>
      <c r="J393" s="255"/>
      <c r="K393" s="255"/>
      <c r="L393" s="255"/>
      <c r="M393" s="255"/>
      <c r="N393" s="255"/>
      <c r="O393" s="255"/>
      <c r="P393" s="255"/>
      <c r="Q393" s="636"/>
      <c r="R393" s="318"/>
    </row>
    <row r="394" spans="1:18" ht="60.75" x14ac:dyDescent="0.2">
      <c r="D394" s="249"/>
      <c r="E394" s="280"/>
      <c r="F394" s="320"/>
      <c r="G394" s="321"/>
      <c r="O394" s="308"/>
      <c r="P394" s="308"/>
    </row>
    <row r="395" spans="1:18" ht="60.75" x14ac:dyDescent="0.2">
      <c r="A395" s="779"/>
      <c r="B395" s="779"/>
      <c r="C395" s="779"/>
      <c r="D395" s="249"/>
      <c r="E395" s="280"/>
      <c r="F395" s="315"/>
      <c r="G395" s="317"/>
      <c r="I395" s="322"/>
      <c r="J395" s="312"/>
      <c r="K395" s="312"/>
      <c r="L395" s="779"/>
      <c r="M395" s="779"/>
      <c r="N395" s="779"/>
      <c r="O395" s="779"/>
      <c r="P395" s="308"/>
    </row>
    <row r="396" spans="1:18" ht="62.25" x14ac:dyDescent="0.8">
      <c r="A396" s="779"/>
      <c r="B396" s="779"/>
      <c r="C396" s="779"/>
      <c r="D396" s="779"/>
      <c r="E396" s="323"/>
      <c r="F396" s="315"/>
      <c r="J396" s="312"/>
      <c r="K396" s="312"/>
      <c r="L396" s="779"/>
      <c r="M396" s="779"/>
      <c r="N396" s="779"/>
      <c r="O396" s="779"/>
      <c r="P396" s="324"/>
    </row>
    <row r="397" spans="1:18" ht="45.75" x14ac:dyDescent="0.2">
      <c r="E397" s="325"/>
      <c r="F397" s="320"/>
    </row>
    <row r="398" spans="1:18" ht="45.75" x14ac:dyDescent="0.2">
      <c r="A398" s="779"/>
      <c r="B398" s="779"/>
      <c r="C398" s="779"/>
      <c r="D398" s="779"/>
      <c r="E398" s="323"/>
      <c r="F398" s="315"/>
      <c r="L398" s="779"/>
      <c r="M398" s="779"/>
      <c r="N398" s="779"/>
      <c r="O398" s="779"/>
      <c r="P398" s="779"/>
    </row>
    <row r="399" spans="1:18" ht="45.75" x14ac:dyDescent="0.2">
      <c r="E399" s="326"/>
      <c r="F399" s="320"/>
    </row>
    <row r="400" spans="1:18" ht="45.75" x14ac:dyDescent="0.2">
      <c r="E400" s="326"/>
      <c r="F400" s="320"/>
    </row>
    <row r="401" spans="1:16" ht="45.75" x14ac:dyDescent="0.2">
      <c r="E401" s="326"/>
      <c r="F401" s="320"/>
    </row>
    <row r="402" spans="1:16" ht="45.75" x14ac:dyDescent="0.2">
      <c r="A402" s="779"/>
      <c r="B402" s="779"/>
      <c r="C402" s="779"/>
      <c r="D402" s="779"/>
      <c r="E402" s="326"/>
      <c r="F402" s="320"/>
      <c r="G402" s="779"/>
      <c r="H402" s="779"/>
      <c r="I402" s="779"/>
      <c r="J402" s="779"/>
      <c r="K402" s="779"/>
      <c r="L402" s="779"/>
      <c r="M402" s="779"/>
      <c r="N402" s="779"/>
      <c r="O402" s="779"/>
      <c r="P402" s="779"/>
    </row>
    <row r="403" spans="1:16" ht="45.75" x14ac:dyDescent="0.2">
      <c r="A403" s="779"/>
      <c r="B403" s="779"/>
      <c r="C403" s="779"/>
      <c r="D403" s="779"/>
      <c r="E403" s="326"/>
      <c r="F403" s="320"/>
      <c r="G403" s="779"/>
      <c r="H403" s="779"/>
      <c r="I403" s="779"/>
      <c r="J403" s="779"/>
      <c r="K403" s="779"/>
      <c r="L403" s="779"/>
      <c r="M403" s="779"/>
      <c r="N403" s="779"/>
      <c r="O403" s="779"/>
      <c r="P403" s="779"/>
    </row>
    <row r="404" spans="1:16" ht="45.75" x14ac:dyDescent="0.2">
      <c r="A404" s="779"/>
      <c r="B404" s="779"/>
      <c r="C404" s="779"/>
      <c r="D404" s="779"/>
      <c r="E404" s="326"/>
      <c r="F404" s="320"/>
      <c r="G404" s="779"/>
      <c r="H404" s="779"/>
      <c r="I404" s="779"/>
      <c r="J404" s="779"/>
      <c r="K404" s="779"/>
      <c r="L404" s="779"/>
      <c r="M404" s="779"/>
      <c r="N404" s="779"/>
      <c r="O404" s="779"/>
      <c r="P404" s="779"/>
    </row>
    <row r="405" spans="1:16" ht="45.75" x14ac:dyDescent="0.2">
      <c r="A405" s="779"/>
      <c r="B405" s="779"/>
      <c r="C405" s="779"/>
      <c r="D405" s="779"/>
      <c r="E405" s="326"/>
      <c r="F405" s="320"/>
      <c r="G405" s="779"/>
      <c r="H405" s="779"/>
      <c r="I405" s="779"/>
      <c r="J405" s="779"/>
      <c r="K405" s="779"/>
      <c r="L405" s="779"/>
      <c r="M405" s="779"/>
      <c r="N405" s="779"/>
      <c r="O405" s="779"/>
      <c r="P405" s="779"/>
    </row>
  </sheetData>
  <mergeCells count="198">
    <mergeCell ref="A377:P377"/>
    <mergeCell ref="D381:P381"/>
    <mergeCell ref="D383:P383"/>
    <mergeCell ref="D384:P384"/>
    <mergeCell ref="K303:K304"/>
    <mergeCell ref="L303:L304"/>
    <mergeCell ref="M303:M304"/>
    <mergeCell ref="N303:N304"/>
    <mergeCell ref="O303:O304"/>
    <mergeCell ref="P303:P304"/>
    <mergeCell ref="P275:P276"/>
    <mergeCell ref="A303:A304"/>
    <mergeCell ref="B303:B304"/>
    <mergeCell ref="C303:C304"/>
    <mergeCell ref="E303:E304"/>
    <mergeCell ref="F303:F304"/>
    <mergeCell ref="G303:G304"/>
    <mergeCell ref="H303:H304"/>
    <mergeCell ref="I303:I304"/>
    <mergeCell ref="J303:J304"/>
    <mergeCell ref="J275:J276"/>
    <mergeCell ref="K275:K276"/>
    <mergeCell ref="L275:L276"/>
    <mergeCell ref="M275:M276"/>
    <mergeCell ref="N275:N276"/>
    <mergeCell ref="O275:O276"/>
    <mergeCell ref="O250:O251"/>
    <mergeCell ref="P250:P251"/>
    <mergeCell ref="A275:A276"/>
    <mergeCell ref="B275:B276"/>
    <mergeCell ref="C275:C276"/>
    <mergeCell ref="E275:E276"/>
    <mergeCell ref="F275:F276"/>
    <mergeCell ref="G275:G276"/>
    <mergeCell ref="H275:H276"/>
    <mergeCell ref="I275:I276"/>
    <mergeCell ref="I250:I251"/>
    <mergeCell ref="J250:J251"/>
    <mergeCell ref="K250:K251"/>
    <mergeCell ref="L250:L251"/>
    <mergeCell ref="M250:M251"/>
    <mergeCell ref="N250:N251"/>
    <mergeCell ref="N174:N175"/>
    <mergeCell ref="O174:O175"/>
    <mergeCell ref="P174:P175"/>
    <mergeCell ref="A250:A251"/>
    <mergeCell ref="B250:B251"/>
    <mergeCell ref="C250:C251"/>
    <mergeCell ref="E250:E251"/>
    <mergeCell ref="F250:F251"/>
    <mergeCell ref="G250:G251"/>
    <mergeCell ref="H250:H251"/>
    <mergeCell ref="H174:H175"/>
    <mergeCell ref="I174:I175"/>
    <mergeCell ref="J174:J175"/>
    <mergeCell ref="K174:K175"/>
    <mergeCell ref="L174:L175"/>
    <mergeCell ref="M174:M175"/>
    <mergeCell ref="N157:N159"/>
    <mergeCell ref="O157:O159"/>
    <mergeCell ref="P157:P159"/>
    <mergeCell ref="R157:R159"/>
    <mergeCell ref="A174:A175"/>
    <mergeCell ref="B174:B175"/>
    <mergeCell ref="C174:C175"/>
    <mergeCell ref="E174:E175"/>
    <mergeCell ref="F174:F175"/>
    <mergeCell ref="G174:G175"/>
    <mergeCell ref="H157:H159"/>
    <mergeCell ref="I157:I159"/>
    <mergeCell ref="J157:J159"/>
    <mergeCell ref="K157:K159"/>
    <mergeCell ref="L157:L159"/>
    <mergeCell ref="M157:M159"/>
    <mergeCell ref="N154:N156"/>
    <mergeCell ref="O154:O156"/>
    <mergeCell ref="P154:P156"/>
    <mergeCell ref="R154:R156"/>
    <mergeCell ref="A157:A159"/>
    <mergeCell ref="B157:B159"/>
    <mergeCell ref="C157:C159"/>
    <mergeCell ref="E157:E159"/>
    <mergeCell ref="F157:F159"/>
    <mergeCell ref="G157:G159"/>
    <mergeCell ref="H154:H156"/>
    <mergeCell ref="I154:I156"/>
    <mergeCell ref="J154:J156"/>
    <mergeCell ref="K154:K156"/>
    <mergeCell ref="L154:L156"/>
    <mergeCell ref="M154:M156"/>
    <mergeCell ref="N150:N153"/>
    <mergeCell ref="O150:O153"/>
    <mergeCell ref="P150:P153"/>
    <mergeCell ref="R150:R153"/>
    <mergeCell ref="A154:A156"/>
    <mergeCell ref="B154:B156"/>
    <mergeCell ref="C154:C156"/>
    <mergeCell ref="E154:E156"/>
    <mergeCell ref="F154:F156"/>
    <mergeCell ref="G154:G156"/>
    <mergeCell ref="H150:H153"/>
    <mergeCell ref="I150:I153"/>
    <mergeCell ref="J150:J153"/>
    <mergeCell ref="K150:K153"/>
    <mergeCell ref="L150:L153"/>
    <mergeCell ref="M150:M153"/>
    <mergeCell ref="O147:O149"/>
    <mergeCell ref="P147:P149"/>
    <mergeCell ref="Q147:Q149"/>
    <mergeCell ref="R147:R149"/>
    <mergeCell ref="A150:A153"/>
    <mergeCell ref="B150:B153"/>
    <mergeCell ref="C150:C153"/>
    <mergeCell ref="E150:E153"/>
    <mergeCell ref="F150:F153"/>
    <mergeCell ref="G150:G153"/>
    <mergeCell ref="I147:I149"/>
    <mergeCell ref="J147:J149"/>
    <mergeCell ref="K147:K149"/>
    <mergeCell ref="L147:L149"/>
    <mergeCell ref="M147:M149"/>
    <mergeCell ref="N147:N149"/>
    <mergeCell ref="N72:N73"/>
    <mergeCell ref="O72:O73"/>
    <mergeCell ref="P72:P73"/>
    <mergeCell ref="A147:A149"/>
    <mergeCell ref="B147:B149"/>
    <mergeCell ref="C147:C149"/>
    <mergeCell ref="E147:E149"/>
    <mergeCell ref="F147:F149"/>
    <mergeCell ref="G147:G149"/>
    <mergeCell ref="H147:H149"/>
    <mergeCell ref="H72:H73"/>
    <mergeCell ref="I72:I73"/>
    <mergeCell ref="J72:J73"/>
    <mergeCell ref="K72:K73"/>
    <mergeCell ref="L72:L73"/>
    <mergeCell ref="M72:M73"/>
    <mergeCell ref="N53:N54"/>
    <mergeCell ref="O53:O54"/>
    <mergeCell ref="P53:P54"/>
    <mergeCell ref="A72:A73"/>
    <mergeCell ref="B72:B73"/>
    <mergeCell ref="C72:C73"/>
    <mergeCell ref="D72:D73"/>
    <mergeCell ref="E72:E73"/>
    <mergeCell ref="F72:F73"/>
    <mergeCell ref="G72:G73"/>
    <mergeCell ref="H53:H54"/>
    <mergeCell ref="I53:I54"/>
    <mergeCell ref="J53:J54"/>
    <mergeCell ref="K53:K54"/>
    <mergeCell ref="L53:L54"/>
    <mergeCell ref="M53:M54"/>
    <mergeCell ref="A53:A54"/>
    <mergeCell ref="B53:B54"/>
    <mergeCell ref="C53:C54"/>
    <mergeCell ref="E53:E54"/>
    <mergeCell ref="F53:F54"/>
    <mergeCell ref="G53:G54"/>
    <mergeCell ref="K29:K30"/>
    <mergeCell ref="L29:L30"/>
    <mergeCell ref="M29:M30"/>
    <mergeCell ref="N29:N30"/>
    <mergeCell ref="O29:O30"/>
    <mergeCell ref="P29:P30"/>
    <mergeCell ref="O12:O13"/>
    <mergeCell ref="A29:A30"/>
    <mergeCell ref="B29:B30"/>
    <mergeCell ref="C29:C30"/>
    <mergeCell ref="E29:E30"/>
    <mergeCell ref="F29:F30"/>
    <mergeCell ref="G29:G30"/>
    <mergeCell ref="H29:H30"/>
    <mergeCell ref="I29:I30"/>
    <mergeCell ref="J29:J30"/>
    <mergeCell ref="J11:O11"/>
    <mergeCell ref="P11:P13"/>
    <mergeCell ref="E12:E13"/>
    <mergeCell ref="F12:F13"/>
    <mergeCell ref="G12:H12"/>
    <mergeCell ref="I12:I13"/>
    <mergeCell ref="J12:J13"/>
    <mergeCell ref="K12:K13"/>
    <mergeCell ref="L12:L13"/>
    <mergeCell ref="M12:N12"/>
    <mergeCell ref="A9:B9"/>
    <mergeCell ref="A11:A13"/>
    <mergeCell ref="B11:B13"/>
    <mergeCell ref="C11:C13"/>
    <mergeCell ref="D11:D13"/>
    <mergeCell ref="E11:I11"/>
    <mergeCell ref="N1:Q1"/>
    <mergeCell ref="N2:Q2"/>
    <mergeCell ref="O3:P3"/>
    <mergeCell ref="A5:P5"/>
    <mergeCell ref="A6:P6"/>
    <mergeCell ref="A8:B8"/>
  </mergeCells>
  <conditionalFormatting sqref="Q359:Q360 Q362:R366 R361:S361">
    <cfRule type="iconSet" priority="13">
      <iconSet iconSet="3Arrows">
        <cfvo type="percent" val="0"/>
        <cfvo type="percent" val="33"/>
        <cfvo type="percent" val="67"/>
      </iconSet>
    </cfRule>
  </conditionalFormatting>
  <conditionalFormatting sqref="R352:R354 Q350:R351">
    <cfRule type="iconSet" priority="12">
      <iconSet iconSet="3Arrows">
        <cfvo type="percent" val="0"/>
        <cfvo type="percent" val="33"/>
        <cfvo type="percent" val="67"/>
      </iconSet>
    </cfRule>
  </conditionalFormatting>
  <conditionalFormatting sqref="R360">
    <cfRule type="iconSet" priority="11">
      <iconSet iconSet="3Arrows">
        <cfvo type="percent" val="0"/>
        <cfvo type="percent" val="33"/>
        <cfvo type="percent" val="67"/>
      </iconSet>
    </cfRule>
  </conditionalFormatting>
  <conditionalFormatting sqref="Q329:R333">
    <cfRule type="iconSet" priority="14">
      <iconSet iconSet="3Arrows">
        <cfvo type="percent" val="0"/>
        <cfvo type="percent" val="33"/>
        <cfvo type="percent" val="67"/>
      </iconSet>
    </cfRule>
  </conditionalFormatting>
  <conditionalFormatting sqref="Q315:Q316">
    <cfRule type="iconSet" priority="10">
      <iconSet iconSet="3Arrows">
        <cfvo type="percent" val="0"/>
        <cfvo type="percent" val="33"/>
        <cfvo type="percent" val="67"/>
      </iconSet>
    </cfRule>
  </conditionalFormatting>
  <conditionalFormatting sqref="R315:R316">
    <cfRule type="iconSet" priority="9">
      <iconSet iconSet="3Arrows">
        <cfvo type="percent" val="0"/>
        <cfvo type="percent" val="33"/>
        <cfvo type="percent" val="67"/>
      </iconSet>
    </cfRule>
  </conditionalFormatting>
  <conditionalFormatting sqref="R307:R308"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Q307:Q313">
    <cfRule type="iconSet" priority="15">
      <iconSet iconSet="3Arrows">
        <cfvo type="percent" val="0"/>
        <cfvo type="percent" val="33"/>
        <cfvo type="percent" val="67"/>
      </iconSet>
    </cfRule>
  </conditionalFormatting>
  <conditionalFormatting sqref="R309:R313">
    <cfRule type="iconSet" priority="7">
      <iconSet iconSet="3Arrows">
        <cfvo type="percent" val="0"/>
        <cfvo type="percent" val="33"/>
        <cfvo type="percent" val="67"/>
      </iconSet>
    </cfRule>
  </conditionalFormatting>
  <conditionalFormatting sqref="R342:R343"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R334:R340">
    <cfRule type="iconSet" priority="16">
      <iconSet iconSet="3Arrows">
        <cfvo type="percent" val="0"/>
        <cfvo type="percent" val="33"/>
        <cfvo type="percent" val="67"/>
      </iconSet>
    </cfRule>
  </conditionalFormatting>
  <conditionalFormatting sqref="Q348">
    <cfRule type="iconSet" priority="5">
      <iconSet iconSet="3Arrows">
        <cfvo type="percent" val="0"/>
        <cfvo type="percent" val="33"/>
        <cfvo type="percent" val="67"/>
      </iconSet>
    </cfRule>
  </conditionalFormatting>
  <conditionalFormatting sqref="Q361">
    <cfRule type="iconSet" priority="4">
      <iconSet iconSet="3Arrows">
        <cfvo type="percent" val="0"/>
        <cfvo type="percent" val="33"/>
        <cfvo type="percent" val="67"/>
      </iconSet>
    </cfRule>
  </conditionalFormatting>
  <conditionalFormatting sqref="R359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R355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R357">
    <cfRule type="iconSet" priority="1">
      <iconSet iconSet="3Arrows">
        <cfvo type="percent" val="0"/>
        <cfvo type="percent" val="33"/>
        <cfvo type="percent" val="67"/>
      </iconSet>
    </cfRule>
  </conditionalFormatting>
  <conditionalFormatting sqref="R344:R347">
    <cfRule type="iconSet" priority="17">
      <iconSet iconSet="3Arrows">
        <cfvo type="percent" val="0"/>
        <cfvo type="percent" val="33"/>
        <cfvo type="percent" val="67"/>
      </iconSet>
    </cfRule>
  </conditionalFormatting>
  <conditionalFormatting sqref="Q342:Q347">
    <cfRule type="iconSet" priority="18">
      <iconSet iconSet="3Arrows">
        <cfvo type="percent" val="0"/>
        <cfvo type="percent" val="33"/>
        <cfvo type="percent" val="67"/>
      </iconSet>
    </cfRule>
  </conditionalFormatting>
  <conditionalFormatting sqref="Q317:Q327">
    <cfRule type="iconSet" priority="19">
      <iconSet iconSet="3Arrows">
        <cfvo type="percent" val="0"/>
        <cfvo type="percent" val="33"/>
        <cfvo type="percent" val="67"/>
      </iconSet>
    </cfRule>
  </conditionalFormatting>
  <conditionalFormatting sqref="R317:R327">
    <cfRule type="iconSet" priority="20">
      <iconSet iconSet="3Arrows">
        <cfvo type="percent" val="0"/>
        <cfvo type="percent" val="33"/>
        <cfvo type="percent" val="67"/>
      </iconSet>
    </cfRule>
  </conditionalFormatting>
  <pageMargins left="0.23622047244094491" right="0.27559055118110237" top="0.27559055118110237" bottom="0.15748031496062992" header="0.23622047244094491" footer="0.27559055118110237"/>
  <pageSetup paperSize="9" scale="15" orientation="landscape" horizontalDpi="4294967295" verticalDpi="4294967295" r:id="rId1"/>
  <headerFooter alignWithMargins="0">
    <oddFooter>&amp;C&amp;"Times New Roman Cyr,курсив"Сторінка &amp;P з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3B7D8-66E0-495D-B96E-840C95D68E22}">
  <sheetPr>
    <tabColor rgb="FF99FFCC"/>
  </sheetPr>
  <dimension ref="A1:T406"/>
  <sheetViews>
    <sheetView view="pageBreakPreview" zoomScale="27" zoomScaleNormal="25" zoomScaleSheetLayoutView="27" zoomScalePageLayoutView="10" workbookViewId="0">
      <pane ySplit="14" topLeftCell="A374" activePane="bottomLeft" state="frozen"/>
      <selection activeCell="F35" sqref="F35"/>
      <selection pane="bottomLeft" activeCell="J381" sqref="J381"/>
    </sheetView>
  </sheetViews>
  <sheetFormatPr defaultColWidth="9.140625" defaultRowHeight="12.75" x14ac:dyDescent="0.2"/>
  <cols>
    <col min="1" max="1" width="48" style="245" customWidth="1"/>
    <col min="2" max="2" width="52.5703125" style="245" customWidth="1"/>
    <col min="3" max="3" width="65.7109375" style="245" customWidth="1"/>
    <col min="4" max="4" width="106.28515625" style="245" customWidth="1"/>
    <col min="5" max="5" width="66.42578125" style="310" customWidth="1"/>
    <col min="6" max="6" width="62.5703125" style="245" customWidth="1"/>
    <col min="7" max="7" width="59.7109375" style="245" customWidth="1"/>
    <col min="8" max="8" width="53.140625" style="245" customWidth="1"/>
    <col min="9" max="9" width="41.85546875" style="245" customWidth="1"/>
    <col min="10" max="10" width="50.5703125" style="310" customWidth="1"/>
    <col min="11" max="11" width="52.5703125" style="310" customWidth="1"/>
    <col min="12" max="12" width="56.140625" style="245" customWidth="1"/>
    <col min="13" max="13" width="54.85546875" style="245" customWidth="1"/>
    <col min="14" max="14" width="51" style="245" customWidth="1"/>
    <col min="15" max="15" width="56.140625" style="245" bestFit="1" customWidth="1"/>
    <col min="16" max="16" width="86.28515625" style="310" customWidth="1"/>
    <col min="17" max="17" width="52.140625" style="614" customWidth="1"/>
    <col min="18" max="18" width="33.85546875" style="247" customWidth="1"/>
    <col min="19" max="19" width="40.140625" style="779" bestFit="1" customWidth="1"/>
    <col min="20" max="20" width="43.5703125" style="779" bestFit="1" customWidth="1"/>
    <col min="21" max="16384" width="9.140625" style="779"/>
  </cols>
  <sheetData>
    <row r="1" spans="1:18" ht="45.75" x14ac:dyDescent="0.2">
      <c r="A1" s="386"/>
      <c r="B1" s="386"/>
      <c r="C1" s="386"/>
      <c r="D1" s="866"/>
      <c r="E1" s="867"/>
      <c r="F1" s="865"/>
      <c r="G1" s="867"/>
      <c r="H1" s="867"/>
      <c r="I1" s="867"/>
      <c r="J1" s="867"/>
      <c r="K1" s="867"/>
      <c r="L1" s="867"/>
      <c r="M1" s="867"/>
      <c r="N1" s="939" t="s">
        <v>511</v>
      </c>
      <c r="O1" s="890"/>
      <c r="P1" s="890"/>
      <c r="Q1" s="890"/>
    </row>
    <row r="2" spans="1:18" ht="45.75" x14ac:dyDescent="0.2">
      <c r="A2" s="866"/>
      <c r="B2" s="866"/>
      <c r="C2" s="866"/>
      <c r="D2" s="866"/>
      <c r="E2" s="867"/>
      <c r="F2" s="865"/>
      <c r="G2" s="867"/>
      <c r="H2" s="867"/>
      <c r="I2" s="867"/>
      <c r="J2" s="867"/>
      <c r="K2" s="867"/>
      <c r="L2" s="867"/>
      <c r="M2" s="867"/>
      <c r="N2" s="939" t="s">
        <v>1350</v>
      </c>
      <c r="O2" s="940"/>
      <c r="P2" s="940"/>
      <c r="Q2" s="940"/>
    </row>
    <row r="3" spans="1:18" ht="40.700000000000003" customHeight="1" x14ac:dyDescent="0.2">
      <c r="A3" s="866"/>
      <c r="B3" s="866"/>
      <c r="C3" s="866"/>
      <c r="D3" s="866"/>
      <c r="E3" s="867"/>
      <c r="F3" s="865"/>
      <c r="G3" s="867"/>
      <c r="H3" s="867"/>
      <c r="I3" s="867"/>
      <c r="J3" s="867"/>
      <c r="K3" s="867"/>
      <c r="L3" s="867"/>
      <c r="M3" s="867"/>
      <c r="N3" s="867"/>
      <c r="O3" s="939"/>
      <c r="P3" s="941"/>
      <c r="Q3" s="613"/>
    </row>
    <row r="4" spans="1:18" ht="45.75" hidden="1" x14ac:dyDescent="0.2">
      <c r="A4" s="866"/>
      <c r="B4" s="866"/>
      <c r="C4" s="866"/>
      <c r="D4" s="866"/>
      <c r="E4" s="867"/>
      <c r="F4" s="865"/>
      <c r="G4" s="867"/>
      <c r="H4" s="867"/>
      <c r="I4" s="867"/>
      <c r="J4" s="867"/>
      <c r="K4" s="867"/>
      <c r="L4" s="867"/>
      <c r="M4" s="867"/>
      <c r="N4" s="867"/>
      <c r="O4" s="866"/>
      <c r="P4" s="865"/>
      <c r="Q4" s="613"/>
    </row>
    <row r="5" spans="1:18" ht="45" x14ac:dyDescent="0.2">
      <c r="A5" s="942" t="s">
        <v>1390</v>
      </c>
      <c r="B5" s="942"/>
      <c r="C5" s="942"/>
      <c r="D5" s="942"/>
      <c r="E5" s="942"/>
      <c r="F5" s="942"/>
      <c r="G5" s="942"/>
      <c r="H5" s="942"/>
      <c r="I5" s="942"/>
      <c r="J5" s="942"/>
      <c r="K5" s="942"/>
      <c r="L5" s="942"/>
      <c r="M5" s="942"/>
      <c r="N5" s="942"/>
      <c r="O5" s="942"/>
      <c r="P5" s="942"/>
      <c r="Q5" s="613"/>
    </row>
    <row r="6" spans="1:18" ht="45" x14ac:dyDescent="0.2">
      <c r="A6" s="942" t="s">
        <v>1220</v>
      </c>
      <c r="B6" s="942"/>
      <c r="C6" s="942"/>
      <c r="D6" s="942"/>
      <c r="E6" s="942"/>
      <c r="F6" s="942"/>
      <c r="G6" s="942"/>
      <c r="H6" s="942"/>
      <c r="I6" s="942"/>
      <c r="J6" s="942"/>
      <c r="K6" s="942"/>
      <c r="L6" s="942"/>
      <c r="M6" s="942"/>
      <c r="N6" s="942"/>
      <c r="O6" s="942"/>
      <c r="P6" s="942"/>
      <c r="Q6" s="613"/>
    </row>
    <row r="7" spans="1:18" ht="45" x14ac:dyDescent="0.2">
      <c r="A7" s="867"/>
      <c r="B7" s="867"/>
      <c r="C7" s="867"/>
      <c r="D7" s="867"/>
      <c r="E7" s="867"/>
      <c r="F7" s="867"/>
      <c r="G7" s="867"/>
      <c r="H7" s="867"/>
      <c r="I7" s="867"/>
      <c r="J7" s="867"/>
      <c r="K7" s="867"/>
      <c r="L7" s="867"/>
      <c r="M7" s="867"/>
      <c r="N7" s="867"/>
      <c r="O7" s="867"/>
      <c r="P7" s="867"/>
      <c r="Q7" s="613"/>
    </row>
    <row r="8" spans="1:18" ht="45.75" x14ac:dyDescent="0.65">
      <c r="A8" s="943">
        <v>22564000000</v>
      </c>
      <c r="B8" s="944"/>
      <c r="C8" s="867"/>
      <c r="D8" s="867"/>
      <c r="E8" s="867"/>
      <c r="F8" s="867"/>
      <c r="G8" s="867"/>
      <c r="H8" s="867"/>
      <c r="I8" s="867"/>
      <c r="J8" s="867"/>
      <c r="K8" s="867"/>
      <c r="L8" s="867"/>
      <c r="M8" s="867"/>
      <c r="N8" s="867"/>
      <c r="O8" s="867"/>
      <c r="P8" s="867"/>
      <c r="Q8" s="613"/>
    </row>
    <row r="9" spans="1:18" ht="45.75" x14ac:dyDescent="0.2">
      <c r="A9" s="948" t="s">
        <v>508</v>
      </c>
      <c r="B9" s="949"/>
      <c r="C9" s="867"/>
      <c r="D9" s="867"/>
      <c r="E9" s="867"/>
      <c r="F9" s="867"/>
      <c r="G9" s="867"/>
      <c r="H9" s="867"/>
      <c r="I9" s="867"/>
      <c r="J9" s="867"/>
      <c r="K9" s="867"/>
      <c r="L9" s="867"/>
      <c r="M9" s="867"/>
      <c r="N9" s="867"/>
      <c r="O9" s="867"/>
      <c r="P9" s="867"/>
      <c r="Q9" s="613"/>
    </row>
    <row r="10" spans="1:18" ht="53.45" customHeight="1" thickBot="1" x14ac:dyDescent="0.25">
      <c r="A10" s="867"/>
      <c r="B10" s="867"/>
      <c r="C10" s="867"/>
      <c r="D10" s="867"/>
      <c r="E10" s="867"/>
      <c r="F10" s="865"/>
      <c r="G10" s="867"/>
      <c r="H10" s="867"/>
      <c r="I10" s="867"/>
      <c r="J10" s="867"/>
      <c r="K10" s="867"/>
      <c r="L10" s="867"/>
      <c r="M10" s="867"/>
      <c r="N10" s="867"/>
      <c r="O10" s="867"/>
      <c r="P10" s="390" t="s">
        <v>419</v>
      </c>
      <c r="Q10" s="613"/>
    </row>
    <row r="11" spans="1:18" ht="62.45" customHeight="1" thickTop="1" thickBot="1" x14ac:dyDescent="0.25">
      <c r="A11" s="947" t="s">
        <v>509</v>
      </c>
      <c r="B11" s="947" t="s">
        <v>510</v>
      </c>
      <c r="C11" s="947" t="s">
        <v>405</v>
      </c>
      <c r="D11" s="947" t="s">
        <v>600</v>
      </c>
      <c r="E11" s="945" t="s">
        <v>12</v>
      </c>
      <c r="F11" s="945"/>
      <c r="G11" s="945"/>
      <c r="H11" s="945"/>
      <c r="I11" s="945"/>
      <c r="J11" s="945" t="s">
        <v>54</v>
      </c>
      <c r="K11" s="945"/>
      <c r="L11" s="945"/>
      <c r="M11" s="945"/>
      <c r="N11" s="945"/>
      <c r="O11" s="946"/>
      <c r="P11" s="945" t="s">
        <v>11</v>
      </c>
    </row>
    <row r="12" spans="1:18" ht="96" customHeight="1" thickTop="1" thickBot="1" x14ac:dyDescent="0.25">
      <c r="A12" s="945"/>
      <c r="B12" s="950"/>
      <c r="C12" s="950"/>
      <c r="D12" s="945"/>
      <c r="E12" s="947" t="s">
        <v>399</v>
      </c>
      <c r="F12" s="947" t="s">
        <v>55</v>
      </c>
      <c r="G12" s="947" t="s">
        <v>13</v>
      </c>
      <c r="H12" s="947"/>
      <c r="I12" s="947" t="s">
        <v>57</v>
      </c>
      <c r="J12" s="947" t="s">
        <v>399</v>
      </c>
      <c r="K12" s="947" t="s">
        <v>400</v>
      </c>
      <c r="L12" s="947" t="s">
        <v>55</v>
      </c>
      <c r="M12" s="947" t="s">
        <v>13</v>
      </c>
      <c r="N12" s="947"/>
      <c r="O12" s="947" t="s">
        <v>57</v>
      </c>
      <c r="P12" s="945"/>
    </row>
    <row r="13" spans="1:18" ht="328.7" customHeight="1" thickTop="1" thickBot="1" x14ac:dyDescent="0.25">
      <c r="A13" s="950"/>
      <c r="B13" s="950"/>
      <c r="C13" s="950"/>
      <c r="D13" s="950"/>
      <c r="E13" s="947"/>
      <c r="F13" s="947"/>
      <c r="G13" s="868" t="s">
        <v>56</v>
      </c>
      <c r="H13" s="868" t="s">
        <v>15</v>
      </c>
      <c r="I13" s="947"/>
      <c r="J13" s="947"/>
      <c r="K13" s="947"/>
      <c r="L13" s="947"/>
      <c r="M13" s="868" t="s">
        <v>56</v>
      </c>
      <c r="N13" s="868" t="s">
        <v>15</v>
      </c>
      <c r="O13" s="947"/>
      <c r="P13" s="945"/>
    </row>
    <row r="14" spans="1:18" s="252" customFormat="1" ht="47.25" thickTop="1" thickBot="1" x14ac:dyDescent="0.25">
      <c r="A14" s="151" t="s">
        <v>2</v>
      </c>
      <c r="B14" s="151" t="s">
        <v>3</v>
      </c>
      <c r="C14" s="151" t="s">
        <v>14</v>
      </c>
      <c r="D14" s="151" t="s">
        <v>5</v>
      </c>
      <c r="E14" s="151" t="s">
        <v>407</v>
      </c>
      <c r="F14" s="151" t="s">
        <v>408</v>
      </c>
      <c r="G14" s="151" t="s">
        <v>409</v>
      </c>
      <c r="H14" s="151" t="s">
        <v>410</v>
      </c>
      <c r="I14" s="151" t="s">
        <v>411</v>
      </c>
      <c r="J14" s="151" t="s">
        <v>412</v>
      </c>
      <c r="K14" s="151" t="s">
        <v>413</v>
      </c>
      <c r="L14" s="151" t="s">
        <v>414</v>
      </c>
      <c r="M14" s="151" t="s">
        <v>415</v>
      </c>
      <c r="N14" s="151" t="s">
        <v>416</v>
      </c>
      <c r="O14" s="151" t="s">
        <v>417</v>
      </c>
      <c r="P14" s="151" t="s">
        <v>418</v>
      </c>
      <c r="Q14" s="615"/>
      <c r="R14" s="251"/>
    </row>
    <row r="15" spans="1:18" s="252" customFormat="1" ht="136.5" thickTop="1" thickBot="1" x14ac:dyDescent="0.25">
      <c r="A15" s="828" t="s">
        <v>156</v>
      </c>
      <c r="B15" s="828"/>
      <c r="C15" s="828"/>
      <c r="D15" s="829" t="s">
        <v>158</v>
      </c>
      <c r="E15" s="830">
        <f>E16</f>
        <v>1550000</v>
      </c>
      <c r="F15" s="831">
        <f t="shared" ref="F15:N15" si="0">F16</f>
        <v>1550000</v>
      </c>
      <c r="G15" s="831">
        <f t="shared" si="0"/>
        <v>0</v>
      </c>
      <c r="H15" s="831">
        <f t="shared" si="0"/>
        <v>0</v>
      </c>
      <c r="I15" s="831">
        <f t="shared" si="0"/>
        <v>0</v>
      </c>
      <c r="J15" s="830">
        <f t="shared" si="0"/>
        <v>1647711</v>
      </c>
      <c r="K15" s="831">
        <f t="shared" si="0"/>
        <v>1647711</v>
      </c>
      <c r="L15" s="831">
        <f t="shared" si="0"/>
        <v>0</v>
      </c>
      <c r="M15" s="831">
        <f t="shared" si="0"/>
        <v>0</v>
      </c>
      <c r="N15" s="831">
        <f t="shared" si="0"/>
        <v>0</v>
      </c>
      <c r="O15" s="830">
        <f>O16</f>
        <v>1647711</v>
      </c>
      <c r="P15" s="831">
        <f t="shared" ref="P15" si="1">P16</f>
        <v>3197711</v>
      </c>
      <c r="Q15" s="616"/>
      <c r="R15" s="254"/>
    </row>
    <row r="16" spans="1:18" s="252" customFormat="1" ht="136.5" thickTop="1" thickBot="1" x14ac:dyDescent="0.25">
      <c r="A16" s="832" t="s">
        <v>157</v>
      </c>
      <c r="B16" s="832"/>
      <c r="C16" s="832"/>
      <c r="D16" s="833" t="s">
        <v>159</v>
      </c>
      <c r="E16" s="834">
        <f>E17+E22+E32+E38</f>
        <v>1550000</v>
      </c>
      <c r="F16" s="834">
        <f>F17+F22+F32+F38</f>
        <v>1550000</v>
      </c>
      <c r="G16" s="834">
        <f>G17+G22+G32+G38</f>
        <v>0</v>
      </c>
      <c r="H16" s="834">
        <f>H17+H22+H32+H38</f>
        <v>0</v>
      </c>
      <c r="I16" s="834">
        <f>I17+I22+I32+I38</f>
        <v>0</v>
      </c>
      <c r="J16" s="834">
        <f>L16+O16</f>
        <v>1647711</v>
      </c>
      <c r="K16" s="834">
        <f>K17+K22+K32+K38</f>
        <v>1647711</v>
      </c>
      <c r="L16" s="834">
        <f>L17+L22+L32+L38</f>
        <v>0</v>
      </c>
      <c r="M16" s="834">
        <f>M17+M22+M32+M38</f>
        <v>0</v>
      </c>
      <c r="N16" s="834">
        <f>N17+N22+N32+N38</f>
        <v>0</v>
      </c>
      <c r="O16" s="834">
        <f>O17+O22+O32+O38</f>
        <v>1647711</v>
      </c>
      <c r="P16" s="834">
        <f>E16+J16</f>
        <v>3197711</v>
      </c>
      <c r="Q16" s="617" t="b">
        <f>P16=P18+P19+P20+P21+P24+P27+P29+P37+P40+P41+P31+P42+P25+P35+P34</f>
        <v>1</v>
      </c>
      <c r="R16" s="255"/>
    </row>
    <row r="17" spans="1:18" s="258" customFormat="1" ht="47.25" thickTop="1" thickBot="1" x14ac:dyDescent="0.25">
      <c r="A17" s="151" t="s">
        <v>726</v>
      </c>
      <c r="B17" s="151" t="s">
        <v>727</v>
      </c>
      <c r="C17" s="151"/>
      <c r="D17" s="151" t="s">
        <v>728</v>
      </c>
      <c r="E17" s="860">
        <f>'d3'!E17-d3П!E17</f>
        <v>0</v>
      </c>
      <c r="F17" s="860">
        <f>'d3'!F17-d3П!F17</f>
        <v>0</v>
      </c>
      <c r="G17" s="860">
        <f>'d3'!G17-d3П!G17</f>
        <v>0</v>
      </c>
      <c r="H17" s="860">
        <f>'d3'!H17-d3П!H17</f>
        <v>0</v>
      </c>
      <c r="I17" s="860">
        <f>'d3'!I17-d3П!I17</f>
        <v>0</v>
      </c>
      <c r="J17" s="860">
        <f>'d3'!J17-d3П!J17</f>
        <v>0</v>
      </c>
      <c r="K17" s="860">
        <f>'d3'!K17-d3П!K17</f>
        <v>0</v>
      </c>
      <c r="L17" s="860">
        <f>'d3'!L17-d3П!L17</f>
        <v>0</v>
      </c>
      <c r="M17" s="860">
        <f>'d3'!M17-d3П!M17</f>
        <v>0</v>
      </c>
      <c r="N17" s="860">
        <f>'d3'!N17-d3П!N17</f>
        <v>0</v>
      </c>
      <c r="O17" s="860">
        <f>'d3'!O17-d3П!O17</f>
        <v>0</v>
      </c>
      <c r="P17" s="860">
        <f>'d3'!P17-d3П!P17</f>
        <v>0</v>
      </c>
      <c r="Q17" s="618"/>
      <c r="R17" s="257"/>
    </row>
    <row r="18" spans="1:18" ht="321.75" thickTop="1" thickBot="1" x14ac:dyDescent="0.25">
      <c r="A18" s="864" t="s">
        <v>244</v>
      </c>
      <c r="B18" s="864" t="s">
        <v>245</v>
      </c>
      <c r="C18" s="864" t="s">
        <v>246</v>
      </c>
      <c r="D18" s="864" t="s">
        <v>243</v>
      </c>
      <c r="E18" s="860">
        <f>'d3'!E18-d3П!E18</f>
        <v>0</v>
      </c>
      <c r="F18" s="860">
        <f>'d3'!F18-d3П!F18</f>
        <v>0</v>
      </c>
      <c r="G18" s="860">
        <f>'d3'!G18-d3П!G18</f>
        <v>0</v>
      </c>
      <c r="H18" s="860">
        <f>'d3'!H18-d3П!H18</f>
        <v>0</v>
      </c>
      <c r="I18" s="860">
        <f>'d3'!I18-d3П!I18</f>
        <v>0</v>
      </c>
      <c r="J18" s="860">
        <f>'d3'!J18-d3П!J18</f>
        <v>0</v>
      </c>
      <c r="K18" s="860">
        <f>'d3'!K18-d3П!K18</f>
        <v>0</v>
      </c>
      <c r="L18" s="860">
        <f>'d3'!L18-d3П!L18</f>
        <v>0</v>
      </c>
      <c r="M18" s="860">
        <f>'d3'!M18-d3П!M18</f>
        <v>0</v>
      </c>
      <c r="N18" s="860">
        <f>'d3'!N18-d3П!N18</f>
        <v>0</v>
      </c>
      <c r="O18" s="860">
        <f>'d3'!O18-d3П!O18</f>
        <v>0</v>
      </c>
      <c r="P18" s="860">
        <f>'d3'!P18-d3П!P18</f>
        <v>0</v>
      </c>
      <c r="Q18" s="619"/>
      <c r="R18" s="263"/>
    </row>
    <row r="19" spans="1:18" ht="230.25" hidden="1" thickTop="1" thickBot="1" x14ac:dyDescent="0.25">
      <c r="A19" s="864" t="s">
        <v>613</v>
      </c>
      <c r="B19" s="864" t="s">
        <v>248</v>
      </c>
      <c r="C19" s="864" t="s">
        <v>246</v>
      </c>
      <c r="D19" s="864" t="s">
        <v>247</v>
      </c>
      <c r="E19" s="860"/>
      <c r="F19" s="447"/>
      <c r="G19" s="447"/>
      <c r="H19" s="447"/>
      <c r="I19" s="447"/>
      <c r="J19" s="860"/>
      <c r="K19" s="447"/>
      <c r="L19" s="459"/>
      <c r="M19" s="481"/>
      <c r="N19" s="481"/>
      <c r="O19" s="869"/>
      <c r="P19" s="860"/>
      <c r="Q19" s="619"/>
      <c r="R19" s="263"/>
    </row>
    <row r="20" spans="1:18" ht="184.5" thickTop="1" thickBot="1" x14ac:dyDescent="0.25">
      <c r="A20" s="862" t="s">
        <v>661</v>
      </c>
      <c r="B20" s="862" t="s">
        <v>376</v>
      </c>
      <c r="C20" s="862" t="s">
        <v>662</v>
      </c>
      <c r="D20" s="862" t="s">
        <v>663</v>
      </c>
      <c r="E20" s="860">
        <f>'d3'!E20-d3П!E20</f>
        <v>0</v>
      </c>
      <c r="F20" s="860">
        <f>'d3'!F20-d3П!F20</f>
        <v>0</v>
      </c>
      <c r="G20" s="860">
        <f>'d3'!G20-d3П!G20</f>
        <v>0</v>
      </c>
      <c r="H20" s="860">
        <f>'d3'!H20-d3П!H20</f>
        <v>0</v>
      </c>
      <c r="I20" s="860">
        <f>'d3'!I20-d3П!I20</f>
        <v>0</v>
      </c>
      <c r="J20" s="860">
        <f>'d3'!J20-d3П!J20</f>
        <v>0</v>
      </c>
      <c r="K20" s="860">
        <f>'d3'!K20-d3П!K20</f>
        <v>0</v>
      </c>
      <c r="L20" s="860">
        <f>'d3'!L20-d3П!L20</f>
        <v>0</v>
      </c>
      <c r="M20" s="860">
        <f>'d3'!M20-d3П!M20</f>
        <v>0</v>
      </c>
      <c r="N20" s="860">
        <f>'d3'!N20-d3П!N20</f>
        <v>0</v>
      </c>
      <c r="O20" s="860">
        <f>'d3'!O20-d3П!O20</f>
        <v>0</v>
      </c>
      <c r="P20" s="860">
        <f>'d3'!P20-d3П!P20</f>
        <v>0</v>
      </c>
      <c r="Q20" s="619"/>
      <c r="R20" s="267"/>
    </row>
    <row r="21" spans="1:18" ht="93" thickTop="1" thickBot="1" x14ac:dyDescent="0.25">
      <c r="A21" s="862" t="s">
        <v>259</v>
      </c>
      <c r="B21" s="862" t="s">
        <v>45</v>
      </c>
      <c r="C21" s="862" t="s">
        <v>44</v>
      </c>
      <c r="D21" s="862" t="s">
        <v>260</v>
      </c>
      <c r="E21" s="860">
        <f>'d3'!E21-d3П!E21</f>
        <v>0</v>
      </c>
      <c r="F21" s="860">
        <f>'d3'!F21-d3П!F21</f>
        <v>0</v>
      </c>
      <c r="G21" s="860">
        <f>'d3'!G21-d3П!G21</f>
        <v>0</v>
      </c>
      <c r="H21" s="860">
        <f>'d3'!H21-d3П!H21</f>
        <v>0</v>
      </c>
      <c r="I21" s="860">
        <f>'d3'!I21-d3П!I21</f>
        <v>0</v>
      </c>
      <c r="J21" s="860">
        <f>'d3'!J21-d3П!J21</f>
        <v>0</v>
      </c>
      <c r="K21" s="860">
        <f>'d3'!K21-d3П!K21</f>
        <v>0</v>
      </c>
      <c r="L21" s="860">
        <f>'d3'!L21-d3П!L21</f>
        <v>0</v>
      </c>
      <c r="M21" s="860">
        <f>'d3'!M21-d3П!M21</f>
        <v>0</v>
      </c>
      <c r="N21" s="860">
        <f>'d3'!N21-d3П!N21</f>
        <v>0</v>
      </c>
      <c r="O21" s="860">
        <f>'d3'!O21-d3П!O21</f>
        <v>0</v>
      </c>
      <c r="P21" s="860">
        <f>'d3'!P21-d3П!P21</f>
        <v>0</v>
      </c>
      <c r="Q21" s="619"/>
      <c r="R21" s="267"/>
    </row>
    <row r="22" spans="1:18" s="258" customFormat="1" ht="47.25" thickTop="1" thickBot="1" x14ac:dyDescent="0.3">
      <c r="A22" s="151" t="s">
        <v>791</v>
      </c>
      <c r="B22" s="466" t="s">
        <v>792</v>
      </c>
      <c r="C22" s="466"/>
      <c r="D22" s="466" t="s">
        <v>793</v>
      </c>
      <c r="E22" s="860">
        <f>'d3'!E22-d3П!E22</f>
        <v>0</v>
      </c>
      <c r="F22" s="860">
        <f>'d3'!F22-d3П!F22</f>
        <v>0</v>
      </c>
      <c r="G22" s="860">
        <f>'d3'!G22-d3П!G22</f>
        <v>0</v>
      </c>
      <c r="H22" s="860">
        <f>'d3'!H22-d3П!H22</f>
        <v>0</v>
      </c>
      <c r="I22" s="860">
        <f>'d3'!I22-d3П!I22</f>
        <v>0</v>
      </c>
      <c r="J22" s="860">
        <f>'d3'!J22-d3П!J22</f>
        <v>0</v>
      </c>
      <c r="K22" s="860">
        <f>'d3'!K22-d3П!K22</f>
        <v>0</v>
      </c>
      <c r="L22" s="860">
        <f>'d3'!L22-d3П!L22</f>
        <v>0</v>
      </c>
      <c r="M22" s="860">
        <f>'d3'!M22-d3П!M22</f>
        <v>0</v>
      </c>
      <c r="N22" s="860">
        <f>'d3'!N22-d3П!N22</f>
        <v>0</v>
      </c>
      <c r="O22" s="860">
        <f>'d3'!O22-d3П!O22</f>
        <v>0</v>
      </c>
      <c r="P22" s="860">
        <f>'d3'!P22-d3П!P22</f>
        <v>0</v>
      </c>
      <c r="Q22" s="620"/>
      <c r="R22" s="269"/>
    </row>
    <row r="23" spans="1:18" s="272" customFormat="1" ht="91.5" thickTop="1" thickBot="1" x14ac:dyDescent="0.25">
      <c r="A23" s="467" t="s">
        <v>729</v>
      </c>
      <c r="B23" s="467" t="s">
        <v>730</v>
      </c>
      <c r="C23" s="467"/>
      <c r="D23" s="467" t="s">
        <v>731</v>
      </c>
      <c r="E23" s="860">
        <f>'d3'!E23-d3П!E23</f>
        <v>0</v>
      </c>
      <c r="F23" s="860">
        <f>'d3'!F23-d3П!F23</f>
        <v>0</v>
      </c>
      <c r="G23" s="860">
        <f>'d3'!G23-d3П!G23</f>
        <v>0</v>
      </c>
      <c r="H23" s="860">
        <f>'d3'!H23-d3П!H23</f>
        <v>0</v>
      </c>
      <c r="I23" s="860">
        <f>'d3'!I23-d3П!I23</f>
        <v>0</v>
      </c>
      <c r="J23" s="860">
        <f>'d3'!J23-d3П!J23</f>
        <v>0</v>
      </c>
      <c r="K23" s="860">
        <f>'d3'!K23-d3П!K23</f>
        <v>0</v>
      </c>
      <c r="L23" s="860">
        <f>'d3'!L23-d3П!L23</f>
        <v>0</v>
      </c>
      <c r="M23" s="860">
        <f>'d3'!M23-d3П!M23</f>
        <v>0</v>
      </c>
      <c r="N23" s="860">
        <f>'d3'!N23-d3П!N23</f>
        <v>0</v>
      </c>
      <c r="O23" s="860">
        <f>'d3'!O23-d3П!O23</f>
        <v>0</v>
      </c>
      <c r="P23" s="860">
        <f>'d3'!P23-d3П!P23</f>
        <v>0</v>
      </c>
      <c r="Q23" s="621"/>
      <c r="R23" s="271"/>
    </row>
    <row r="24" spans="1:18" ht="93" thickTop="1" thickBot="1" x14ac:dyDescent="0.25">
      <c r="A24" s="862" t="s">
        <v>250</v>
      </c>
      <c r="B24" s="862" t="s">
        <v>251</v>
      </c>
      <c r="C24" s="862" t="s">
        <v>252</v>
      </c>
      <c r="D24" s="862" t="s">
        <v>249</v>
      </c>
      <c r="E24" s="860">
        <f>'d3'!E24-d3П!E24</f>
        <v>0</v>
      </c>
      <c r="F24" s="860">
        <f>'d3'!F24-d3П!F24</f>
        <v>0</v>
      </c>
      <c r="G24" s="860">
        <f>'d3'!G24-d3П!G24</f>
        <v>0</v>
      </c>
      <c r="H24" s="860">
        <f>'d3'!H24-d3П!H24</f>
        <v>0</v>
      </c>
      <c r="I24" s="860">
        <f>'d3'!I24-d3П!I24</f>
        <v>0</v>
      </c>
      <c r="J24" s="860">
        <f>'d3'!J24-d3П!J24</f>
        <v>0</v>
      </c>
      <c r="K24" s="860">
        <f>'d3'!K24-d3П!K24</f>
        <v>0</v>
      </c>
      <c r="L24" s="860">
        <f>'d3'!L24-d3П!L24</f>
        <v>0</v>
      </c>
      <c r="M24" s="860">
        <f>'d3'!M24-d3П!M24</f>
        <v>0</v>
      </c>
      <c r="N24" s="860">
        <f>'d3'!N24-d3П!N24</f>
        <v>0</v>
      </c>
      <c r="O24" s="860">
        <f>'d3'!O24-d3П!O24</f>
        <v>0</v>
      </c>
      <c r="P24" s="860">
        <f>'d3'!P24-d3П!P24</f>
        <v>0</v>
      </c>
      <c r="Q24" s="619"/>
      <c r="R24" s="263"/>
    </row>
    <row r="25" spans="1:18" ht="230.25" hidden="1" thickTop="1" thickBot="1" x14ac:dyDescent="0.25">
      <c r="A25" s="264" t="s">
        <v>1052</v>
      </c>
      <c r="B25" s="264" t="s">
        <v>1053</v>
      </c>
      <c r="C25" s="264" t="s">
        <v>252</v>
      </c>
      <c r="D25" s="264" t="s">
        <v>1054</v>
      </c>
      <c r="E25" s="265"/>
      <c r="F25" s="268"/>
      <c r="G25" s="268"/>
      <c r="H25" s="268"/>
      <c r="I25" s="268"/>
      <c r="J25" s="265"/>
      <c r="K25" s="268"/>
      <c r="L25" s="268"/>
      <c r="M25" s="268"/>
      <c r="N25" s="268"/>
      <c r="O25" s="266"/>
      <c r="P25" s="265"/>
      <c r="Q25" s="619"/>
      <c r="R25" s="263"/>
    </row>
    <row r="26" spans="1:18" s="274" customFormat="1" ht="136.5" thickTop="1" thickBot="1" x14ac:dyDescent="0.25">
      <c r="A26" s="469" t="s">
        <v>733</v>
      </c>
      <c r="B26" s="469" t="s">
        <v>734</v>
      </c>
      <c r="C26" s="469"/>
      <c r="D26" s="469" t="s">
        <v>732</v>
      </c>
      <c r="E26" s="860">
        <f>'d3'!E26-d3П!E26</f>
        <v>0</v>
      </c>
      <c r="F26" s="860">
        <f>'d3'!F26-d3П!F26</f>
        <v>0</v>
      </c>
      <c r="G26" s="860">
        <f>'d3'!G26-d3П!G26</f>
        <v>0</v>
      </c>
      <c r="H26" s="860">
        <f>'d3'!H26-d3П!H26</f>
        <v>0</v>
      </c>
      <c r="I26" s="860">
        <f>'d3'!I26-d3П!I26</f>
        <v>0</v>
      </c>
      <c r="J26" s="860">
        <f>'d3'!J26-d3П!J26</f>
        <v>0</v>
      </c>
      <c r="K26" s="860">
        <f>'d3'!K26-d3П!K26</f>
        <v>0</v>
      </c>
      <c r="L26" s="860">
        <f>'d3'!L26-d3П!L26</f>
        <v>0</v>
      </c>
      <c r="M26" s="860">
        <f>'d3'!M26-d3П!M26</f>
        <v>0</v>
      </c>
      <c r="N26" s="860">
        <f>'d3'!N26-d3П!N26</f>
        <v>0</v>
      </c>
      <c r="O26" s="860">
        <f>'d3'!O26-d3П!O26</f>
        <v>0</v>
      </c>
      <c r="P26" s="860">
        <f>'d3'!P26-d3П!P26</f>
        <v>0</v>
      </c>
      <c r="Q26" s="622"/>
      <c r="R26" s="273"/>
    </row>
    <row r="27" spans="1:18" ht="138.75" thickTop="1" thickBot="1" x14ac:dyDescent="0.25">
      <c r="A27" s="862" t="s">
        <v>312</v>
      </c>
      <c r="B27" s="862" t="s">
        <v>313</v>
      </c>
      <c r="C27" s="862" t="s">
        <v>178</v>
      </c>
      <c r="D27" s="862" t="s">
        <v>459</v>
      </c>
      <c r="E27" s="860">
        <f>'d3'!E27-d3П!E27</f>
        <v>0</v>
      </c>
      <c r="F27" s="860">
        <f>'d3'!F27-d3П!F27</f>
        <v>0</v>
      </c>
      <c r="G27" s="860">
        <f>'d3'!G27-d3П!G27</f>
        <v>0</v>
      </c>
      <c r="H27" s="860">
        <f>'d3'!H27-d3П!H27</f>
        <v>0</v>
      </c>
      <c r="I27" s="860">
        <f>'d3'!I27-d3П!I27</f>
        <v>0</v>
      </c>
      <c r="J27" s="860">
        <f>'d3'!J27-d3П!J27</f>
        <v>0</v>
      </c>
      <c r="K27" s="860">
        <f>'d3'!K27-d3П!K27</f>
        <v>0</v>
      </c>
      <c r="L27" s="860">
        <f>'d3'!L27-d3П!L27</f>
        <v>0</v>
      </c>
      <c r="M27" s="860">
        <f>'d3'!M27-d3П!M27</f>
        <v>0</v>
      </c>
      <c r="N27" s="860">
        <f>'d3'!N27-d3П!N27</f>
        <v>0</v>
      </c>
      <c r="O27" s="860">
        <f>'d3'!O27-d3П!O27</f>
        <v>0</v>
      </c>
      <c r="P27" s="860">
        <f>'d3'!P27-d3П!P27</f>
        <v>0</v>
      </c>
      <c r="Q27" s="619"/>
      <c r="R27" s="267"/>
    </row>
    <row r="28" spans="1:18" s="274" customFormat="1" ht="47.25" thickTop="1" thickBot="1" x14ac:dyDescent="0.25">
      <c r="A28" s="470" t="s">
        <v>736</v>
      </c>
      <c r="B28" s="470" t="s">
        <v>737</v>
      </c>
      <c r="C28" s="470"/>
      <c r="D28" s="471" t="s">
        <v>735</v>
      </c>
      <c r="E28" s="860">
        <f>'d3'!E28-d3П!E28</f>
        <v>0</v>
      </c>
      <c r="F28" s="860">
        <f>'d3'!F28-d3П!F28</f>
        <v>0</v>
      </c>
      <c r="G28" s="860">
        <f>'d3'!G28-d3П!G28</f>
        <v>0</v>
      </c>
      <c r="H28" s="860">
        <f>'d3'!H28-d3П!H28</f>
        <v>0</v>
      </c>
      <c r="I28" s="860">
        <f>'d3'!I28-d3П!I28</f>
        <v>0</v>
      </c>
      <c r="J28" s="860">
        <f>'d3'!J28-d3П!J28</f>
        <v>0</v>
      </c>
      <c r="K28" s="860">
        <f>'d3'!K28-d3П!K28</f>
        <v>0</v>
      </c>
      <c r="L28" s="860">
        <f>'d3'!L28-d3П!L28</f>
        <v>0</v>
      </c>
      <c r="M28" s="860">
        <f>'d3'!M28-d3П!M28</f>
        <v>0</v>
      </c>
      <c r="N28" s="860">
        <f>'d3'!N28-d3П!N28</f>
        <v>0</v>
      </c>
      <c r="O28" s="860">
        <f>'d3'!O28-d3П!O28</f>
        <v>0</v>
      </c>
      <c r="P28" s="860">
        <f>'d3'!P28-d3П!P28</f>
        <v>0</v>
      </c>
      <c r="Q28" s="622"/>
      <c r="R28" s="276"/>
    </row>
    <row r="29" spans="1:18" s="272" customFormat="1" ht="361.5" customHeight="1" thickTop="1" thickBot="1" x14ac:dyDescent="0.7">
      <c r="A29" s="930" t="s">
        <v>353</v>
      </c>
      <c r="B29" s="930" t="s">
        <v>352</v>
      </c>
      <c r="C29" s="930" t="s">
        <v>178</v>
      </c>
      <c r="D29" s="474" t="s">
        <v>457</v>
      </c>
      <c r="E29" s="1080">
        <f>'d3'!E29-d3П!E29</f>
        <v>0</v>
      </c>
      <c r="F29" s="1080">
        <f>'d3'!F29-d3П!F29</f>
        <v>0</v>
      </c>
      <c r="G29" s="1080">
        <f>'d3'!G29-d3П!G29</f>
        <v>0</v>
      </c>
      <c r="H29" s="1080">
        <f>'d3'!H29-d3П!H29</f>
        <v>0</v>
      </c>
      <c r="I29" s="1080">
        <f>'d3'!I29-d3П!I29</f>
        <v>0</v>
      </c>
      <c r="J29" s="1080">
        <f>'d3'!J29-d3П!J29</f>
        <v>0</v>
      </c>
      <c r="K29" s="1080">
        <f>'d3'!K29-d3П!K29</f>
        <v>0</v>
      </c>
      <c r="L29" s="1080">
        <f>'d3'!L29-d3П!L29</f>
        <v>0</v>
      </c>
      <c r="M29" s="1080">
        <f>'d3'!M29-d3П!M29</f>
        <v>0</v>
      </c>
      <c r="N29" s="1080">
        <f>'d3'!N29-d3П!N29</f>
        <v>0</v>
      </c>
      <c r="O29" s="1080">
        <f>'d3'!O29-d3П!O29</f>
        <v>0</v>
      </c>
      <c r="P29" s="1080">
        <f>'d3'!P29-d3П!P29</f>
        <v>0</v>
      </c>
      <c r="Q29" s="623"/>
      <c r="R29" s="277"/>
    </row>
    <row r="30" spans="1:18" s="272" customFormat="1" ht="184.5" thickTop="1" thickBot="1" x14ac:dyDescent="0.25">
      <c r="A30" s="932"/>
      <c r="B30" s="931"/>
      <c r="C30" s="932"/>
      <c r="D30" s="476" t="s">
        <v>458</v>
      </c>
      <c r="E30" s="1081"/>
      <c r="F30" s="1081"/>
      <c r="G30" s="1081"/>
      <c r="H30" s="1081"/>
      <c r="I30" s="1081"/>
      <c r="J30" s="1081"/>
      <c r="K30" s="1081"/>
      <c r="L30" s="1081"/>
      <c r="M30" s="1081"/>
      <c r="N30" s="1081"/>
      <c r="O30" s="1081"/>
      <c r="P30" s="1081"/>
      <c r="Q30" s="624"/>
      <c r="R30" s="277"/>
    </row>
    <row r="31" spans="1:18" s="272" customFormat="1" ht="93" thickTop="1" thickBot="1" x14ac:dyDescent="0.25">
      <c r="A31" s="864" t="s">
        <v>972</v>
      </c>
      <c r="B31" s="864" t="s">
        <v>269</v>
      </c>
      <c r="C31" s="864" t="s">
        <v>178</v>
      </c>
      <c r="D31" s="864" t="s">
        <v>267</v>
      </c>
      <c r="E31" s="860">
        <f>'d3'!E31-d3П!E31</f>
        <v>0</v>
      </c>
      <c r="F31" s="860">
        <f>'d3'!F31-d3П!F31</f>
        <v>0</v>
      </c>
      <c r="G31" s="860">
        <f>'d3'!G31-d3П!G31</f>
        <v>0</v>
      </c>
      <c r="H31" s="860">
        <f>'d3'!H31-d3П!H31</f>
        <v>0</v>
      </c>
      <c r="I31" s="860">
        <f>'d3'!I31-d3П!I31</f>
        <v>0</v>
      </c>
      <c r="J31" s="860">
        <f>'d3'!J31-d3П!J31</f>
        <v>0</v>
      </c>
      <c r="K31" s="860">
        <f>'d3'!K31-d3П!K31</f>
        <v>0</v>
      </c>
      <c r="L31" s="860">
        <f>'d3'!L31-d3П!L31</f>
        <v>0</v>
      </c>
      <c r="M31" s="860">
        <f>'d3'!M31-d3П!M31</f>
        <v>0</v>
      </c>
      <c r="N31" s="860">
        <f>'d3'!N31-d3П!N31</f>
        <v>0</v>
      </c>
      <c r="O31" s="860">
        <f>'d3'!O31-d3П!O31</f>
        <v>0</v>
      </c>
      <c r="P31" s="860">
        <f>'d3'!P31-d3П!P31</f>
        <v>0</v>
      </c>
      <c r="Q31" s="624"/>
      <c r="R31" s="277"/>
    </row>
    <row r="32" spans="1:18" s="272" customFormat="1" ht="46.5" customHeight="1" thickTop="1" thickBot="1" x14ac:dyDescent="0.25">
      <c r="A32" s="151" t="s">
        <v>738</v>
      </c>
      <c r="B32" s="151" t="s">
        <v>739</v>
      </c>
      <c r="C32" s="151"/>
      <c r="D32" s="151" t="s">
        <v>740</v>
      </c>
      <c r="E32" s="860">
        <f>'d3'!E32-d3П!E32</f>
        <v>890000</v>
      </c>
      <c r="F32" s="860">
        <f>'d3'!F32-d3П!F32</f>
        <v>890000</v>
      </c>
      <c r="G32" s="860">
        <f>'d3'!G32-d3П!G32</f>
        <v>0</v>
      </c>
      <c r="H32" s="860">
        <f>'d3'!H32-d3П!H32</f>
        <v>0</v>
      </c>
      <c r="I32" s="860">
        <f>'d3'!I32-d3П!I32</f>
        <v>0</v>
      </c>
      <c r="J32" s="860">
        <f>'d3'!J32-d3П!J32</f>
        <v>0</v>
      </c>
      <c r="K32" s="860">
        <f>'d3'!K32-d3П!K32</f>
        <v>0</v>
      </c>
      <c r="L32" s="860">
        <f>'d3'!L32-d3П!L32</f>
        <v>0</v>
      </c>
      <c r="M32" s="860">
        <f>'d3'!M32-d3П!M32</f>
        <v>0</v>
      </c>
      <c r="N32" s="860">
        <f>'d3'!N32-d3П!N32</f>
        <v>0</v>
      </c>
      <c r="O32" s="860">
        <f>'d3'!O32-d3П!O32</f>
        <v>0</v>
      </c>
      <c r="P32" s="860">
        <f>'d3'!P32-d3П!P32</f>
        <v>890000</v>
      </c>
      <c r="Q32" s="624"/>
      <c r="R32" s="277"/>
    </row>
    <row r="33" spans="1:20" s="272" customFormat="1" ht="103.5" customHeight="1" thickTop="1" thickBot="1" x14ac:dyDescent="0.25">
      <c r="A33" s="467" t="s">
        <v>1340</v>
      </c>
      <c r="B33" s="467" t="s">
        <v>1341</v>
      </c>
      <c r="C33" s="467"/>
      <c r="D33" s="467" t="s">
        <v>1339</v>
      </c>
      <c r="E33" s="860">
        <f>'d3'!E33-d3П!E33</f>
        <v>890000</v>
      </c>
      <c r="F33" s="860">
        <f>'d3'!F33-d3П!F33</f>
        <v>890000</v>
      </c>
      <c r="G33" s="860">
        <f>'d3'!G33-d3П!G33</f>
        <v>0</v>
      </c>
      <c r="H33" s="860">
        <f>'d3'!H33-d3П!H33</f>
        <v>0</v>
      </c>
      <c r="I33" s="860">
        <f>'d3'!I33-d3П!I33</f>
        <v>0</v>
      </c>
      <c r="J33" s="860">
        <f>'d3'!J33-d3П!J33</f>
        <v>0</v>
      </c>
      <c r="K33" s="860">
        <f>'d3'!K33-d3П!K33</f>
        <v>0</v>
      </c>
      <c r="L33" s="860">
        <f>'d3'!L33-d3П!L33</f>
        <v>0</v>
      </c>
      <c r="M33" s="860">
        <f>'d3'!M33-d3П!M33</f>
        <v>0</v>
      </c>
      <c r="N33" s="860">
        <f>'d3'!N33-d3П!N33</f>
        <v>0</v>
      </c>
      <c r="O33" s="860">
        <f>'d3'!O33-d3П!O33</f>
        <v>0</v>
      </c>
      <c r="P33" s="860">
        <f>'d3'!P33-d3П!P33</f>
        <v>890000</v>
      </c>
      <c r="Q33" s="624"/>
      <c r="R33" s="277"/>
    </row>
    <row r="34" spans="1:20" s="272" customFormat="1" ht="103.5" customHeight="1" thickTop="1" thickBot="1" x14ac:dyDescent="0.25">
      <c r="A34" s="862" t="s">
        <v>1386</v>
      </c>
      <c r="B34" s="862" t="s">
        <v>1387</v>
      </c>
      <c r="C34" s="862" t="s">
        <v>1343</v>
      </c>
      <c r="D34" s="862" t="s">
        <v>1388</v>
      </c>
      <c r="E34" s="860">
        <f>'d3'!E34-0</f>
        <v>600000</v>
      </c>
      <c r="F34" s="860">
        <f>'d3'!F34-0</f>
        <v>600000</v>
      </c>
      <c r="G34" s="860">
        <f>'d3'!G34-0</f>
        <v>0</v>
      </c>
      <c r="H34" s="860">
        <f>'d3'!H34-0</f>
        <v>0</v>
      </c>
      <c r="I34" s="860">
        <f>'d3'!I34-0</f>
        <v>0</v>
      </c>
      <c r="J34" s="860">
        <f>'d3'!J34-0</f>
        <v>0</v>
      </c>
      <c r="K34" s="860">
        <f>'d3'!K34-0</f>
        <v>0</v>
      </c>
      <c r="L34" s="860">
        <f>'d3'!L34-0</f>
        <v>0</v>
      </c>
      <c r="M34" s="860">
        <f>'d3'!M34-0</f>
        <v>0</v>
      </c>
      <c r="N34" s="860">
        <f>'d3'!N34-0</f>
        <v>0</v>
      </c>
      <c r="O34" s="860">
        <f>'d3'!O34-0</f>
        <v>0</v>
      </c>
      <c r="P34" s="860">
        <f>'d3'!P34-0</f>
        <v>600000</v>
      </c>
      <c r="Q34" s="624"/>
      <c r="R34" s="277"/>
    </row>
    <row r="35" spans="1:20" s="272" customFormat="1" ht="93" thickTop="1" thickBot="1" x14ac:dyDescent="0.25">
      <c r="A35" s="862" t="s">
        <v>1344</v>
      </c>
      <c r="B35" s="862" t="s">
        <v>1345</v>
      </c>
      <c r="C35" s="862" t="s">
        <v>1343</v>
      </c>
      <c r="D35" s="862" t="s">
        <v>1342</v>
      </c>
      <c r="E35" s="863">
        <f>'d3'!E35-d3П!E34</f>
        <v>290000</v>
      </c>
      <c r="F35" s="863">
        <f>'d3'!F35-d3П!F34</f>
        <v>290000</v>
      </c>
      <c r="G35" s="863">
        <f>'d3'!G35-d3П!G34</f>
        <v>0</v>
      </c>
      <c r="H35" s="863">
        <f>'d3'!H35-d3П!H34</f>
        <v>0</v>
      </c>
      <c r="I35" s="863">
        <f>'d3'!I35-d3П!I34</f>
        <v>0</v>
      </c>
      <c r="J35" s="863">
        <f>'d3'!J35-d3П!J34</f>
        <v>0</v>
      </c>
      <c r="K35" s="863">
        <f>'d3'!K35-d3П!K34</f>
        <v>0</v>
      </c>
      <c r="L35" s="863">
        <f>'d3'!L35-d3П!L34</f>
        <v>0</v>
      </c>
      <c r="M35" s="863">
        <f>'d3'!M35-d3П!M34</f>
        <v>0</v>
      </c>
      <c r="N35" s="863">
        <f>'d3'!N35-d3П!N34</f>
        <v>0</v>
      </c>
      <c r="O35" s="863">
        <f>'d3'!O35-d3П!O34</f>
        <v>0</v>
      </c>
      <c r="P35" s="863">
        <f>'d3'!P35-d3П!P34</f>
        <v>290000</v>
      </c>
      <c r="Q35" s="624"/>
      <c r="R35" s="277"/>
    </row>
    <row r="36" spans="1:20" s="272" customFormat="1" ht="47.25" thickTop="1" thickBot="1" x14ac:dyDescent="0.25">
      <c r="A36" s="467" t="s">
        <v>741</v>
      </c>
      <c r="B36" s="467" t="s">
        <v>742</v>
      </c>
      <c r="C36" s="467"/>
      <c r="D36" s="467" t="s">
        <v>743</v>
      </c>
      <c r="E36" s="863">
        <f>'d3'!E36-d3П!E35</f>
        <v>0</v>
      </c>
      <c r="F36" s="863">
        <f>'d3'!F36-d3П!F35</f>
        <v>0</v>
      </c>
      <c r="G36" s="863">
        <f>'d3'!G36-d3П!G35</f>
        <v>0</v>
      </c>
      <c r="H36" s="863">
        <f>'d3'!H36-d3П!H35</f>
        <v>0</v>
      </c>
      <c r="I36" s="863">
        <f>'d3'!I36-d3П!I35</f>
        <v>0</v>
      </c>
      <c r="J36" s="863">
        <f>'d3'!J36-d3П!J35</f>
        <v>0</v>
      </c>
      <c r="K36" s="863">
        <f>'d3'!K36-d3П!K35</f>
        <v>0</v>
      </c>
      <c r="L36" s="863">
        <f>'d3'!L36-d3П!L35</f>
        <v>0</v>
      </c>
      <c r="M36" s="863">
        <f>'d3'!M36-d3П!M35</f>
        <v>0</v>
      </c>
      <c r="N36" s="863">
        <f>'d3'!N36-d3П!N35</f>
        <v>0</v>
      </c>
      <c r="O36" s="863">
        <f>'d3'!O36-d3П!O35</f>
        <v>0</v>
      </c>
      <c r="P36" s="863">
        <f>'d3'!P36-d3П!P35</f>
        <v>0</v>
      </c>
      <c r="Q36" s="624"/>
    </row>
    <row r="37" spans="1:20" ht="93" thickTop="1" thickBot="1" x14ac:dyDescent="0.25">
      <c r="A37" s="862" t="s">
        <v>253</v>
      </c>
      <c r="B37" s="862" t="s">
        <v>254</v>
      </c>
      <c r="C37" s="862" t="s">
        <v>255</v>
      </c>
      <c r="D37" s="862" t="s">
        <v>256</v>
      </c>
      <c r="E37" s="863">
        <f>'d3'!E37-d3П!E36</f>
        <v>0</v>
      </c>
      <c r="F37" s="863">
        <f>'d3'!F37-d3П!F36</f>
        <v>0</v>
      </c>
      <c r="G37" s="863">
        <f>'d3'!G37-d3П!G36</f>
        <v>0</v>
      </c>
      <c r="H37" s="863">
        <f>'d3'!H37-d3П!H36</f>
        <v>0</v>
      </c>
      <c r="I37" s="863">
        <f>'d3'!I37-d3П!I36</f>
        <v>0</v>
      </c>
      <c r="J37" s="863">
        <f>'d3'!J37-d3П!J36</f>
        <v>0</v>
      </c>
      <c r="K37" s="863">
        <f>'d3'!K37-d3П!K36</f>
        <v>0</v>
      </c>
      <c r="L37" s="863">
        <f>'d3'!L37-d3П!L36</f>
        <v>0</v>
      </c>
      <c r="M37" s="863">
        <f>'d3'!M37-d3П!M36</f>
        <v>0</v>
      </c>
      <c r="N37" s="863">
        <f>'d3'!N37-d3П!N36</f>
        <v>0</v>
      </c>
      <c r="O37" s="863">
        <f>'d3'!O37-d3П!O36</f>
        <v>0</v>
      </c>
      <c r="P37" s="863">
        <f>'d3'!P37-d3П!P36</f>
        <v>0</v>
      </c>
    </row>
    <row r="38" spans="1:20" ht="47.25" thickTop="1" thickBot="1" x14ac:dyDescent="0.25">
      <c r="A38" s="151" t="s">
        <v>744</v>
      </c>
      <c r="B38" s="151" t="s">
        <v>745</v>
      </c>
      <c r="C38" s="151"/>
      <c r="D38" s="151" t="s">
        <v>746</v>
      </c>
      <c r="E38" s="863">
        <f>'d3'!E38-d3П!E37</f>
        <v>660000</v>
      </c>
      <c r="F38" s="863">
        <f>'d3'!F38-d3П!F37</f>
        <v>660000</v>
      </c>
      <c r="G38" s="863">
        <f>'d3'!G38-d3П!G37</f>
        <v>0</v>
      </c>
      <c r="H38" s="863">
        <f>'d3'!H38-d3П!H37</f>
        <v>0</v>
      </c>
      <c r="I38" s="863">
        <f>'d3'!I38-d3П!I37</f>
        <v>0</v>
      </c>
      <c r="J38" s="863">
        <f>'d3'!J38-d3П!J37</f>
        <v>1647711</v>
      </c>
      <c r="K38" s="863">
        <f>'d3'!K38-d3П!K37</f>
        <v>1647711</v>
      </c>
      <c r="L38" s="863">
        <f>'d3'!L38-d3П!L37</f>
        <v>0</v>
      </c>
      <c r="M38" s="863">
        <f>'d3'!M38-d3П!M37</f>
        <v>0</v>
      </c>
      <c r="N38" s="863">
        <f>'d3'!N38-d3П!N37</f>
        <v>0</v>
      </c>
      <c r="O38" s="863">
        <f>'d3'!O38-d3П!O37</f>
        <v>1647711</v>
      </c>
      <c r="P38" s="863">
        <f>'d3'!P38-d3П!P37</f>
        <v>2307711</v>
      </c>
    </row>
    <row r="39" spans="1:20" s="272" customFormat="1" ht="271.5" thickTop="1" thickBot="1" x14ac:dyDescent="0.25">
      <c r="A39" s="467" t="s">
        <v>747</v>
      </c>
      <c r="B39" s="467" t="s">
        <v>748</v>
      </c>
      <c r="C39" s="467"/>
      <c r="D39" s="467" t="s">
        <v>749</v>
      </c>
      <c r="E39" s="863">
        <f>'d3'!E39-d3П!E38</f>
        <v>0</v>
      </c>
      <c r="F39" s="863">
        <f>'d3'!F39-d3П!F38</f>
        <v>0</v>
      </c>
      <c r="G39" s="863">
        <f>'d3'!G39-d3П!G38</f>
        <v>0</v>
      </c>
      <c r="H39" s="863">
        <f>'d3'!H39-d3П!H38</f>
        <v>0</v>
      </c>
      <c r="I39" s="863">
        <f>'d3'!I39-d3П!I38</f>
        <v>0</v>
      </c>
      <c r="J39" s="863">
        <f>'d3'!J39-d3П!J38</f>
        <v>0</v>
      </c>
      <c r="K39" s="863">
        <f>'d3'!K39-d3П!K38</f>
        <v>0</v>
      </c>
      <c r="L39" s="863">
        <f>'d3'!L39-d3П!L38</f>
        <v>0</v>
      </c>
      <c r="M39" s="863">
        <f>'d3'!M39-d3П!M38</f>
        <v>0</v>
      </c>
      <c r="N39" s="863">
        <f>'d3'!N39-d3П!N38</f>
        <v>0</v>
      </c>
      <c r="O39" s="863">
        <f>'d3'!O39-d3П!O38</f>
        <v>0</v>
      </c>
      <c r="P39" s="863">
        <f>'d3'!P39-d3П!P38</f>
        <v>0</v>
      </c>
      <c r="Q39" s="624"/>
      <c r="R39" s="277"/>
    </row>
    <row r="40" spans="1:20" ht="276" thickTop="1" thickBot="1" x14ac:dyDescent="0.25">
      <c r="A40" s="864" t="s">
        <v>257</v>
      </c>
      <c r="B40" s="864" t="s">
        <v>258</v>
      </c>
      <c r="C40" s="864" t="s">
        <v>45</v>
      </c>
      <c r="D40" s="864" t="s">
        <v>460</v>
      </c>
      <c r="E40" s="863">
        <f>'d3'!E40-d3П!E39</f>
        <v>0</v>
      </c>
      <c r="F40" s="863">
        <f>'d3'!F40-d3П!F39</f>
        <v>0</v>
      </c>
      <c r="G40" s="863">
        <f>'d3'!G40-d3П!G39</f>
        <v>0</v>
      </c>
      <c r="H40" s="863">
        <f>'d3'!H40-d3П!H39</f>
        <v>0</v>
      </c>
      <c r="I40" s="863">
        <f>'d3'!I40-d3П!I39</f>
        <v>0</v>
      </c>
      <c r="J40" s="863">
        <f>'d3'!J40-d3П!J39</f>
        <v>0</v>
      </c>
      <c r="K40" s="863">
        <f>'d3'!K40-d3П!K39</f>
        <v>0</v>
      </c>
      <c r="L40" s="863">
        <f>'d3'!L40-d3П!L39</f>
        <v>0</v>
      </c>
      <c r="M40" s="863">
        <f>'d3'!M40-d3П!M39</f>
        <v>0</v>
      </c>
      <c r="N40" s="863">
        <f>'d3'!N40-d3П!N39</f>
        <v>0</v>
      </c>
      <c r="O40" s="863">
        <f>'d3'!O40-d3П!O39</f>
        <v>0</v>
      </c>
      <c r="P40" s="863">
        <f>'d3'!P40-d3П!P39</f>
        <v>0</v>
      </c>
    </row>
    <row r="41" spans="1:20" ht="93" thickTop="1" thickBot="1" x14ac:dyDescent="0.25">
      <c r="A41" s="864" t="s">
        <v>603</v>
      </c>
      <c r="B41" s="864" t="s">
        <v>377</v>
      </c>
      <c r="C41" s="864" t="s">
        <v>45</v>
      </c>
      <c r="D41" s="864" t="s">
        <v>378</v>
      </c>
      <c r="E41" s="863">
        <f>'d3'!E41-d3П!E40</f>
        <v>0</v>
      </c>
      <c r="F41" s="863">
        <f>'d3'!F41-d3П!F40</f>
        <v>0</v>
      </c>
      <c r="G41" s="863">
        <f>'d3'!G41-d3П!G40</f>
        <v>0</v>
      </c>
      <c r="H41" s="863">
        <f>'d3'!H41-d3П!H40</f>
        <v>0</v>
      </c>
      <c r="I41" s="863">
        <f>'d3'!I41-d3П!I40</f>
        <v>0</v>
      </c>
      <c r="J41" s="863">
        <f>'d3'!J41-d3П!J40</f>
        <v>0</v>
      </c>
      <c r="K41" s="863">
        <f>'d3'!K41-d3П!K40</f>
        <v>0</v>
      </c>
      <c r="L41" s="863">
        <f>'d3'!L41-d3П!L40</f>
        <v>0</v>
      </c>
      <c r="M41" s="863">
        <f>'d3'!M41-d3П!M40</f>
        <v>0</v>
      </c>
      <c r="N41" s="863">
        <f>'d3'!N41-d3П!N40</f>
        <v>0</v>
      </c>
      <c r="O41" s="863">
        <f>'d3'!O41-d3П!O40</f>
        <v>0</v>
      </c>
      <c r="P41" s="863">
        <f>'d3'!P41-d3П!P40</f>
        <v>0</v>
      </c>
    </row>
    <row r="42" spans="1:20" ht="271.5" thickTop="1" thickBot="1" x14ac:dyDescent="0.25">
      <c r="A42" s="467" t="s">
        <v>531</v>
      </c>
      <c r="B42" s="467" t="s">
        <v>532</v>
      </c>
      <c r="C42" s="467" t="s">
        <v>45</v>
      </c>
      <c r="D42" s="467" t="s">
        <v>533</v>
      </c>
      <c r="E42" s="863">
        <f>'d3'!E42-d3П!E41</f>
        <v>660000</v>
      </c>
      <c r="F42" s="863">
        <f>'d3'!F42-d3П!F41</f>
        <v>660000</v>
      </c>
      <c r="G42" s="863">
        <f>'d3'!G42-d3П!G41</f>
        <v>0</v>
      </c>
      <c r="H42" s="863">
        <f>'d3'!H42-d3П!H41</f>
        <v>0</v>
      </c>
      <c r="I42" s="863">
        <f>'d3'!I42-d3П!I41</f>
        <v>0</v>
      </c>
      <c r="J42" s="863">
        <f>'d3'!J42-d3П!J41</f>
        <v>1647711</v>
      </c>
      <c r="K42" s="863">
        <f>'d3'!K42-d3П!K41</f>
        <v>1647711</v>
      </c>
      <c r="L42" s="863">
        <f>'d3'!L42-d3П!L41</f>
        <v>0</v>
      </c>
      <c r="M42" s="863">
        <f>'d3'!M42-d3П!M41</f>
        <v>0</v>
      </c>
      <c r="N42" s="863">
        <f>'d3'!N42-d3П!N41</f>
        <v>0</v>
      </c>
      <c r="O42" s="863">
        <f>'d3'!O42-d3П!O41</f>
        <v>1647711</v>
      </c>
      <c r="P42" s="863">
        <f>'d3'!P42-d3П!P41</f>
        <v>2307711</v>
      </c>
      <c r="R42" s="255"/>
    </row>
    <row r="43" spans="1:20" ht="177.75" customHeight="1" thickTop="1" thickBot="1" x14ac:dyDescent="0.25">
      <c r="A43" s="828" t="s">
        <v>160</v>
      </c>
      <c r="B43" s="828"/>
      <c r="C43" s="828"/>
      <c r="D43" s="829" t="s">
        <v>0</v>
      </c>
      <c r="E43" s="830">
        <f>E44</f>
        <v>0</v>
      </c>
      <c r="F43" s="831">
        <f t="shared" ref="F43" si="2">F44</f>
        <v>0</v>
      </c>
      <c r="G43" s="831">
        <f>G44</f>
        <v>0</v>
      </c>
      <c r="H43" s="831">
        <f>H44</f>
        <v>-300000</v>
      </c>
      <c r="I43" s="831">
        <f t="shared" ref="I43" si="3">I44</f>
        <v>0</v>
      </c>
      <c r="J43" s="830">
        <f>J44</f>
        <v>0</v>
      </c>
      <c r="K43" s="831">
        <f>K44</f>
        <v>0</v>
      </c>
      <c r="L43" s="831">
        <f>L44</f>
        <v>0</v>
      </c>
      <c r="M43" s="831">
        <f t="shared" ref="M43" si="4">M44</f>
        <v>0</v>
      </c>
      <c r="N43" s="831">
        <f>N44</f>
        <v>0</v>
      </c>
      <c r="O43" s="830">
        <f>O44</f>
        <v>0</v>
      </c>
      <c r="P43" s="831">
        <f t="shared" ref="P43" si="5">P44</f>
        <v>0</v>
      </c>
    </row>
    <row r="44" spans="1:20" ht="159" customHeight="1" thickTop="1" thickBot="1" x14ac:dyDescent="0.25">
      <c r="A44" s="832" t="s">
        <v>161</v>
      </c>
      <c r="B44" s="832"/>
      <c r="C44" s="832"/>
      <c r="D44" s="833" t="s">
        <v>1</v>
      </c>
      <c r="E44" s="834">
        <f>E45+E77+E88+E82</f>
        <v>0</v>
      </c>
      <c r="F44" s="834">
        <f>F45+F77+F88+F82</f>
        <v>0</v>
      </c>
      <c r="G44" s="834">
        <f>G45+G77+G88+G82</f>
        <v>0</v>
      </c>
      <c r="H44" s="834">
        <f>H45+H77+H88+H82</f>
        <v>-300000</v>
      </c>
      <c r="I44" s="834">
        <f>I45+I77+I88+I82</f>
        <v>0</v>
      </c>
      <c r="J44" s="834">
        <f>L44+O44</f>
        <v>0</v>
      </c>
      <c r="K44" s="834">
        <f>K45+K77+K88+K82</f>
        <v>0</v>
      </c>
      <c r="L44" s="834">
        <f>L45+L77+L88+L82</f>
        <v>0</v>
      </c>
      <c r="M44" s="834">
        <f>M45+M77+M88+M82</f>
        <v>0</v>
      </c>
      <c r="N44" s="834">
        <f>N45+N77+N88+N82</f>
        <v>0</v>
      </c>
      <c r="O44" s="834">
        <f>O45+O77+O88+O82</f>
        <v>0</v>
      </c>
      <c r="P44" s="834">
        <f>E44+J44</f>
        <v>0</v>
      </c>
      <c r="Q44" s="617" t="b">
        <f>P44=P46+P48+P49+P52+P57+P59+P60+P62+P63+P65+P66+P67+P69+P75+P78+P56+P76+P50+P70+P72+P80+P73+P90+P81+P85+P87+P53</f>
        <v>1</v>
      </c>
      <c r="R44" s="255"/>
    </row>
    <row r="45" spans="1:20" ht="47.25" thickTop="1" thickBot="1" x14ac:dyDescent="0.25">
      <c r="A45" s="151" t="s">
        <v>750</v>
      </c>
      <c r="B45" s="151" t="s">
        <v>751</v>
      </c>
      <c r="C45" s="151"/>
      <c r="D45" s="151" t="s">
        <v>752</v>
      </c>
      <c r="E45" s="863">
        <f>'d3'!E45-d3П!E44</f>
        <v>0</v>
      </c>
      <c r="F45" s="863">
        <f>'d3'!F45-d3П!F44</f>
        <v>0</v>
      </c>
      <c r="G45" s="863">
        <f>'d3'!G45-d3П!G44</f>
        <v>0</v>
      </c>
      <c r="H45" s="863">
        <f>'d3'!H45-d3П!H44</f>
        <v>-300000</v>
      </c>
      <c r="I45" s="863">
        <f>'d3'!I45-d3П!I44</f>
        <v>0</v>
      </c>
      <c r="J45" s="863">
        <f>'d3'!J45-d3П!J44</f>
        <v>0</v>
      </c>
      <c r="K45" s="863">
        <f>'d3'!K45-d3П!K44</f>
        <v>0</v>
      </c>
      <c r="L45" s="863">
        <f>'d3'!L45-d3П!L44</f>
        <v>0</v>
      </c>
      <c r="M45" s="863">
        <f>'d3'!M45-d3П!M44</f>
        <v>0</v>
      </c>
      <c r="N45" s="863">
        <f>'d3'!N45-d3П!N44</f>
        <v>0</v>
      </c>
      <c r="O45" s="863">
        <f>'d3'!O45-d3П!O44</f>
        <v>0</v>
      </c>
      <c r="P45" s="863">
        <f>'d3'!P45-d3П!P44</f>
        <v>0</v>
      </c>
      <c r="Q45" s="617"/>
      <c r="R45" s="255"/>
    </row>
    <row r="46" spans="1:20" ht="99" customHeight="1" thickTop="1" thickBot="1" x14ac:dyDescent="0.6">
      <c r="A46" s="864" t="s">
        <v>210</v>
      </c>
      <c r="B46" s="864" t="s">
        <v>211</v>
      </c>
      <c r="C46" s="864" t="s">
        <v>213</v>
      </c>
      <c r="D46" s="864" t="s">
        <v>214</v>
      </c>
      <c r="E46" s="863">
        <f>'d3'!E46-d3П!E45</f>
        <v>0</v>
      </c>
      <c r="F46" s="863">
        <f>'d3'!F46-d3П!F45</f>
        <v>0</v>
      </c>
      <c r="G46" s="863">
        <f>'d3'!G46-d3П!G45</f>
        <v>0</v>
      </c>
      <c r="H46" s="863">
        <f>'d3'!H46-d3П!H45</f>
        <v>0</v>
      </c>
      <c r="I46" s="863">
        <f>'d3'!I46-d3П!I45</f>
        <v>0</v>
      </c>
      <c r="J46" s="863">
        <f>'d3'!J46-d3П!J45</f>
        <v>0</v>
      </c>
      <c r="K46" s="863">
        <f>'d3'!K46-d3П!K45</f>
        <v>0</v>
      </c>
      <c r="L46" s="863">
        <f>'d3'!L46-d3П!L45</f>
        <v>0</v>
      </c>
      <c r="M46" s="863">
        <f>'d3'!M46-d3П!M45</f>
        <v>0</v>
      </c>
      <c r="N46" s="863">
        <f>'d3'!N46-d3П!N45</f>
        <v>0</v>
      </c>
      <c r="O46" s="863">
        <f>'d3'!O46-d3П!O45</f>
        <v>0</v>
      </c>
      <c r="P46" s="863">
        <f>'d3'!P46-d3П!P45</f>
        <v>0</v>
      </c>
      <c r="Q46" s="625"/>
      <c r="R46" s="255"/>
    </row>
    <row r="47" spans="1:20" s="274" customFormat="1" ht="138.75" thickTop="1" thickBot="1" x14ac:dyDescent="0.6">
      <c r="A47" s="489" t="s">
        <v>215</v>
      </c>
      <c r="B47" s="489" t="s">
        <v>212</v>
      </c>
      <c r="C47" s="489"/>
      <c r="D47" s="489" t="s">
        <v>686</v>
      </c>
      <c r="E47" s="863">
        <f>'d3'!E47-d3П!E46</f>
        <v>0</v>
      </c>
      <c r="F47" s="863">
        <f>'d3'!F47-d3П!F46</f>
        <v>0</v>
      </c>
      <c r="G47" s="863">
        <f>'d3'!G47-d3П!G46</f>
        <v>0</v>
      </c>
      <c r="H47" s="863">
        <f>'d3'!H47-d3П!H46</f>
        <v>-300000</v>
      </c>
      <c r="I47" s="863">
        <f>'d3'!I47-d3П!I46</f>
        <v>0</v>
      </c>
      <c r="J47" s="863">
        <f>'d3'!J47-d3П!J46</f>
        <v>0</v>
      </c>
      <c r="K47" s="863">
        <f>'d3'!K47-d3П!K46</f>
        <v>0</v>
      </c>
      <c r="L47" s="863">
        <f>'d3'!L47-d3П!L46</f>
        <v>0</v>
      </c>
      <c r="M47" s="863">
        <f>'d3'!M47-d3П!M46</f>
        <v>0</v>
      </c>
      <c r="N47" s="863">
        <f>'d3'!N47-d3П!N46</f>
        <v>0</v>
      </c>
      <c r="O47" s="863">
        <f>'d3'!O47-d3П!O46</f>
        <v>0</v>
      </c>
      <c r="P47" s="863">
        <f>'d3'!P47-d3П!P46</f>
        <v>0</v>
      </c>
      <c r="Q47" s="625"/>
      <c r="R47" s="280"/>
    </row>
    <row r="48" spans="1:20" ht="138.75" thickTop="1" thickBot="1" x14ac:dyDescent="0.6">
      <c r="A48" s="864" t="s">
        <v>683</v>
      </c>
      <c r="B48" s="864" t="s">
        <v>684</v>
      </c>
      <c r="C48" s="864" t="s">
        <v>216</v>
      </c>
      <c r="D48" s="864" t="s">
        <v>685</v>
      </c>
      <c r="E48" s="863">
        <f>'d3'!E48-d3П!E47</f>
        <v>0</v>
      </c>
      <c r="F48" s="863">
        <f>'d3'!F48-d3П!F47</f>
        <v>0</v>
      </c>
      <c r="G48" s="863">
        <f>'d3'!G48-d3П!G47</f>
        <v>0</v>
      </c>
      <c r="H48" s="863">
        <f>'d3'!H48-d3П!H47</f>
        <v>-300000</v>
      </c>
      <c r="I48" s="863">
        <f>'d3'!I48-d3П!I47</f>
        <v>0</v>
      </c>
      <c r="J48" s="863">
        <f>'d3'!J48-d3П!J47</f>
        <v>0</v>
      </c>
      <c r="K48" s="863">
        <f>'d3'!K48-d3П!K47</f>
        <v>0</v>
      </c>
      <c r="L48" s="863">
        <f>'d3'!L48-d3П!L47</f>
        <v>0</v>
      </c>
      <c r="M48" s="863">
        <f>'d3'!M48-d3П!M47</f>
        <v>0</v>
      </c>
      <c r="N48" s="863">
        <f>'d3'!N48-d3П!N47</f>
        <v>0</v>
      </c>
      <c r="O48" s="863">
        <f>'d3'!O48-d3П!O47</f>
        <v>0</v>
      </c>
      <c r="P48" s="863">
        <f>'d3'!P48-d3П!P47</f>
        <v>0</v>
      </c>
      <c r="Q48" s="625"/>
      <c r="R48" s="255"/>
      <c r="T48" s="281"/>
    </row>
    <row r="49" spans="1:18" ht="276" thickTop="1" thickBot="1" x14ac:dyDescent="0.25">
      <c r="A49" s="864" t="s">
        <v>693</v>
      </c>
      <c r="B49" s="864" t="s">
        <v>694</v>
      </c>
      <c r="C49" s="864" t="s">
        <v>219</v>
      </c>
      <c r="D49" s="864" t="s">
        <v>515</v>
      </c>
      <c r="E49" s="863">
        <f>'d3'!E49-d3П!E48</f>
        <v>0</v>
      </c>
      <c r="F49" s="863">
        <f>'d3'!F49-d3П!F48</f>
        <v>0</v>
      </c>
      <c r="G49" s="863">
        <f>'d3'!G49-d3П!G48</f>
        <v>0</v>
      </c>
      <c r="H49" s="863">
        <f>'d3'!H49-d3П!H48</f>
        <v>0</v>
      </c>
      <c r="I49" s="863">
        <f>'d3'!I49-d3П!I48</f>
        <v>0</v>
      </c>
      <c r="J49" s="863">
        <f>'d3'!J49-d3П!J48</f>
        <v>0</v>
      </c>
      <c r="K49" s="863">
        <f>'d3'!K49-d3П!K48</f>
        <v>0</v>
      </c>
      <c r="L49" s="863">
        <f>'d3'!L49-d3П!L48</f>
        <v>0</v>
      </c>
      <c r="M49" s="863">
        <f>'d3'!M49-d3П!M48</f>
        <v>0</v>
      </c>
      <c r="N49" s="863">
        <f>'d3'!N49-d3П!N48</f>
        <v>0</v>
      </c>
      <c r="O49" s="863">
        <f>'d3'!O49-d3П!O48</f>
        <v>0</v>
      </c>
      <c r="P49" s="863">
        <f>'d3'!P49-d3П!P48</f>
        <v>0</v>
      </c>
      <c r="R49" s="257"/>
    </row>
    <row r="50" spans="1:18" ht="184.5" thickTop="1" thickBot="1" x14ac:dyDescent="0.25">
      <c r="A50" s="864" t="s">
        <v>1073</v>
      </c>
      <c r="B50" s="864" t="s">
        <v>1074</v>
      </c>
      <c r="C50" s="864" t="s">
        <v>219</v>
      </c>
      <c r="D50" s="864" t="s">
        <v>1075</v>
      </c>
      <c r="E50" s="863">
        <f>'d3'!E50-d3П!E49</f>
        <v>0</v>
      </c>
      <c r="F50" s="863">
        <f>'d3'!F50-d3П!F49</f>
        <v>0</v>
      </c>
      <c r="G50" s="863">
        <f>'d3'!G50-d3П!G49</f>
        <v>0</v>
      </c>
      <c r="H50" s="863">
        <f>'d3'!H50-d3П!H49</f>
        <v>0</v>
      </c>
      <c r="I50" s="863">
        <f>'d3'!I50-d3П!I49</f>
        <v>0</v>
      </c>
      <c r="J50" s="863">
        <f>'d3'!J50-d3П!J49</f>
        <v>0</v>
      </c>
      <c r="K50" s="863">
        <f>'d3'!K50-d3П!K49</f>
        <v>0</v>
      </c>
      <c r="L50" s="863">
        <f>'d3'!L50-d3П!L49</f>
        <v>0</v>
      </c>
      <c r="M50" s="863">
        <f>'d3'!M50-d3П!M49</f>
        <v>0</v>
      </c>
      <c r="N50" s="863">
        <f>'d3'!N50-d3П!N49</f>
        <v>0</v>
      </c>
      <c r="O50" s="863">
        <f>'d3'!O50-d3П!O49</f>
        <v>0</v>
      </c>
      <c r="P50" s="863">
        <f>'d3'!P50-d3П!P49</f>
        <v>0</v>
      </c>
      <c r="R50" s="257"/>
    </row>
    <row r="51" spans="1:18" s="274" customFormat="1" ht="138.75" thickTop="1" thickBot="1" x14ac:dyDescent="0.25">
      <c r="A51" s="489" t="s">
        <v>516</v>
      </c>
      <c r="B51" s="489" t="s">
        <v>217</v>
      </c>
      <c r="C51" s="489"/>
      <c r="D51" s="489" t="s">
        <v>701</v>
      </c>
      <c r="E51" s="863">
        <f>'d3'!E51-d3П!E50</f>
        <v>0</v>
      </c>
      <c r="F51" s="863">
        <f>'d3'!F51-d3П!F50</f>
        <v>0</v>
      </c>
      <c r="G51" s="863">
        <f>'d3'!G51-d3П!G50</f>
        <v>0</v>
      </c>
      <c r="H51" s="863">
        <f>'d3'!H51-d3П!H50</f>
        <v>0</v>
      </c>
      <c r="I51" s="863">
        <f>'d3'!I51-d3П!I50</f>
        <v>0</v>
      </c>
      <c r="J51" s="863">
        <f>'d3'!J51-d3П!J50</f>
        <v>0</v>
      </c>
      <c r="K51" s="863">
        <f>'d3'!K51-d3П!K50</f>
        <v>0</v>
      </c>
      <c r="L51" s="863">
        <f>'d3'!L51-d3П!L50</f>
        <v>0</v>
      </c>
      <c r="M51" s="863">
        <f>'d3'!M51-d3П!M50</f>
        <v>0</v>
      </c>
      <c r="N51" s="863">
        <f>'d3'!N51-d3П!N50</f>
        <v>0</v>
      </c>
      <c r="O51" s="863">
        <f>'d3'!O51-d3П!O50</f>
        <v>0</v>
      </c>
      <c r="P51" s="863">
        <f>'d3'!P51-d3П!P50</f>
        <v>0</v>
      </c>
      <c r="Q51" s="614"/>
      <c r="R51" s="276"/>
    </row>
    <row r="52" spans="1:18" ht="138.75" thickTop="1" thickBot="1" x14ac:dyDescent="0.25">
      <c r="A52" s="864" t="s">
        <v>702</v>
      </c>
      <c r="B52" s="864" t="s">
        <v>703</v>
      </c>
      <c r="C52" s="864" t="s">
        <v>216</v>
      </c>
      <c r="D52" s="864" t="s">
        <v>685</v>
      </c>
      <c r="E52" s="863">
        <f>'d3'!E52-d3П!E51</f>
        <v>0</v>
      </c>
      <c r="F52" s="863">
        <f>'d3'!F52-d3П!F51</f>
        <v>0</v>
      </c>
      <c r="G52" s="863">
        <f>'d3'!G52-d3П!G51</f>
        <v>0</v>
      </c>
      <c r="H52" s="863">
        <f>'d3'!H52-d3П!H51</f>
        <v>0</v>
      </c>
      <c r="I52" s="863">
        <f>'d3'!I52-d3П!I51</f>
        <v>0</v>
      </c>
      <c r="J52" s="863">
        <f>'d3'!J52-d3П!J51</f>
        <v>0</v>
      </c>
      <c r="K52" s="863">
        <f>'d3'!K52-d3П!K51</f>
        <v>0</v>
      </c>
      <c r="L52" s="863">
        <f>'d3'!L52-d3П!L51</f>
        <v>0</v>
      </c>
      <c r="M52" s="863">
        <f>'d3'!M52-d3П!M51</f>
        <v>0</v>
      </c>
      <c r="N52" s="863">
        <f>'d3'!N52-d3П!N51</f>
        <v>0</v>
      </c>
      <c r="O52" s="863">
        <f>'d3'!O52-d3П!O51</f>
        <v>0</v>
      </c>
      <c r="P52" s="863">
        <f>'d3'!P52-d3П!P51</f>
        <v>0</v>
      </c>
      <c r="R52" s="267"/>
    </row>
    <row r="53" spans="1:18" ht="184.5" thickTop="1" thickBot="1" x14ac:dyDescent="0.25">
      <c r="A53" s="864" t="s">
        <v>1263</v>
      </c>
      <c r="B53" s="877" t="s">
        <v>1264</v>
      </c>
      <c r="C53" s="864" t="s">
        <v>219</v>
      </c>
      <c r="D53" s="864" t="s">
        <v>1265</v>
      </c>
      <c r="E53" s="863">
        <f>'d3'!E53-d3П!E52</f>
        <v>0</v>
      </c>
      <c r="F53" s="863">
        <f>'d3'!F53-d3П!F52</f>
        <v>0</v>
      </c>
      <c r="G53" s="863">
        <f>'d3'!G53-d3П!G52</f>
        <v>0</v>
      </c>
      <c r="H53" s="863">
        <f>'d3'!H53-d3П!H52</f>
        <v>0</v>
      </c>
      <c r="I53" s="863">
        <f>'d3'!I53-d3П!I52</f>
        <v>0</v>
      </c>
      <c r="J53" s="863">
        <f>'d3'!J53-d3П!J52</f>
        <v>0</v>
      </c>
      <c r="K53" s="863">
        <f>'d3'!K53-d3П!K52</f>
        <v>0</v>
      </c>
      <c r="L53" s="863">
        <f>'d3'!L53-d3П!L52</f>
        <v>0</v>
      </c>
      <c r="M53" s="863">
        <f>'d3'!M53-d3П!M52</f>
        <v>0</v>
      </c>
      <c r="N53" s="863">
        <f>'d3'!N53-d3П!N52</f>
        <v>0</v>
      </c>
      <c r="O53" s="863">
        <f>'d3'!O53-d3П!O52</f>
        <v>0</v>
      </c>
      <c r="P53" s="863">
        <f>'d3'!P53-d3П!P52</f>
        <v>0</v>
      </c>
      <c r="R53" s="267"/>
    </row>
    <row r="54" spans="1:18" ht="409.6" hidden="1" thickTop="1" thickBot="1" x14ac:dyDescent="0.7">
      <c r="A54" s="938" t="s">
        <v>990</v>
      </c>
      <c r="B54" s="938" t="s">
        <v>52</v>
      </c>
      <c r="C54" s="938"/>
      <c r="D54" s="282" t="s">
        <v>993</v>
      </c>
      <c r="E54" s="922"/>
      <c r="F54" s="922"/>
      <c r="G54" s="922"/>
      <c r="H54" s="922"/>
      <c r="I54" s="922"/>
      <c r="J54" s="922"/>
      <c r="K54" s="922"/>
      <c r="L54" s="922"/>
      <c r="M54" s="922"/>
      <c r="N54" s="922"/>
      <c r="O54" s="922"/>
      <c r="P54" s="922"/>
      <c r="R54" s="267"/>
    </row>
    <row r="55" spans="1:18" ht="184.5" hidden="1" thickTop="1" thickBot="1" x14ac:dyDescent="0.25">
      <c r="A55" s="905"/>
      <c r="B55" s="905"/>
      <c r="C55" s="905"/>
      <c r="D55" s="283" t="s">
        <v>994</v>
      </c>
      <c r="E55" s="905"/>
      <c r="F55" s="905"/>
      <c r="G55" s="905"/>
      <c r="H55" s="905"/>
      <c r="I55" s="905"/>
      <c r="J55" s="905"/>
      <c r="K55" s="905"/>
      <c r="L55" s="905"/>
      <c r="M55" s="905"/>
      <c r="N55" s="905"/>
      <c r="O55" s="905"/>
      <c r="P55" s="905"/>
      <c r="R55" s="267"/>
    </row>
    <row r="56" spans="1:18" ht="138.75" hidden="1" thickTop="1" thickBot="1" x14ac:dyDescent="0.25">
      <c r="A56" s="873" t="s">
        <v>991</v>
      </c>
      <c r="B56" s="873" t="s">
        <v>992</v>
      </c>
      <c r="C56" s="873" t="s">
        <v>216</v>
      </c>
      <c r="D56" s="873" t="s">
        <v>995</v>
      </c>
      <c r="E56" s="874"/>
      <c r="F56" s="278"/>
      <c r="G56" s="278"/>
      <c r="H56" s="278"/>
      <c r="I56" s="278"/>
      <c r="J56" s="874"/>
      <c r="K56" s="278"/>
      <c r="L56" s="278"/>
      <c r="M56" s="278"/>
      <c r="N56" s="278"/>
      <c r="O56" s="871"/>
      <c r="P56" s="874"/>
      <c r="R56" s="255"/>
    </row>
    <row r="57" spans="1:18" ht="184.5" thickTop="1" thickBot="1" x14ac:dyDescent="0.25">
      <c r="A57" s="864" t="s">
        <v>704</v>
      </c>
      <c r="B57" s="864" t="s">
        <v>218</v>
      </c>
      <c r="C57" s="864" t="s">
        <v>193</v>
      </c>
      <c r="D57" s="864" t="s">
        <v>517</v>
      </c>
      <c r="E57" s="863">
        <f>'d3'!E57-d3П!E56</f>
        <v>0</v>
      </c>
      <c r="F57" s="863">
        <f>'d3'!F57-d3П!F56</f>
        <v>0</v>
      </c>
      <c r="G57" s="863">
        <f>'d3'!G57-d3П!G56</f>
        <v>0</v>
      </c>
      <c r="H57" s="863">
        <f>'d3'!H57-d3П!H56</f>
        <v>0</v>
      </c>
      <c r="I57" s="863">
        <f>'d3'!I57-d3П!I56</f>
        <v>0</v>
      </c>
      <c r="J57" s="863">
        <f>'d3'!J57-d3П!J56</f>
        <v>0</v>
      </c>
      <c r="K57" s="863">
        <f>'d3'!K57-d3П!K56</f>
        <v>0</v>
      </c>
      <c r="L57" s="863">
        <f>'d3'!L57-d3П!L56</f>
        <v>0</v>
      </c>
      <c r="M57" s="863">
        <f>'d3'!M57-d3П!M56</f>
        <v>0</v>
      </c>
      <c r="N57" s="863">
        <f>'d3'!N57-d3П!N56</f>
        <v>0</v>
      </c>
      <c r="O57" s="863">
        <f>'d3'!O57-d3П!O56</f>
        <v>0</v>
      </c>
      <c r="P57" s="863">
        <f>'d3'!P57-d3П!P56</f>
        <v>0</v>
      </c>
      <c r="R57" s="255"/>
    </row>
    <row r="58" spans="1:18" s="274" customFormat="1" ht="184.5" thickTop="1" thickBot="1" x14ac:dyDescent="0.25">
      <c r="A58" s="489" t="s">
        <v>220</v>
      </c>
      <c r="B58" s="489" t="s">
        <v>203</v>
      </c>
      <c r="C58" s="489"/>
      <c r="D58" s="489" t="s">
        <v>518</v>
      </c>
      <c r="E58" s="863">
        <f>'d3'!E58-d3П!E57</f>
        <v>0</v>
      </c>
      <c r="F58" s="863">
        <f>'d3'!F58-d3П!F57</f>
        <v>0</v>
      </c>
      <c r="G58" s="863">
        <f>'d3'!G58-d3П!G57</f>
        <v>0</v>
      </c>
      <c r="H58" s="863">
        <f>'d3'!H58-d3П!H57</f>
        <v>0</v>
      </c>
      <c r="I58" s="863">
        <f>'d3'!I58-d3П!I57</f>
        <v>0</v>
      </c>
      <c r="J58" s="863">
        <f>'d3'!J58-d3П!J57</f>
        <v>0</v>
      </c>
      <c r="K58" s="863">
        <f>'d3'!K58-d3П!K57</f>
        <v>0</v>
      </c>
      <c r="L58" s="863">
        <f>'d3'!L58-d3П!L57</f>
        <v>0</v>
      </c>
      <c r="M58" s="863">
        <f>'d3'!M58-d3П!M57</f>
        <v>0</v>
      </c>
      <c r="N58" s="863">
        <f>'d3'!N58-d3П!N57</f>
        <v>0</v>
      </c>
      <c r="O58" s="863">
        <f>'d3'!O58-d3П!O57</f>
        <v>0</v>
      </c>
      <c r="P58" s="863">
        <f>'d3'!P58-d3П!P57</f>
        <v>0</v>
      </c>
      <c r="Q58" s="614"/>
      <c r="R58" s="276"/>
    </row>
    <row r="59" spans="1:18" ht="230.25" thickTop="1" thickBot="1" x14ac:dyDescent="0.25">
      <c r="A59" s="864" t="s">
        <v>705</v>
      </c>
      <c r="B59" s="864" t="s">
        <v>706</v>
      </c>
      <c r="C59" s="864" t="s">
        <v>221</v>
      </c>
      <c r="D59" s="864" t="s">
        <v>707</v>
      </c>
      <c r="E59" s="863">
        <f>'d3'!E59-d3П!E58</f>
        <v>0</v>
      </c>
      <c r="F59" s="863">
        <f>'d3'!F59-d3П!F58</f>
        <v>0</v>
      </c>
      <c r="G59" s="863">
        <f>'d3'!G59-d3П!G58</f>
        <v>0</v>
      </c>
      <c r="H59" s="863">
        <f>'d3'!H59-d3П!H58</f>
        <v>0</v>
      </c>
      <c r="I59" s="863">
        <f>'d3'!I59-d3П!I58</f>
        <v>0</v>
      </c>
      <c r="J59" s="863">
        <f>'d3'!J59-d3П!J58</f>
        <v>0</v>
      </c>
      <c r="K59" s="863">
        <f>'d3'!K59-d3П!K58</f>
        <v>0</v>
      </c>
      <c r="L59" s="863">
        <f>'d3'!L59-d3П!L58</f>
        <v>0</v>
      </c>
      <c r="M59" s="863">
        <f>'d3'!M59-d3П!M58</f>
        <v>0</v>
      </c>
      <c r="N59" s="863">
        <f>'d3'!N59-d3П!N58</f>
        <v>0</v>
      </c>
      <c r="O59" s="863">
        <f>'d3'!O59-d3П!O58</f>
        <v>0</v>
      </c>
      <c r="P59" s="863">
        <f>'d3'!P59-d3П!P58</f>
        <v>0</v>
      </c>
      <c r="R59" s="255"/>
    </row>
    <row r="60" spans="1:18" ht="230.25" thickTop="1" thickBot="1" x14ac:dyDescent="0.25">
      <c r="A60" s="864" t="s">
        <v>709</v>
      </c>
      <c r="B60" s="864" t="s">
        <v>708</v>
      </c>
      <c r="C60" s="864" t="s">
        <v>221</v>
      </c>
      <c r="D60" s="864" t="s">
        <v>710</v>
      </c>
      <c r="E60" s="863">
        <f>'d3'!E60-d3П!E59</f>
        <v>0</v>
      </c>
      <c r="F60" s="863">
        <f>'d3'!F60-d3П!F59</f>
        <v>0</v>
      </c>
      <c r="G60" s="863">
        <f>'d3'!G60-d3П!G59</f>
        <v>0</v>
      </c>
      <c r="H60" s="863">
        <f>'d3'!H60-d3П!H59</f>
        <v>0</v>
      </c>
      <c r="I60" s="863">
        <f>'d3'!I60-d3П!I59</f>
        <v>0</v>
      </c>
      <c r="J60" s="863">
        <f>'d3'!J60-d3П!J59</f>
        <v>0</v>
      </c>
      <c r="K60" s="863">
        <f>'d3'!K60-d3П!K59</f>
        <v>0</v>
      </c>
      <c r="L60" s="863">
        <f>'d3'!L60-d3П!L59</f>
        <v>0</v>
      </c>
      <c r="M60" s="863">
        <f>'d3'!M60-d3П!M59</f>
        <v>0</v>
      </c>
      <c r="N60" s="863">
        <f>'d3'!N60-d3П!N59</f>
        <v>0</v>
      </c>
      <c r="O60" s="863">
        <f>'d3'!O60-d3П!O59</f>
        <v>0</v>
      </c>
      <c r="P60" s="863">
        <f>'d3'!P60-d3П!P59</f>
        <v>0</v>
      </c>
      <c r="R60" s="267"/>
    </row>
    <row r="61" spans="1:18" s="274" customFormat="1" ht="93" thickTop="1" thickBot="1" x14ac:dyDescent="0.25">
      <c r="A61" s="489" t="s">
        <v>712</v>
      </c>
      <c r="B61" s="489" t="s">
        <v>711</v>
      </c>
      <c r="C61" s="489"/>
      <c r="D61" s="489" t="s">
        <v>713</v>
      </c>
      <c r="E61" s="863">
        <f>'d3'!E61-d3П!E60</f>
        <v>0</v>
      </c>
      <c r="F61" s="863">
        <f>'d3'!F61-d3П!F60</f>
        <v>0</v>
      </c>
      <c r="G61" s="863">
        <f>'d3'!G61-d3П!G60</f>
        <v>0</v>
      </c>
      <c r="H61" s="863">
        <f>'d3'!H61-d3П!H60</f>
        <v>0</v>
      </c>
      <c r="I61" s="863">
        <f>'d3'!I61-d3П!I60</f>
        <v>0</v>
      </c>
      <c r="J61" s="863">
        <f>'d3'!J61-d3П!J60</f>
        <v>0</v>
      </c>
      <c r="K61" s="863">
        <f>'d3'!K61-d3П!K60</f>
        <v>0</v>
      </c>
      <c r="L61" s="863">
        <f>'d3'!L61-d3П!L60</f>
        <v>0</v>
      </c>
      <c r="M61" s="863">
        <f>'d3'!M61-d3П!M60</f>
        <v>0</v>
      </c>
      <c r="N61" s="863">
        <f>'d3'!N61-d3П!N60</f>
        <v>0</v>
      </c>
      <c r="O61" s="863">
        <f>'d3'!O61-d3П!O60</f>
        <v>0</v>
      </c>
      <c r="P61" s="863">
        <f>'d3'!P61-d3П!P60</f>
        <v>0</v>
      </c>
      <c r="Q61" s="614"/>
      <c r="R61" s="276"/>
    </row>
    <row r="62" spans="1:18" ht="93" thickTop="1" thickBot="1" x14ac:dyDescent="0.25">
      <c r="A62" s="864" t="s">
        <v>714</v>
      </c>
      <c r="B62" s="864" t="s">
        <v>715</v>
      </c>
      <c r="C62" s="864" t="s">
        <v>222</v>
      </c>
      <c r="D62" s="864" t="s">
        <v>519</v>
      </c>
      <c r="E62" s="863">
        <f>'d3'!E62-d3П!E61</f>
        <v>0</v>
      </c>
      <c r="F62" s="863">
        <f>'d3'!F62-d3П!F61</f>
        <v>0</v>
      </c>
      <c r="G62" s="863">
        <f>'d3'!G62-d3П!G61</f>
        <v>0</v>
      </c>
      <c r="H62" s="863">
        <f>'d3'!H62-d3П!H61</f>
        <v>0</v>
      </c>
      <c r="I62" s="863">
        <f>'d3'!I62-d3П!I61</f>
        <v>0</v>
      </c>
      <c r="J62" s="863">
        <f>'d3'!J62-d3П!J61</f>
        <v>0</v>
      </c>
      <c r="K62" s="863">
        <f>'d3'!K62-d3П!K61</f>
        <v>0</v>
      </c>
      <c r="L62" s="863">
        <f>'d3'!L62-d3П!L61</f>
        <v>0</v>
      </c>
      <c r="M62" s="863">
        <f>'d3'!M62-d3П!M61</f>
        <v>0</v>
      </c>
      <c r="N62" s="863">
        <f>'d3'!N62-d3П!N61</f>
        <v>0</v>
      </c>
      <c r="O62" s="863">
        <f>'d3'!O62-d3П!O61</f>
        <v>0</v>
      </c>
      <c r="P62" s="863">
        <f>'d3'!P62-d3П!P61</f>
        <v>0</v>
      </c>
      <c r="R62" s="267"/>
    </row>
    <row r="63" spans="1:18" ht="93" thickTop="1" thickBot="1" x14ac:dyDescent="0.25">
      <c r="A63" s="864" t="s">
        <v>716</v>
      </c>
      <c r="B63" s="864" t="s">
        <v>717</v>
      </c>
      <c r="C63" s="864" t="s">
        <v>222</v>
      </c>
      <c r="D63" s="864" t="s">
        <v>351</v>
      </c>
      <c r="E63" s="863">
        <f>'d3'!E63-d3П!E62</f>
        <v>0</v>
      </c>
      <c r="F63" s="863">
        <f>'d3'!F63-d3П!F62</f>
        <v>0</v>
      </c>
      <c r="G63" s="863">
        <f>'d3'!G63-d3П!G62</f>
        <v>0</v>
      </c>
      <c r="H63" s="863">
        <f>'d3'!H63-d3П!H62</f>
        <v>0</v>
      </c>
      <c r="I63" s="863">
        <f>'d3'!I63-d3П!I62</f>
        <v>0</v>
      </c>
      <c r="J63" s="863">
        <f>'d3'!J63-d3П!J62</f>
        <v>0</v>
      </c>
      <c r="K63" s="863">
        <f>'d3'!K63-d3П!K62</f>
        <v>0</v>
      </c>
      <c r="L63" s="863">
        <f>'d3'!L63-d3П!L62</f>
        <v>0</v>
      </c>
      <c r="M63" s="863">
        <f>'d3'!M63-d3П!M62</f>
        <v>0</v>
      </c>
      <c r="N63" s="863">
        <f>'d3'!N63-d3П!N62</f>
        <v>0</v>
      </c>
      <c r="O63" s="863">
        <f>'d3'!O63-d3П!O62</f>
        <v>0</v>
      </c>
      <c r="P63" s="863">
        <f>'d3'!P63-d3П!P62</f>
        <v>0</v>
      </c>
      <c r="R63" s="267"/>
    </row>
    <row r="64" spans="1:18" s="274" customFormat="1" ht="93" thickTop="1" thickBot="1" x14ac:dyDescent="0.25">
      <c r="A64" s="489" t="s">
        <v>718</v>
      </c>
      <c r="B64" s="489" t="s">
        <v>719</v>
      </c>
      <c r="C64" s="489"/>
      <c r="D64" s="489" t="s">
        <v>445</v>
      </c>
      <c r="E64" s="863">
        <f>'d3'!E64-d3П!E63</f>
        <v>0</v>
      </c>
      <c r="F64" s="863">
        <f>'d3'!F64-d3П!F63</f>
        <v>0</v>
      </c>
      <c r="G64" s="863">
        <f>'d3'!G64-d3П!G63</f>
        <v>0</v>
      </c>
      <c r="H64" s="863">
        <f>'d3'!H64-d3П!H63</f>
        <v>0</v>
      </c>
      <c r="I64" s="863">
        <f>'d3'!I64-d3П!I63</f>
        <v>0</v>
      </c>
      <c r="J64" s="863">
        <f>'d3'!J64-d3П!J63</f>
        <v>0</v>
      </c>
      <c r="K64" s="863">
        <f>'d3'!K64-d3П!K63</f>
        <v>0</v>
      </c>
      <c r="L64" s="863">
        <f>'d3'!L64-d3П!L63</f>
        <v>0</v>
      </c>
      <c r="M64" s="863">
        <f>'d3'!M64-d3П!M63</f>
        <v>0</v>
      </c>
      <c r="N64" s="863">
        <f>'d3'!N64-d3П!N63</f>
        <v>0</v>
      </c>
      <c r="O64" s="863">
        <f>'d3'!O64-d3П!O63</f>
        <v>0</v>
      </c>
      <c r="P64" s="863">
        <f>'d3'!P64-d3П!P63</f>
        <v>0</v>
      </c>
      <c r="Q64" s="614"/>
      <c r="R64" s="276"/>
    </row>
    <row r="65" spans="1:18" ht="184.5" thickTop="1" thickBot="1" x14ac:dyDescent="0.25">
      <c r="A65" s="864" t="s">
        <v>720</v>
      </c>
      <c r="B65" s="864" t="s">
        <v>721</v>
      </c>
      <c r="C65" s="864" t="s">
        <v>222</v>
      </c>
      <c r="D65" s="864" t="s">
        <v>722</v>
      </c>
      <c r="E65" s="863">
        <f>'d3'!E65-d3П!E64</f>
        <v>0</v>
      </c>
      <c r="F65" s="863">
        <f>'d3'!F65-d3П!F64</f>
        <v>0</v>
      </c>
      <c r="G65" s="863">
        <f>'d3'!G65-d3П!G64</f>
        <v>0</v>
      </c>
      <c r="H65" s="863">
        <f>'d3'!H65-d3П!H64</f>
        <v>0</v>
      </c>
      <c r="I65" s="863">
        <f>'d3'!I65-d3П!I64</f>
        <v>0</v>
      </c>
      <c r="J65" s="863">
        <f>'d3'!J65-d3П!J64</f>
        <v>0</v>
      </c>
      <c r="K65" s="863">
        <f>'d3'!K65-d3П!K64</f>
        <v>0</v>
      </c>
      <c r="L65" s="863">
        <f>'d3'!L65-d3П!L64</f>
        <v>0</v>
      </c>
      <c r="M65" s="863">
        <f>'d3'!M65-d3П!M64</f>
        <v>0</v>
      </c>
      <c r="N65" s="863">
        <f>'d3'!N65-d3П!N64</f>
        <v>0</v>
      </c>
      <c r="O65" s="863">
        <f>'d3'!O65-d3П!O64</f>
        <v>0</v>
      </c>
      <c r="P65" s="863">
        <f>'d3'!P65-d3П!P64</f>
        <v>0</v>
      </c>
      <c r="R65" s="255"/>
    </row>
    <row r="66" spans="1:18" ht="138.75" thickTop="1" thickBot="1" x14ac:dyDescent="0.25">
      <c r="A66" s="864" t="s">
        <v>723</v>
      </c>
      <c r="B66" s="864" t="s">
        <v>724</v>
      </c>
      <c r="C66" s="864" t="s">
        <v>222</v>
      </c>
      <c r="D66" s="864" t="s">
        <v>725</v>
      </c>
      <c r="E66" s="863">
        <f>'d3'!E66-d3П!E65</f>
        <v>0</v>
      </c>
      <c r="F66" s="863">
        <f>'d3'!F66-d3П!F65</f>
        <v>0</v>
      </c>
      <c r="G66" s="863">
        <f>'d3'!G66-d3П!G65</f>
        <v>0</v>
      </c>
      <c r="H66" s="863">
        <f>'d3'!H66-d3П!H65</f>
        <v>0</v>
      </c>
      <c r="I66" s="863">
        <f>'d3'!I66-d3П!I65</f>
        <v>0</v>
      </c>
      <c r="J66" s="863">
        <f>'d3'!J66-d3П!J65</f>
        <v>0</v>
      </c>
      <c r="K66" s="863">
        <f>'d3'!K66-d3П!K65</f>
        <v>0</v>
      </c>
      <c r="L66" s="863">
        <f>'d3'!L66-d3П!L65</f>
        <v>0</v>
      </c>
      <c r="M66" s="863">
        <f>'d3'!M66-d3П!M65</f>
        <v>0</v>
      </c>
      <c r="N66" s="863">
        <f>'d3'!N66-d3П!N65</f>
        <v>0</v>
      </c>
      <c r="O66" s="863">
        <f>'d3'!O66-d3П!O65</f>
        <v>0</v>
      </c>
      <c r="P66" s="863">
        <f>'d3'!P66-d3П!P65</f>
        <v>0</v>
      </c>
      <c r="R66" s="267"/>
    </row>
    <row r="67" spans="1:18" ht="138.75" thickTop="1" thickBot="1" x14ac:dyDescent="0.25">
      <c r="A67" s="864" t="s">
        <v>690</v>
      </c>
      <c r="B67" s="864" t="s">
        <v>691</v>
      </c>
      <c r="C67" s="864" t="s">
        <v>222</v>
      </c>
      <c r="D67" s="864" t="s">
        <v>692</v>
      </c>
      <c r="E67" s="863">
        <f>'d3'!E67-d3П!E66</f>
        <v>0</v>
      </c>
      <c r="F67" s="863">
        <f>'d3'!F67-d3П!F66</f>
        <v>0</v>
      </c>
      <c r="G67" s="863">
        <f>'d3'!G67-d3П!G66</f>
        <v>0</v>
      </c>
      <c r="H67" s="863">
        <f>'d3'!H67-d3П!H66</f>
        <v>0</v>
      </c>
      <c r="I67" s="863">
        <f>'d3'!I67-d3П!I66</f>
        <v>0</v>
      </c>
      <c r="J67" s="863">
        <f>'d3'!J67-d3П!J66</f>
        <v>0</v>
      </c>
      <c r="K67" s="863">
        <f>'d3'!K67-d3П!K66</f>
        <v>0</v>
      </c>
      <c r="L67" s="863">
        <f>'d3'!L67-d3П!L66</f>
        <v>0</v>
      </c>
      <c r="M67" s="863">
        <f>'d3'!M67-d3П!M66</f>
        <v>0</v>
      </c>
      <c r="N67" s="863">
        <f>'d3'!N67-d3П!N66</f>
        <v>0</v>
      </c>
      <c r="O67" s="863">
        <f>'d3'!O67-d3П!O66</f>
        <v>0</v>
      </c>
      <c r="P67" s="863">
        <f>'d3'!P67-d3П!P66</f>
        <v>0</v>
      </c>
      <c r="R67" s="255"/>
    </row>
    <row r="68" spans="1:18" s="272" customFormat="1" ht="230.25" hidden="1" thickTop="1" thickBot="1" x14ac:dyDescent="0.25">
      <c r="A68" s="279" t="s">
        <v>695</v>
      </c>
      <c r="B68" s="279" t="s">
        <v>696</v>
      </c>
      <c r="C68" s="279"/>
      <c r="D68" s="279" t="s">
        <v>697</v>
      </c>
      <c r="E68" s="275"/>
      <c r="F68" s="275"/>
      <c r="G68" s="275"/>
      <c r="H68" s="275"/>
      <c r="I68" s="275"/>
      <c r="J68" s="275"/>
      <c r="K68" s="472"/>
      <c r="L68" s="275"/>
      <c r="M68" s="275"/>
      <c r="N68" s="275"/>
      <c r="O68" s="275"/>
      <c r="P68" s="275"/>
      <c r="Q68" s="624"/>
      <c r="R68" s="280"/>
    </row>
    <row r="69" spans="1:18" s="272" customFormat="1" ht="367.5" hidden="1" thickTop="1" thickBot="1" x14ac:dyDescent="0.25">
      <c r="A69" s="873" t="s">
        <v>698</v>
      </c>
      <c r="B69" s="873" t="s">
        <v>699</v>
      </c>
      <c r="C69" s="873" t="s">
        <v>222</v>
      </c>
      <c r="D69" s="873" t="s">
        <v>700</v>
      </c>
      <c r="E69" s="874"/>
      <c r="F69" s="278"/>
      <c r="G69" s="278"/>
      <c r="H69" s="278"/>
      <c r="I69" s="278"/>
      <c r="J69" s="874"/>
      <c r="K69" s="444"/>
      <c r="L69" s="278"/>
      <c r="M69" s="278"/>
      <c r="N69" s="278"/>
      <c r="O69" s="871"/>
      <c r="P69" s="874"/>
      <c r="Q69" s="624"/>
      <c r="R69" s="255"/>
    </row>
    <row r="70" spans="1:18" s="272" customFormat="1" ht="367.5" hidden="1" thickTop="1" thickBot="1" x14ac:dyDescent="0.25">
      <c r="A70" s="873" t="s">
        <v>1055</v>
      </c>
      <c r="B70" s="873" t="s">
        <v>1056</v>
      </c>
      <c r="C70" s="873" t="s">
        <v>222</v>
      </c>
      <c r="D70" s="873" t="s">
        <v>1057</v>
      </c>
      <c r="E70" s="874"/>
      <c r="F70" s="278"/>
      <c r="G70" s="278"/>
      <c r="H70" s="278"/>
      <c r="I70" s="278"/>
      <c r="J70" s="874"/>
      <c r="K70" s="444"/>
      <c r="L70" s="278"/>
      <c r="M70" s="278"/>
      <c r="N70" s="278"/>
      <c r="O70" s="871"/>
      <c r="P70" s="874"/>
      <c r="Q70" s="624"/>
      <c r="R70" s="255"/>
    </row>
    <row r="71" spans="1:18" s="272" customFormat="1" ht="409.6" hidden="1" thickTop="1" thickBot="1" x14ac:dyDescent="0.25">
      <c r="A71" s="279" t="s">
        <v>1076</v>
      </c>
      <c r="B71" s="279" t="s">
        <v>1078</v>
      </c>
      <c r="C71" s="279"/>
      <c r="D71" s="279" t="s">
        <v>1080</v>
      </c>
      <c r="E71" s="275"/>
      <c r="F71" s="275"/>
      <c r="G71" s="275"/>
      <c r="H71" s="275"/>
      <c r="I71" s="275"/>
      <c r="J71" s="275"/>
      <c r="K71" s="472"/>
      <c r="L71" s="275"/>
      <c r="M71" s="275"/>
      <c r="N71" s="275"/>
      <c r="O71" s="275"/>
      <c r="P71" s="275"/>
      <c r="Q71" s="624"/>
      <c r="R71" s="255"/>
    </row>
    <row r="72" spans="1:18" s="272" customFormat="1" ht="409.6" hidden="1" thickTop="1" thickBot="1" x14ac:dyDescent="0.25">
      <c r="A72" s="873" t="s">
        <v>1077</v>
      </c>
      <c r="B72" s="873" t="s">
        <v>1079</v>
      </c>
      <c r="C72" s="873" t="s">
        <v>222</v>
      </c>
      <c r="D72" s="873" t="s">
        <v>1081</v>
      </c>
      <c r="E72" s="874"/>
      <c r="F72" s="278"/>
      <c r="G72" s="278"/>
      <c r="H72" s="278"/>
      <c r="I72" s="278"/>
      <c r="J72" s="874"/>
      <c r="K72" s="444"/>
      <c r="L72" s="278"/>
      <c r="M72" s="278"/>
      <c r="N72" s="278"/>
      <c r="O72" s="871"/>
      <c r="P72" s="874"/>
      <c r="Q72" s="624"/>
      <c r="R72" s="255"/>
    </row>
    <row r="73" spans="1:18" s="272" customFormat="1" ht="46.5" hidden="1" thickTop="1" thickBot="1" x14ac:dyDescent="0.25">
      <c r="A73" s="911" t="s">
        <v>1097</v>
      </c>
      <c r="B73" s="911" t="s">
        <v>1098</v>
      </c>
      <c r="C73" s="911" t="s">
        <v>222</v>
      </c>
      <c r="D73" s="911" t="s">
        <v>1099</v>
      </c>
      <c r="E73" s="903"/>
      <c r="F73" s="903"/>
      <c r="G73" s="903"/>
      <c r="H73" s="903"/>
      <c r="I73" s="903"/>
      <c r="J73" s="903"/>
      <c r="K73" s="915"/>
      <c r="L73" s="903"/>
      <c r="M73" s="903"/>
      <c r="N73" s="903"/>
      <c r="O73" s="906"/>
      <c r="P73" s="903"/>
      <c r="Q73" s="624"/>
      <c r="R73" s="255"/>
    </row>
    <row r="74" spans="1:18" s="272" customFormat="1" ht="46.5" hidden="1" thickTop="1" thickBot="1" x14ac:dyDescent="0.25">
      <c r="A74" s="905"/>
      <c r="B74" s="905"/>
      <c r="C74" s="905"/>
      <c r="D74" s="905"/>
      <c r="E74" s="905"/>
      <c r="F74" s="905"/>
      <c r="G74" s="905"/>
      <c r="H74" s="905"/>
      <c r="I74" s="905"/>
      <c r="J74" s="905"/>
      <c r="K74" s="916"/>
      <c r="L74" s="905"/>
      <c r="M74" s="905"/>
      <c r="N74" s="905"/>
      <c r="O74" s="908"/>
      <c r="P74" s="905"/>
      <c r="Q74" s="624"/>
      <c r="R74" s="255"/>
    </row>
    <row r="75" spans="1:18" s="272" customFormat="1" ht="321.75" thickTop="1" thickBot="1" x14ac:dyDescent="0.25">
      <c r="A75" s="864" t="s">
        <v>687</v>
      </c>
      <c r="B75" s="864" t="s">
        <v>688</v>
      </c>
      <c r="C75" s="864" t="s">
        <v>222</v>
      </c>
      <c r="D75" s="864" t="s">
        <v>689</v>
      </c>
      <c r="E75" s="863">
        <f>'d3'!E75-d3П!E74</f>
        <v>0</v>
      </c>
      <c r="F75" s="863">
        <f>'d3'!F75-d3П!F74</f>
        <v>0</v>
      </c>
      <c r="G75" s="863">
        <f>'d3'!G75-d3П!G74</f>
        <v>0</v>
      </c>
      <c r="H75" s="863">
        <f>'d3'!H75-d3П!H74</f>
        <v>0</v>
      </c>
      <c r="I75" s="863">
        <f>'d3'!I75-d3П!I74</f>
        <v>0</v>
      </c>
      <c r="J75" s="863">
        <f>'d3'!J75-d3П!J74</f>
        <v>0</v>
      </c>
      <c r="K75" s="863">
        <f>'d3'!K75-d3П!K74</f>
        <v>0</v>
      </c>
      <c r="L75" s="863">
        <f>'d3'!L75-d3П!L74</f>
        <v>0</v>
      </c>
      <c r="M75" s="863">
        <f>'d3'!M75-d3П!M74</f>
        <v>0</v>
      </c>
      <c r="N75" s="863">
        <f>'d3'!N75-d3П!N74</f>
        <v>0</v>
      </c>
      <c r="O75" s="863">
        <f>'d3'!O75-d3П!O74</f>
        <v>0</v>
      </c>
      <c r="P75" s="863">
        <f>'d3'!P75-d3П!P74</f>
        <v>0</v>
      </c>
      <c r="Q75" s="624"/>
      <c r="R75" s="255"/>
    </row>
    <row r="76" spans="1:18" s="272" customFormat="1" ht="321.75" hidden="1" thickTop="1" thickBot="1" x14ac:dyDescent="0.25">
      <c r="A76" s="873" t="s">
        <v>1006</v>
      </c>
      <c r="B76" s="873" t="s">
        <v>1007</v>
      </c>
      <c r="C76" s="873" t="s">
        <v>222</v>
      </c>
      <c r="D76" s="873" t="s">
        <v>1008</v>
      </c>
      <c r="E76" s="863">
        <f>'d3'!E76-d3П!E75</f>
        <v>0</v>
      </c>
      <c r="F76" s="863">
        <f>'d3'!F76-d3П!F75</f>
        <v>0</v>
      </c>
      <c r="G76" s="863">
        <f>'d3'!G76-d3П!G75</f>
        <v>0</v>
      </c>
      <c r="H76" s="863">
        <f>'d3'!H76-d3П!H75</f>
        <v>0</v>
      </c>
      <c r="I76" s="863">
        <f>'d3'!I76-d3П!I75</f>
        <v>0</v>
      </c>
      <c r="J76" s="863">
        <f>'d3'!J76-d3П!J75</f>
        <v>0</v>
      </c>
      <c r="K76" s="863">
        <f>'d3'!K76-d3П!K75</f>
        <v>0</v>
      </c>
      <c r="L76" s="863">
        <f>'d3'!L76-d3П!L75</f>
        <v>0</v>
      </c>
      <c r="M76" s="863">
        <f>'d3'!M76-d3П!M75</f>
        <v>0</v>
      </c>
      <c r="N76" s="863">
        <f>'d3'!N76-d3П!N75</f>
        <v>0</v>
      </c>
      <c r="O76" s="863">
        <f>'d3'!O76-d3П!O75</f>
        <v>0</v>
      </c>
      <c r="P76" s="863">
        <f>'d3'!P76-d3П!P75</f>
        <v>0</v>
      </c>
      <c r="Q76" s="624"/>
      <c r="R76" s="255"/>
    </row>
    <row r="77" spans="1:18" s="272" customFormat="1" ht="91.5" hidden="1" thickTop="1" thickBot="1" x14ac:dyDescent="0.25">
      <c r="A77" s="250" t="s">
        <v>753</v>
      </c>
      <c r="B77" s="250" t="s">
        <v>754</v>
      </c>
      <c r="C77" s="250"/>
      <c r="D77" s="250" t="s">
        <v>755</v>
      </c>
      <c r="E77" s="863">
        <f>'d3'!E77-d3П!E76</f>
        <v>0</v>
      </c>
      <c r="F77" s="863">
        <f>'d3'!F77-d3П!F76</f>
        <v>0</v>
      </c>
      <c r="G77" s="863">
        <f>'d3'!G77-d3П!G76</f>
        <v>0</v>
      </c>
      <c r="H77" s="863">
        <f>'d3'!H77-d3П!H76</f>
        <v>0</v>
      </c>
      <c r="I77" s="863">
        <f>'d3'!I77-d3П!I76</f>
        <v>0</v>
      </c>
      <c r="J77" s="863">
        <f>'d3'!J77-d3П!J76</f>
        <v>0</v>
      </c>
      <c r="K77" s="863">
        <f>'d3'!K77-d3П!K76</f>
        <v>0</v>
      </c>
      <c r="L77" s="863">
        <f>'d3'!L77-d3П!L76</f>
        <v>0</v>
      </c>
      <c r="M77" s="863">
        <f>'d3'!M77-d3П!M76</f>
        <v>0</v>
      </c>
      <c r="N77" s="863">
        <f>'d3'!N77-d3П!N76</f>
        <v>0</v>
      </c>
      <c r="O77" s="863">
        <f>'d3'!O77-d3П!O76</f>
        <v>0</v>
      </c>
      <c r="P77" s="863">
        <f>'d3'!P77-d3П!P76</f>
        <v>0</v>
      </c>
      <c r="Q77" s="624"/>
      <c r="R77" s="255"/>
    </row>
    <row r="78" spans="1:18" s="272" customFormat="1" ht="367.5" hidden="1" thickTop="1" thickBot="1" x14ac:dyDescent="0.25">
      <c r="A78" s="873" t="s">
        <v>447</v>
      </c>
      <c r="B78" s="873" t="s">
        <v>448</v>
      </c>
      <c r="C78" s="873" t="s">
        <v>197</v>
      </c>
      <c r="D78" s="873" t="s">
        <v>446</v>
      </c>
      <c r="E78" s="863">
        <f>'d3'!E78-d3П!E77</f>
        <v>0</v>
      </c>
      <c r="F78" s="863">
        <f>'d3'!F78-d3П!F77</f>
        <v>0</v>
      </c>
      <c r="G78" s="863">
        <f>'d3'!G78-d3П!G77</f>
        <v>0</v>
      </c>
      <c r="H78" s="863">
        <f>'d3'!H78-d3П!H77</f>
        <v>0</v>
      </c>
      <c r="I78" s="863">
        <f>'d3'!I78-d3П!I77</f>
        <v>0</v>
      </c>
      <c r="J78" s="863">
        <f>'d3'!J78-d3П!J77</f>
        <v>0</v>
      </c>
      <c r="K78" s="863">
        <f>'d3'!K78-d3П!K77</f>
        <v>0</v>
      </c>
      <c r="L78" s="863">
        <f>'d3'!L78-d3П!L77</f>
        <v>0</v>
      </c>
      <c r="M78" s="863">
        <f>'d3'!M78-d3П!M77</f>
        <v>0</v>
      </c>
      <c r="N78" s="863">
        <f>'d3'!N78-d3П!N77</f>
        <v>0</v>
      </c>
      <c r="O78" s="863">
        <f>'d3'!O78-d3П!O77</f>
        <v>0</v>
      </c>
      <c r="P78" s="863">
        <f>'d3'!P78-d3П!P77</f>
        <v>0</v>
      </c>
      <c r="Q78" s="624"/>
      <c r="R78" s="284"/>
    </row>
    <row r="79" spans="1:18" s="272" customFormat="1" ht="230.25" hidden="1" thickTop="1" thickBot="1" x14ac:dyDescent="0.25">
      <c r="A79" s="279" t="s">
        <v>1082</v>
      </c>
      <c r="B79" s="279" t="s">
        <v>1084</v>
      </c>
      <c r="C79" s="279"/>
      <c r="D79" s="279" t="s">
        <v>1086</v>
      </c>
      <c r="E79" s="863">
        <f>'d3'!E79-d3П!E78</f>
        <v>0</v>
      </c>
      <c r="F79" s="863">
        <f>'d3'!F79-d3П!F78</f>
        <v>0</v>
      </c>
      <c r="G79" s="863">
        <f>'d3'!G79-d3П!G78</f>
        <v>0</v>
      </c>
      <c r="H79" s="863">
        <f>'d3'!H79-d3П!H78</f>
        <v>0</v>
      </c>
      <c r="I79" s="863">
        <f>'d3'!I79-d3П!I78</f>
        <v>0</v>
      </c>
      <c r="J79" s="863">
        <f>'d3'!J79-d3П!J78</f>
        <v>0</v>
      </c>
      <c r="K79" s="863">
        <f>'d3'!K79-d3П!K78</f>
        <v>0</v>
      </c>
      <c r="L79" s="863">
        <f>'d3'!L79-d3П!L78</f>
        <v>0</v>
      </c>
      <c r="M79" s="863">
        <f>'d3'!M79-d3П!M78</f>
        <v>0</v>
      </c>
      <c r="N79" s="863">
        <f>'d3'!N79-d3П!N78</f>
        <v>0</v>
      </c>
      <c r="O79" s="863">
        <f>'d3'!O79-d3П!O78</f>
        <v>0</v>
      </c>
      <c r="P79" s="863">
        <f>'d3'!P79-d3П!P78</f>
        <v>0</v>
      </c>
      <c r="Q79" s="624"/>
      <c r="R79" s="284"/>
    </row>
    <row r="80" spans="1:18" s="272" customFormat="1" ht="367.5" hidden="1" thickTop="1" thickBot="1" x14ac:dyDescent="0.25">
      <c r="A80" s="873" t="s">
        <v>1083</v>
      </c>
      <c r="B80" s="873" t="s">
        <v>1085</v>
      </c>
      <c r="C80" s="873" t="s">
        <v>222</v>
      </c>
      <c r="D80" s="873" t="s">
        <v>1087</v>
      </c>
      <c r="E80" s="863">
        <f>'d3'!E80-d3П!E79</f>
        <v>0</v>
      </c>
      <c r="F80" s="863">
        <f>'d3'!F80-d3П!F79</f>
        <v>0</v>
      </c>
      <c r="G80" s="863">
        <f>'d3'!G80-d3П!G79</f>
        <v>0</v>
      </c>
      <c r="H80" s="863">
        <f>'d3'!H80-d3П!H79</f>
        <v>0</v>
      </c>
      <c r="I80" s="863">
        <f>'d3'!I80-d3П!I79</f>
        <v>0</v>
      </c>
      <c r="J80" s="863">
        <f>'d3'!J80-d3П!J79</f>
        <v>0</v>
      </c>
      <c r="K80" s="863">
        <f>'d3'!K80-d3П!K79</f>
        <v>0</v>
      </c>
      <c r="L80" s="863">
        <f>'d3'!L80-d3П!L79</f>
        <v>0</v>
      </c>
      <c r="M80" s="863">
        <f>'d3'!M80-d3П!M79</f>
        <v>0</v>
      </c>
      <c r="N80" s="863">
        <f>'d3'!N80-d3П!N79</f>
        <v>0</v>
      </c>
      <c r="O80" s="863">
        <f>'d3'!O80-d3П!O79</f>
        <v>0</v>
      </c>
      <c r="P80" s="863">
        <f>'d3'!P80-d3П!P79</f>
        <v>0</v>
      </c>
      <c r="Q80" s="624"/>
      <c r="R80" s="255"/>
    </row>
    <row r="81" spans="1:18" s="272" customFormat="1" ht="321.75" hidden="1" thickTop="1" thickBot="1" x14ac:dyDescent="0.25">
      <c r="A81" s="873" t="s">
        <v>1138</v>
      </c>
      <c r="B81" s="873" t="s">
        <v>1139</v>
      </c>
      <c r="C81" s="873" t="s">
        <v>222</v>
      </c>
      <c r="D81" s="873" t="s">
        <v>1137</v>
      </c>
      <c r="E81" s="863">
        <f>'d3'!E81-d3П!E80</f>
        <v>0</v>
      </c>
      <c r="F81" s="863">
        <f>'d3'!F81-d3П!F80</f>
        <v>0</v>
      </c>
      <c r="G81" s="863">
        <f>'d3'!G81-d3П!G80</f>
        <v>0</v>
      </c>
      <c r="H81" s="863">
        <f>'d3'!H81-d3П!H80</f>
        <v>0</v>
      </c>
      <c r="I81" s="863">
        <f>'d3'!I81-d3П!I80</f>
        <v>0</v>
      </c>
      <c r="J81" s="863">
        <f>'d3'!J81-d3П!J80</f>
        <v>0</v>
      </c>
      <c r="K81" s="863">
        <f>'d3'!K81-d3П!K80</f>
        <v>0</v>
      </c>
      <c r="L81" s="863">
        <f>'d3'!L81-d3П!L80</f>
        <v>0</v>
      </c>
      <c r="M81" s="863">
        <f>'d3'!M81-d3П!M80</f>
        <v>0</v>
      </c>
      <c r="N81" s="863">
        <f>'d3'!N81-d3П!N80</f>
        <v>0</v>
      </c>
      <c r="O81" s="863">
        <f>'d3'!O81-d3П!O80</f>
        <v>0</v>
      </c>
      <c r="P81" s="863">
        <f>'d3'!P81-d3П!P80</f>
        <v>0</v>
      </c>
      <c r="Q81" s="624"/>
      <c r="R81" s="255"/>
    </row>
    <row r="82" spans="1:18" s="272" customFormat="1" ht="47.25" thickTop="1" thickBot="1" x14ac:dyDescent="0.25">
      <c r="A82" s="151" t="s">
        <v>1192</v>
      </c>
      <c r="B82" s="151" t="s">
        <v>792</v>
      </c>
      <c r="C82" s="151"/>
      <c r="D82" s="151" t="s">
        <v>1191</v>
      </c>
      <c r="E82" s="863">
        <f>'d3'!E82-d3П!E81</f>
        <v>0</v>
      </c>
      <c r="F82" s="863">
        <f>'d3'!F82-d3П!F81</f>
        <v>0</v>
      </c>
      <c r="G82" s="863">
        <f>'d3'!G82-d3П!G81</f>
        <v>0</v>
      </c>
      <c r="H82" s="863">
        <f>'d3'!H82-d3П!H81</f>
        <v>0</v>
      </c>
      <c r="I82" s="863">
        <f>'d3'!I82-d3П!I81</f>
        <v>0</v>
      </c>
      <c r="J82" s="863">
        <f>'d3'!J82-d3П!J81</f>
        <v>0</v>
      </c>
      <c r="K82" s="863">
        <f>'d3'!K82-d3П!K81</f>
        <v>0</v>
      </c>
      <c r="L82" s="863">
        <f>'d3'!L82-d3П!L81</f>
        <v>0</v>
      </c>
      <c r="M82" s="863">
        <f>'d3'!M82-d3П!M81</f>
        <v>0</v>
      </c>
      <c r="N82" s="863">
        <f>'d3'!N82-d3П!N81</f>
        <v>0</v>
      </c>
      <c r="O82" s="863">
        <f>'d3'!O82-d3П!O81</f>
        <v>0</v>
      </c>
      <c r="P82" s="863">
        <f>'d3'!P82-d3П!P81</f>
        <v>0</v>
      </c>
      <c r="Q82" s="624"/>
      <c r="R82" s="255"/>
    </row>
    <row r="83" spans="1:18" s="272" customFormat="1" ht="91.5" thickTop="1" thickBot="1" x14ac:dyDescent="0.25">
      <c r="A83" s="467" t="s">
        <v>1190</v>
      </c>
      <c r="B83" s="467" t="s">
        <v>848</v>
      </c>
      <c r="C83" s="467"/>
      <c r="D83" s="467" t="s">
        <v>849</v>
      </c>
      <c r="E83" s="863">
        <f>'d3'!E83-d3П!E82</f>
        <v>0</v>
      </c>
      <c r="F83" s="863">
        <f>'d3'!F83-d3П!F82</f>
        <v>0</v>
      </c>
      <c r="G83" s="863">
        <f>'d3'!G83-d3П!G82</f>
        <v>0</v>
      </c>
      <c r="H83" s="863">
        <f>'d3'!H83-d3П!H82</f>
        <v>0</v>
      </c>
      <c r="I83" s="863">
        <f>'d3'!I83-d3П!I82</f>
        <v>0</v>
      </c>
      <c r="J83" s="863">
        <f>'d3'!J83-d3П!J82</f>
        <v>0</v>
      </c>
      <c r="K83" s="863">
        <f>'d3'!K83-d3П!K82</f>
        <v>0</v>
      </c>
      <c r="L83" s="863">
        <f>'d3'!L83-d3П!L82</f>
        <v>0</v>
      </c>
      <c r="M83" s="863">
        <f>'d3'!M83-d3П!M82</f>
        <v>0</v>
      </c>
      <c r="N83" s="863">
        <f>'d3'!N83-d3П!N82</f>
        <v>0</v>
      </c>
      <c r="O83" s="863">
        <f>'d3'!O83-d3П!O82</f>
        <v>0</v>
      </c>
      <c r="P83" s="863">
        <f>'d3'!P83-d3П!P82</f>
        <v>0</v>
      </c>
      <c r="Q83" s="624"/>
      <c r="R83" s="255"/>
    </row>
    <row r="84" spans="1:18" s="272" customFormat="1" ht="145.5" thickTop="1" thickBot="1" x14ac:dyDescent="0.25">
      <c r="A84" s="489" t="s">
        <v>1193</v>
      </c>
      <c r="B84" s="489" t="s">
        <v>867</v>
      </c>
      <c r="C84" s="489"/>
      <c r="D84" s="489" t="s">
        <v>1194</v>
      </c>
      <c r="E84" s="863">
        <f>'d3'!E84-d3П!E83</f>
        <v>0</v>
      </c>
      <c r="F84" s="863">
        <f>'d3'!F84-d3П!F83</f>
        <v>0</v>
      </c>
      <c r="G84" s="863">
        <f>'d3'!G84-d3П!G83</f>
        <v>0</v>
      </c>
      <c r="H84" s="863">
        <f>'d3'!H84-d3П!H83</f>
        <v>0</v>
      </c>
      <c r="I84" s="863">
        <f>'d3'!I84-d3П!I83</f>
        <v>0</v>
      </c>
      <c r="J84" s="863">
        <f>'d3'!J84-d3П!J83</f>
        <v>0</v>
      </c>
      <c r="K84" s="863">
        <f>'d3'!K84-d3П!K83</f>
        <v>0</v>
      </c>
      <c r="L84" s="863">
        <f>'d3'!L84-d3П!L83</f>
        <v>0</v>
      </c>
      <c r="M84" s="863">
        <f>'d3'!M84-d3П!M83</f>
        <v>0</v>
      </c>
      <c r="N84" s="863">
        <f>'d3'!N84-d3П!N83</f>
        <v>0</v>
      </c>
      <c r="O84" s="863">
        <f>'d3'!O84-d3П!O83</f>
        <v>0</v>
      </c>
      <c r="P84" s="863">
        <f>'d3'!P84-d3П!P83</f>
        <v>0</v>
      </c>
      <c r="Q84" s="624"/>
      <c r="R84" s="255"/>
    </row>
    <row r="85" spans="1:18" s="272" customFormat="1" ht="99.75" thickTop="1" thickBot="1" x14ac:dyDescent="0.25">
      <c r="A85" s="864" t="s">
        <v>1206</v>
      </c>
      <c r="B85" s="489" t="s">
        <v>324</v>
      </c>
      <c r="C85" s="864" t="s">
        <v>317</v>
      </c>
      <c r="D85" s="864" t="s">
        <v>665</v>
      </c>
      <c r="E85" s="863">
        <f>'d3'!E85-d3П!E84</f>
        <v>0</v>
      </c>
      <c r="F85" s="863">
        <f>'d3'!F85-d3П!F84</f>
        <v>0</v>
      </c>
      <c r="G85" s="863">
        <f>'d3'!G85-d3П!G84</f>
        <v>0</v>
      </c>
      <c r="H85" s="863">
        <f>'d3'!H85-d3П!H84</f>
        <v>0</v>
      </c>
      <c r="I85" s="863">
        <f>'d3'!I85-d3П!I84</f>
        <v>0</v>
      </c>
      <c r="J85" s="863">
        <f>'d3'!J85-d3П!J84</f>
        <v>0</v>
      </c>
      <c r="K85" s="863">
        <f>'d3'!K85-d3П!K84</f>
        <v>0</v>
      </c>
      <c r="L85" s="863">
        <f>'d3'!L85-d3П!L84</f>
        <v>0</v>
      </c>
      <c r="M85" s="863">
        <f>'d3'!M85-d3П!M84</f>
        <v>0</v>
      </c>
      <c r="N85" s="863">
        <f>'d3'!N85-d3П!N84</f>
        <v>0</v>
      </c>
      <c r="O85" s="863">
        <f>'d3'!O85-d3П!O84</f>
        <v>0</v>
      </c>
      <c r="P85" s="863">
        <f>'d3'!P85-d3П!P84</f>
        <v>0</v>
      </c>
      <c r="Q85" s="617"/>
      <c r="R85" s="255"/>
    </row>
    <row r="86" spans="1:18" s="272" customFormat="1" ht="136.5" thickTop="1" thickBot="1" x14ac:dyDescent="0.25">
      <c r="A86" s="467" t="s">
        <v>1195</v>
      </c>
      <c r="B86" s="467" t="s">
        <v>734</v>
      </c>
      <c r="C86" s="467"/>
      <c r="D86" s="467" t="s">
        <v>732</v>
      </c>
      <c r="E86" s="863">
        <f>'d3'!E86-d3П!E85</f>
        <v>0</v>
      </c>
      <c r="F86" s="863">
        <f>'d3'!F86-d3П!F85</f>
        <v>0</v>
      </c>
      <c r="G86" s="863">
        <f>'d3'!G86-d3П!G85</f>
        <v>0</v>
      </c>
      <c r="H86" s="863">
        <f>'d3'!H86-d3П!H85</f>
        <v>0</v>
      </c>
      <c r="I86" s="863">
        <f>'d3'!I86-d3П!I85</f>
        <v>0</v>
      </c>
      <c r="J86" s="863">
        <f>'d3'!J86-d3П!J85</f>
        <v>0</v>
      </c>
      <c r="K86" s="863">
        <f>'d3'!K86-d3П!K85</f>
        <v>0</v>
      </c>
      <c r="L86" s="863">
        <f>'d3'!L86-d3П!L85</f>
        <v>0</v>
      </c>
      <c r="M86" s="863">
        <f>'d3'!M86-d3П!M85</f>
        <v>0</v>
      </c>
      <c r="N86" s="863">
        <f>'d3'!N86-d3П!N85</f>
        <v>0</v>
      </c>
      <c r="O86" s="863">
        <f>'d3'!O86-d3П!O85</f>
        <v>0</v>
      </c>
      <c r="P86" s="863">
        <f>'d3'!P86-d3П!P85</f>
        <v>0</v>
      </c>
      <c r="Q86" s="617"/>
      <c r="R86" s="255"/>
    </row>
    <row r="87" spans="1:18" s="272" customFormat="1" ht="47.25" thickTop="1" thickBot="1" x14ac:dyDescent="0.25">
      <c r="A87" s="864" t="s">
        <v>1196</v>
      </c>
      <c r="B87" s="489" t="s">
        <v>224</v>
      </c>
      <c r="C87" s="864" t="s">
        <v>225</v>
      </c>
      <c r="D87" s="864" t="s">
        <v>43</v>
      </c>
      <c r="E87" s="863">
        <f>'d3'!E87-d3П!E86</f>
        <v>0</v>
      </c>
      <c r="F87" s="863">
        <f>'d3'!F87-d3П!F86</f>
        <v>0</v>
      </c>
      <c r="G87" s="863">
        <f>'d3'!G87-d3П!G86</f>
        <v>0</v>
      </c>
      <c r="H87" s="863">
        <f>'d3'!H87-d3П!H86</f>
        <v>0</v>
      </c>
      <c r="I87" s="863">
        <f>'d3'!I87-d3П!I86</f>
        <v>0</v>
      </c>
      <c r="J87" s="863">
        <f>'d3'!J87-d3П!J86</f>
        <v>0</v>
      </c>
      <c r="K87" s="863">
        <f>'d3'!K87-d3П!K86</f>
        <v>0</v>
      </c>
      <c r="L87" s="863">
        <f>'d3'!L87-d3П!L86</f>
        <v>0</v>
      </c>
      <c r="M87" s="863">
        <f>'d3'!M87-d3П!M86</f>
        <v>0</v>
      </c>
      <c r="N87" s="863">
        <f>'d3'!N87-d3П!N86</f>
        <v>0</v>
      </c>
      <c r="O87" s="863">
        <f>'d3'!O87-d3П!O86</f>
        <v>0</v>
      </c>
      <c r="P87" s="863">
        <f>'d3'!P87-d3П!P86</f>
        <v>0</v>
      </c>
      <c r="Q87" s="617"/>
      <c r="R87" s="255"/>
    </row>
    <row r="88" spans="1:18" s="272" customFormat="1" ht="47.25" hidden="1" thickTop="1" thickBot="1" x14ac:dyDescent="0.25">
      <c r="A88" s="250" t="s">
        <v>1111</v>
      </c>
      <c r="B88" s="250" t="s">
        <v>745</v>
      </c>
      <c r="C88" s="250"/>
      <c r="D88" s="250" t="s">
        <v>746</v>
      </c>
      <c r="E88" s="874">
        <f>E89</f>
        <v>0</v>
      </c>
      <c r="F88" s="874">
        <f t="shared" ref="F88:P89" si="6">F89</f>
        <v>0</v>
      </c>
      <c r="G88" s="874">
        <f t="shared" si="6"/>
        <v>0</v>
      </c>
      <c r="H88" s="874">
        <f t="shared" si="6"/>
        <v>0</v>
      </c>
      <c r="I88" s="874">
        <f t="shared" si="6"/>
        <v>0</v>
      </c>
      <c r="J88" s="874">
        <f t="shared" si="6"/>
        <v>0</v>
      </c>
      <c r="K88" s="874">
        <f t="shared" si="6"/>
        <v>0</v>
      </c>
      <c r="L88" s="874">
        <f t="shared" si="6"/>
        <v>0</v>
      </c>
      <c r="M88" s="874">
        <f t="shared" si="6"/>
        <v>0</v>
      </c>
      <c r="N88" s="874">
        <f t="shared" si="6"/>
        <v>0</v>
      </c>
      <c r="O88" s="874">
        <f t="shared" si="6"/>
        <v>0</v>
      </c>
      <c r="P88" s="874">
        <f t="shared" si="6"/>
        <v>0</v>
      </c>
      <c r="Q88" s="624"/>
      <c r="R88" s="255"/>
    </row>
    <row r="89" spans="1:18" s="272" customFormat="1" ht="271.5" hidden="1" thickTop="1" thickBot="1" x14ac:dyDescent="0.25">
      <c r="A89" s="253" t="s">
        <v>1112</v>
      </c>
      <c r="B89" s="253" t="s">
        <v>748</v>
      </c>
      <c r="C89" s="253"/>
      <c r="D89" s="253" t="s">
        <v>749</v>
      </c>
      <c r="E89" s="270">
        <f>E90</f>
        <v>0</v>
      </c>
      <c r="F89" s="270">
        <f t="shared" si="6"/>
        <v>0</v>
      </c>
      <c r="G89" s="270">
        <f t="shared" si="6"/>
        <v>0</v>
      </c>
      <c r="H89" s="270">
        <f t="shared" si="6"/>
        <v>0</v>
      </c>
      <c r="I89" s="270">
        <f t="shared" si="6"/>
        <v>0</v>
      </c>
      <c r="J89" s="270">
        <f t="shared" si="6"/>
        <v>0</v>
      </c>
      <c r="K89" s="270">
        <f t="shared" si="6"/>
        <v>0</v>
      </c>
      <c r="L89" s="270">
        <f t="shared" si="6"/>
        <v>0</v>
      </c>
      <c r="M89" s="270">
        <f t="shared" si="6"/>
        <v>0</v>
      </c>
      <c r="N89" s="270">
        <f t="shared" si="6"/>
        <v>0</v>
      </c>
      <c r="O89" s="270">
        <f t="shared" si="6"/>
        <v>0</v>
      </c>
      <c r="P89" s="270">
        <f t="shared" si="6"/>
        <v>0</v>
      </c>
      <c r="Q89" s="624"/>
      <c r="R89" s="255"/>
    </row>
    <row r="90" spans="1:18" s="272" customFormat="1" ht="93" hidden="1" thickTop="1" thickBot="1" x14ac:dyDescent="0.25">
      <c r="A90" s="873" t="s">
        <v>1113</v>
      </c>
      <c r="B90" s="873" t="s">
        <v>377</v>
      </c>
      <c r="C90" s="873" t="s">
        <v>45</v>
      </c>
      <c r="D90" s="873" t="s">
        <v>378</v>
      </c>
      <c r="E90" s="874">
        <f t="shared" ref="E90" si="7">F90</f>
        <v>0</v>
      </c>
      <c r="F90" s="278"/>
      <c r="G90" s="278"/>
      <c r="H90" s="278"/>
      <c r="I90" s="278"/>
      <c r="J90" s="874">
        <f>L90+O90</f>
        <v>0</v>
      </c>
      <c r="K90" s="278"/>
      <c r="L90" s="278"/>
      <c r="M90" s="278"/>
      <c r="N90" s="278"/>
      <c r="O90" s="871">
        <f>K90</f>
        <v>0</v>
      </c>
      <c r="P90" s="874">
        <f>E90+J90</f>
        <v>0</v>
      </c>
      <c r="Q90" s="624"/>
      <c r="R90" s="255"/>
    </row>
    <row r="91" spans="1:18" ht="136.5" thickTop="1" thickBot="1" x14ac:dyDescent="0.25">
      <c r="A91" s="828" t="s">
        <v>162</v>
      </c>
      <c r="B91" s="828"/>
      <c r="C91" s="828"/>
      <c r="D91" s="829" t="s">
        <v>18</v>
      </c>
      <c r="E91" s="830">
        <f>E92</f>
        <v>2156800</v>
      </c>
      <c r="F91" s="831">
        <f t="shared" ref="F91:G91" si="8">F92</f>
        <v>2156800</v>
      </c>
      <c r="G91" s="831">
        <f t="shared" si="8"/>
        <v>0</v>
      </c>
      <c r="H91" s="831">
        <f>H92</f>
        <v>0</v>
      </c>
      <c r="I91" s="831">
        <f t="shared" ref="I91" si="9">I92</f>
        <v>0</v>
      </c>
      <c r="J91" s="830">
        <f>J92</f>
        <v>0</v>
      </c>
      <c r="K91" s="831">
        <f>K92</f>
        <v>0</v>
      </c>
      <c r="L91" s="831">
        <f>L92</f>
        <v>0</v>
      </c>
      <c r="M91" s="831">
        <f t="shared" ref="M91" si="10">M92</f>
        <v>0</v>
      </c>
      <c r="N91" s="831">
        <f>N92</f>
        <v>0</v>
      </c>
      <c r="O91" s="830">
        <f>O92</f>
        <v>0</v>
      </c>
      <c r="P91" s="831">
        <f>P92</f>
        <v>2156800</v>
      </c>
    </row>
    <row r="92" spans="1:18" ht="181.5" thickTop="1" thickBot="1" x14ac:dyDescent="0.25">
      <c r="A92" s="832" t="s">
        <v>163</v>
      </c>
      <c r="B92" s="832"/>
      <c r="C92" s="832"/>
      <c r="D92" s="833" t="s">
        <v>38</v>
      </c>
      <c r="E92" s="834">
        <f>E93+E95+E110+E108</f>
        <v>2156800</v>
      </c>
      <c r="F92" s="834">
        <f t="shared" ref="F92:P92" si="11">F93+F95+F110+F108</f>
        <v>2156800</v>
      </c>
      <c r="G92" s="834">
        <f t="shared" si="11"/>
        <v>0</v>
      </c>
      <c r="H92" s="834">
        <f t="shared" si="11"/>
        <v>0</v>
      </c>
      <c r="I92" s="834">
        <f t="shared" si="11"/>
        <v>0</v>
      </c>
      <c r="J92" s="834">
        <f t="shared" si="11"/>
        <v>0</v>
      </c>
      <c r="K92" s="834">
        <f t="shared" si="11"/>
        <v>0</v>
      </c>
      <c r="L92" s="834">
        <f t="shared" si="11"/>
        <v>0</v>
      </c>
      <c r="M92" s="834">
        <f t="shared" si="11"/>
        <v>0</v>
      </c>
      <c r="N92" s="834">
        <f t="shared" si="11"/>
        <v>0</v>
      </c>
      <c r="O92" s="834">
        <f t="shared" si="11"/>
        <v>0</v>
      </c>
      <c r="P92" s="834">
        <f t="shared" si="11"/>
        <v>2156800</v>
      </c>
      <c r="Q92" s="617" t="b">
        <f>P92=P94+P96+P97+P98+P99+P100+P102+P104+P106+P107+P117+P115+P113+P109</f>
        <v>1</v>
      </c>
      <c r="R92" s="255"/>
    </row>
    <row r="93" spans="1:18" ht="47.25" thickTop="1" thickBot="1" x14ac:dyDescent="0.25">
      <c r="A93" s="151" t="s">
        <v>756</v>
      </c>
      <c r="B93" s="151" t="s">
        <v>727</v>
      </c>
      <c r="C93" s="151"/>
      <c r="D93" s="151" t="s">
        <v>728</v>
      </c>
      <c r="E93" s="863">
        <f>'d3'!E93-d3П!E92</f>
        <v>0</v>
      </c>
      <c r="F93" s="863">
        <f>'d3'!F93-d3П!F92</f>
        <v>0</v>
      </c>
      <c r="G93" s="863">
        <f>'d3'!G93-d3П!G92</f>
        <v>0</v>
      </c>
      <c r="H93" s="863">
        <f>'d3'!H93-d3П!H92</f>
        <v>0</v>
      </c>
      <c r="I93" s="863">
        <f>'d3'!I93-d3П!I92</f>
        <v>0</v>
      </c>
      <c r="J93" s="863">
        <f>'d3'!J93-d3П!J92</f>
        <v>0</v>
      </c>
      <c r="K93" s="863">
        <f>'d3'!K93-d3П!K92</f>
        <v>0</v>
      </c>
      <c r="L93" s="863">
        <f>'d3'!L93-d3П!L92</f>
        <v>0</v>
      </c>
      <c r="M93" s="863">
        <f>'d3'!M93-d3П!M92</f>
        <v>0</v>
      </c>
      <c r="N93" s="863">
        <f>'d3'!N93-d3П!N92</f>
        <v>0</v>
      </c>
      <c r="O93" s="863">
        <f>'d3'!O93-d3П!O92</f>
        <v>0</v>
      </c>
      <c r="P93" s="863">
        <f>'d3'!P93-d3П!P92</f>
        <v>0</v>
      </c>
      <c r="Q93" s="617"/>
      <c r="R93" s="255"/>
    </row>
    <row r="94" spans="1:18" ht="230.25" thickTop="1" thickBot="1" x14ac:dyDescent="0.25">
      <c r="A94" s="864" t="s">
        <v>432</v>
      </c>
      <c r="B94" s="864" t="s">
        <v>248</v>
      </c>
      <c r="C94" s="864" t="s">
        <v>246</v>
      </c>
      <c r="D94" s="864" t="s">
        <v>247</v>
      </c>
      <c r="E94" s="863">
        <f>'d3'!E94-d3П!E93</f>
        <v>0</v>
      </c>
      <c r="F94" s="863">
        <f>'d3'!F94-d3П!F93</f>
        <v>0</v>
      </c>
      <c r="G94" s="863">
        <f>'d3'!G94-d3П!G93</f>
        <v>0</v>
      </c>
      <c r="H94" s="863">
        <f>'d3'!H94-d3П!H93</f>
        <v>0</v>
      </c>
      <c r="I94" s="863">
        <f>'d3'!I94-d3П!I93</f>
        <v>0</v>
      </c>
      <c r="J94" s="863">
        <f>'d3'!J94-d3П!J93</f>
        <v>0</v>
      </c>
      <c r="K94" s="863">
        <f>'d3'!K94-d3П!K93</f>
        <v>0</v>
      </c>
      <c r="L94" s="863">
        <f>'d3'!L94-d3П!L93</f>
        <v>0</v>
      </c>
      <c r="M94" s="863">
        <f>'d3'!M94-d3П!M93</f>
        <v>0</v>
      </c>
      <c r="N94" s="863">
        <f>'d3'!N94-d3П!N93</f>
        <v>0</v>
      </c>
      <c r="O94" s="863">
        <f>'d3'!O94-d3П!O93</f>
        <v>0</v>
      </c>
      <c r="P94" s="863">
        <f>'d3'!P94-d3П!P93</f>
        <v>0</v>
      </c>
      <c r="Q94" s="626"/>
      <c r="R94" s="255"/>
    </row>
    <row r="95" spans="1:18" ht="47.25" thickTop="1" thickBot="1" x14ac:dyDescent="0.25">
      <c r="A95" s="151" t="s">
        <v>757</v>
      </c>
      <c r="B95" s="151" t="s">
        <v>758</v>
      </c>
      <c r="C95" s="151"/>
      <c r="D95" s="151" t="s">
        <v>759</v>
      </c>
      <c r="E95" s="863">
        <f>'d3'!E95-d3П!E94</f>
        <v>2156800</v>
      </c>
      <c r="F95" s="863">
        <f>'d3'!F95-d3П!F94</f>
        <v>2156800</v>
      </c>
      <c r="G95" s="863">
        <f>'d3'!G95-d3П!G94</f>
        <v>0</v>
      </c>
      <c r="H95" s="863">
        <f>'d3'!H95-d3П!H94</f>
        <v>0</v>
      </c>
      <c r="I95" s="863">
        <f>'d3'!I95-d3П!I94</f>
        <v>0</v>
      </c>
      <c r="J95" s="863">
        <f>'d3'!J95-d3П!J94</f>
        <v>0</v>
      </c>
      <c r="K95" s="863">
        <f>'d3'!K95-d3П!K94</f>
        <v>0</v>
      </c>
      <c r="L95" s="863">
        <f>'d3'!L95-d3П!L94</f>
        <v>0</v>
      </c>
      <c r="M95" s="863">
        <f>'d3'!M95-d3П!M94</f>
        <v>0</v>
      </c>
      <c r="N95" s="863">
        <f>'d3'!N95-d3П!N94</f>
        <v>0</v>
      </c>
      <c r="O95" s="863">
        <f>'d3'!O95-d3П!O94</f>
        <v>0</v>
      </c>
      <c r="P95" s="863">
        <f>'d3'!P95-d3П!P94</f>
        <v>2156800</v>
      </c>
      <c r="Q95" s="626"/>
      <c r="R95" s="284"/>
    </row>
    <row r="96" spans="1:18" ht="93" thickTop="1" thickBot="1" x14ac:dyDescent="0.25">
      <c r="A96" s="864" t="s">
        <v>226</v>
      </c>
      <c r="B96" s="864" t="s">
        <v>223</v>
      </c>
      <c r="C96" s="864" t="s">
        <v>227</v>
      </c>
      <c r="D96" s="864" t="s">
        <v>19</v>
      </c>
      <c r="E96" s="863">
        <f>'d3'!E96-d3П!E95</f>
        <v>0</v>
      </c>
      <c r="F96" s="863">
        <f>'d3'!F96-d3П!F95</f>
        <v>0</v>
      </c>
      <c r="G96" s="863">
        <f>'d3'!G96-d3П!G95</f>
        <v>0</v>
      </c>
      <c r="H96" s="863">
        <f>'d3'!H96-d3П!H95</f>
        <v>0</v>
      </c>
      <c r="I96" s="863">
        <f>'d3'!I96-d3П!I95</f>
        <v>0</v>
      </c>
      <c r="J96" s="863">
        <f>'d3'!J96-d3П!J95</f>
        <v>0</v>
      </c>
      <c r="K96" s="863">
        <f>'d3'!K96-d3П!K95</f>
        <v>0</v>
      </c>
      <c r="L96" s="863">
        <f>'d3'!L96-d3П!L95</f>
        <v>0</v>
      </c>
      <c r="M96" s="863">
        <f>'d3'!M96-d3П!M95</f>
        <v>0</v>
      </c>
      <c r="N96" s="863">
        <f>'d3'!N96-d3П!N95</f>
        <v>0</v>
      </c>
      <c r="O96" s="863">
        <f>'d3'!O96-d3П!O95</f>
        <v>0</v>
      </c>
      <c r="P96" s="863">
        <f>'d3'!P96-d3П!P95</f>
        <v>0</v>
      </c>
      <c r="R96" s="267"/>
    </row>
    <row r="97" spans="1:18" ht="93" thickTop="1" thickBot="1" x14ac:dyDescent="0.25">
      <c r="A97" s="864" t="s">
        <v>523</v>
      </c>
      <c r="B97" s="864" t="s">
        <v>526</v>
      </c>
      <c r="C97" s="864" t="s">
        <v>525</v>
      </c>
      <c r="D97" s="864" t="s">
        <v>524</v>
      </c>
      <c r="E97" s="863">
        <f>'d3'!E97-d3П!E96</f>
        <v>0</v>
      </c>
      <c r="F97" s="863">
        <f>'d3'!F97-d3П!F96</f>
        <v>0</v>
      </c>
      <c r="G97" s="863">
        <f>'d3'!G97-d3П!G96</f>
        <v>0</v>
      </c>
      <c r="H97" s="863">
        <f>'d3'!H97-d3П!H96</f>
        <v>0</v>
      </c>
      <c r="I97" s="863">
        <f>'d3'!I97-d3П!I96</f>
        <v>0</v>
      </c>
      <c r="J97" s="863">
        <f>'d3'!J97-d3П!J96</f>
        <v>0</v>
      </c>
      <c r="K97" s="863">
        <f>'d3'!K97-d3П!K96</f>
        <v>0</v>
      </c>
      <c r="L97" s="863">
        <f>'d3'!L97-d3П!L96</f>
        <v>0</v>
      </c>
      <c r="M97" s="863">
        <f>'d3'!M97-d3П!M96</f>
        <v>0</v>
      </c>
      <c r="N97" s="863">
        <f>'d3'!N97-d3П!N96</f>
        <v>0</v>
      </c>
      <c r="O97" s="863">
        <f>'d3'!O97-d3П!O96</f>
        <v>0</v>
      </c>
      <c r="P97" s="863">
        <f>'d3'!P97-d3П!P96</f>
        <v>0</v>
      </c>
      <c r="R97" s="284"/>
    </row>
    <row r="98" spans="1:18" ht="138.75" thickTop="1" thickBot="1" x14ac:dyDescent="0.25">
      <c r="A98" s="864" t="s">
        <v>228</v>
      </c>
      <c r="B98" s="864" t="s">
        <v>229</v>
      </c>
      <c r="C98" s="864" t="s">
        <v>230</v>
      </c>
      <c r="D98" s="864" t="s">
        <v>231</v>
      </c>
      <c r="E98" s="863">
        <f>'d3'!E98-d3П!E97</f>
        <v>0</v>
      </c>
      <c r="F98" s="863">
        <f>'d3'!F98-d3П!F97</f>
        <v>0</v>
      </c>
      <c r="G98" s="863">
        <f>'d3'!G98-d3П!G97</f>
        <v>0</v>
      </c>
      <c r="H98" s="863">
        <f>'d3'!H98-d3П!H97</f>
        <v>0</v>
      </c>
      <c r="I98" s="863">
        <f>'d3'!I98-d3П!I97</f>
        <v>0</v>
      </c>
      <c r="J98" s="863">
        <f>'d3'!J98-d3П!J97</f>
        <v>0</v>
      </c>
      <c r="K98" s="863">
        <f>'d3'!K98-d3П!K97</f>
        <v>0</v>
      </c>
      <c r="L98" s="863">
        <f>'d3'!L98-d3П!L97</f>
        <v>0</v>
      </c>
      <c r="M98" s="863">
        <f>'d3'!M98-d3П!M97</f>
        <v>0</v>
      </c>
      <c r="N98" s="863">
        <f>'d3'!N98-d3П!N97</f>
        <v>0</v>
      </c>
      <c r="O98" s="863">
        <f>'d3'!O98-d3П!O97</f>
        <v>0</v>
      </c>
      <c r="P98" s="863">
        <f>'d3'!P98-d3П!P97</f>
        <v>0</v>
      </c>
      <c r="R98" s="284"/>
    </row>
    <row r="99" spans="1:18" ht="138.75" thickTop="1" thickBot="1" x14ac:dyDescent="0.25">
      <c r="A99" s="864" t="s">
        <v>232</v>
      </c>
      <c r="B99" s="864" t="s">
        <v>233</v>
      </c>
      <c r="C99" s="864" t="s">
        <v>234</v>
      </c>
      <c r="D99" s="864" t="s">
        <v>359</v>
      </c>
      <c r="E99" s="863">
        <f>'d3'!E99-d3П!E98</f>
        <v>2156800</v>
      </c>
      <c r="F99" s="863">
        <f>'d3'!F99-d3П!F98</f>
        <v>2156800</v>
      </c>
      <c r="G99" s="863">
        <f>'d3'!G99-d3П!G98</f>
        <v>0</v>
      </c>
      <c r="H99" s="863">
        <f>'d3'!H99-d3П!H98</f>
        <v>0</v>
      </c>
      <c r="I99" s="863">
        <f>'d3'!I99-d3П!I98</f>
        <v>0</v>
      </c>
      <c r="J99" s="863">
        <f>'d3'!J99-d3П!J98</f>
        <v>0</v>
      </c>
      <c r="K99" s="863">
        <f>'d3'!K99-d3П!K98</f>
        <v>0</v>
      </c>
      <c r="L99" s="863">
        <f>'d3'!L99-d3П!L98</f>
        <v>0</v>
      </c>
      <c r="M99" s="863">
        <f>'d3'!M99-d3П!M98</f>
        <v>0</v>
      </c>
      <c r="N99" s="863">
        <f>'d3'!N99-d3П!N98</f>
        <v>0</v>
      </c>
      <c r="O99" s="863">
        <f>'d3'!O99-d3П!O98</f>
        <v>0</v>
      </c>
      <c r="P99" s="863">
        <f>'d3'!P99-d3П!P98</f>
        <v>2156800</v>
      </c>
      <c r="R99" s="284"/>
    </row>
    <row r="100" spans="1:18" ht="93" thickTop="1" thickBot="1" x14ac:dyDescent="0.25">
      <c r="A100" s="864" t="s">
        <v>235</v>
      </c>
      <c r="B100" s="864" t="s">
        <v>236</v>
      </c>
      <c r="C100" s="864" t="s">
        <v>237</v>
      </c>
      <c r="D100" s="864" t="s">
        <v>238</v>
      </c>
      <c r="E100" s="863">
        <f>'d3'!E100-d3П!E99</f>
        <v>0</v>
      </c>
      <c r="F100" s="863">
        <f>'d3'!F100-d3П!F99</f>
        <v>0</v>
      </c>
      <c r="G100" s="863">
        <f>'d3'!G100-d3П!G99</f>
        <v>0</v>
      </c>
      <c r="H100" s="863">
        <f>'d3'!H100-d3П!H99</f>
        <v>0</v>
      </c>
      <c r="I100" s="863">
        <f>'d3'!I100-d3П!I99</f>
        <v>0</v>
      </c>
      <c r="J100" s="863">
        <f>'d3'!J100-d3П!J99</f>
        <v>0</v>
      </c>
      <c r="K100" s="863">
        <f>'d3'!K100-d3П!K99</f>
        <v>0</v>
      </c>
      <c r="L100" s="863">
        <f>'d3'!L100-d3П!L99</f>
        <v>0</v>
      </c>
      <c r="M100" s="863">
        <f>'d3'!M100-d3П!M99</f>
        <v>0</v>
      </c>
      <c r="N100" s="863">
        <f>'d3'!N100-d3П!N99</f>
        <v>0</v>
      </c>
      <c r="O100" s="863">
        <f>'d3'!O100-d3П!O99</f>
        <v>0</v>
      </c>
      <c r="P100" s="863">
        <f>'d3'!P100-d3П!P99</f>
        <v>0</v>
      </c>
      <c r="R100" s="284"/>
    </row>
    <row r="101" spans="1:18" ht="93" thickTop="1" thickBot="1" x14ac:dyDescent="0.25">
      <c r="A101" s="489" t="s">
        <v>760</v>
      </c>
      <c r="B101" s="489" t="s">
        <v>761</v>
      </c>
      <c r="C101" s="489"/>
      <c r="D101" s="489" t="s">
        <v>762</v>
      </c>
      <c r="E101" s="863">
        <f>'d3'!E101-d3П!E100</f>
        <v>0</v>
      </c>
      <c r="F101" s="863">
        <f>'d3'!F101-d3П!F100</f>
        <v>0</v>
      </c>
      <c r="G101" s="863">
        <f>'d3'!G101-d3П!G100</f>
        <v>0</v>
      </c>
      <c r="H101" s="863">
        <f>'d3'!H101-d3П!H100</f>
        <v>0</v>
      </c>
      <c r="I101" s="863">
        <f>'d3'!I101-d3П!I100</f>
        <v>0</v>
      </c>
      <c r="J101" s="863">
        <f>'d3'!J101-d3П!J100</f>
        <v>0</v>
      </c>
      <c r="K101" s="863">
        <f>'d3'!K101-d3П!K100</f>
        <v>0</v>
      </c>
      <c r="L101" s="863">
        <f>'d3'!L101-d3П!L100</f>
        <v>0</v>
      </c>
      <c r="M101" s="863">
        <f>'d3'!M101-d3П!M100</f>
        <v>0</v>
      </c>
      <c r="N101" s="863">
        <f>'d3'!N101-d3П!N100</f>
        <v>0</v>
      </c>
      <c r="O101" s="863">
        <f>'d3'!O101-d3П!O100</f>
        <v>0</v>
      </c>
      <c r="P101" s="863">
        <f>'d3'!P101-d3П!P100</f>
        <v>0</v>
      </c>
      <c r="R101" s="284"/>
    </row>
    <row r="102" spans="1:18" ht="184.5" thickTop="1" thickBot="1" x14ac:dyDescent="0.25">
      <c r="A102" s="864" t="s">
        <v>239</v>
      </c>
      <c r="B102" s="864" t="s">
        <v>240</v>
      </c>
      <c r="C102" s="864" t="s">
        <v>360</v>
      </c>
      <c r="D102" s="864" t="s">
        <v>241</v>
      </c>
      <c r="E102" s="863">
        <f>'d3'!E102-d3П!E101</f>
        <v>0</v>
      </c>
      <c r="F102" s="863">
        <f>'d3'!F102-d3П!F101</f>
        <v>0</v>
      </c>
      <c r="G102" s="863">
        <f>'d3'!G102-d3П!G101</f>
        <v>0</v>
      </c>
      <c r="H102" s="863">
        <f>'d3'!H102-d3П!H101</f>
        <v>0</v>
      </c>
      <c r="I102" s="863">
        <f>'d3'!I102-d3П!I101</f>
        <v>0</v>
      </c>
      <c r="J102" s="863">
        <f>'d3'!J102-d3П!J101</f>
        <v>0</v>
      </c>
      <c r="K102" s="863">
        <f>'d3'!K102-d3П!K101</f>
        <v>0</v>
      </c>
      <c r="L102" s="863">
        <f>'d3'!L102-d3П!L101</f>
        <v>0</v>
      </c>
      <c r="M102" s="863">
        <f>'d3'!M102-d3П!M101</f>
        <v>0</v>
      </c>
      <c r="N102" s="863">
        <f>'d3'!N102-d3П!N101</f>
        <v>0</v>
      </c>
      <c r="O102" s="863">
        <f>'d3'!O102-d3П!O101</f>
        <v>0</v>
      </c>
      <c r="P102" s="863">
        <f>'d3'!P102-d3П!P101</f>
        <v>0</v>
      </c>
      <c r="R102" s="284"/>
    </row>
    <row r="103" spans="1:18" ht="138.75" hidden="1" thickTop="1" thickBot="1" x14ac:dyDescent="0.25">
      <c r="A103" s="489" t="s">
        <v>763</v>
      </c>
      <c r="B103" s="489" t="s">
        <v>764</v>
      </c>
      <c r="C103" s="489"/>
      <c r="D103" s="489" t="s">
        <v>765</v>
      </c>
      <c r="E103" s="472"/>
      <c r="F103" s="472"/>
      <c r="G103" s="472"/>
      <c r="H103" s="472"/>
      <c r="I103" s="472"/>
      <c r="J103" s="275"/>
      <c r="K103" s="275"/>
      <c r="L103" s="275"/>
      <c r="M103" s="275"/>
      <c r="N103" s="275"/>
      <c r="O103" s="275"/>
      <c r="P103" s="275"/>
      <c r="R103" s="284"/>
    </row>
    <row r="104" spans="1:18" ht="138.75" hidden="1" thickTop="1" thickBot="1" x14ac:dyDescent="0.25">
      <c r="A104" s="864" t="s">
        <v>493</v>
      </c>
      <c r="B104" s="864" t="s">
        <v>494</v>
      </c>
      <c r="C104" s="864" t="s">
        <v>242</v>
      </c>
      <c r="D104" s="864" t="s">
        <v>495</v>
      </c>
      <c r="E104" s="860"/>
      <c r="F104" s="444"/>
      <c r="G104" s="444"/>
      <c r="H104" s="444"/>
      <c r="I104" s="444"/>
      <c r="J104" s="874"/>
      <c r="K104" s="278"/>
      <c r="L104" s="278"/>
      <c r="M104" s="278"/>
      <c r="N104" s="278"/>
      <c r="O104" s="871"/>
      <c r="P104" s="874"/>
      <c r="R104" s="284"/>
    </row>
    <row r="105" spans="1:18" ht="138.75" thickTop="1" thickBot="1" x14ac:dyDescent="0.25">
      <c r="A105" s="489" t="s">
        <v>766</v>
      </c>
      <c r="B105" s="489" t="s">
        <v>767</v>
      </c>
      <c r="C105" s="489"/>
      <c r="D105" s="489" t="s">
        <v>768</v>
      </c>
      <c r="E105" s="863">
        <f>'d3'!E105-d3П!E104</f>
        <v>0</v>
      </c>
      <c r="F105" s="863">
        <f>'d3'!F105-d3П!F104</f>
        <v>0</v>
      </c>
      <c r="G105" s="863">
        <f>'d3'!G105-d3П!G104</f>
        <v>0</v>
      </c>
      <c r="H105" s="863">
        <f>'d3'!H105-d3П!H104</f>
        <v>0</v>
      </c>
      <c r="I105" s="863">
        <f>'d3'!I105-d3П!I104</f>
        <v>0</v>
      </c>
      <c r="J105" s="863">
        <f>'d3'!J105-d3П!J104</f>
        <v>0</v>
      </c>
      <c r="K105" s="863">
        <f>'d3'!K105-d3П!K104</f>
        <v>0</v>
      </c>
      <c r="L105" s="863">
        <f>'d3'!L105-d3П!L104</f>
        <v>0</v>
      </c>
      <c r="M105" s="863">
        <f>'d3'!M105-d3П!M104</f>
        <v>0</v>
      </c>
      <c r="N105" s="863">
        <f>'d3'!N105-d3П!N104</f>
        <v>0</v>
      </c>
      <c r="O105" s="863">
        <f>'d3'!O105-d3П!O104</f>
        <v>0</v>
      </c>
      <c r="P105" s="863">
        <f>'d3'!P105-d3П!P104</f>
        <v>0</v>
      </c>
      <c r="R105" s="284"/>
    </row>
    <row r="106" spans="1:18" s="272" customFormat="1" ht="138.75" thickTop="1" thickBot="1" x14ac:dyDescent="0.25">
      <c r="A106" s="864" t="s">
        <v>335</v>
      </c>
      <c r="B106" s="864" t="s">
        <v>337</v>
      </c>
      <c r="C106" s="864" t="s">
        <v>242</v>
      </c>
      <c r="D106" s="499" t="s">
        <v>333</v>
      </c>
      <c r="E106" s="863">
        <f>'d3'!E106-d3П!E105</f>
        <v>0</v>
      </c>
      <c r="F106" s="863">
        <f>'d3'!F106-d3П!F105</f>
        <v>0</v>
      </c>
      <c r="G106" s="863">
        <f>'d3'!G106-d3П!G105</f>
        <v>0</v>
      </c>
      <c r="H106" s="863">
        <f>'d3'!H106-d3П!H105</f>
        <v>0</v>
      </c>
      <c r="I106" s="863">
        <f>'d3'!I106-d3П!I105</f>
        <v>0</v>
      </c>
      <c r="J106" s="863">
        <f>'d3'!J106-d3П!J105</f>
        <v>0</v>
      </c>
      <c r="K106" s="863">
        <f>'d3'!K106-d3П!K105</f>
        <v>0</v>
      </c>
      <c r="L106" s="863">
        <f>'d3'!L106-d3П!L105</f>
        <v>0</v>
      </c>
      <c r="M106" s="863">
        <f>'d3'!M106-d3П!M105</f>
        <v>0</v>
      </c>
      <c r="N106" s="863">
        <f>'d3'!N106-d3П!N105</f>
        <v>0</v>
      </c>
      <c r="O106" s="863">
        <f>'d3'!O106-d3П!O105</f>
        <v>0</v>
      </c>
      <c r="P106" s="863">
        <f>'d3'!P106-d3П!P105</f>
        <v>0</v>
      </c>
      <c r="Q106" s="624"/>
      <c r="R106" s="255"/>
    </row>
    <row r="107" spans="1:18" s="272" customFormat="1" ht="93" thickTop="1" thickBot="1" x14ac:dyDescent="0.25">
      <c r="A107" s="864" t="s">
        <v>336</v>
      </c>
      <c r="B107" s="864" t="s">
        <v>338</v>
      </c>
      <c r="C107" s="864" t="s">
        <v>242</v>
      </c>
      <c r="D107" s="499" t="s">
        <v>334</v>
      </c>
      <c r="E107" s="863">
        <f>'d3'!E107-d3П!E106</f>
        <v>0</v>
      </c>
      <c r="F107" s="863">
        <f>'d3'!F107-d3П!F106</f>
        <v>0</v>
      </c>
      <c r="G107" s="863">
        <f>'d3'!G107-d3П!G106</f>
        <v>0</v>
      </c>
      <c r="H107" s="863">
        <f>'d3'!H107-d3П!H106</f>
        <v>0</v>
      </c>
      <c r="I107" s="863">
        <f>'d3'!I107-d3П!I106</f>
        <v>0</v>
      </c>
      <c r="J107" s="863">
        <f>'d3'!J107-d3П!J106</f>
        <v>0</v>
      </c>
      <c r="K107" s="863">
        <f>'d3'!K107-d3П!K106</f>
        <v>0</v>
      </c>
      <c r="L107" s="863">
        <f>'d3'!L107-d3П!L106</f>
        <v>0</v>
      </c>
      <c r="M107" s="863">
        <f>'d3'!M107-d3П!M106</f>
        <v>0</v>
      </c>
      <c r="N107" s="863">
        <f>'d3'!N107-d3П!N106</f>
        <v>0</v>
      </c>
      <c r="O107" s="863">
        <f>'d3'!O107-d3П!O106</f>
        <v>0</v>
      </c>
      <c r="P107" s="863">
        <f>'d3'!P107-d3П!P106</f>
        <v>0</v>
      </c>
      <c r="Q107" s="624"/>
      <c r="R107" s="284"/>
    </row>
    <row r="108" spans="1:18" s="272" customFormat="1" ht="91.5" thickTop="1" thickBot="1" x14ac:dyDescent="0.25">
      <c r="A108" s="151" t="s">
        <v>1369</v>
      </c>
      <c r="B108" s="151" t="s">
        <v>754</v>
      </c>
      <c r="C108" s="151"/>
      <c r="D108" s="151" t="s">
        <v>755</v>
      </c>
      <c r="E108" s="863">
        <f>'d3'!E108-d3П!E107</f>
        <v>0</v>
      </c>
      <c r="F108" s="863">
        <f>'d3'!F108-d3П!F107</f>
        <v>0</v>
      </c>
      <c r="G108" s="863">
        <f>'d3'!G108-d3П!G107</f>
        <v>0</v>
      </c>
      <c r="H108" s="863">
        <f>'d3'!H108-d3П!H107</f>
        <v>0</v>
      </c>
      <c r="I108" s="863">
        <f>'d3'!I108-d3П!I107</f>
        <v>0</v>
      </c>
      <c r="J108" s="863">
        <f>'d3'!J108-d3П!J107</f>
        <v>0</v>
      </c>
      <c r="K108" s="863">
        <f>'d3'!K108-d3П!K107</f>
        <v>0</v>
      </c>
      <c r="L108" s="863">
        <f>'d3'!L108-d3П!L107</f>
        <v>0</v>
      </c>
      <c r="M108" s="863">
        <f>'d3'!M108-d3П!M107</f>
        <v>0</v>
      </c>
      <c r="N108" s="863">
        <f>'d3'!N108-d3П!N107</f>
        <v>0</v>
      </c>
      <c r="O108" s="863">
        <f>'d3'!O108-d3П!O107</f>
        <v>0</v>
      </c>
      <c r="P108" s="863">
        <f>'d3'!P108-d3П!P107</f>
        <v>0</v>
      </c>
      <c r="Q108" s="624"/>
      <c r="R108" s="284"/>
    </row>
    <row r="109" spans="1:18" s="272" customFormat="1" ht="230.25" thickTop="1" thickBot="1" x14ac:dyDescent="0.25">
      <c r="A109" s="864" t="s">
        <v>1370</v>
      </c>
      <c r="B109" s="864" t="s">
        <v>1371</v>
      </c>
      <c r="C109" s="864" t="s">
        <v>218</v>
      </c>
      <c r="D109" s="499" t="s">
        <v>1372</v>
      </c>
      <c r="E109" s="863">
        <f>'d3'!E109-d3П!E108</f>
        <v>0</v>
      </c>
      <c r="F109" s="863">
        <f>'d3'!F109-d3П!F108</f>
        <v>0</v>
      </c>
      <c r="G109" s="863">
        <f>'d3'!G109-d3П!G108</f>
        <v>0</v>
      </c>
      <c r="H109" s="863">
        <f>'d3'!H109-d3П!H108</f>
        <v>0</v>
      </c>
      <c r="I109" s="863">
        <f>'d3'!I109-d3П!I108</f>
        <v>0</v>
      </c>
      <c r="J109" s="863">
        <f>'d3'!J109-d3П!J108</f>
        <v>0</v>
      </c>
      <c r="K109" s="863">
        <f>'d3'!K109-d3П!K108</f>
        <v>0</v>
      </c>
      <c r="L109" s="863">
        <f>'d3'!L109-d3П!L108</f>
        <v>0</v>
      </c>
      <c r="M109" s="863">
        <f>'d3'!M109-d3П!M108</f>
        <v>0</v>
      </c>
      <c r="N109" s="863">
        <f>'d3'!N109-d3П!N108</f>
        <v>0</v>
      </c>
      <c r="O109" s="863">
        <f>'d3'!O109-d3П!O108</f>
        <v>0</v>
      </c>
      <c r="P109" s="863">
        <f>'d3'!P109-d3П!P108</f>
        <v>0</v>
      </c>
      <c r="Q109" s="624"/>
      <c r="R109" s="284"/>
    </row>
    <row r="110" spans="1:18" s="272" customFormat="1" ht="47.25" thickTop="1" thickBot="1" x14ac:dyDescent="0.25">
      <c r="A110" s="151" t="s">
        <v>794</v>
      </c>
      <c r="B110" s="466" t="s">
        <v>792</v>
      </c>
      <c r="C110" s="466"/>
      <c r="D110" s="466" t="s">
        <v>793</v>
      </c>
      <c r="E110" s="863">
        <f>'d3'!E110-d3П!E109</f>
        <v>0</v>
      </c>
      <c r="F110" s="863">
        <f>'d3'!F110-d3П!F109</f>
        <v>0</v>
      </c>
      <c r="G110" s="863">
        <f>'d3'!G110-d3П!G109</f>
        <v>0</v>
      </c>
      <c r="H110" s="863">
        <f>'d3'!H110-d3П!H109</f>
        <v>0</v>
      </c>
      <c r="I110" s="863">
        <f>'d3'!I110-d3П!I109</f>
        <v>0</v>
      </c>
      <c r="J110" s="863">
        <f>'d3'!J110-d3П!J109</f>
        <v>0</v>
      </c>
      <c r="K110" s="863">
        <f>'d3'!K110-d3П!K109</f>
        <v>0</v>
      </c>
      <c r="L110" s="863">
        <f>'d3'!L110-d3П!L109</f>
        <v>0</v>
      </c>
      <c r="M110" s="863">
        <f>'d3'!M110-d3П!M109</f>
        <v>0</v>
      </c>
      <c r="N110" s="863">
        <f>'d3'!N110-d3П!N109</f>
        <v>0</v>
      </c>
      <c r="O110" s="863">
        <f>'d3'!O110-d3П!O109</f>
        <v>0</v>
      </c>
      <c r="P110" s="863">
        <f>'d3'!P110-d3П!P109</f>
        <v>0</v>
      </c>
      <c r="Q110" s="624"/>
      <c r="R110" s="284"/>
    </row>
    <row r="111" spans="1:18" s="272" customFormat="1" ht="91.5" thickTop="1" thickBot="1" x14ac:dyDescent="0.25">
      <c r="A111" s="467" t="s">
        <v>1142</v>
      </c>
      <c r="B111" s="467" t="s">
        <v>848</v>
      </c>
      <c r="C111" s="467"/>
      <c r="D111" s="467" t="s">
        <v>849</v>
      </c>
      <c r="E111" s="863">
        <f>'d3'!E111-d3П!E110</f>
        <v>0</v>
      </c>
      <c r="F111" s="863">
        <f>'d3'!F111-d3П!F110</f>
        <v>0</v>
      </c>
      <c r="G111" s="863">
        <f>'d3'!G111-d3П!G110</f>
        <v>0</v>
      </c>
      <c r="H111" s="863">
        <f>'d3'!H111-d3П!H110</f>
        <v>0</v>
      </c>
      <c r="I111" s="863">
        <f>'d3'!I111-d3П!I110</f>
        <v>0</v>
      </c>
      <c r="J111" s="863">
        <f>'d3'!J111-d3П!J110</f>
        <v>0</v>
      </c>
      <c r="K111" s="863">
        <f>'d3'!K111-d3П!K110</f>
        <v>0</v>
      </c>
      <c r="L111" s="863">
        <f>'d3'!L111-d3П!L110</f>
        <v>0</v>
      </c>
      <c r="M111" s="863">
        <f>'d3'!M111-d3П!M110</f>
        <v>0</v>
      </c>
      <c r="N111" s="863">
        <f>'d3'!N111-d3П!N110</f>
        <v>0</v>
      </c>
      <c r="O111" s="863">
        <f>'d3'!O111-d3П!O110</f>
        <v>0</v>
      </c>
      <c r="P111" s="863">
        <f>'d3'!P111-d3П!P110</f>
        <v>0</v>
      </c>
      <c r="Q111" s="624"/>
      <c r="R111" s="284"/>
    </row>
    <row r="112" spans="1:18" s="272" customFormat="1" ht="146.25" thickTop="1" thickBot="1" x14ac:dyDescent="0.25">
      <c r="A112" s="489" t="s">
        <v>1334</v>
      </c>
      <c r="B112" s="489" t="s">
        <v>867</v>
      </c>
      <c r="C112" s="489"/>
      <c r="D112" s="489" t="s">
        <v>868</v>
      </c>
      <c r="E112" s="863">
        <f>'d3'!E112-d3П!E111</f>
        <v>0</v>
      </c>
      <c r="F112" s="863">
        <f>'d3'!F112-d3П!F111</f>
        <v>0</v>
      </c>
      <c r="G112" s="863">
        <f>'d3'!G112-d3П!G111</f>
        <v>0</v>
      </c>
      <c r="H112" s="863">
        <f>'d3'!H112-d3П!H111</f>
        <v>0</v>
      </c>
      <c r="I112" s="863">
        <f>'d3'!I112-d3П!I111</f>
        <v>0</v>
      </c>
      <c r="J112" s="863">
        <f>'d3'!J112-d3П!J111</f>
        <v>0</v>
      </c>
      <c r="K112" s="863">
        <f>'d3'!K112-d3П!K111</f>
        <v>0</v>
      </c>
      <c r="L112" s="863">
        <f>'d3'!L112-d3П!L111</f>
        <v>0</v>
      </c>
      <c r="M112" s="863">
        <f>'d3'!M112-d3П!M111</f>
        <v>0</v>
      </c>
      <c r="N112" s="863">
        <f>'d3'!N112-d3П!N111</f>
        <v>0</v>
      </c>
      <c r="O112" s="863">
        <f>'d3'!O112-d3П!O111</f>
        <v>0</v>
      </c>
      <c r="P112" s="863">
        <f>'d3'!P112-d3П!P111</f>
        <v>0</v>
      </c>
      <c r="Q112" s="624"/>
      <c r="R112" s="284"/>
    </row>
    <row r="113" spans="1:20" s="272" customFormat="1" ht="99.75" thickTop="1" thickBot="1" x14ac:dyDescent="0.25">
      <c r="A113" s="864" t="s">
        <v>1333</v>
      </c>
      <c r="B113" s="864" t="s">
        <v>1335</v>
      </c>
      <c r="C113" s="864" t="s">
        <v>317</v>
      </c>
      <c r="D113" s="864" t="s">
        <v>1332</v>
      </c>
      <c r="E113" s="863">
        <f>'d3'!E113-d3П!E112</f>
        <v>0</v>
      </c>
      <c r="F113" s="863">
        <f>'d3'!F113-d3П!F112</f>
        <v>0</v>
      </c>
      <c r="G113" s="863">
        <f>'d3'!G113-d3П!G112</f>
        <v>0</v>
      </c>
      <c r="H113" s="863">
        <f>'d3'!H113-d3П!H112</f>
        <v>0</v>
      </c>
      <c r="I113" s="863">
        <f>'d3'!I113-d3П!I112</f>
        <v>0</v>
      </c>
      <c r="J113" s="863">
        <f>'d3'!J113-d3П!J112</f>
        <v>0</v>
      </c>
      <c r="K113" s="863">
        <f>'d3'!K113-d3П!K112</f>
        <v>0</v>
      </c>
      <c r="L113" s="863">
        <f>'d3'!L113-d3П!L112</f>
        <v>0</v>
      </c>
      <c r="M113" s="863">
        <f>'d3'!M113-d3П!M112</f>
        <v>0</v>
      </c>
      <c r="N113" s="863">
        <f>'d3'!N113-d3П!N112</f>
        <v>0</v>
      </c>
      <c r="O113" s="863">
        <f>'d3'!O113-d3П!O112</f>
        <v>0</v>
      </c>
      <c r="P113" s="863">
        <f>'d3'!P113-d3П!P112</f>
        <v>0</v>
      </c>
      <c r="Q113" s="624"/>
      <c r="R113" s="284"/>
    </row>
    <row r="114" spans="1:20" s="272" customFormat="1" ht="93" hidden="1" thickTop="1" thickBot="1" x14ac:dyDescent="0.25">
      <c r="A114" s="279" t="s">
        <v>1143</v>
      </c>
      <c r="B114" s="279" t="s">
        <v>1141</v>
      </c>
      <c r="C114" s="279"/>
      <c r="D114" s="279" t="s">
        <v>1140</v>
      </c>
      <c r="E114" s="275">
        <f>E115</f>
        <v>0</v>
      </c>
      <c r="F114" s="275">
        <f t="shared" ref="F114:P114" si="12">F115</f>
        <v>0</v>
      </c>
      <c r="G114" s="275">
        <f t="shared" si="12"/>
        <v>0</v>
      </c>
      <c r="H114" s="275">
        <f t="shared" si="12"/>
        <v>0</v>
      </c>
      <c r="I114" s="275">
        <f t="shared" si="12"/>
        <v>0</v>
      </c>
      <c r="J114" s="275">
        <f t="shared" si="12"/>
        <v>0</v>
      </c>
      <c r="K114" s="275">
        <f t="shared" si="12"/>
        <v>0</v>
      </c>
      <c r="L114" s="275">
        <f t="shared" si="12"/>
        <v>0</v>
      </c>
      <c r="M114" s="275">
        <f t="shared" si="12"/>
        <v>0</v>
      </c>
      <c r="N114" s="275">
        <f t="shared" si="12"/>
        <v>0</v>
      </c>
      <c r="O114" s="275">
        <f t="shared" si="12"/>
        <v>0</v>
      </c>
      <c r="P114" s="275">
        <f t="shared" si="12"/>
        <v>0</v>
      </c>
      <c r="Q114" s="624"/>
      <c r="R114" s="284"/>
    </row>
    <row r="115" spans="1:20" s="272" customFormat="1" ht="230.25" hidden="1" thickTop="1" thickBot="1" x14ac:dyDescent="0.25">
      <c r="A115" s="873" t="s">
        <v>1144</v>
      </c>
      <c r="B115" s="873" t="s">
        <v>1145</v>
      </c>
      <c r="C115" s="873" t="s">
        <v>178</v>
      </c>
      <c r="D115" s="873" t="s">
        <v>1146</v>
      </c>
      <c r="E115" s="874">
        <f t="shared" ref="E98:E118" si="13">F115</f>
        <v>0</v>
      </c>
      <c r="F115" s="278"/>
      <c r="G115" s="278"/>
      <c r="H115" s="278"/>
      <c r="I115" s="278"/>
      <c r="J115" s="874">
        <f t="shared" ref="J94:J118" si="14">L115+O115</f>
        <v>0</v>
      </c>
      <c r="K115" s="278"/>
      <c r="L115" s="278"/>
      <c r="M115" s="278"/>
      <c r="N115" s="278"/>
      <c r="O115" s="871">
        <f>K115</f>
        <v>0</v>
      </c>
      <c r="P115" s="874">
        <f t="shared" ref="P94:P118" si="15">E115+J115</f>
        <v>0</v>
      </c>
      <c r="Q115" s="624"/>
      <c r="R115" s="255"/>
    </row>
    <row r="116" spans="1:20" s="258" customFormat="1" ht="136.5" hidden="1" thickTop="1" thickBot="1" x14ac:dyDescent="0.25">
      <c r="A116" s="253" t="s">
        <v>769</v>
      </c>
      <c r="B116" s="253" t="s">
        <v>734</v>
      </c>
      <c r="C116" s="253"/>
      <c r="D116" s="253" t="s">
        <v>732</v>
      </c>
      <c r="E116" s="270">
        <f>SUM(E117)</f>
        <v>0</v>
      </c>
      <c r="F116" s="270">
        <f t="shared" ref="F116:P116" si="16">SUM(F117)</f>
        <v>0</v>
      </c>
      <c r="G116" s="270">
        <f t="shared" si="16"/>
        <v>0</v>
      </c>
      <c r="H116" s="270">
        <f t="shared" si="16"/>
        <v>0</v>
      </c>
      <c r="I116" s="270">
        <f t="shared" si="16"/>
        <v>0</v>
      </c>
      <c r="J116" s="270">
        <f t="shared" si="16"/>
        <v>0</v>
      </c>
      <c r="K116" s="270">
        <f t="shared" si="16"/>
        <v>0</v>
      </c>
      <c r="L116" s="270">
        <f t="shared" si="16"/>
        <v>0</v>
      </c>
      <c r="M116" s="270">
        <f t="shared" si="16"/>
        <v>0</v>
      </c>
      <c r="N116" s="270">
        <f t="shared" si="16"/>
        <v>0</v>
      </c>
      <c r="O116" s="270">
        <f t="shared" si="16"/>
        <v>0</v>
      </c>
      <c r="P116" s="270">
        <f t="shared" si="16"/>
        <v>0</v>
      </c>
      <c r="Q116" s="627"/>
      <c r="R116" s="286"/>
    </row>
    <row r="117" spans="1:20" s="272" customFormat="1" ht="93" hidden="1" thickTop="1" thickBot="1" x14ac:dyDescent="0.25">
      <c r="A117" s="873" t="s">
        <v>451</v>
      </c>
      <c r="B117" s="873" t="s">
        <v>209</v>
      </c>
      <c r="C117" s="873" t="s">
        <v>178</v>
      </c>
      <c r="D117" s="873" t="s">
        <v>36</v>
      </c>
      <c r="E117" s="874">
        <f t="shared" si="13"/>
        <v>0</v>
      </c>
      <c r="F117" s="278"/>
      <c r="G117" s="278"/>
      <c r="H117" s="278"/>
      <c r="I117" s="278"/>
      <c r="J117" s="874">
        <f t="shared" si="14"/>
        <v>0</v>
      </c>
      <c r="K117" s="278"/>
      <c r="L117" s="278"/>
      <c r="M117" s="278"/>
      <c r="N117" s="278"/>
      <c r="O117" s="871">
        <f t="shared" ref="O102:O118" si="17">K117</f>
        <v>0</v>
      </c>
      <c r="P117" s="874">
        <f t="shared" si="15"/>
        <v>0</v>
      </c>
      <c r="Q117" s="624"/>
      <c r="R117" s="255"/>
    </row>
    <row r="118" spans="1:20" s="272" customFormat="1" ht="93" hidden="1" thickTop="1" thickBot="1" x14ac:dyDescent="0.25">
      <c r="A118" s="287" t="s">
        <v>527</v>
      </c>
      <c r="B118" s="287" t="s">
        <v>377</v>
      </c>
      <c r="C118" s="287" t="s">
        <v>45</v>
      </c>
      <c r="D118" s="287" t="s">
        <v>378</v>
      </c>
      <c r="E118" s="288">
        <f t="shared" si="13"/>
        <v>0</v>
      </c>
      <c r="F118" s="289"/>
      <c r="G118" s="289"/>
      <c r="H118" s="289"/>
      <c r="I118" s="289"/>
      <c r="J118" s="288">
        <f t="shared" si="14"/>
        <v>0</v>
      </c>
      <c r="K118" s="289"/>
      <c r="L118" s="289"/>
      <c r="M118" s="289"/>
      <c r="N118" s="289"/>
      <c r="O118" s="290">
        <f t="shared" si="17"/>
        <v>0</v>
      </c>
      <c r="P118" s="288">
        <f t="shared" si="15"/>
        <v>0</v>
      </c>
      <c r="Q118" s="624"/>
      <c r="R118" s="267"/>
    </row>
    <row r="119" spans="1:20" ht="226.5" thickTop="1" thickBot="1" x14ac:dyDescent="0.25">
      <c r="A119" s="828" t="s">
        <v>164</v>
      </c>
      <c r="B119" s="828"/>
      <c r="C119" s="828"/>
      <c r="D119" s="829" t="s">
        <v>39</v>
      </c>
      <c r="E119" s="830">
        <f>E120</f>
        <v>6811811</v>
      </c>
      <c r="F119" s="831">
        <f t="shared" ref="F119:G119" si="18">F120</f>
        <v>6811811</v>
      </c>
      <c r="G119" s="831">
        <f t="shared" si="18"/>
        <v>4559615</v>
      </c>
      <c r="H119" s="831">
        <f>H120</f>
        <v>137400</v>
      </c>
      <c r="I119" s="831">
        <f t="shared" ref="I119" si="19">I120</f>
        <v>0</v>
      </c>
      <c r="J119" s="830">
        <f>J120</f>
        <v>128428</v>
      </c>
      <c r="K119" s="831">
        <f>K120</f>
        <v>128428</v>
      </c>
      <c r="L119" s="831">
        <f>L120</f>
        <v>0</v>
      </c>
      <c r="M119" s="831">
        <f t="shared" ref="M119" si="20">M120</f>
        <v>0</v>
      </c>
      <c r="N119" s="831">
        <f>N120</f>
        <v>0</v>
      </c>
      <c r="O119" s="830">
        <f>O120</f>
        <v>128428</v>
      </c>
      <c r="P119" s="831">
        <f>P120</f>
        <v>6940239</v>
      </c>
    </row>
    <row r="120" spans="1:20" ht="226.5" thickTop="1" thickBot="1" x14ac:dyDescent="0.25">
      <c r="A120" s="832" t="s">
        <v>165</v>
      </c>
      <c r="B120" s="832"/>
      <c r="C120" s="832"/>
      <c r="D120" s="833" t="s">
        <v>40</v>
      </c>
      <c r="E120" s="834">
        <f>E121+E125+E165+E169</f>
        <v>6811811</v>
      </c>
      <c r="F120" s="834">
        <f>F121+F125+F165+F169</f>
        <v>6811811</v>
      </c>
      <c r="G120" s="834">
        <f>G121+G125+G165+G169</f>
        <v>4559615</v>
      </c>
      <c r="H120" s="834">
        <f>H121+H125+H165+H169</f>
        <v>137400</v>
      </c>
      <c r="I120" s="834">
        <f>I121+I125+I165+I169</f>
        <v>0</v>
      </c>
      <c r="J120" s="834">
        <f t="shared" ref="J120:J146" si="21">L120+O120</f>
        <v>128428</v>
      </c>
      <c r="K120" s="834">
        <f>K121+K125+K165+K169</f>
        <v>128428</v>
      </c>
      <c r="L120" s="834">
        <f>L121+L125+L165+L169</f>
        <v>0</v>
      </c>
      <c r="M120" s="834">
        <f>M121+M125+M165+M169</f>
        <v>0</v>
      </c>
      <c r="N120" s="834">
        <f>N121+N125+N165+N169</f>
        <v>0</v>
      </c>
      <c r="O120" s="834">
        <f>O121+O125+O165+O169</f>
        <v>128428</v>
      </c>
      <c r="P120" s="834">
        <f>E120+J120</f>
        <v>6940239</v>
      </c>
      <c r="Q120" s="628" t="b">
        <f>P120=P122+P123+P127+P128+P129+P130+P131+P136+P137+P140+P143+P145+P146+P163+P164+P167+P175+P132+P134+P142+P124+P133+P172+P139+P148+P151+P155+P158+P168+P161</f>
        <v>1</v>
      </c>
      <c r="R120" s="875"/>
      <c r="S120" s="875"/>
      <c r="T120" s="291"/>
    </row>
    <row r="121" spans="1:20" ht="47.25" thickTop="1" thickBot="1" x14ac:dyDescent="0.25">
      <c r="A121" s="151" t="s">
        <v>771</v>
      </c>
      <c r="B121" s="151" t="s">
        <v>727</v>
      </c>
      <c r="C121" s="151"/>
      <c r="D121" s="151" t="s">
        <v>728</v>
      </c>
      <c r="E121" s="863">
        <f>'d3'!E121-d3П!E120</f>
        <v>0</v>
      </c>
      <c r="F121" s="863">
        <f>'d3'!F121-d3П!F120</f>
        <v>0</v>
      </c>
      <c r="G121" s="863">
        <f>'d3'!G121-d3П!G120</f>
        <v>0</v>
      </c>
      <c r="H121" s="863">
        <f>'d3'!H121-d3П!H120</f>
        <v>0</v>
      </c>
      <c r="I121" s="863">
        <f>'d3'!I121-d3П!I120</f>
        <v>0</v>
      </c>
      <c r="J121" s="863">
        <f>'d3'!J121-d3П!J120</f>
        <v>0</v>
      </c>
      <c r="K121" s="863">
        <f>'d3'!K121-d3П!K120</f>
        <v>0</v>
      </c>
      <c r="L121" s="863">
        <f>'d3'!L121-d3П!L120</f>
        <v>0</v>
      </c>
      <c r="M121" s="863">
        <f>'d3'!M121-d3П!M120</f>
        <v>0</v>
      </c>
      <c r="N121" s="863">
        <f>'d3'!N121-d3П!N120</f>
        <v>0</v>
      </c>
      <c r="O121" s="863">
        <f>'d3'!O121-d3П!O120</f>
        <v>0</v>
      </c>
      <c r="P121" s="863">
        <f>'d3'!P121-d3П!P120</f>
        <v>0</v>
      </c>
      <c r="Q121" s="628"/>
      <c r="R121" s="875"/>
      <c r="T121" s="291"/>
    </row>
    <row r="122" spans="1:20" ht="230.25" thickTop="1" thickBot="1" x14ac:dyDescent="0.25">
      <c r="A122" s="864" t="s">
        <v>431</v>
      </c>
      <c r="B122" s="864" t="s">
        <v>248</v>
      </c>
      <c r="C122" s="864" t="s">
        <v>246</v>
      </c>
      <c r="D122" s="864" t="s">
        <v>247</v>
      </c>
      <c r="E122" s="863">
        <f>'d3'!E122-d3П!E121</f>
        <v>0</v>
      </c>
      <c r="F122" s="863">
        <f>'d3'!F122-d3П!F121</f>
        <v>0</v>
      </c>
      <c r="G122" s="863">
        <f>'d3'!G122-d3П!G121</f>
        <v>0</v>
      </c>
      <c r="H122" s="863">
        <f>'d3'!H122-d3П!H121</f>
        <v>0</v>
      </c>
      <c r="I122" s="863">
        <f>'d3'!I122-d3П!I121</f>
        <v>0</v>
      </c>
      <c r="J122" s="863">
        <f>'d3'!J122-d3П!J121</f>
        <v>0</v>
      </c>
      <c r="K122" s="863">
        <f>'d3'!K122-d3П!K121</f>
        <v>0</v>
      </c>
      <c r="L122" s="863">
        <f>'d3'!L122-d3П!L121</f>
        <v>0</v>
      </c>
      <c r="M122" s="863">
        <f>'d3'!M122-d3П!M121</f>
        <v>0</v>
      </c>
      <c r="N122" s="863">
        <f>'d3'!N122-d3П!N121</f>
        <v>0</v>
      </c>
      <c r="O122" s="863">
        <f>'d3'!O122-d3П!O121</f>
        <v>0</v>
      </c>
      <c r="P122" s="863">
        <f>'d3'!P122-d3П!P121</f>
        <v>0</v>
      </c>
      <c r="Q122" s="628"/>
      <c r="R122" s="875"/>
      <c r="T122" s="291"/>
    </row>
    <row r="123" spans="1:20" ht="184.5" thickTop="1" thickBot="1" x14ac:dyDescent="0.25">
      <c r="A123" s="864" t="s">
        <v>670</v>
      </c>
      <c r="B123" s="864" t="s">
        <v>376</v>
      </c>
      <c r="C123" s="864" t="s">
        <v>662</v>
      </c>
      <c r="D123" s="864" t="s">
        <v>663</v>
      </c>
      <c r="E123" s="863">
        <f>'d3'!E123-d3П!E122</f>
        <v>0</v>
      </c>
      <c r="F123" s="863">
        <f>'d3'!F123-d3П!F122</f>
        <v>0</v>
      </c>
      <c r="G123" s="863">
        <f>'d3'!G123-d3П!G122</f>
        <v>0</v>
      </c>
      <c r="H123" s="863">
        <f>'d3'!H123-d3П!H122</f>
        <v>0</v>
      </c>
      <c r="I123" s="863">
        <f>'d3'!I123-d3П!I122</f>
        <v>0</v>
      </c>
      <c r="J123" s="863">
        <f>'d3'!J123-d3П!J122</f>
        <v>0</v>
      </c>
      <c r="K123" s="863">
        <f>'d3'!K123-d3П!K122</f>
        <v>0</v>
      </c>
      <c r="L123" s="863">
        <f>'d3'!L123-d3П!L122</f>
        <v>0</v>
      </c>
      <c r="M123" s="863">
        <f>'d3'!M123-d3П!M122</f>
        <v>0</v>
      </c>
      <c r="N123" s="863">
        <f>'d3'!N123-d3П!N122</f>
        <v>0</v>
      </c>
      <c r="O123" s="863">
        <f>'d3'!O123-d3П!O122</f>
        <v>0</v>
      </c>
      <c r="P123" s="863">
        <f>'d3'!P123-d3П!P122</f>
        <v>0</v>
      </c>
      <c r="Q123" s="628"/>
      <c r="R123" s="875"/>
      <c r="T123" s="291"/>
    </row>
    <row r="124" spans="1:20" ht="93" thickTop="1" thickBot="1" x14ac:dyDescent="0.25">
      <c r="A124" s="862" t="s">
        <v>977</v>
      </c>
      <c r="B124" s="862" t="s">
        <v>45</v>
      </c>
      <c r="C124" s="862" t="s">
        <v>44</v>
      </c>
      <c r="D124" s="862" t="s">
        <v>260</v>
      </c>
      <c r="E124" s="863">
        <f>'d3'!E124-d3П!E123</f>
        <v>0</v>
      </c>
      <c r="F124" s="863">
        <f>'d3'!F124-d3П!F123</f>
        <v>0</v>
      </c>
      <c r="G124" s="863">
        <f>'d3'!G124-d3П!G123</f>
        <v>0</v>
      </c>
      <c r="H124" s="863">
        <f>'d3'!H124-d3П!H123</f>
        <v>0</v>
      </c>
      <c r="I124" s="863">
        <f>'d3'!I124-d3П!I123</f>
        <v>0</v>
      </c>
      <c r="J124" s="863">
        <f>'d3'!J124-d3П!J123</f>
        <v>0</v>
      </c>
      <c r="K124" s="863">
        <f>'d3'!K124-d3П!K123</f>
        <v>0</v>
      </c>
      <c r="L124" s="863">
        <f>'d3'!L124-d3П!L123</f>
        <v>0</v>
      </c>
      <c r="M124" s="863">
        <f>'d3'!M124-d3П!M123</f>
        <v>0</v>
      </c>
      <c r="N124" s="863">
        <f>'d3'!N124-d3П!N123</f>
        <v>0</v>
      </c>
      <c r="O124" s="863">
        <f>'d3'!O124-d3П!O123</f>
        <v>0</v>
      </c>
      <c r="P124" s="863">
        <f>'d3'!P124-d3П!P123</f>
        <v>0</v>
      </c>
      <c r="Q124" s="628"/>
      <c r="R124" s="875"/>
      <c r="T124" s="291"/>
    </row>
    <row r="125" spans="1:20" ht="91.5" thickTop="1" thickBot="1" x14ac:dyDescent="0.25">
      <c r="A125" s="151" t="s">
        <v>772</v>
      </c>
      <c r="B125" s="151" t="s">
        <v>754</v>
      </c>
      <c r="C125" s="151"/>
      <c r="D125" s="151" t="s">
        <v>755</v>
      </c>
      <c r="E125" s="863">
        <f>'d3'!E125-d3П!E124</f>
        <v>6811811</v>
      </c>
      <c r="F125" s="863">
        <f>'d3'!F125-d3П!F124</f>
        <v>6811811</v>
      </c>
      <c r="G125" s="863">
        <f>'d3'!G125-d3П!G124</f>
        <v>4559615</v>
      </c>
      <c r="H125" s="863">
        <f>'d3'!H125-d3П!H124</f>
        <v>137400</v>
      </c>
      <c r="I125" s="863">
        <f>'d3'!I125-d3П!I124</f>
        <v>0</v>
      </c>
      <c r="J125" s="863">
        <f>'d3'!J125-d3П!J124</f>
        <v>128428</v>
      </c>
      <c r="K125" s="863">
        <f>'d3'!K125-d3П!K124</f>
        <v>128428</v>
      </c>
      <c r="L125" s="863">
        <f>'d3'!L125-d3П!L124</f>
        <v>0</v>
      </c>
      <c r="M125" s="863">
        <f>'d3'!M125-d3П!M124</f>
        <v>0</v>
      </c>
      <c r="N125" s="863">
        <f>'d3'!N125-d3П!N124</f>
        <v>0</v>
      </c>
      <c r="O125" s="863">
        <f>'d3'!O125-d3П!O124</f>
        <v>128428</v>
      </c>
      <c r="P125" s="863">
        <f>'d3'!P125-d3П!P124</f>
        <v>6940239</v>
      </c>
      <c r="Q125" s="628"/>
      <c r="R125" s="875"/>
      <c r="T125" s="291"/>
    </row>
    <row r="126" spans="1:20" s="274" customFormat="1" ht="321.75" thickTop="1" thickBot="1" x14ac:dyDescent="0.25">
      <c r="A126" s="489" t="s">
        <v>773</v>
      </c>
      <c r="B126" s="489" t="s">
        <v>774</v>
      </c>
      <c r="C126" s="489"/>
      <c r="D126" s="489" t="s">
        <v>775</v>
      </c>
      <c r="E126" s="863">
        <f>'d3'!E126-d3П!E125</f>
        <v>0</v>
      </c>
      <c r="F126" s="863">
        <f>'d3'!F126-d3П!F125</f>
        <v>0</v>
      </c>
      <c r="G126" s="863">
        <f>'d3'!G126-d3П!G125</f>
        <v>0</v>
      </c>
      <c r="H126" s="863">
        <f>'d3'!H126-d3П!H125</f>
        <v>0</v>
      </c>
      <c r="I126" s="863">
        <f>'d3'!I126-d3П!I125</f>
        <v>0</v>
      </c>
      <c r="J126" s="863">
        <f>'d3'!J126-d3П!J125</f>
        <v>0</v>
      </c>
      <c r="K126" s="863">
        <f>'d3'!K126-d3П!K125</f>
        <v>0</v>
      </c>
      <c r="L126" s="863">
        <f>'d3'!L126-d3П!L125</f>
        <v>0</v>
      </c>
      <c r="M126" s="863">
        <f>'d3'!M126-d3П!M125</f>
        <v>0</v>
      </c>
      <c r="N126" s="863">
        <f>'d3'!N126-d3П!N125</f>
        <v>0</v>
      </c>
      <c r="O126" s="863">
        <f>'d3'!O126-d3П!O125</f>
        <v>0</v>
      </c>
      <c r="P126" s="863">
        <f>'d3'!P126-d3П!P125</f>
        <v>0</v>
      </c>
      <c r="Q126" s="629"/>
      <c r="R126" s="294"/>
      <c r="T126" s="295"/>
    </row>
    <row r="127" spans="1:20" s="272" customFormat="1" ht="138.75" thickTop="1" thickBot="1" x14ac:dyDescent="0.25">
      <c r="A127" s="864" t="s">
        <v>281</v>
      </c>
      <c r="B127" s="864" t="s">
        <v>282</v>
      </c>
      <c r="C127" s="864" t="s">
        <v>217</v>
      </c>
      <c r="D127" s="562" t="s">
        <v>283</v>
      </c>
      <c r="E127" s="863">
        <f>'d3'!E127-d3П!E126</f>
        <v>0</v>
      </c>
      <c r="F127" s="863">
        <f>'d3'!F127-d3П!F126</f>
        <v>0</v>
      </c>
      <c r="G127" s="863">
        <f>'d3'!G127-d3П!G126</f>
        <v>0</v>
      </c>
      <c r="H127" s="863">
        <f>'d3'!H127-d3П!H126</f>
        <v>0</v>
      </c>
      <c r="I127" s="863">
        <f>'d3'!I127-d3П!I126</f>
        <v>0</v>
      </c>
      <c r="J127" s="863">
        <f>'d3'!J127-d3П!J126</f>
        <v>0</v>
      </c>
      <c r="K127" s="863">
        <f>'d3'!K127-d3П!K126</f>
        <v>0</v>
      </c>
      <c r="L127" s="863">
        <f>'d3'!L127-d3П!L126</f>
        <v>0</v>
      </c>
      <c r="M127" s="863">
        <f>'d3'!M127-d3П!M126</f>
        <v>0</v>
      </c>
      <c r="N127" s="863">
        <f>'d3'!N127-d3П!N126</f>
        <v>0</v>
      </c>
      <c r="O127" s="863">
        <f>'d3'!O127-d3П!O126</f>
        <v>0</v>
      </c>
      <c r="P127" s="863">
        <f>'d3'!P127-d3П!P126</f>
        <v>0</v>
      </c>
      <c r="Q127" s="624"/>
      <c r="R127" s="875"/>
    </row>
    <row r="128" spans="1:20" s="272" customFormat="1" ht="138.75" thickTop="1" thickBot="1" x14ac:dyDescent="0.25">
      <c r="A128" s="864" t="s">
        <v>284</v>
      </c>
      <c r="B128" s="864" t="s">
        <v>285</v>
      </c>
      <c r="C128" s="864" t="s">
        <v>218</v>
      </c>
      <c r="D128" s="864" t="s">
        <v>6</v>
      </c>
      <c r="E128" s="863">
        <f>'d3'!E128-d3П!E127</f>
        <v>0</v>
      </c>
      <c r="F128" s="863">
        <f>'d3'!F128-d3П!F127</f>
        <v>0</v>
      </c>
      <c r="G128" s="863">
        <f>'d3'!G128-d3П!G127</f>
        <v>0</v>
      </c>
      <c r="H128" s="863">
        <f>'d3'!H128-d3П!H127</f>
        <v>0</v>
      </c>
      <c r="I128" s="863">
        <f>'d3'!I128-d3П!I127</f>
        <v>0</v>
      </c>
      <c r="J128" s="863">
        <f>'d3'!J128-d3П!J127</f>
        <v>0</v>
      </c>
      <c r="K128" s="863">
        <f>'d3'!K128-d3П!K127</f>
        <v>0</v>
      </c>
      <c r="L128" s="863">
        <f>'d3'!L128-d3П!L127</f>
        <v>0</v>
      </c>
      <c r="M128" s="863">
        <f>'d3'!M128-d3П!M127</f>
        <v>0</v>
      </c>
      <c r="N128" s="863">
        <f>'d3'!N128-d3П!N127</f>
        <v>0</v>
      </c>
      <c r="O128" s="863">
        <f>'d3'!O128-d3П!O127</f>
        <v>0</v>
      </c>
      <c r="P128" s="863">
        <f>'d3'!P128-d3П!P127</f>
        <v>0</v>
      </c>
      <c r="Q128" s="624"/>
      <c r="R128" s="297"/>
    </row>
    <row r="129" spans="1:18" s="272" customFormat="1" ht="184.5" thickTop="1" thickBot="1" x14ac:dyDescent="0.25">
      <c r="A129" s="864" t="s">
        <v>287</v>
      </c>
      <c r="B129" s="864" t="s">
        <v>288</v>
      </c>
      <c r="C129" s="864" t="s">
        <v>218</v>
      </c>
      <c r="D129" s="864" t="s">
        <v>7</v>
      </c>
      <c r="E129" s="863">
        <f>'d3'!E129-d3П!E128</f>
        <v>0</v>
      </c>
      <c r="F129" s="863">
        <f>'d3'!F129-d3П!F128</f>
        <v>0</v>
      </c>
      <c r="G129" s="863">
        <f>'d3'!G129-d3П!G128</f>
        <v>0</v>
      </c>
      <c r="H129" s="863">
        <f>'d3'!H129-d3П!H128</f>
        <v>0</v>
      </c>
      <c r="I129" s="863">
        <f>'d3'!I129-d3П!I128</f>
        <v>0</v>
      </c>
      <c r="J129" s="863">
        <f>'d3'!J129-d3П!J128</f>
        <v>0</v>
      </c>
      <c r="K129" s="863">
        <f>'d3'!K129-d3П!K128</f>
        <v>0</v>
      </c>
      <c r="L129" s="863">
        <f>'d3'!L129-d3П!L128</f>
        <v>0</v>
      </c>
      <c r="M129" s="863">
        <f>'d3'!M129-d3П!M128</f>
        <v>0</v>
      </c>
      <c r="N129" s="863">
        <f>'d3'!N129-d3П!N128</f>
        <v>0</v>
      </c>
      <c r="O129" s="863">
        <f>'d3'!O129-d3П!O128</f>
        <v>0</v>
      </c>
      <c r="P129" s="863">
        <f>'d3'!P129-d3П!P128</f>
        <v>0</v>
      </c>
      <c r="Q129" s="624"/>
      <c r="R129" s="297"/>
    </row>
    <row r="130" spans="1:18" s="272" customFormat="1" ht="184.5" thickTop="1" thickBot="1" x14ac:dyDescent="0.25">
      <c r="A130" s="864" t="s">
        <v>289</v>
      </c>
      <c r="B130" s="864" t="s">
        <v>286</v>
      </c>
      <c r="C130" s="864" t="s">
        <v>218</v>
      </c>
      <c r="D130" s="864" t="s">
        <v>8</v>
      </c>
      <c r="E130" s="863">
        <f>'d3'!E130-d3П!E129</f>
        <v>0</v>
      </c>
      <c r="F130" s="863">
        <f>'d3'!F130-d3П!F129</f>
        <v>0</v>
      </c>
      <c r="G130" s="863">
        <f>'d3'!G130-d3П!G129</f>
        <v>0</v>
      </c>
      <c r="H130" s="863">
        <f>'d3'!H130-d3П!H129</f>
        <v>0</v>
      </c>
      <c r="I130" s="863">
        <f>'d3'!I130-d3П!I129</f>
        <v>0</v>
      </c>
      <c r="J130" s="863">
        <f>'d3'!J130-d3П!J129</f>
        <v>0</v>
      </c>
      <c r="K130" s="863">
        <f>'d3'!K130-d3П!K129</f>
        <v>0</v>
      </c>
      <c r="L130" s="863">
        <f>'d3'!L130-d3П!L129</f>
        <v>0</v>
      </c>
      <c r="M130" s="863">
        <f>'d3'!M130-d3П!M129</f>
        <v>0</v>
      </c>
      <c r="N130" s="863">
        <f>'d3'!N130-d3П!N129</f>
        <v>0</v>
      </c>
      <c r="O130" s="863">
        <f>'d3'!O130-d3П!O129</f>
        <v>0</v>
      </c>
      <c r="P130" s="863">
        <f>'d3'!P130-d3П!P129</f>
        <v>0</v>
      </c>
      <c r="Q130" s="624"/>
      <c r="R130" s="297"/>
    </row>
    <row r="131" spans="1:18" s="272" customFormat="1" ht="184.5" thickTop="1" thickBot="1" x14ac:dyDescent="0.25">
      <c r="A131" s="864" t="s">
        <v>290</v>
      </c>
      <c r="B131" s="864" t="s">
        <v>291</v>
      </c>
      <c r="C131" s="864" t="s">
        <v>218</v>
      </c>
      <c r="D131" s="864" t="s">
        <v>9</v>
      </c>
      <c r="E131" s="863">
        <f>'d3'!E131-d3П!E130</f>
        <v>0</v>
      </c>
      <c r="F131" s="863">
        <f>'d3'!F131-d3П!F130</f>
        <v>0</v>
      </c>
      <c r="G131" s="863">
        <f>'d3'!G131-d3П!G130</f>
        <v>0</v>
      </c>
      <c r="H131" s="863">
        <f>'d3'!H131-d3П!H130</f>
        <v>0</v>
      </c>
      <c r="I131" s="863">
        <f>'d3'!I131-d3П!I130</f>
        <v>0</v>
      </c>
      <c r="J131" s="863">
        <f>'d3'!J131-d3П!J130</f>
        <v>0</v>
      </c>
      <c r="K131" s="863">
        <f>'d3'!K131-d3П!K130</f>
        <v>0</v>
      </c>
      <c r="L131" s="863">
        <f>'d3'!L131-d3П!L130</f>
        <v>0</v>
      </c>
      <c r="M131" s="863">
        <f>'d3'!M131-d3П!M130</f>
        <v>0</v>
      </c>
      <c r="N131" s="863">
        <f>'d3'!N131-d3П!N130</f>
        <v>0</v>
      </c>
      <c r="O131" s="863">
        <f>'d3'!O131-d3П!O130</f>
        <v>0</v>
      </c>
      <c r="P131" s="863">
        <f>'d3'!P131-d3П!P130</f>
        <v>0</v>
      </c>
      <c r="Q131" s="624"/>
      <c r="R131" s="297"/>
    </row>
    <row r="132" spans="1:18" s="272" customFormat="1" ht="184.5" thickTop="1" thickBot="1" x14ac:dyDescent="0.25">
      <c r="A132" s="864" t="s">
        <v>496</v>
      </c>
      <c r="B132" s="864" t="s">
        <v>497</v>
      </c>
      <c r="C132" s="864" t="s">
        <v>218</v>
      </c>
      <c r="D132" s="864" t="s">
        <v>498</v>
      </c>
      <c r="E132" s="863">
        <f>'d3'!E132-d3П!E131</f>
        <v>0</v>
      </c>
      <c r="F132" s="863">
        <f>'d3'!F132-d3П!F131</f>
        <v>0</v>
      </c>
      <c r="G132" s="863">
        <f>'d3'!G132-d3П!G131</f>
        <v>0</v>
      </c>
      <c r="H132" s="863">
        <f>'d3'!H132-d3П!H131</f>
        <v>0</v>
      </c>
      <c r="I132" s="863">
        <f>'d3'!I132-d3П!I131</f>
        <v>0</v>
      </c>
      <c r="J132" s="863">
        <f>'d3'!J132-d3П!J131</f>
        <v>0</v>
      </c>
      <c r="K132" s="863">
        <f>'d3'!K132-d3П!K131</f>
        <v>0</v>
      </c>
      <c r="L132" s="863">
        <f>'d3'!L132-d3П!L131</f>
        <v>0</v>
      </c>
      <c r="M132" s="863">
        <f>'d3'!M132-d3П!M131</f>
        <v>0</v>
      </c>
      <c r="N132" s="863">
        <f>'d3'!N132-d3П!N131</f>
        <v>0</v>
      </c>
      <c r="O132" s="863">
        <f>'d3'!O132-d3П!O131</f>
        <v>0</v>
      </c>
      <c r="P132" s="863">
        <f>'d3'!P132-d3П!P131</f>
        <v>0</v>
      </c>
      <c r="Q132" s="624"/>
      <c r="R132" s="297"/>
    </row>
    <row r="133" spans="1:18" s="272" customFormat="1" ht="138.75" thickTop="1" thickBot="1" x14ac:dyDescent="0.25">
      <c r="A133" s="864" t="s">
        <v>978</v>
      </c>
      <c r="B133" s="864" t="s">
        <v>979</v>
      </c>
      <c r="C133" s="864" t="s">
        <v>218</v>
      </c>
      <c r="D133" s="864" t="s">
        <v>980</v>
      </c>
      <c r="E133" s="863">
        <f>'d3'!E133-d3П!E132</f>
        <v>0</v>
      </c>
      <c r="F133" s="863">
        <f>'d3'!F133-d3П!F132</f>
        <v>0</v>
      </c>
      <c r="G133" s="863">
        <f>'d3'!G133-d3П!G132</f>
        <v>0</v>
      </c>
      <c r="H133" s="863">
        <f>'d3'!H133-d3П!H132</f>
        <v>0</v>
      </c>
      <c r="I133" s="863">
        <f>'d3'!I133-d3П!I132</f>
        <v>0</v>
      </c>
      <c r="J133" s="863">
        <f>'d3'!J133-d3П!J132</f>
        <v>0</v>
      </c>
      <c r="K133" s="863">
        <f>'d3'!K133-d3П!K132</f>
        <v>0</v>
      </c>
      <c r="L133" s="863">
        <f>'d3'!L133-d3П!L132</f>
        <v>0</v>
      </c>
      <c r="M133" s="863">
        <f>'d3'!M133-d3П!M132</f>
        <v>0</v>
      </c>
      <c r="N133" s="863">
        <f>'d3'!N133-d3П!N132</f>
        <v>0</v>
      </c>
      <c r="O133" s="863">
        <f>'d3'!O133-d3П!O132</f>
        <v>0</v>
      </c>
      <c r="P133" s="863">
        <f>'d3'!P133-d3П!P132</f>
        <v>0</v>
      </c>
      <c r="Q133" s="624"/>
      <c r="R133" s="297"/>
    </row>
    <row r="134" spans="1:18" ht="138.75" thickTop="1" thickBot="1" x14ac:dyDescent="0.25">
      <c r="A134" s="864" t="s">
        <v>499</v>
      </c>
      <c r="B134" s="864" t="s">
        <v>500</v>
      </c>
      <c r="C134" s="864" t="s">
        <v>217</v>
      </c>
      <c r="D134" s="864" t="s">
        <v>501</v>
      </c>
      <c r="E134" s="863">
        <f>'d3'!E134-d3П!E133</f>
        <v>0</v>
      </c>
      <c r="F134" s="863">
        <f>'d3'!F134-d3П!F133</f>
        <v>0</v>
      </c>
      <c r="G134" s="863">
        <f>'d3'!G134-d3П!G133</f>
        <v>0</v>
      </c>
      <c r="H134" s="863">
        <f>'d3'!H134-d3П!H133</f>
        <v>0</v>
      </c>
      <c r="I134" s="863">
        <f>'d3'!I134-d3П!I133</f>
        <v>0</v>
      </c>
      <c r="J134" s="863">
        <f>'d3'!J134-d3П!J133</f>
        <v>0</v>
      </c>
      <c r="K134" s="863">
        <f>'d3'!K134-d3П!K133</f>
        <v>0</v>
      </c>
      <c r="L134" s="863">
        <f>'d3'!L134-d3П!L133</f>
        <v>0</v>
      </c>
      <c r="M134" s="863">
        <f>'d3'!M134-d3П!M133</f>
        <v>0</v>
      </c>
      <c r="N134" s="863">
        <f>'d3'!N134-d3П!N133</f>
        <v>0</v>
      </c>
      <c r="O134" s="863">
        <f>'d3'!O134-d3П!O133</f>
        <v>0</v>
      </c>
      <c r="P134" s="863">
        <f>'d3'!P134-d3П!P133</f>
        <v>0</v>
      </c>
      <c r="R134" s="297"/>
    </row>
    <row r="135" spans="1:18" s="272" customFormat="1" ht="276" thickTop="1" thickBot="1" x14ac:dyDescent="0.25">
      <c r="A135" s="489" t="s">
        <v>776</v>
      </c>
      <c r="B135" s="489" t="s">
        <v>777</v>
      </c>
      <c r="C135" s="489"/>
      <c r="D135" s="489" t="s">
        <v>778</v>
      </c>
      <c r="E135" s="863">
        <f>'d3'!E135-d3П!E134</f>
        <v>200000</v>
      </c>
      <c r="F135" s="863">
        <f>'d3'!F135-d3П!F134</f>
        <v>200000</v>
      </c>
      <c r="G135" s="863">
        <f>'d3'!G135-d3П!G134</f>
        <v>0</v>
      </c>
      <c r="H135" s="863">
        <f>'d3'!H135-d3П!H134</f>
        <v>0</v>
      </c>
      <c r="I135" s="863">
        <f>'d3'!I135-d3П!I134</f>
        <v>0</v>
      </c>
      <c r="J135" s="863">
        <f>'d3'!J135-d3П!J134</f>
        <v>0</v>
      </c>
      <c r="K135" s="863">
        <f>'d3'!K135-d3П!K134</f>
        <v>0</v>
      </c>
      <c r="L135" s="863">
        <f>'d3'!L135-d3П!L134</f>
        <v>0</v>
      </c>
      <c r="M135" s="863">
        <f>'d3'!M135-d3П!M134</f>
        <v>0</v>
      </c>
      <c r="N135" s="863">
        <f>'d3'!N135-d3П!N134</f>
        <v>0</v>
      </c>
      <c r="O135" s="863">
        <f>'d3'!O135-d3П!O134</f>
        <v>0</v>
      </c>
      <c r="P135" s="863">
        <f>'d3'!P135-d3П!P134</f>
        <v>200000</v>
      </c>
      <c r="Q135" s="624"/>
      <c r="R135" s="298"/>
    </row>
    <row r="136" spans="1:18" ht="276" thickTop="1" thickBot="1" x14ac:dyDescent="0.25">
      <c r="A136" s="864" t="s">
        <v>279</v>
      </c>
      <c r="B136" s="864" t="s">
        <v>277</v>
      </c>
      <c r="C136" s="864" t="s">
        <v>212</v>
      </c>
      <c r="D136" s="864" t="s">
        <v>17</v>
      </c>
      <c r="E136" s="863">
        <f>'d3'!E136-d3П!E135</f>
        <v>200000</v>
      </c>
      <c r="F136" s="863">
        <f>'d3'!F136-d3П!F135</f>
        <v>200000</v>
      </c>
      <c r="G136" s="863">
        <f>'d3'!G136-d3П!G135</f>
        <v>0</v>
      </c>
      <c r="H136" s="863">
        <f>'d3'!H136-d3П!H135</f>
        <v>0</v>
      </c>
      <c r="I136" s="863">
        <f>'d3'!I136-d3П!I135</f>
        <v>0</v>
      </c>
      <c r="J136" s="863">
        <f>'d3'!J136-d3П!J135</f>
        <v>0</v>
      </c>
      <c r="K136" s="863">
        <f>'d3'!K136-d3П!K135</f>
        <v>0</v>
      </c>
      <c r="L136" s="863">
        <f>'d3'!L136-d3П!L135</f>
        <v>0</v>
      </c>
      <c r="M136" s="863">
        <f>'d3'!M136-d3П!M135</f>
        <v>0</v>
      </c>
      <c r="N136" s="863">
        <f>'d3'!N136-d3П!N135</f>
        <v>0</v>
      </c>
      <c r="O136" s="863">
        <f>'d3'!O136-d3П!O135</f>
        <v>0</v>
      </c>
      <c r="P136" s="863">
        <f>'d3'!P136-d3П!P135</f>
        <v>200000</v>
      </c>
      <c r="R136" s="875"/>
    </row>
    <row r="137" spans="1:18" ht="138.75" thickTop="1" thickBot="1" x14ac:dyDescent="0.25">
      <c r="A137" s="864" t="s">
        <v>280</v>
      </c>
      <c r="B137" s="864" t="s">
        <v>278</v>
      </c>
      <c r="C137" s="864" t="s">
        <v>211</v>
      </c>
      <c r="D137" s="864" t="s">
        <v>473</v>
      </c>
      <c r="E137" s="863">
        <f>'d3'!E137-d3П!E136</f>
        <v>0</v>
      </c>
      <c r="F137" s="863">
        <f>'d3'!F137-d3П!F136</f>
        <v>0</v>
      </c>
      <c r="G137" s="863">
        <f>'d3'!G137-d3П!G136</f>
        <v>0</v>
      </c>
      <c r="H137" s="863">
        <f>'d3'!H137-d3П!H136</f>
        <v>0</v>
      </c>
      <c r="I137" s="863">
        <f>'d3'!I137-d3П!I136</f>
        <v>0</v>
      </c>
      <c r="J137" s="863">
        <f>'d3'!J137-d3П!J136</f>
        <v>0</v>
      </c>
      <c r="K137" s="863">
        <f>'d3'!K137-d3П!K136</f>
        <v>0</v>
      </c>
      <c r="L137" s="863">
        <f>'d3'!L137-d3П!L136</f>
        <v>0</v>
      </c>
      <c r="M137" s="863">
        <f>'d3'!M137-d3П!M136</f>
        <v>0</v>
      </c>
      <c r="N137" s="863">
        <f>'d3'!N137-d3П!N136</f>
        <v>0</v>
      </c>
      <c r="O137" s="863">
        <f>'d3'!O137-d3П!O136</f>
        <v>0</v>
      </c>
      <c r="P137" s="863">
        <f>'d3'!P137-d3П!P136</f>
        <v>0</v>
      </c>
      <c r="R137" s="875"/>
    </row>
    <row r="138" spans="1:18" ht="138.75" thickTop="1" thickBot="1" x14ac:dyDescent="0.25">
      <c r="A138" s="489" t="s">
        <v>1100</v>
      </c>
      <c r="B138" s="489" t="s">
        <v>809</v>
      </c>
      <c r="C138" s="489"/>
      <c r="D138" s="489" t="s">
        <v>810</v>
      </c>
      <c r="E138" s="863">
        <f>'d3'!E138-d3П!E137</f>
        <v>6040461</v>
      </c>
      <c r="F138" s="863">
        <f>'d3'!F138-d3П!F137</f>
        <v>6040461</v>
      </c>
      <c r="G138" s="863">
        <f>'d3'!G138-d3П!G137</f>
        <v>4559615</v>
      </c>
      <c r="H138" s="863">
        <f>'d3'!H138-d3П!H137</f>
        <v>137400</v>
      </c>
      <c r="I138" s="863">
        <f>'d3'!I138-d3П!I137</f>
        <v>0</v>
      </c>
      <c r="J138" s="863">
        <f>'d3'!J138-d3П!J137</f>
        <v>0</v>
      </c>
      <c r="K138" s="863">
        <f>'d3'!K138-d3П!K137</f>
        <v>0</v>
      </c>
      <c r="L138" s="863">
        <f>'d3'!L138-d3П!L137</f>
        <v>0</v>
      </c>
      <c r="M138" s="863">
        <f>'d3'!M138-d3П!M137</f>
        <v>0</v>
      </c>
      <c r="N138" s="863">
        <f>'d3'!N138-d3П!N137</f>
        <v>0</v>
      </c>
      <c r="O138" s="863">
        <f>'d3'!O138-d3П!O137</f>
        <v>0</v>
      </c>
      <c r="P138" s="863">
        <f>'d3'!P138-d3П!P137</f>
        <v>6040461</v>
      </c>
      <c r="R138" s="875"/>
    </row>
    <row r="139" spans="1:18" ht="138.75" thickTop="1" thickBot="1" x14ac:dyDescent="0.25">
      <c r="A139" s="864" t="s">
        <v>1389</v>
      </c>
      <c r="B139" s="864" t="s">
        <v>196</v>
      </c>
      <c r="C139" s="864" t="s">
        <v>197</v>
      </c>
      <c r="D139" s="864" t="s">
        <v>680</v>
      </c>
      <c r="E139" s="863">
        <f>'d3'!E139-0</f>
        <v>6040461</v>
      </c>
      <c r="F139" s="863">
        <f>'d3'!F139-0</f>
        <v>6040461</v>
      </c>
      <c r="G139" s="863">
        <f>'d3'!G139-0</f>
        <v>4559615</v>
      </c>
      <c r="H139" s="863">
        <f>'d3'!H139-0</f>
        <v>137400</v>
      </c>
      <c r="I139" s="863">
        <f>'d3'!I139-0</f>
        <v>0</v>
      </c>
      <c r="J139" s="863">
        <f>'d3'!J139-0</f>
        <v>0</v>
      </c>
      <c r="K139" s="863">
        <f>'d3'!K139-0</f>
        <v>0</v>
      </c>
      <c r="L139" s="863">
        <f>'d3'!L139-0</f>
        <v>0</v>
      </c>
      <c r="M139" s="863">
        <f>'d3'!M139-0</f>
        <v>0</v>
      </c>
      <c r="N139" s="863">
        <f>'d3'!N139-0</f>
        <v>0</v>
      </c>
      <c r="O139" s="863">
        <f>'d3'!O139-0</f>
        <v>0</v>
      </c>
      <c r="P139" s="863">
        <f>'d3'!P139-0</f>
        <v>6040461</v>
      </c>
      <c r="R139" s="875"/>
    </row>
    <row r="140" spans="1:18" ht="409.6" thickTop="1" thickBot="1" x14ac:dyDescent="0.25">
      <c r="A140" s="864" t="s">
        <v>275</v>
      </c>
      <c r="B140" s="864" t="s">
        <v>276</v>
      </c>
      <c r="C140" s="864" t="s">
        <v>211</v>
      </c>
      <c r="D140" s="864" t="s">
        <v>471</v>
      </c>
      <c r="E140" s="860">
        <f>'d3'!E140-d3П!E139</f>
        <v>0</v>
      </c>
      <c r="F140" s="860">
        <f>'d3'!F140-d3П!F139</f>
        <v>0</v>
      </c>
      <c r="G140" s="860">
        <f>'d3'!G140-d3П!G139</f>
        <v>0</v>
      </c>
      <c r="H140" s="860">
        <f>'d3'!H140-d3П!H139</f>
        <v>0</v>
      </c>
      <c r="I140" s="860">
        <f>'d3'!I140-d3П!I139</f>
        <v>0</v>
      </c>
      <c r="J140" s="860">
        <f>'d3'!J140-d3П!J139</f>
        <v>0</v>
      </c>
      <c r="K140" s="860">
        <f>'d3'!K140-d3П!K139</f>
        <v>0</v>
      </c>
      <c r="L140" s="860">
        <f>'d3'!L140-d3П!L139</f>
        <v>0</v>
      </c>
      <c r="M140" s="860">
        <f>'d3'!M140-d3П!M139</f>
        <v>0</v>
      </c>
      <c r="N140" s="860">
        <f>'d3'!N140-d3П!N139</f>
        <v>0</v>
      </c>
      <c r="O140" s="860">
        <f>'d3'!O140-d3П!O139</f>
        <v>0</v>
      </c>
      <c r="P140" s="860">
        <f>'d3'!P140-d3П!P139</f>
        <v>0</v>
      </c>
      <c r="R140" s="297"/>
    </row>
    <row r="141" spans="1:18" ht="138.75" thickTop="1" thickBot="1" x14ac:dyDescent="0.25">
      <c r="A141" s="489" t="s">
        <v>932</v>
      </c>
      <c r="B141" s="489" t="s">
        <v>933</v>
      </c>
      <c r="C141" s="489"/>
      <c r="D141" s="489" t="s">
        <v>934</v>
      </c>
      <c r="E141" s="860">
        <f>'d3'!E141-d3П!E140</f>
        <v>0</v>
      </c>
      <c r="F141" s="860">
        <f>'d3'!F141-d3П!F140</f>
        <v>0</v>
      </c>
      <c r="G141" s="860">
        <f>'d3'!G141-d3П!G140</f>
        <v>0</v>
      </c>
      <c r="H141" s="860">
        <f>'d3'!H141-d3П!H140</f>
        <v>0</v>
      </c>
      <c r="I141" s="860">
        <f>'d3'!I141-d3П!I140</f>
        <v>0</v>
      </c>
      <c r="J141" s="860">
        <f>'d3'!J141-d3П!J140</f>
        <v>0</v>
      </c>
      <c r="K141" s="860">
        <f>'d3'!K141-d3П!K140</f>
        <v>0</v>
      </c>
      <c r="L141" s="860">
        <f>'d3'!L141-d3П!L140</f>
        <v>0</v>
      </c>
      <c r="M141" s="860">
        <f>'d3'!M141-d3П!M140</f>
        <v>0</v>
      </c>
      <c r="N141" s="860">
        <f>'d3'!N141-d3П!N140</f>
        <v>0</v>
      </c>
      <c r="O141" s="860">
        <f>'d3'!O141-d3П!O140</f>
        <v>0</v>
      </c>
      <c r="P141" s="860">
        <f>'d3'!P141-d3П!P140</f>
        <v>0</v>
      </c>
      <c r="R141" s="297"/>
    </row>
    <row r="142" spans="1:18" ht="276" thickTop="1" thickBot="1" x14ac:dyDescent="0.25">
      <c r="A142" s="864" t="s">
        <v>502</v>
      </c>
      <c r="B142" s="864" t="s">
        <v>503</v>
      </c>
      <c r="C142" s="864" t="s">
        <v>211</v>
      </c>
      <c r="D142" s="864" t="s">
        <v>504</v>
      </c>
      <c r="E142" s="860">
        <f>'d3'!E142-d3П!E141</f>
        <v>0</v>
      </c>
      <c r="F142" s="860">
        <f>'d3'!F142-d3П!F141</f>
        <v>0</v>
      </c>
      <c r="G142" s="860">
        <f>'d3'!G142-d3П!G141</f>
        <v>0</v>
      </c>
      <c r="H142" s="860">
        <f>'d3'!H142-d3П!H141</f>
        <v>0</v>
      </c>
      <c r="I142" s="860">
        <f>'d3'!I142-d3П!I141</f>
        <v>0</v>
      </c>
      <c r="J142" s="860">
        <f>'d3'!J142-d3П!J141</f>
        <v>0</v>
      </c>
      <c r="K142" s="860">
        <f>'d3'!K142-d3П!K141</f>
        <v>0</v>
      </c>
      <c r="L142" s="860">
        <f>'d3'!L142-d3П!L141</f>
        <v>0</v>
      </c>
      <c r="M142" s="860">
        <f>'d3'!M142-d3П!M141</f>
        <v>0</v>
      </c>
      <c r="N142" s="860">
        <f>'d3'!N142-d3П!N141</f>
        <v>0</v>
      </c>
      <c r="O142" s="860">
        <f>'d3'!O142-d3П!O141</f>
        <v>0</v>
      </c>
      <c r="P142" s="860">
        <f>'d3'!P142-d3П!P141</f>
        <v>0</v>
      </c>
      <c r="R142" s="297"/>
    </row>
    <row r="143" spans="1:18" ht="367.5" thickTop="1" thickBot="1" x14ac:dyDescent="0.25">
      <c r="A143" s="864" t="s">
        <v>362</v>
      </c>
      <c r="B143" s="864" t="s">
        <v>361</v>
      </c>
      <c r="C143" s="864" t="s">
        <v>52</v>
      </c>
      <c r="D143" s="864" t="s">
        <v>472</v>
      </c>
      <c r="E143" s="860">
        <f>'d3'!E143-d3П!E142</f>
        <v>0</v>
      </c>
      <c r="F143" s="860">
        <f>'d3'!F143-d3П!F142</f>
        <v>0</v>
      </c>
      <c r="G143" s="860">
        <f>'d3'!G143-d3П!G142</f>
        <v>0</v>
      </c>
      <c r="H143" s="860">
        <f>'d3'!H143-d3П!H142</f>
        <v>0</v>
      </c>
      <c r="I143" s="860">
        <f>'d3'!I143-d3П!I142</f>
        <v>0</v>
      </c>
      <c r="J143" s="860">
        <f>'d3'!J143-d3П!J142</f>
        <v>0</v>
      </c>
      <c r="K143" s="860">
        <f>'d3'!K143-d3П!K142</f>
        <v>0</v>
      </c>
      <c r="L143" s="860">
        <f>'d3'!L143-d3П!L142</f>
        <v>0</v>
      </c>
      <c r="M143" s="860">
        <f>'d3'!M143-d3П!M142</f>
        <v>0</v>
      </c>
      <c r="N143" s="860">
        <f>'d3'!N143-d3П!N142</f>
        <v>0</v>
      </c>
      <c r="O143" s="860">
        <f>'d3'!O143-d3П!O142</f>
        <v>0</v>
      </c>
      <c r="P143" s="860">
        <f>'d3'!P143-d3П!P142</f>
        <v>0</v>
      </c>
      <c r="R143" s="297"/>
    </row>
    <row r="144" spans="1:18" s="272" customFormat="1" ht="93" thickTop="1" thickBot="1" x14ac:dyDescent="0.25">
      <c r="A144" s="489" t="s">
        <v>779</v>
      </c>
      <c r="B144" s="489" t="s">
        <v>780</v>
      </c>
      <c r="C144" s="489"/>
      <c r="D144" s="489" t="s">
        <v>781</v>
      </c>
      <c r="E144" s="860">
        <f>'d3'!E144-d3П!E143</f>
        <v>0</v>
      </c>
      <c r="F144" s="860">
        <f>'d3'!F144-d3П!F143</f>
        <v>0</v>
      </c>
      <c r="G144" s="860">
        <f>'d3'!G144-d3П!G143</f>
        <v>0</v>
      </c>
      <c r="H144" s="860">
        <f>'d3'!H144-d3П!H143</f>
        <v>0</v>
      </c>
      <c r="I144" s="860">
        <f>'d3'!I144-d3П!I143</f>
        <v>0</v>
      </c>
      <c r="J144" s="860">
        <f>'d3'!J144-d3П!J143</f>
        <v>0</v>
      </c>
      <c r="K144" s="860">
        <f>'d3'!K144-d3П!K143</f>
        <v>0</v>
      </c>
      <c r="L144" s="860">
        <f>'d3'!L144-d3П!L143</f>
        <v>0</v>
      </c>
      <c r="M144" s="860">
        <f>'d3'!M144-d3П!M143</f>
        <v>0</v>
      </c>
      <c r="N144" s="860">
        <f>'d3'!N144-d3П!N143</f>
        <v>0</v>
      </c>
      <c r="O144" s="860">
        <f>'d3'!O144-d3П!O143</f>
        <v>0</v>
      </c>
      <c r="P144" s="860">
        <f>'d3'!P144-d3П!P143</f>
        <v>0</v>
      </c>
      <c r="Q144" s="624"/>
      <c r="R144" s="298"/>
    </row>
    <row r="145" spans="1:18" ht="230.25" thickTop="1" thickBot="1" x14ac:dyDescent="0.25">
      <c r="A145" s="864" t="s">
        <v>339</v>
      </c>
      <c r="B145" s="864" t="s">
        <v>340</v>
      </c>
      <c r="C145" s="864" t="s">
        <v>217</v>
      </c>
      <c r="D145" s="864" t="s">
        <v>677</v>
      </c>
      <c r="E145" s="860">
        <f>'d3'!E145-d3П!E144</f>
        <v>0</v>
      </c>
      <c r="F145" s="860">
        <f>'d3'!F145-d3П!F144</f>
        <v>0</v>
      </c>
      <c r="G145" s="860">
        <f>'d3'!G145-d3П!G144</f>
        <v>0</v>
      </c>
      <c r="H145" s="860">
        <f>'d3'!H145-d3П!H144</f>
        <v>0</v>
      </c>
      <c r="I145" s="860">
        <f>'d3'!I145-d3П!I144</f>
        <v>0</v>
      </c>
      <c r="J145" s="860">
        <f>'d3'!J145-d3П!J144</f>
        <v>0</v>
      </c>
      <c r="K145" s="860">
        <f>'d3'!K145-d3П!K144</f>
        <v>0</v>
      </c>
      <c r="L145" s="860">
        <f>'d3'!L145-d3П!L144</f>
        <v>0</v>
      </c>
      <c r="M145" s="860">
        <f>'d3'!M145-d3П!M144</f>
        <v>0</v>
      </c>
      <c r="N145" s="860">
        <f>'d3'!N145-d3П!N144</f>
        <v>0</v>
      </c>
      <c r="O145" s="860">
        <f>'d3'!O145-d3П!O144</f>
        <v>0</v>
      </c>
      <c r="P145" s="860">
        <f>'d3'!P145-d3П!P144</f>
        <v>0</v>
      </c>
      <c r="R145" s="297"/>
    </row>
    <row r="146" spans="1:18" ht="93" thickTop="1" thickBot="1" x14ac:dyDescent="0.25">
      <c r="A146" s="864" t="s">
        <v>444</v>
      </c>
      <c r="B146" s="864" t="s">
        <v>386</v>
      </c>
      <c r="C146" s="864" t="s">
        <v>387</v>
      </c>
      <c r="D146" s="864" t="s">
        <v>385</v>
      </c>
      <c r="E146" s="860">
        <f>'d3'!E146-d3П!E145</f>
        <v>0</v>
      </c>
      <c r="F146" s="860">
        <f>'d3'!F146-d3П!F145</f>
        <v>0</v>
      </c>
      <c r="G146" s="860">
        <f>'d3'!G146-d3П!G145</f>
        <v>0</v>
      </c>
      <c r="H146" s="860">
        <f>'d3'!H146-d3П!H145</f>
        <v>0</v>
      </c>
      <c r="I146" s="860">
        <f>'d3'!I146-d3П!I145</f>
        <v>0</v>
      </c>
      <c r="J146" s="860">
        <f>'d3'!J146-d3П!J145</f>
        <v>0</v>
      </c>
      <c r="K146" s="860">
        <f>'d3'!K146-d3П!K145</f>
        <v>0</v>
      </c>
      <c r="L146" s="860">
        <f>'d3'!L146-d3П!L145</f>
        <v>0</v>
      </c>
      <c r="M146" s="860">
        <f>'d3'!M146-d3П!M145</f>
        <v>0</v>
      </c>
      <c r="N146" s="860">
        <f>'d3'!N146-d3П!N145</f>
        <v>0</v>
      </c>
      <c r="O146" s="860">
        <f>'d3'!O146-d3П!O145</f>
        <v>0</v>
      </c>
      <c r="P146" s="860">
        <f>'d3'!P146-d3П!P145</f>
        <v>0</v>
      </c>
      <c r="R146" s="297"/>
    </row>
    <row r="147" spans="1:18" ht="230.25" hidden="1" customHeight="1" thickTop="1" thickBot="1" x14ac:dyDescent="0.25">
      <c r="A147" s="279" t="s">
        <v>1148</v>
      </c>
      <c r="B147" s="279" t="s">
        <v>1149</v>
      </c>
      <c r="C147" s="279"/>
      <c r="D147" s="279" t="s">
        <v>1147</v>
      </c>
      <c r="E147" s="860">
        <f>'d3'!E147-d3П!E146</f>
        <v>0</v>
      </c>
      <c r="F147" s="860">
        <f>'d3'!F147-d3П!F146</f>
        <v>0</v>
      </c>
      <c r="G147" s="860">
        <f>'d3'!G147-d3П!G146</f>
        <v>0</v>
      </c>
      <c r="H147" s="860">
        <f>'d3'!H147-d3П!H146</f>
        <v>0</v>
      </c>
      <c r="I147" s="860">
        <f>'d3'!I147-d3П!I146</f>
        <v>0</v>
      </c>
      <c r="J147" s="860">
        <f>'d3'!J147-d3П!J146</f>
        <v>0</v>
      </c>
      <c r="K147" s="860">
        <f>'d3'!K147-d3П!K146</f>
        <v>0</v>
      </c>
      <c r="L147" s="860">
        <f>'d3'!L147-d3П!L146</f>
        <v>0</v>
      </c>
      <c r="M147" s="860">
        <f>'d3'!M147-d3П!M146</f>
        <v>0</v>
      </c>
      <c r="N147" s="860">
        <f>'d3'!N147-d3П!N146</f>
        <v>0</v>
      </c>
      <c r="O147" s="860">
        <f>'d3'!O147-d3П!O146</f>
        <v>0</v>
      </c>
      <c r="P147" s="860">
        <f>'d3'!P147-d3П!P146</f>
        <v>0</v>
      </c>
      <c r="R147" s="297"/>
    </row>
    <row r="148" spans="1:18" ht="409.6" hidden="1" customHeight="1" thickTop="1" thickBot="1" x14ac:dyDescent="0.7">
      <c r="A148" s="911" t="s">
        <v>1153</v>
      </c>
      <c r="B148" s="911" t="s">
        <v>1154</v>
      </c>
      <c r="C148" s="911" t="s">
        <v>52</v>
      </c>
      <c r="D148" s="299" t="s">
        <v>1150</v>
      </c>
      <c r="E148" s="860">
        <f>'d3'!E148-d3П!E147</f>
        <v>0</v>
      </c>
      <c r="F148" s="860">
        <f>'d3'!F148-d3П!F147</f>
        <v>0</v>
      </c>
      <c r="G148" s="860">
        <f>'d3'!G148-d3П!G147</f>
        <v>0</v>
      </c>
      <c r="H148" s="860">
        <f>'d3'!H148-d3П!H147</f>
        <v>0</v>
      </c>
      <c r="I148" s="860">
        <f>'d3'!I148-d3П!I147</f>
        <v>0</v>
      </c>
      <c r="J148" s="860">
        <f>'d3'!J148-d3П!J147</f>
        <v>0</v>
      </c>
      <c r="K148" s="860">
        <f>'d3'!K148-d3П!K147</f>
        <v>0</v>
      </c>
      <c r="L148" s="860">
        <f>'d3'!L148-d3П!L147</f>
        <v>0</v>
      </c>
      <c r="M148" s="860">
        <f>'d3'!M148-d3П!M147</f>
        <v>0</v>
      </c>
      <c r="N148" s="860">
        <f>'d3'!N148-d3П!N147</f>
        <v>0</v>
      </c>
      <c r="O148" s="860">
        <f>'d3'!O148-d3П!O147</f>
        <v>0</v>
      </c>
      <c r="P148" s="860">
        <f>'d3'!P148-d3П!P147</f>
        <v>0</v>
      </c>
      <c r="Q148" s="913"/>
      <c r="R148" s="909"/>
    </row>
    <row r="149" spans="1:18" ht="409.6" hidden="1" customHeight="1" thickTop="1" thickBot="1" x14ac:dyDescent="0.25">
      <c r="A149" s="904"/>
      <c r="B149" s="904"/>
      <c r="C149" s="904"/>
      <c r="D149" s="300" t="s">
        <v>1151</v>
      </c>
      <c r="E149" s="860">
        <f>'d3'!E149-d3П!E148</f>
        <v>0</v>
      </c>
      <c r="F149" s="860">
        <f>'d3'!F149-d3П!F148</f>
        <v>0</v>
      </c>
      <c r="G149" s="860">
        <f>'d3'!G149-d3П!G148</f>
        <v>0</v>
      </c>
      <c r="H149" s="860">
        <f>'d3'!H149-d3П!H148</f>
        <v>0</v>
      </c>
      <c r="I149" s="860">
        <f>'d3'!I149-d3П!I148</f>
        <v>0</v>
      </c>
      <c r="J149" s="860">
        <f>'d3'!J149-d3П!J148</f>
        <v>0</v>
      </c>
      <c r="K149" s="860">
        <f>'d3'!K149-d3П!K148</f>
        <v>0</v>
      </c>
      <c r="L149" s="860">
        <f>'d3'!L149-d3П!L148</f>
        <v>0</v>
      </c>
      <c r="M149" s="860">
        <f>'d3'!M149-d3П!M148</f>
        <v>0</v>
      </c>
      <c r="N149" s="860">
        <f>'d3'!N149-d3П!N148</f>
        <v>0</v>
      </c>
      <c r="O149" s="860">
        <f>'d3'!O149-d3П!O148</f>
        <v>0</v>
      </c>
      <c r="P149" s="860">
        <f>'d3'!P149-d3П!P148</f>
        <v>0</v>
      </c>
      <c r="Q149" s="913"/>
      <c r="R149" s="910"/>
    </row>
    <row r="150" spans="1:18" ht="409.6" hidden="1" customHeight="1" thickTop="1" thickBot="1" x14ac:dyDescent="0.25">
      <c r="A150" s="905"/>
      <c r="B150" s="905"/>
      <c r="C150" s="905"/>
      <c r="D150" s="301" t="s">
        <v>1152</v>
      </c>
      <c r="E150" s="860">
        <f>'d3'!E150-d3П!E149</f>
        <v>0</v>
      </c>
      <c r="F150" s="860">
        <f>'d3'!F150-d3П!F149</f>
        <v>0</v>
      </c>
      <c r="G150" s="860">
        <f>'d3'!G150-d3П!G149</f>
        <v>0</v>
      </c>
      <c r="H150" s="860">
        <f>'d3'!H150-d3П!H149</f>
        <v>0</v>
      </c>
      <c r="I150" s="860">
        <f>'d3'!I150-d3П!I149</f>
        <v>0</v>
      </c>
      <c r="J150" s="860">
        <f>'d3'!J150-d3П!J149</f>
        <v>0</v>
      </c>
      <c r="K150" s="860">
        <f>'d3'!K150-d3П!K149</f>
        <v>0</v>
      </c>
      <c r="L150" s="860">
        <f>'d3'!L150-d3П!L149</f>
        <v>0</v>
      </c>
      <c r="M150" s="860">
        <f>'d3'!M150-d3П!M149</f>
        <v>0</v>
      </c>
      <c r="N150" s="860">
        <f>'d3'!N150-d3П!N149</f>
        <v>0</v>
      </c>
      <c r="O150" s="860">
        <f>'d3'!O150-d3П!O149</f>
        <v>0</v>
      </c>
      <c r="P150" s="860">
        <f>'d3'!P150-d3П!P149</f>
        <v>0</v>
      </c>
      <c r="Q150" s="913"/>
      <c r="R150" s="910"/>
    </row>
    <row r="151" spans="1:18" ht="409.6" hidden="1" customHeight="1" thickTop="1" thickBot="1" x14ac:dyDescent="0.7">
      <c r="A151" s="911" t="s">
        <v>1159</v>
      </c>
      <c r="B151" s="911" t="s">
        <v>1160</v>
      </c>
      <c r="C151" s="911" t="s">
        <v>52</v>
      </c>
      <c r="D151" s="299" t="s">
        <v>1155</v>
      </c>
      <c r="E151" s="860">
        <f>'d3'!E151-d3П!E150</f>
        <v>0</v>
      </c>
      <c r="F151" s="860">
        <f>'d3'!F151-d3П!F150</f>
        <v>0</v>
      </c>
      <c r="G151" s="860">
        <f>'d3'!G151-d3П!G150</f>
        <v>0</v>
      </c>
      <c r="H151" s="860">
        <f>'d3'!H151-d3П!H150</f>
        <v>0</v>
      </c>
      <c r="I151" s="860">
        <f>'d3'!I151-d3П!I150</f>
        <v>0</v>
      </c>
      <c r="J151" s="860">
        <f>'d3'!J151-d3П!J150</f>
        <v>0</v>
      </c>
      <c r="K151" s="860">
        <f>'d3'!K151-d3П!K150</f>
        <v>0</v>
      </c>
      <c r="L151" s="860">
        <f>'d3'!L151-d3П!L150</f>
        <v>0</v>
      </c>
      <c r="M151" s="860">
        <f>'d3'!M151-d3П!M150</f>
        <v>0</v>
      </c>
      <c r="N151" s="860">
        <f>'d3'!N151-d3П!N150</f>
        <v>0</v>
      </c>
      <c r="O151" s="860">
        <f>'d3'!O151-d3П!O150</f>
        <v>0</v>
      </c>
      <c r="P151" s="860">
        <f>'d3'!P151-d3П!P150</f>
        <v>0</v>
      </c>
      <c r="R151" s="909"/>
    </row>
    <row r="152" spans="1:18" ht="409.6" hidden="1" customHeight="1" thickTop="1" thickBot="1" x14ac:dyDescent="0.25">
      <c r="A152" s="904"/>
      <c r="B152" s="904"/>
      <c r="C152" s="904"/>
      <c r="D152" s="300" t="s">
        <v>1156</v>
      </c>
      <c r="E152" s="860">
        <f>'d3'!E152-d3П!E151</f>
        <v>0</v>
      </c>
      <c r="F152" s="860">
        <f>'d3'!F152-d3П!F151</f>
        <v>0</v>
      </c>
      <c r="G152" s="860">
        <f>'d3'!G152-d3П!G151</f>
        <v>0</v>
      </c>
      <c r="H152" s="860">
        <f>'d3'!H152-d3П!H151</f>
        <v>0</v>
      </c>
      <c r="I152" s="860">
        <f>'d3'!I152-d3П!I151</f>
        <v>0</v>
      </c>
      <c r="J152" s="860">
        <f>'d3'!J152-d3П!J151</f>
        <v>0</v>
      </c>
      <c r="K152" s="860">
        <f>'d3'!K152-d3П!K151</f>
        <v>0</v>
      </c>
      <c r="L152" s="860">
        <f>'d3'!L152-d3П!L151</f>
        <v>0</v>
      </c>
      <c r="M152" s="860">
        <f>'d3'!M152-d3П!M151</f>
        <v>0</v>
      </c>
      <c r="N152" s="860">
        <f>'d3'!N152-d3П!N151</f>
        <v>0</v>
      </c>
      <c r="O152" s="860">
        <f>'d3'!O152-d3П!O151</f>
        <v>0</v>
      </c>
      <c r="P152" s="860">
        <f>'d3'!P152-d3П!P151</f>
        <v>0</v>
      </c>
      <c r="R152" s="912"/>
    </row>
    <row r="153" spans="1:18" ht="409.6" hidden="1" customHeight="1" thickTop="1" thickBot="1" x14ac:dyDescent="0.25">
      <c r="A153" s="904"/>
      <c r="B153" s="904"/>
      <c r="C153" s="904"/>
      <c r="D153" s="300" t="s">
        <v>1157</v>
      </c>
      <c r="E153" s="860">
        <f>'d3'!E153-d3П!E152</f>
        <v>0</v>
      </c>
      <c r="F153" s="860">
        <f>'d3'!F153-d3П!F152</f>
        <v>0</v>
      </c>
      <c r="G153" s="860">
        <f>'d3'!G153-d3П!G152</f>
        <v>0</v>
      </c>
      <c r="H153" s="860">
        <f>'d3'!H153-d3П!H152</f>
        <v>0</v>
      </c>
      <c r="I153" s="860">
        <f>'d3'!I153-d3П!I152</f>
        <v>0</v>
      </c>
      <c r="J153" s="860">
        <f>'d3'!J153-d3П!J152</f>
        <v>0</v>
      </c>
      <c r="K153" s="860">
        <f>'d3'!K153-d3П!K152</f>
        <v>0</v>
      </c>
      <c r="L153" s="860">
        <f>'d3'!L153-d3П!L152</f>
        <v>0</v>
      </c>
      <c r="M153" s="860">
        <f>'d3'!M153-d3П!M152</f>
        <v>0</v>
      </c>
      <c r="N153" s="860">
        <f>'d3'!N153-d3П!N152</f>
        <v>0</v>
      </c>
      <c r="O153" s="860">
        <f>'d3'!O153-d3П!O152</f>
        <v>0</v>
      </c>
      <c r="P153" s="860">
        <f>'d3'!P153-d3П!P152</f>
        <v>0</v>
      </c>
      <c r="R153" s="912"/>
    </row>
    <row r="154" spans="1:18" ht="184.5" hidden="1" customHeight="1" thickTop="1" thickBot="1" x14ac:dyDescent="0.25">
      <c r="A154" s="905"/>
      <c r="B154" s="905"/>
      <c r="C154" s="905"/>
      <c r="D154" s="301" t="s">
        <v>1158</v>
      </c>
      <c r="E154" s="860">
        <f>'d3'!E154-d3П!E153</f>
        <v>0</v>
      </c>
      <c r="F154" s="860">
        <f>'d3'!F154-d3П!F153</f>
        <v>0</v>
      </c>
      <c r="G154" s="860">
        <f>'d3'!G154-d3П!G153</f>
        <v>0</v>
      </c>
      <c r="H154" s="860">
        <f>'d3'!H154-d3П!H153</f>
        <v>0</v>
      </c>
      <c r="I154" s="860">
        <f>'d3'!I154-d3П!I153</f>
        <v>0</v>
      </c>
      <c r="J154" s="860">
        <f>'d3'!J154-d3П!J153</f>
        <v>0</v>
      </c>
      <c r="K154" s="860">
        <f>'d3'!K154-d3П!K153</f>
        <v>0</v>
      </c>
      <c r="L154" s="860">
        <f>'d3'!L154-d3П!L153</f>
        <v>0</v>
      </c>
      <c r="M154" s="860">
        <f>'d3'!M154-d3П!M153</f>
        <v>0</v>
      </c>
      <c r="N154" s="860">
        <f>'d3'!N154-d3П!N153</f>
        <v>0</v>
      </c>
      <c r="O154" s="860">
        <f>'d3'!O154-d3П!O153</f>
        <v>0</v>
      </c>
      <c r="P154" s="860">
        <f>'d3'!P154-d3П!P153</f>
        <v>0</v>
      </c>
      <c r="R154" s="912"/>
    </row>
    <row r="155" spans="1:18" ht="409.6" hidden="1" customHeight="1" thickTop="1" thickBot="1" x14ac:dyDescent="0.7">
      <c r="A155" s="911" t="s">
        <v>1161</v>
      </c>
      <c r="B155" s="911" t="s">
        <v>1162</v>
      </c>
      <c r="C155" s="911" t="s">
        <v>52</v>
      </c>
      <c r="D155" s="299" t="s">
        <v>1163</v>
      </c>
      <c r="E155" s="860">
        <f>'d3'!E155-d3П!E154</f>
        <v>0</v>
      </c>
      <c r="F155" s="860">
        <f>'d3'!F155-d3П!F154</f>
        <v>0</v>
      </c>
      <c r="G155" s="860">
        <f>'d3'!G155-d3П!G154</f>
        <v>0</v>
      </c>
      <c r="H155" s="860">
        <f>'d3'!H155-d3П!H154</f>
        <v>0</v>
      </c>
      <c r="I155" s="860">
        <f>'d3'!I155-d3П!I154</f>
        <v>0</v>
      </c>
      <c r="J155" s="860">
        <f>'d3'!J155-d3П!J154</f>
        <v>0</v>
      </c>
      <c r="K155" s="860">
        <f>'d3'!K155-d3П!K154</f>
        <v>0</v>
      </c>
      <c r="L155" s="860">
        <f>'d3'!L155-d3П!L154</f>
        <v>0</v>
      </c>
      <c r="M155" s="860">
        <f>'d3'!M155-d3П!M154</f>
        <v>0</v>
      </c>
      <c r="N155" s="860">
        <f>'d3'!N155-d3П!N154</f>
        <v>0</v>
      </c>
      <c r="O155" s="860">
        <f>'d3'!O155-d3П!O154</f>
        <v>0</v>
      </c>
      <c r="P155" s="860">
        <f>'d3'!P155-d3П!P154</f>
        <v>0</v>
      </c>
      <c r="R155" s="909"/>
    </row>
    <row r="156" spans="1:18" ht="409.6" hidden="1" customHeight="1" thickTop="1" thickBot="1" x14ac:dyDescent="0.25">
      <c r="A156" s="904"/>
      <c r="B156" s="904"/>
      <c r="C156" s="904"/>
      <c r="D156" s="300" t="s">
        <v>1164</v>
      </c>
      <c r="E156" s="860">
        <f>'d3'!E156-d3П!E155</f>
        <v>0</v>
      </c>
      <c r="F156" s="860">
        <f>'d3'!F156-d3П!F155</f>
        <v>0</v>
      </c>
      <c r="G156" s="860">
        <f>'d3'!G156-d3П!G155</f>
        <v>0</v>
      </c>
      <c r="H156" s="860">
        <f>'d3'!H156-d3П!H155</f>
        <v>0</v>
      </c>
      <c r="I156" s="860">
        <f>'d3'!I156-d3П!I155</f>
        <v>0</v>
      </c>
      <c r="J156" s="860">
        <f>'d3'!J156-d3П!J155</f>
        <v>0</v>
      </c>
      <c r="K156" s="860">
        <f>'d3'!K156-d3П!K155</f>
        <v>0</v>
      </c>
      <c r="L156" s="860">
        <f>'d3'!L156-d3П!L155</f>
        <v>0</v>
      </c>
      <c r="M156" s="860">
        <f>'d3'!M156-d3П!M155</f>
        <v>0</v>
      </c>
      <c r="N156" s="860">
        <f>'d3'!N156-d3П!N155</f>
        <v>0</v>
      </c>
      <c r="O156" s="860">
        <f>'d3'!O156-d3П!O155</f>
        <v>0</v>
      </c>
      <c r="P156" s="860">
        <f>'d3'!P156-d3П!P155</f>
        <v>0</v>
      </c>
      <c r="R156" s="910"/>
    </row>
    <row r="157" spans="1:18" ht="138.75" hidden="1" customHeight="1" thickTop="1" thickBot="1" x14ac:dyDescent="0.25">
      <c r="A157" s="905"/>
      <c r="B157" s="905"/>
      <c r="C157" s="905"/>
      <c r="D157" s="301" t="s">
        <v>1165</v>
      </c>
      <c r="E157" s="860">
        <f>'d3'!E157-d3П!E156</f>
        <v>0</v>
      </c>
      <c r="F157" s="860">
        <f>'d3'!F157-d3П!F156</f>
        <v>0</v>
      </c>
      <c r="G157" s="860">
        <f>'d3'!G157-d3П!G156</f>
        <v>0</v>
      </c>
      <c r="H157" s="860">
        <f>'d3'!H157-d3П!H156</f>
        <v>0</v>
      </c>
      <c r="I157" s="860">
        <f>'d3'!I157-d3П!I156</f>
        <v>0</v>
      </c>
      <c r="J157" s="860">
        <f>'d3'!J157-d3П!J156</f>
        <v>0</v>
      </c>
      <c r="K157" s="860">
        <f>'d3'!K157-d3П!K156</f>
        <v>0</v>
      </c>
      <c r="L157" s="860">
        <f>'d3'!L157-d3П!L156</f>
        <v>0</v>
      </c>
      <c r="M157" s="860">
        <f>'d3'!M157-d3П!M156</f>
        <v>0</v>
      </c>
      <c r="N157" s="860">
        <f>'d3'!N157-d3П!N156</f>
        <v>0</v>
      </c>
      <c r="O157" s="860">
        <f>'d3'!O157-d3П!O156</f>
        <v>0</v>
      </c>
      <c r="P157" s="860">
        <f>'d3'!P157-d3П!P156</f>
        <v>0</v>
      </c>
      <c r="R157" s="910"/>
    </row>
    <row r="158" spans="1:18" ht="409.6" hidden="1" customHeight="1" thickTop="1" thickBot="1" x14ac:dyDescent="0.7">
      <c r="A158" s="911" t="s">
        <v>1169</v>
      </c>
      <c r="B158" s="911" t="s">
        <v>1170</v>
      </c>
      <c r="C158" s="911" t="s">
        <v>52</v>
      </c>
      <c r="D158" s="299" t="s">
        <v>1166</v>
      </c>
      <c r="E158" s="860">
        <f>'d3'!E158-d3П!E157</f>
        <v>0</v>
      </c>
      <c r="F158" s="860">
        <f>'d3'!F158-d3П!F157</f>
        <v>0</v>
      </c>
      <c r="G158" s="860">
        <f>'d3'!G158-d3П!G157</f>
        <v>0</v>
      </c>
      <c r="H158" s="860">
        <f>'d3'!H158-d3П!H157</f>
        <v>0</v>
      </c>
      <c r="I158" s="860">
        <f>'d3'!I158-d3П!I157</f>
        <v>0</v>
      </c>
      <c r="J158" s="860">
        <f>'d3'!J158-d3П!J157</f>
        <v>0</v>
      </c>
      <c r="K158" s="860">
        <f>'d3'!K158-d3П!K157</f>
        <v>0</v>
      </c>
      <c r="L158" s="860">
        <f>'d3'!L158-d3П!L157</f>
        <v>0</v>
      </c>
      <c r="M158" s="860">
        <f>'d3'!M158-d3П!M157</f>
        <v>0</v>
      </c>
      <c r="N158" s="860">
        <f>'d3'!N158-d3П!N157</f>
        <v>0</v>
      </c>
      <c r="O158" s="860">
        <f>'d3'!O158-d3П!O157</f>
        <v>0</v>
      </c>
      <c r="P158" s="860">
        <f>'d3'!P158-d3П!P157</f>
        <v>0</v>
      </c>
      <c r="R158" s="909"/>
    </row>
    <row r="159" spans="1:18" ht="352.5" hidden="1" customHeight="1" x14ac:dyDescent="0.25">
      <c r="A159" s="904"/>
      <c r="B159" s="904"/>
      <c r="C159" s="904"/>
      <c r="D159" s="300" t="s">
        <v>1167</v>
      </c>
      <c r="E159" s="860">
        <f>'d3'!E159-d3П!E158</f>
        <v>0</v>
      </c>
      <c r="F159" s="860">
        <f>'d3'!F159-d3П!F158</f>
        <v>0</v>
      </c>
      <c r="G159" s="860">
        <f>'d3'!G159-d3П!G158</f>
        <v>0</v>
      </c>
      <c r="H159" s="860">
        <f>'d3'!H159-d3П!H158</f>
        <v>0</v>
      </c>
      <c r="I159" s="860">
        <f>'d3'!I159-d3П!I158</f>
        <v>0</v>
      </c>
      <c r="J159" s="860">
        <f>'d3'!J159-d3П!J158</f>
        <v>0</v>
      </c>
      <c r="K159" s="860">
        <f>'d3'!K159-d3П!K158</f>
        <v>0</v>
      </c>
      <c r="L159" s="860">
        <f>'d3'!L159-d3П!L158</f>
        <v>0</v>
      </c>
      <c r="M159" s="860">
        <f>'d3'!M159-d3П!M158</f>
        <v>0</v>
      </c>
      <c r="N159" s="860">
        <f>'d3'!N159-d3П!N158</f>
        <v>0</v>
      </c>
      <c r="O159" s="860">
        <f>'d3'!O159-d3П!O158</f>
        <v>0</v>
      </c>
      <c r="P159" s="860">
        <f>'d3'!P159-d3П!P158</f>
        <v>0</v>
      </c>
      <c r="R159" s="910"/>
    </row>
    <row r="160" spans="1:18" ht="93" hidden="1" customHeight="1" thickTop="1" thickBot="1" x14ac:dyDescent="0.25">
      <c r="A160" s="905"/>
      <c r="B160" s="905"/>
      <c r="C160" s="905"/>
      <c r="D160" s="301" t="s">
        <v>1168</v>
      </c>
      <c r="E160" s="860">
        <f>'d3'!E160-d3П!E159</f>
        <v>0</v>
      </c>
      <c r="F160" s="860">
        <f>'d3'!F160-d3П!F159</f>
        <v>0</v>
      </c>
      <c r="G160" s="860">
        <f>'d3'!G160-d3П!G159</f>
        <v>0</v>
      </c>
      <c r="H160" s="860">
        <f>'d3'!H160-d3П!H159</f>
        <v>0</v>
      </c>
      <c r="I160" s="860">
        <f>'d3'!I160-d3П!I159</f>
        <v>0</v>
      </c>
      <c r="J160" s="860">
        <f>'d3'!J160-d3П!J159</f>
        <v>0</v>
      </c>
      <c r="K160" s="860">
        <f>'d3'!K160-d3П!K159</f>
        <v>0</v>
      </c>
      <c r="L160" s="860">
        <f>'d3'!L160-d3П!L159</f>
        <v>0</v>
      </c>
      <c r="M160" s="860">
        <f>'d3'!M160-d3П!M159</f>
        <v>0</v>
      </c>
      <c r="N160" s="860">
        <f>'d3'!N160-d3П!N159</f>
        <v>0</v>
      </c>
      <c r="O160" s="860">
        <f>'d3'!O160-d3П!O159</f>
        <v>0</v>
      </c>
      <c r="P160" s="860">
        <f>'d3'!P160-d3П!P159</f>
        <v>0</v>
      </c>
      <c r="R160" s="910"/>
    </row>
    <row r="161" spans="1:18" ht="230.25" thickTop="1" thickBot="1" x14ac:dyDescent="0.25">
      <c r="A161" s="864" t="s">
        <v>1374</v>
      </c>
      <c r="B161" s="864" t="s">
        <v>1371</v>
      </c>
      <c r="C161" s="864" t="s">
        <v>218</v>
      </c>
      <c r="D161" s="499" t="s">
        <v>1372</v>
      </c>
      <c r="E161" s="860">
        <f>'d3'!E161-d3П!E160</f>
        <v>0</v>
      </c>
      <c r="F161" s="860">
        <f>'d3'!F161-d3П!F160</f>
        <v>0</v>
      </c>
      <c r="G161" s="860">
        <f>'d3'!G161-d3П!G160</f>
        <v>0</v>
      </c>
      <c r="H161" s="860">
        <f>'d3'!H161-d3П!H160</f>
        <v>0</v>
      </c>
      <c r="I161" s="860">
        <f>'d3'!I161-d3П!I160</f>
        <v>0</v>
      </c>
      <c r="J161" s="860">
        <f>'d3'!J161-d3П!J160</f>
        <v>128428</v>
      </c>
      <c r="K161" s="860">
        <f>'d3'!K161-d3П!K160</f>
        <v>128428</v>
      </c>
      <c r="L161" s="860">
        <f>'d3'!L161-d3П!L160</f>
        <v>0</v>
      </c>
      <c r="M161" s="860">
        <f>'d3'!M161-d3П!M160</f>
        <v>0</v>
      </c>
      <c r="N161" s="860">
        <f>'d3'!N161-d3П!N160</f>
        <v>0</v>
      </c>
      <c r="O161" s="860">
        <f>'d3'!O161-d3П!O160</f>
        <v>128428</v>
      </c>
      <c r="P161" s="860">
        <f>'d3'!P161-d3П!P160</f>
        <v>128428</v>
      </c>
      <c r="R161" s="876"/>
    </row>
    <row r="162" spans="1:18" s="272" customFormat="1" ht="47.25" thickTop="1" thickBot="1" x14ac:dyDescent="0.25">
      <c r="A162" s="489" t="s">
        <v>782</v>
      </c>
      <c r="B162" s="489" t="s">
        <v>783</v>
      </c>
      <c r="C162" s="489"/>
      <c r="D162" s="489" t="s">
        <v>784</v>
      </c>
      <c r="E162" s="860">
        <f>'d3'!E162-d3П!E161</f>
        <v>571350</v>
      </c>
      <c r="F162" s="860">
        <f>'d3'!F162-d3П!F161</f>
        <v>571350</v>
      </c>
      <c r="G162" s="860">
        <f>'d3'!G162-d3П!G161</f>
        <v>0</v>
      </c>
      <c r="H162" s="860">
        <f>'d3'!H162-d3П!H161</f>
        <v>0</v>
      </c>
      <c r="I162" s="860">
        <f>'d3'!I162-d3П!I161</f>
        <v>0</v>
      </c>
      <c r="J162" s="860">
        <f>'d3'!J162-d3П!J161</f>
        <v>0</v>
      </c>
      <c r="K162" s="860">
        <f>'d3'!K162-d3П!K161</f>
        <v>0</v>
      </c>
      <c r="L162" s="860">
        <f>'d3'!L162-d3П!L161</f>
        <v>0</v>
      </c>
      <c r="M162" s="860">
        <f>'d3'!M162-d3П!M161</f>
        <v>0</v>
      </c>
      <c r="N162" s="860">
        <f>'d3'!N162-d3П!N161</f>
        <v>0</v>
      </c>
      <c r="O162" s="860">
        <f>'d3'!O162-d3П!O161</f>
        <v>0</v>
      </c>
      <c r="P162" s="860">
        <f>'d3'!P162-d3П!P161</f>
        <v>571350</v>
      </c>
      <c r="Q162" s="624"/>
      <c r="R162" s="298"/>
    </row>
    <row r="163" spans="1:18" ht="184.5" thickTop="1" thickBot="1" x14ac:dyDescent="0.25">
      <c r="A163" s="864" t="s">
        <v>341</v>
      </c>
      <c r="B163" s="864" t="s">
        <v>343</v>
      </c>
      <c r="C163" s="864" t="s">
        <v>203</v>
      </c>
      <c r="D163" s="499" t="s">
        <v>345</v>
      </c>
      <c r="E163" s="860">
        <f>'d3'!E163-d3П!E162</f>
        <v>0</v>
      </c>
      <c r="F163" s="860">
        <f>'d3'!F163-d3П!F162</f>
        <v>0</v>
      </c>
      <c r="G163" s="860">
        <f>'d3'!G163-d3П!G162</f>
        <v>0</v>
      </c>
      <c r="H163" s="860">
        <f>'d3'!H163-d3П!H162</f>
        <v>0</v>
      </c>
      <c r="I163" s="860">
        <f>'d3'!I163-d3П!I162</f>
        <v>0</v>
      </c>
      <c r="J163" s="860">
        <f>'d3'!J163-d3П!J162</f>
        <v>0</v>
      </c>
      <c r="K163" s="860">
        <f>'d3'!K163-d3П!K162</f>
        <v>0</v>
      </c>
      <c r="L163" s="860">
        <f>'d3'!L163-d3П!L162</f>
        <v>0</v>
      </c>
      <c r="M163" s="860">
        <f>'d3'!M163-d3П!M162</f>
        <v>0</v>
      </c>
      <c r="N163" s="860">
        <f>'d3'!N163-d3П!N162</f>
        <v>0</v>
      </c>
      <c r="O163" s="860">
        <f>'d3'!O163-d3П!O162</f>
        <v>0</v>
      </c>
      <c r="P163" s="860">
        <f>'d3'!P163-d3П!P162</f>
        <v>0</v>
      </c>
      <c r="R163" s="875"/>
    </row>
    <row r="164" spans="1:18" ht="138.75" thickTop="1" thickBot="1" x14ac:dyDescent="0.25">
      <c r="A164" s="864" t="s">
        <v>342</v>
      </c>
      <c r="B164" s="864" t="s">
        <v>344</v>
      </c>
      <c r="C164" s="864" t="s">
        <v>203</v>
      </c>
      <c r="D164" s="499" t="s">
        <v>346</v>
      </c>
      <c r="E164" s="860">
        <f>'d3'!E164-d3П!E163</f>
        <v>571350</v>
      </c>
      <c r="F164" s="860">
        <f>'d3'!F164-d3П!F163</f>
        <v>571350</v>
      </c>
      <c r="G164" s="860">
        <f>'d3'!G164-d3П!G163</f>
        <v>0</v>
      </c>
      <c r="H164" s="860">
        <f>'d3'!H164-d3П!H163</f>
        <v>0</v>
      </c>
      <c r="I164" s="860">
        <f>'d3'!I164-d3П!I163</f>
        <v>0</v>
      </c>
      <c r="J164" s="860">
        <f>'d3'!J164-d3П!J163</f>
        <v>0</v>
      </c>
      <c r="K164" s="860">
        <f>'d3'!K164-d3П!K163</f>
        <v>0</v>
      </c>
      <c r="L164" s="860">
        <f>'d3'!L164-d3П!L163</f>
        <v>0</v>
      </c>
      <c r="M164" s="860">
        <f>'d3'!M164-d3П!M163</f>
        <v>0</v>
      </c>
      <c r="N164" s="860">
        <f>'d3'!N164-d3П!N163</f>
        <v>0</v>
      </c>
      <c r="O164" s="860">
        <f>'d3'!O164-d3П!O163</f>
        <v>0</v>
      </c>
      <c r="P164" s="860">
        <f>'d3'!P164-d3П!P163</f>
        <v>571350</v>
      </c>
      <c r="R164" s="875"/>
    </row>
    <row r="165" spans="1:18" ht="91.5" thickTop="1" thickBot="1" x14ac:dyDescent="0.25">
      <c r="A165" s="151" t="s">
        <v>785</v>
      </c>
      <c r="B165" s="151" t="s">
        <v>786</v>
      </c>
      <c r="C165" s="151"/>
      <c r="D165" s="560" t="s">
        <v>787</v>
      </c>
      <c r="E165" s="860">
        <f>'d3'!E165-d3П!E164</f>
        <v>0</v>
      </c>
      <c r="F165" s="860">
        <f>'d3'!F165-d3П!F164</f>
        <v>0</v>
      </c>
      <c r="G165" s="860">
        <f>'d3'!G165-d3П!G164</f>
        <v>0</v>
      </c>
      <c r="H165" s="860">
        <f>'d3'!H165-d3П!H164</f>
        <v>0</v>
      </c>
      <c r="I165" s="860">
        <f>'d3'!I165-d3П!I164</f>
        <v>0</v>
      </c>
      <c r="J165" s="860">
        <f>'d3'!J165-d3П!J164</f>
        <v>0</v>
      </c>
      <c r="K165" s="860">
        <f>'d3'!K165-d3П!K164</f>
        <v>0</v>
      </c>
      <c r="L165" s="860">
        <f>'d3'!L165-d3П!L164</f>
        <v>0</v>
      </c>
      <c r="M165" s="860">
        <f>'d3'!M165-d3П!M164</f>
        <v>0</v>
      </c>
      <c r="N165" s="860">
        <f>'d3'!N165-d3П!N164</f>
        <v>0</v>
      </c>
      <c r="O165" s="860">
        <f>'d3'!O165-d3П!O164</f>
        <v>0</v>
      </c>
      <c r="P165" s="860">
        <f>'d3'!P165-d3П!P164</f>
        <v>0</v>
      </c>
      <c r="R165" s="875"/>
    </row>
    <row r="166" spans="1:18" s="272" customFormat="1" ht="93" thickTop="1" thickBot="1" x14ac:dyDescent="0.25">
      <c r="A166" s="489" t="s">
        <v>788</v>
      </c>
      <c r="B166" s="489" t="s">
        <v>789</v>
      </c>
      <c r="C166" s="489"/>
      <c r="D166" s="482" t="s">
        <v>790</v>
      </c>
      <c r="E166" s="860">
        <f>'d3'!E166-d3П!E165</f>
        <v>0</v>
      </c>
      <c r="F166" s="860">
        <f>'d3'!F166-d3П!F165</f>
        <v>0</v>
      </c>
      <c r="G166" s="860">
        <f>'d3'!G166-d3П!G165</f>
        <v>0</v>
      </c>
      <c r="H166" s="860">
        <f>'d3'!H166-d3П!H165</f>
        <v>0</v>
      </c>
      <c r="I166" s="860">
        <f>'d3'!I166-d3П!I165</f>
        <v>0</v>
      </c>
      <c r="J166" s="860">
        <f>'d3'!J166-d3П!J165</f>
        <v>0</v>
      </c>
      <c r="K166" s="860">
        <f>'d3'!K166-d3П!K165</f>
        <v>0</v>
      </c>
      <c r="L166" s="860">
        <f>'d3'!L166-d3П!L165</f>
        <v>0</v>
      </c>
      <c r="M166" s="860">
        <f>'d3'!M166-d3П!M165</f>
        <v>0</v>
      </c>
      <c r="N166" s="860">
        <f>'d3'!N166-d3П!N165</f>
        <v>0</v>
      </c>
      <c r="O166" s="860">
        <f>'d3'!O166-d3П!O165</f>
        <v>0</v>
      </c>
      <c r="P166" s="860">
        <f>'d3'!P166-d3П!P165</f>
        <v>0</v>
      </c>
      <c r="Q166" s="624"/>
      <c r="R166" s="302"/>
    </row>
    <row r="167" spans="1:18" ht="138.75" thickTop="1" thickBot="1" x14ac:dyDescent="0.25">
      <c r="A167" s="864" t="s">
        <v>381</v>
      </c>
      <c r="B167" s="864" t="s">
        <v>379</v>
      </c>
      <c r="C167" s="864" t="s">
        <v>354</v>
      </c>
      <c r="D167" s="499" t="s">
        <v>380</v>
      </c>
      <c r="E167" s="860">
        <f>'d3'!E167-d3П!E166</f>
        <v>0</v>
      </c>
      <c r="F167" s="860">
        <f>'d3'!F167-d3П!F166</f>
        <v>0</v>
      </c>
      <c r="G167" s="860">
        <f>'d3'!G167-d3П!G166</f>
        <v>0</v>
      </c>
      <c r="H167" s="860">
        <f>'d3'!H167-d3П!H166</f>
        <v>0</v>
      </c>
      <c r="I167" s="860">
        <f>'d3'!I167-d3П!I166</f>
        <v>0</v>
      </c>
      <c r="J167" s="860">
        <f>'d3'!J167-d3П!J166</f>
        <v>0</v>
      </c>
      <c r="K167" s="860">
        <f>'d3'!K167-d3П!K166</f>
        <v>0</v>
      </c>
      <c r="L167" s="860">
        <f>'d3'!L167-d3П!L166</f>
        <v>0</v>
      </c>
      <c r="M167" s="860">
        <f>'d3'!M167-d3П!M166</f>
        <v>0</v>
      </c>
      <c r="N167" s="860">
        <f>'d3'!N167-d3П!N166</f>
        <v>0</v>
      </c>
      <c r="O167" s="860">
        <f>'d3'!O167-d3П!O166</f>
        <v>0</v>
      </c>
      <c r="P167" s="860">
        <f>'d3'!P167-d3П!P166</f>
        <v>0</v>
      </c>
      <c r="R167" s="875"/>
    </row>
    <row r="168" spans="1:18" ht="409.6" hidden="1" thickTop="1" thickBot="1" x14ac:dyDescent="0.25">
      <c r="A168" s="873" t="s">
        <v>1171</v>
      </c>
      <c r="B168" s="873" t="s">
        <v>1172</v>
      </c>
      <c r="C168" s="873" t="s">
        <v>354</v>
      </c>
      <c r="D168" s="285" t="s">
        <v>1173</v>
      </c>
      <c r="E168" s="874"/>
      <c r="F168" s="278"/>
      <c r="G168" s="278"/>
      <c r="H168" s="278"/>
      <c r="I168" s="278"/>
      <c r="J168" s="874"/>
      <c r="K168" s="278"/>
      <c r="L168" s="278"/>
      <c r="M168" s="278"/>
      <c r="N168" s="278"/>
      <c r="O168" s="871"/>
      <c r="P168" s="874"/>
      <c r="R168" s="875"/>
    </row>
    <row r="169" spans="1:18" ht="47.25" thickTop="1" thickBot="1" x14ac:dyDescent="0.25">
      <c r="A169" s="151" t="s">
        <v>795</v>
      </c>
      <c r="B169" s="466" t="s">
        <v>792</v>
      </c>
      <c r="C169" s="466"/>
      <c r="D169" s="466" t="s">
        <v>793</v>
      </c>
      <c r="E169" s="860">
        <f>'d3'!E169-d3П!E168</f>
        <v>0</v>
      </c>
      <c r="F169" s="860">
        <f>'d3'!F169-d3П!F168</f>
        <v>0</v>
      </c>
      <c r="G169" s="860">
        <f>'d3'!G169-d3П!G168</f>
        <v>0</v>
      </c>
      <c r="H169" s="860">
        <f>'d3'!H169-d3П!H168</f>
        <v>0</v>
      </c>
      <c r="I169" s="860">
        <f>'d3'!I169-d3П!I168</f>
        <v>0</v>
      </c>
      <c r="J169" s="860">
        <f>'d3'!J169-d3П!J168</f>
        <v>0</v>
      </c>
      <c r="K169" s="860">
        <f>'d3'!K169-d3П!K168</f>
        <v>0</v>
      </c>
      <c r="L169" s="860">
        <f>'d3'!L169-d3П!L168</f>
        <v>0</v>
      </c>
      <c r="M169" s="860">
        <f>'d3'!M169-d3П!M168</f>
        <v>0</v>
      </c>
      <c r="N169" s="860">
        <f>'d3'!N169-d3П!N168</f>
        <v>0</v>
      </c>
      <c r="O169" s="860">
        <f>'d3'!O169-d3П!O168</f>
        <v>0</v>
      </c>
      <c r="P169" s="860">
        <f>'d3'!P169-d3П!P168</f>
        <v>0</v>
      </c>
      <c r="R169" s="875"/>
    </row>
    <row r="170" spans="1:18" ht="91.5" thickTop="1" thickBot="1" x14ac:dyDescent="0.25">
      <c r="A170" s="467" t="s">
        <v>986</v>
      </c>
      <c r="B170" s="469" t="s">
        <v>848</v>
      </c>
      <c r="C170" s="469"/>
      <c r="D170" s="469" t="s">
        <v>849</v>
      </c>
      <c r="E170" s="860">
        <f>'d3'!E170-d3П!E169</f>
        <v>0</v>
      </c>
      <c r="F170" s="860">
        <f>'d3'!F170-d3П!F169</f>
        <v>0</v>
      </c>
      <c r="G170" s="860">
        <f>'d3'!G170-d3П!G169</f>
        <v>0</v>
      </c>
      <c r="H170" s="860">
        <f>'d3'!H170-d3П!H169</f>
        <v>0</v>
      </c>
      <c r="I170" s="860">
        <f>'d3'!I170-d3П!I169</f>
        <v>0</v>
      </c>
      <c r="J170" s="860">
        <f>'d3'!J170-d3П!J169</f>
        <v>0</v>
      </c>
      <c r="K170" s="860">
        <f>'d3'!K170-d3П!K169</f>
        <v>0</v>
      </c>
      <c r="L170" s="860">
        <f>'d3'!L170-d3П!L169</f>
        <v>0</v>
      </c>
      <c r="M170" s="860">
        <f>'d3'!M170-d3П!M169</f>
        <v>0</v>
      </c>
      <c r="N170" s="860">
        <f>'d3'!N170-d3П!N169</f>
        <v>0</v>
      </c>
      <c r="O170" s="860">
        <f>'d3'!O170-d3П!O169</f>
        <v>0</v>
      </c>
      <c r="P170" s="860">
        <f>'d3'!P170-d3П!P169</f>
        <v>0</v>
      </c>
      <c r="R170" s="875"/>
    </row>
    <row r="171" spans="1:18" ht="146.25" thickTop="1" thickBot="1" x14ac:dyDescent="0.25">
      <c r="A171" s="489" t="s">
        <v>982</v>
      </c>
      <c r="B171" s="489" t="s">
        <v>867</v>
      </c>
      <c r="C171" s="489"/>
      <c r="D171" s="489" t="s">
        <v>868</v>
      </c>
      <c r="E171" s="860">
        <f>'d3'!E171-d3П!E170</f>
        <v>0</v>
      </c>
      <c r="F171" s="860">
        <f>'d3'!F171-d3П!F170</f>
        <v>0</v>
      </c>
      <c r="G171" s="860">
        <f>'d3'!G171-d3П!G170</f>
        <v>0</v>
      </c>
      <c r="H171" s="860">
        <f>'d3'!H171-d3П!H170</f>
        <v>0</v>
      </c>
      <c r="I171" s="860">
        <f>'d3'!I171-d3П!I170</f>
        <v>0</v>
      </c>
      <c r="J171" s="860">
        <f>'d3'!J171-d3П!J170</f>
        <v>0</v>
      </c>
      <c r="K171" s="860">
        <f>'d3'!K171-d3П!K170</f>
        <v>0</v>
      </c>
      <c r="L171" s="860">
        <f>'d3'!L171-d3П!L170</f>
        <v>0</v>
      </c>
      <c r="M171" s="860">
        <f>'d3'!M171-d3П!M170</f>
        <v>0</v>
      </c>
      <c r="N171" s="860">
        <f>'d3'!N171-d3П!N170</f>
        <v>0</v>
      </c>
      <c r="O171" s="860">
        <f>'d3'!O171-d3П!O170</f>
        <v>0</v>
      </c>
      <c r="P171" s="860">
        <f>'d3'!P171-d3П!P170</f>
        <v>0</v>
      </c>
      <c r="R171" s="875"/>
    </row>
    <row r="172" spans="1:18" ht="99.75" thickTop="1" thickBot="1" x14ac:dyDescent="0.25">
      <c r="A172" s="864" t="s">
        <v>983</v>
      </c>
      <c r="B172" s="864" t="s">
        <v>984</v>
      </c>
      <c r="C172" s="864" t="s">
        <v>317</v>
      </c>
      <c r="D172" s="864" t="s">
        <v>985</v>
      </c>
      <c r="E172" s="860">
        <f>'d3'!E172-d3П!E171</f>
        <v>0</v>
      </c>
      <c r="F172" s="860">
        <f>'d3'!F172-d3П!F171</f>
        <v>0</v>
      </c>
      <c r="G172" s="860">
        <f>'d3'!G172-d3П!G171</f>
        <v>0</v>
      </c>
      <c r="H172" s="860">
        <f>'d3'!H172-d3П!H171</f>
        <v>0</v>
      </c>
      <c r="I172" s="860">
        <f>'d3'!I172-d3П!I171</f>
        <v>0</v>
      </c>
      <c r="J172" s="860">
        <f>'d3'!J172-d3П!J171</f>
        <v>0</v>
      </c>
      <c r="K172" s="860">
        <f>'d3'!K172-d3П!K171</f>
        <v>0</v>
      </c>
      <c r="L172" s="860">
        <f>'d3'!L172-d3П!L171</f>
        <v>0</v>
      </c>
      <c r="M172" s="860">
        <f>'d3'!M172-d3П!M171</f>
        <v>0</v>
      </c>
      <c r="N172" s="860">
        <f>'d3'!N172-d3П!N171</f>
        <v>0</v>
      </c>
      <c r="O172" s="860">
        <f>'d3'!O172-d3П!O171</f>
        <v>0</v>
      </c>
      <c r="P172" s="860">
        <f>'d3'!P172-d3П!P171</f>
        <v>0</v>
      </c>
      <c r="R172" s="875"/>
    </row>
    <row r="173" spans="1:18" ht="136.5" thickTop="1" thickBot="1" x14ac:dyDescent="0.25">
      <c r="A173" s="467" t="s">
        <v>797</v>
      </c>
      <c r="B173" s="469" t="s">
        <v>734</v>
      </c>
      <c r="C173" s="469"/>
      <c r="D173" s="469" t="s">
        <v>732</v>
      </c>
      <c r="E173" s="860">
        <f>'d3'!E173-d3П!E172</f>
        <v>0</v>
      </c>
      <c r="F173" s="860">
        <f>'d3'!F173-d3П!F172</f>
        <v>0</v>
      </c>
      <c r="G173" s="860">
        <f>'d3'!G173-d3П!G172</f>
        <v>0</v>
      </c>
      <c r="H173" s="860">
        <f>'d3'!H173-d3П!H172</f>
        <v>0</v>
      </c>
      <c r="I173" s="860">
        <f>'d3'!I173-d3П!I172</f>
        <v>0</v>
      </c>
      <c r="J173" s="860">
        <f>'d3'!J173-d3П!J172</f>
        <v>0</v>
      </c>
      <c r="K173" s="860">
        <f>'d3'!K173-d3П!K172</f>
        <v>0</v>
      </c>
      <c r="L173" s="860">
        <f>'d3'!L173-d3П!L172</f>
        <v>0</v>
      </c>
      <c r="M173" s="860">
        <f>'d3'!M173-d3П!M172</f>
        <v>0</v>
      </c>
      <c r="N173" s="860">
        <f>'d3'!N173-d3П!N172</f>
        <v>0</v>
      </c>
      <c r="O173" s="860">
        <f>'d3'!O173-d3П!O172</f>
        <v>0</v>
      </c>
      <c r="P173" s="860">
        <f>'d3'!P173-d3П!P172</f>
        <v>0</v>
      </c>
      <c r="R173" s="875"/>
    </row>
    <row r="174" spans="1:18" ht="47.25" thickTop="1" thickBot="1" x14ac:dyDescent="0.25">
      <c r="A174" s="470" t="s">
        <v>796</v>
      </c>
      <c r="B174" s="470" t="s">
        <v>737</v>
      </c>
      <c r="C174" s="470"/>
      <c r="D174" s="482" t="s">
        <v>735</v>
      </c>
      <c r="E174" s="860">
        <f>'d3'!E174-d3П!E173</f>
        <v>0</v>
      </c>
      <c r="F174" s="860">
        <f>'d3'!F174-d3П!F173</f>
        <v>0</v>
      </c>
      <c r="G174" s="860">
        <f>'d3'!G174-d3П!G173</f>
        <v>0</v>
      </c>
      <c r="H174" s="860">
        <f>'d3'!H174-d3П!H173</f>
        <v>0</v>
      </c>
      <c r="I174" s="860">
        <f>'d3'!I174-d3П!I173</f>
        <v>0</v>
      </c>
      <c r="J174" s="860">
        <f>'d3'!J174-d3П!J173</f>
        <v>0</v>
      </c>
      <c r="K174" s="860">
        <f>'d3'!K174-d3П!K173</f>
        <v>0</v>
      </c>
      <c r="L174" s="860">
        <f>'d3'!L174-d3П!L173</f>
        <v>0</v>
      </c>
      <c r="M174" s="860">
        <f>'d3'!M174-d3П!M173</f>
        <v>0</v>
      </c>
      <c r="N174" s="860">
        <f>'d3'!N174-d3П!N173</f>
        <v>0</v>
      </c>
      <c r="O174" s="860">
        <f>'d3'!O174-d3П!O173</f>
        <v>0</v>
      </c>
      <c r="P174" s="860">
        <f>'d3'!P174-d3П!P173</f>
        <v>0</v>
      </c>
      <c r="R174" s="875"/>
    </row>
    <row r="175" spans="1:18" ht="409.6" thickTop="1" thickBot="1" x14ac:dyDescent="0.7">
      <c r="A175" s="920" t="s">
        <v>439</v>
      </c>
      <c r="B175" s="920" t="s">
        <v>352</v>
      </c>
      <c r="C175" s="920" t="s">
        <v>178</v>
      </c>
      <c r="D175" s="484" t="s">
        <v>457</v>
      </c>
      <c r="E175" s="1080">
        <f>'d3'!E175-d3П!E174</f>
        <v>0</v>
      </c>
      <c r="F175" s="1080">
        <f>'d3'!F175-d3П!F174</f>
        <v>0</v>
      </c>
      <c r="G175" s="1080">
        <f>'d3'!G175-d3П!G174</f>
        <v>0</v>
      </c>
      <c r="H175" s="1080">
        <f>'d3'!H175-d3П!H174</f>
        <v>0</v>
      </c>
      <c r="I175" s="1080">
        <f>'d3'!I175-d3П!I174</f>
        <v>0</v>
      </c>
      <c r="J175" s="1080">
        <f>'d3'!J175-d3П!J174</f>
        <v>0</v>
      </c>
      <c r="K175" s="1080">
        <f>'d3'!K175-d3П!K174</f>
        <v>0</v>
      </c>
      <c r="L175" s="1080">
        <f>'d3'!L175-d3П!L174</f>
        <v>0</v>
      </c>
      <c r="M175" s="1080">
        <f>'d3'!M175-d3П!M174</f>
        <v>0</v>
      </c>
      <c r="N175" s="1080">
        <f>'d3'!N175-d3П!N174</f>
        <v>0</v>
      </c>
      <c r="O175" s="1080">
        <f>'d3'!O175-d3П!O174</f>
        <v>0</v>
      </c>
      <c r="P175" s="1080">
        <f>'d3'!P175-d3П!P174</f>
        <v>0</v>
      </c>
      <c r="R175" s="297"/>
    </row>
    <row r="176" spans="1:18" ht="184.5" thickTop="1" thickBot="1" x14ac:dyDescent="0.25">
      <c r="A176" s="933"/>
      <c r="B176" s="934"/>
      <c r="C176" s="933"/>
      <c r="D176" s="488" t="s">
        <v>458</v>
      </c>
      <c r="E176" s="1081"/>
      <c r="F176" s="1081"/>
      <c r="G176" s="1081"/>
      <c r="H176" s="1081"/>
      <c r="I176" s="1081"/>
      <c r="J176" s="1081"/>
      <c r="K176" s="1081"/>
      <c r="L176" s="1081"/>
      <c r="M176" s="1081"/>
      <c r="N176" s="1081"/>
      <c r="O176" s="1081"/>
      <c r="P176" s="1081"/>
      <c r="R176" s="297"/>
    </row>
    <row r="177" spans="1:18" ht="181.5" thickTop="1" thickBot="1" x14ac:dyDescent="0.25">
      <c r="A177" s="828">
        <v>1000000</v>
      </c>
      <c r="B177" s="828"/>
      <c r="C177" s="828"/>
      <c r="D177" s="829" t="s">
        <v>24</v>
      </c>
      <c r="E177" s="830">
        <f>E178</f>
        <v>0</v>
      </c>
      <c r="F177" s="831">
        <f t="shared" ref="F177:G177" si="22">F178</f>
        <v>0</v>
      </c>
      <c r="G177" s="831">
        <f t="shared" si="22"/>
        <v>0</v>
      </c>
      <c r="H177" s="831">
        <f>H178</f>
        <v>0</v>
      </c>
      <c r="I177" s="831">
        <f>I178</f>
        <v>0</v>
      </c>
      <c r="J177" s="830">
        <f>J178</f>
        <v>0</v>
      </c>
      <c r="K177" s="831">
        <f>K178</f>
        <v>0</v>
      </c>
      <c r="L177" s="831">
        <f>L178</f>
        <v>0</v>
      </c>
      <c r="M177" s="831">
        <f t="shared" ref="M177" si="23">M178</f>
        <v>0</v>
      </c>
      <c r="N177" s="831">
        <f>N178</f>
        <v>0</v>
      </c>
      <c r="O177" s="830">
        <f>O178</f>
        <v>0</v>
      </c>
      <c r="P177" s="831">
        <f t="shared" ref="P177" si="24">P178</f>
        <v>0</v>
      </c>
    </row>
    <row r="178" spans="1:18" ht="181.5" thickTop="1" thickBot="1" x14ac:dyDescent="0.25">
      <c r="A178" s="832">
        <v>1010000</v>
      </c>
      <c r="B178" s="832"/>
      <c r="C178" s="832"/>
      <c r="D178" s="833" t="s">
        <v>41</v>
      </c>
      <c r="E178" s="834">
        <f>E179+E181+E195+E190</f>
        <v>0</v>
      </c>
      <c r="F178" s="834">
        <f>F179+F181+F195+F190</f>
        <v>0</v>
      </c>
      <c r="G178" s="834">
        <f>G179+G181+G195+G190</f>
        <v>0</v>
      </c>
      <c r="H178" s="834">
        <f>H179+H181+H195+H190</f>
        <v>0</v>
      </c>
      <c r="I178" s="834">
        <f>I179+I181+I195+I190</f>
        <v>0</v>
      </c>
      <c r="J178" s="834">
        <f t="shared" ref="J178:J189" si="25">L178+O178</f>
        <v>0</v>
      </c>
      <c r="K178" s="834">
        <f>K179+K181+K195+K190</f>
        <v>0</v>
      </c>
      <c r="L178" s="834">
        <f>L179+L181+L195+L190</f>
        <v>0</v>
      </c>
      <c r="M178" s="834">
        <f>M179+M181+M195+M190</f>
        <v>0</v>
      </c>
      <c r="N178" s="834">
        <f>N179+N181+N195+N190</f>
        <v>0</v>
      </c>
      <c r="O178" s="834">
        <f>O179+O181+O195+O190</f>
        <v>0</v>
      </c>
      <c r="P178" s="834">
        <f t="shared" ref="P178:P189" si="26">E178+J178</f>
        <v>0</v>
      </c>
      <c r="Q178" s="628" t="b">
        <f>P178=P180+P182+P183+P184+P185+P188+P189+P197+P194+P193+P186</f>
        <v>1</v>
      </c>
      <c r="R178" s="875"/>
    </row>
    <row r="179" spans="1:18" ht="47.25" thickTop="1" thickBot="1" x14ac:dyDescent="0.25">
      <c r="A179" s="151" t="s">
        <v>798</v>
      </c>
      <c r="B179" s="151" t="s">
        <v>751</v>
      </c>
      <c r="C179" s="151"/>
      <c r="D179" s="151" t="s">
        <v>752</v>
      </c>
      <c r="E179" s="860">
        <f>'d3'!E179-d3П!E178</f>
        <v>0</v>
      </c>
      <c r="F179" s="860">
        <f>'d3'!F179-d3П!F178</f>
        <v>0</v>
      </c>
      <c r="G179" s="860">
        <f>'d3'!G179-d3П!G178</f>
        <v>0</v>
      </c>
      <c r="H179" s="860">
        <f>'d3'!H179-d3П!H178</f>
        <v>0</v>
      </c>
      <c r="I179" s="860">
        <f>'d3'!I179-d3П!I178</f>
        <v>0</v>
      </c>
      <c r="J179" s="860">
        <f>'d3'!J179-d3П!J178</f>
        <v>0</v>
      </c>
      <c r="K179" s="860">
        <f>'d3'!K179-d3П!K178</f>
        <v>0</v>
      </c>
      <c r="L179" s="860">
        <f>'d3'!L179-d3П!L178</f>
        <v>0</v>
      </c>
      <c r="M179" s="860">
        <f>'d3'!M179-d3П!M178</f>
        <v>0</v>
      </c>
      <c r="N179" s="860">
        <f>'d3'!N179-d3П!N178</f>
        <v>0</v>
      </c>
      <c r="O179" s="860">
        <f>'d3'!O179-d3П!O178</f>
        <v>0</v>
      </c>
      <c r="P179" s="860">
        <f>'d3'!P179-d3П!P178</f>
        <v>0</v>
      </c>
      <c r="Q179" s="628"/>
      <c r="R179" s="875"/>
    </row>
    <row r="180" spans="1:18" ht="93" thickTop="1" thickBot="1" x14ac:dyDescent="0.25">
      <c r="A180" s="864" t="s">
        <v>678</v>
      </c>
      <c r="B180" s="864" t="s">
        <v>679</v>
      </c>
      <c r="C180" s="864" t="s">
        <v>193</v>
      </c>
      <c r="D180" s="864" t="s">
        <v>1240</v>
      </c>
      <c r="E180" s="860">
        <f>'d3'!E180-d3П!E179</f>
        <v>0</v>
      </c>
      <c r="F180" s="860">
        <f>'d3'!F180-d3П!F179</f>
        <v>0</v>
      </c>
      <c r="G180" s="860">
        <f>'d3'!G180-d3П!G179</f>
        <v>0</v>
      </c>
      <c r="H180" s="860">
        <f>'d3'!H180-d3П!H179</f>
        <v>0</v>
      </c>
      <c r="I180" s="860">
        <f>'d3'!I180-d3П!I179</f>
        <v>0</v>
      </c>
      <c r="J180" s="860">
        <f>'d3'!J180-d3П!J179</f>
        <v>0</v>
      </c>
      <c r="K180" s="860">
        <f>'d3'!K180-d3П!K179</f>
        <v>0</v>
      </c>
      <c r="L180" s="860">
        <f>'d3'!L180-d3П!L179</f>
        <v>0</v>
      </c>
      <c r="M180" s="860">
        <f>'d3'!M180-d3П!M179</f>
        <v>0</v>
      </c>
      <c r="N180" s="860">
        <f>'d3'!N180-d3П!N179</f>
        <v>0</v>
      </c>
      <c r="O180" s="860">
        <f>'d3'!O180-d3П!O179</f>
        <v>0</v>
      </c>
      <c r="P180" s="860">
        <f>'d3'!P180-d3П!P179</f>
        <v>0</v>
      </c>
      <c r="R180" s="875"/>
    </row>
    <row r="181" spans="1:18" s="252" customFormat="1" ht="47.25" thickTop="1" thickBot="1" x14ac:dyDescent="0.25">
      <c r="A181" s="151" t="s">
        <v>799</v>
      </c>
      <c r="B181" s="151" t="s">
        <v>800</v>
      </c>
      <c r="C181" s="151"/>
      <c r="D181" s="151" t="s">
        <v>801</v>
      </c>
      <c r="E181" s="860">
        <f>'d3'!E181-d3П!E180</f>
        <v>0</v>
      </c>
      <c r="F181" s="860">
        <f>'d3'!F181-d3П!F180</f>
        <v>0</v>
      </c>
      <c r="G181" s="860">
        <f>'d3'!G181-d3П!G180</f>
        <v>0</v>
      </c>
      <c r="H181" s="860">
        <f>'d3'!H181-d3П!H180</f>
        <v>0</v>
      </c>
      <c r="I181" s="860">
        <f>'d3'!I181-d3П!I180</f>
        <v>0</v>
      </c>
      <c r="J181" s="860">
        <f>'d3'!J181-d3П!J180</f>
        <v>0</v>
      </c>
      <c r="K181" s="860">
        <f>'d3'!K181-d3П!K180</f>
        <v>0</v>
      </c>
      <c r="L181" s="860">
        <f>'d3'!L181-d3П!L180</f>
        <v>0</v>
      </c>
      <c r="M181" s="860">
        <f>'d3'!M181-d3П!M180</f>
        <v>0</v>
      </c>
      <c r="N181" s="860">
        <f>'d3'!N181-d3П!N180</f>
        <v>0</v>
      </c>
      <c r="O181" s="860">
        <f>'d3'!O181-d3П!O180</f>
        <v>0</v>
      </c>
      <c r="P181" s="860">
        <f>'d3'!P181-d3П!P180</f>
        <v>0</v>
      </c>
      <c r="Q181" s="616"/>
      <c r="R181" s="297"/>
    </row>
    <row r="182" spans="1:18" ht="47.25" thickTop="1" thickBot="1" x14ac:dyDescent="0.25">
      <c r="A182" s="864" t="s">
        <v>179</v>
      </c>
      <c r="B182" s="864" t="s">
        <v>180</v>
      </c>
      <c r="C182" s="864" t="s">
        <v>182</v>
      </c>
      <c r="D182" s="864" t="s">
        <v>183</v>
      </c>
      <c r="E182" s="860">
        <f>'d3'!E182-d3П!E181</f>
        <v>0</v>
      </c>
      <c r="F182" s="860">
        <f>'d3'!F182-d3П!F181</f>
        <v>0</v>
      </c>
      <c r="G182" s="860">
        <f>'d3'!G182-d3П!G181</f>
        <v>0</v>
      </c>
      <c r="H182" s="860">
        <f>'d3'!H182-d3П!H181</f>
        <v>0</v>
      </c>
      <c r="I182" s="860">
        <f>'d3'!I182-d3П!I181</f>
        <v>0</v>
      </c>
      <c r="J182" s="860">
        <f>'d3'!J182-d3П!J181</f>
        <v>0</v>
      </c>
      <c r="K182" s="860">
        <f>'d3'!K182-d3П!K181</f>
        <v>0</v>
      </c>
      <c r="L182" s="860">
        <f>'d3'!L182-d3П!L181</f>
        <v>0</v>
      </c>
      <c r="M182" s="860">
        <f>'d3'!M182-d3П!M181</f>
        <v>0</v>
      </c>
      <c r="N182" s="860">
        <f>'d3'!N182-d3П!N181</f>
        <v>0</v>
      </c>
      <c r="O182" s="860">
        <f>'d3'!O182-d3П!O181</f>
        <v>0</v>
      </c>
      <c r="P182" s="860">
        <f>'d3'!P182-d3П!P181</f>
        <v>0</v>
      </c>
      <c r="R182" s="297"/>
    </row>
    <row r="183" spans="1:18" ht="93" thickTop="1" thickBot="1" x14ac:dyDescent="0.25">
      <c r="A183" s="864" t="s">
        <v>184</v>
      </c>
      <c r="B183" s="864" t="s">
        <v>185</v>
      </c>
      <c r="C183" s="864" t="s">
        <v>186</v>
      </c>
      <c r="D183" s="864" t="s">
        <v>187</v>
      </c>
      <c r="E183" s="860">
        <f>'d3'!E183-d3П!E182</f>
        <v>0</v>
      </c>
      <c r="F183" s="860">
        <f>'d3'!F183-d3П!F182</f>
        <v>0</v>
      </c>
      <c r="G183" s="860">
        <f>'d3'!G183-d3П!G182</f>
        <v>0</v>
      </c>
      <c r="H183" s="860">
        <f>'d3'!H183-d3П!H182</f>
        <v>0</v>
      </c>
      <c r="I183" s="860">
        <f>'d3'!I183-d3П!I182</f>
        <v>0</v>
      </c>
      <c r="J183" s="860">
        <f>'d3'!J183-d3П!J182</f>
        <v>0</v>
      </c>
      <c r="K183" s="860">
        <f>'d3'!K183-d3П!K182</f>
        <v>0</v>
      </c>
      <c r="L183" s="860">
        <f>'d3'!L183-d3П!L182</f>
        <v>0</v>
      </c>
      <c r="M183" s="860">
        <f>'d3'!M183-d3П!M182</f>
        <v>0</v>
      </c>
      <c r="N183" s="860">
        <f>'d3'!N183-d3П!N182</f>
        <v>0</v>
      </c>
      <c r="O183" s="860">
        <f>'d3'!O183-d3П!O182</f>
        <v>0</v>
      </c>
      <c r="P183" s="860">
        <f>'d3'!P183-d3П!P182</f>
        <v>0</v>
      </c>
      <c r="R183" s="875"/>
    </row>
    <row r="184" spans="1:18" ht="93" thickTop="1" thickBot="1" x14ac:dyDescent="0.25">
      <c r="A184" s="864" t="s">
        <v>188</v>
      </c>
      <c r="B184" s="864" t="s">
        <v>189</v>
      </c>
      <c r="C184" s="864" t="s">
        <v>186</v>
      </c>
      <c r="D184" s="864" t="s">
        <v>481</v>
      </c>
      <c r="E184" s="860">
        <f>'d3'!E184-d3П!E183</f>
        <v>0</v>
      </c>
      <c r="F184" s="860">
        <f>'d3'!F184-d3П!F183</f>
        <v>0</v>
      </c>
      <c r="G184" s="860">
        <f>'d3'!G184-d3П!G183</f>
        <v>0</v>
      </c>
      <c r="H184" s="860">
        <f>'d3'!H184-d3П!H183</f>
        <v>0</v>
      </c>
      <c r="I184" s="860">
        <f>'d3'!I184-d3П!I183</f>
        <v>0</v>
      </c>
      <c r="J184" s="860">
        <f>'d3'!J184-d3П!J183</f>
        <v>0</v>
      </c>
      <c r="K184" s="860">
        <f>'d3'!K184-d3П!K183</f>
        <v>0</v>
      </c>
      <c r="L184" s="860">
        <f>'d3'!L184-d3П!L183</f>
        <v>0</v>
      </c>
      <c r="M184" s="860">
        <f>'d3'!M184-d3П!M183</f>
        <v>0</v>
      </c>
      <c r="N184" s="860">
        <f>'d3'!N184-d3П!N183</f>
        <v>0</v>
      </c>
      <c r="O184" s="860">
        <f>'d3'!O184-d3П!O183</f>
        <v>0</v>
      </c>
      <c r="P184" s="860">
        <f>'d3'!P184-d3П!P183</f>
        <v>0</v>
      </c>
      <c r="R184" s="875"/>
    </row>
    <row r="185" spans="1:18" ht="184.5" thickTop="1" thickBot="1" x14ac:dyDescent="0.25">
      <c r="A185" s="864" t="s">
        <v>190</v>
      </c>
      <c r="B185" s="864" t="s">
        <v>181</v>
      </c>
      <c r="C185" s="864" t="s">
        <v>191</v>
      </c>
      <c r="D185" s="864" t="s">
        <v>192</v>
      </c>
      <c r="E185" s="860">
        <f>'d3'!E185-d3П!E184</f>
        <v>0</v>
      </c>
      <c r="F185" s="860">
        <f>'d3'!F185-d3П!F184</f>
        <v>0</v>
      </c>
      <c r="G185" s="860">
        <f>'d3'!G185-d3П!G184</f>
        <v>0</v>
      </c>
      <c r="H185" s="860">
        <f>'d3'!H185-d3П!H184</f>
        <v>0</v>
      </c>
      <c r="I185" s="860">
        <f>'d3'!I185-d3П!I184</f>
        <v>0</v>
      </c>
      <c r="J185" s="860">
        <f>'d3'!J185-d3П!J184</f>
        <v>0</v>
      </c>
      <c r="K185" s="860">
        <f>'d3'!K185-d3П!K184</f>
        <v>0</v>
      </c>
      <c r="L185" s="860">
        <f>'d3'!L185-d3П!L184</f>
        <v>0</v>
      </c>
      <c r="M185" s="860">
        <f>'d3'!M185-d3П!M184</f>
        <v>0</v>
      </c>
      <c r="N185" s="860">
        <f>'d3'!N185-d3П!N184</f>
        <v>0</v>
      </c>
      <c r="O185" s="860">
        <f>'d3'!O185-d3П!O184</f>
        <v>0</v>
      </c>
      <c r="P185" s="860">
        <f>'d3'!P185-d3П!P184</f>
        <v>0</v>
      </c>
      <c r="R185" s="875"/>
    </row>
    <row r="186" spans="1:18" ht="93" thickTop="1" thickBot="1" x14ac:dyDescent="0.25">
      <c r="A186" s="864" t="s">
        <v>1365</v>
      </c>
      <c r="B186" s="864" t="s">
        <v>1366</v>
      </c>
      <c r="C186" s="864" t="s">
        <v>1368</v>
      </c>
      <c r="D186" s="864" t="s">
        <v>1367</v>
      </c>
      <c r="E186" s="860">
        <f>'d3'!E186-d3П!E185</f>
        <v>0</v>
      </c>
      <c r="F186" s="860">
        <f>'d3'!F186-d3П!F185</f>
        <v>0</v>
      </c>
      <c r="G186" s="860">
        <f>'d3'!G186-d3П!G185</f>
        <v>0</v>
      </c>
      <c r="H186" s="860">
        <f>'d3'!H186-d3П!H185</f>
        <v>0</v>
      </c>
      <c r="I186" s="860">
        <f>'d3'!I186-d3П!I185</f>
        <v>0</v>
      </c>
      <c r="J186" s="860">
        <f>'d3'!J186-d3П!J185</f>
        <v>0</v>
      </c>
      <c r="K186" s="860">
        <f>'d3'!K186-d3П!K185</f>
        <v>0</v>
      </c>
      <c r="L186" s="860">
        <f>'d3'!L186-d3П!L185</f>
        <v>0</v>
      </c>
      <c r="M186" s="860">
        <f>'d3'!M186-d3П!M185</f>
        <v>0</v>
      </c>
      <c r="N186" s="860">
        <f>'d3'!N186-d3П!N185</f>
        <v>0</v>
      </c>
      <c r="O186" s="860">
        <f>'d3'!O186-d3П!O185</f>
        <v>0</v>
      </c>
      <c r="P186" s="860">
        <f>'d3'!P186-d3П!P185</f>
        <v>0</v>
      </c>
      <c r="R186" s="875"/>
    </row>
    <row r="187" spans="1:18" ht="93" thickTop="1" thickBot="1" x14ac:dyDescent="0.25">
      <c r="A187" s="489" t="s">
        <v>802</v>
      </c>
      <c r="B187" s="489" t="s">
        <v>803</v>
      </c>
      <c r="C187" s="489"/>
      <c r="D187" s="489" t="s">
        <v>804</v>
      </c>
      <c r="E187" s="860">
        <f>'d3'!E187-d3П!E186</f>
        <v>0</v>
      </c>
      <c r="F187" s="860">
        <f>'d3'!F187-d3П!F186</f>
        <v>0</v>
      </c>
      <c r="G187" s="860">
        <f>'d3'!G187-d3П!G186</f>
        <v>0</v>
      </c>
      <c r="H187" s="860">
        <f>'d3'!H187-d3П!H186</f>
        <v>0</v>
      </c>
      <c r="I187" s="860">
        <f>'d3'!I187-d3П!I186</f>
        <v>0</v>
      </c>
      <c r="J187" s="860">
        <f>'d3'!J187-d3П!J186</f>
        <v>0</v>
      </c>
      <c r="K187" s="860">
        <f>'d3'!K187-d3П!K186</f>
        <v>0</v>
      </c>
      <c r="L187" s="860">
        <f>'d3'!L187-d3П!L186</f>
        <v>0</v>
      </c>
      <c r="M187" s="860">
        <f>'d3'!M187-d3П!M186</f>
        <v>0</v>
      </c>
      <c r="N187" s="860">
        <f>'d3'!N187-d3П!N186</f>
        <v>0</v>
      </c>
      <c r="O187" s="860">
        <f>'d3'!O187-d3П!O186</f>
        <v>0</v>
      </c>
      <c r="P187" s="860">
        <f>'d3'!P187-d3П!P186</f>
        <v>0</v>
      </c>
      <c r="R187" s="875"/>
    </row>
    <row r="188" spans="1:18" ht="138.75" thickTop="1" thickBot="1" x14ac:dyDescent="0.25">
      <c r="A188" s="864" t="s">
        <v>347</v>
      </c>
      <c r="B188" s="864" t="s">
        <v>348</v>
      </c>
      <c r="C188" s="864" t="s">
        <v>194</v>
      </c>
      <c r="D188" s="864" t="s">
        <v>482</v>
      </c>
      <c r="E188" s="860">
        <f>'d3'!E188-d3П!E187</f>
        <v>0</v>
      </c>
      <c r="F188" s="860">
        <f>'d3'!F188-d3П!F187</f>
        <v>0</v>
      </c>
      <c r="G188" s="860">
        <f>'d3'!G188-d3П!G187</f>
        <v>0</v>
      </c>
      <c r="H188" s="860">
        <f>'d3'!H188-d3П!H187</f>
        <v>0</v>
      </c>
      <c r="I188" s="860">
        <f>'d3'!I188-d3П!I187</f>
        <v>0</v>
      </c>
      <c r="J188" s="860">
        <f>'d3'!J188-d3П!J187</f>
        <v>0</v>
      </c>
      <c r="K188" s="860">
        <f>'d3'!K188-d3П!K187</f>
        <v>0</v>
      </c>
      <c r="L188" s="860">
        <f>'d3'!L188-d3П!L187</f>
        <v>0</v>
      </c>
      <c r="M188" s="860">
        <f>'d3'!M188-d3П!M187</f>
        <v>0</v>
      </c>
      <c r="N188" s="860">
        <f>'d3'!N188-d3П!N187</f>
        <v>0</v>
      </c>
      <c r="O188" s="860">
        <f>'d3'!O188-d3П!O187</f>
        <v>0</v>
      </c>
      <c r="P188" s="860">
        <f>'d3'!P188-d3П!P187</f>
        <v>0</v>
      </c>
      <c r="R188" s="875"/>
    </row>
    <row r="189" spans="1:18" ht="93" thickTop="1" thickBot="1" x14ac:dyDescent="0.25">
      <c r="A189" s="864" t="s">
        <v>349</v>
      </c>
      <c r="B189" s="864" t="s">
        <v>350</v>
      </c>
      <c r="C189" s="864" t="s">
        <v>194</v>
      </c>
      <c r="D189" s="864" t="s">
        <v>483</v>
      </c>
      <c r="E189" s="860">
        <f>'d3'!E189-d3П!E188</f>
        <v>0</v>
      </c>
      <c r="F189" s="860">
        <f>'d3'!F189-d3П!F188</f>
        <v>0</v>
      </c>
      <c r="G189" s="860">
        <f>'d3'!G189-d3П!G188</f>
        <v>0</v>
      </c>
      <c r="H189" s="860">
        <f>'d3'!H189-d3П!H188</f>
        <v>0</v>
      </c>
      <c r="I189" s="860">
        <f>'d3'!I189-d3П!I188</f>
        <v>0</v>
      </c>
      <c r="J189" s="860">
        <f>'d3'!J189-d3П!J188</f>
        <v>0</v>
      </c>
      <c r="K189" s="860">
        <f>'d3'!K189-d3П!K188</f>
        <v>0</v>
      </c>
      <c r="L189" s="860">
        <f>'d3'!L189-d3П!L188</f>
        <v>0</v>
      </c>
      <c r="M189" s="860">
        <f>'d3'!M189-d3П!M188</f>
        <v>0</v>
      </c>
      <c r="N189" s="860">
        <f>'d3'!N189-d3П!N188</f>
        <v>0</v>
      </c>
      <c r="O189" s="860">
        <f>'d3'!O189-d3П!O188</f>
        <v>0</v>
      </c>
      <c r="P189" s="860">
        <f>'d3'!P189-d3П!P188</f>
        <v>0</v>
      </c>
      <c r="R189" s="297"/>
    </row>
    <row r="190" spans="1:18" ht="47.25" thickTop="1" thickBot="1" x14ac:dyDescent="0.25">
      <c r="A190" s="151" t="s">
        <v>973</v>
      </c>
      <c r="B190" s="466" t="s">
        <v>792</v>
      </c>
      <c r="C190" s="466"/>
      <c r="D190" s="466" t="s">
        <v>793</v>
      </c>
      <c r="E190" s="860">
        <f>'d3'!E190-d3П!E189</f>
        <v>0</v>
      </c>
      <c r="F190" s="860">
        <f>'d3'!F190-d3П!F189</f>
        <v>0</v>
      </c>
      <c r="G190" s="860">
        <f>'d3'!G190-d3П!G189</f>
        <v>0</v>
      </c>
      <c r="H190" s="860">
        <f>'d3'!H190-d3П!H189</f>
        <v>0</v>
      </c>
      <c r="I190" s="860">
        <f>'d3'!I190-d3П!I189</f>
        <v>0</v>
      </c>
      <c r="J190" s="860">
        <f>'d3'!J190-d3П!J189</f>
        <v>0</v>
      </c>
      <c r="K190" s="860">
        <f>'d3'!K190-d3П!K189</f>
        <v>0</v>
      </c>
      <c r="L190" s="860">
        <f>'d3'!L190-d3П!L189</f>
        <v>0</v>
      </c>
      <c r="M190" s="860">
        <f>'d3'!M190-d3П!M189</f>
        <v>0</v>
      </c>
      <c r="N190" s="860">
        <f>'d3'!N190-d3П!N189</f>
        <v>0</v>
      </c>
      <c r="O190" s="860">
        <f>'d3'!O190-d3П!O189</f>
        <v>0</v>
      </c>
      <c r="P190" s="860">
        <f>'d3'!P190-d3П!P189</f>
        <v>0</v>
      </c>
      <c r="R190" s="297"/>
    </row>
    <row r="191" spans="1:18" ht="136.5" thickTop="1" thickBot="1" x14ac:dyDescent="0.25">
      <c r="A191" s="467" t="s">
        <v>974</v>
      </c>
      <c r="B191" s="467" t="s">
        <v>734</v>
      </c>
      <c r="C191" s="467"/>
      <c r="D191" s="467" t="s">
        <v>732</v>
      </c>
      <c r="E191" s="860">
        <f>'d3'!E191-d3П!E190</f>
        <v>0</v>
      </c>
      <c r="F191" s="860">
        <f>'d3'!F191-d3П!F190</f>
        <v>0</v>
      </c>
      <c r="G191" s="860">
        <f>'d3'!G191-d3П!G190</f>
        <v>0</v>
      </c>
      <c r="H191" s="860">
        <f>'d3'!H191-d3П!H190</f>
        <v>0</v>
      </c>
      <c r="I191" s="860">
        <f>'d3'!I191-d3П!I190</f>
        <v>0</v>
      </c>
      <c r="J191" s="860">
        <f>'d3'!J191-d3П!J190</f>
        <v>0</v>
      </c>
      <c r="K191" s="860">
        <f>'d3'!K191-d3П!K190</f>
        <v>0</v>
      </c>
      <c r="L191" s="860">
        <f>'d3'!L191-d3П!L190</f>
        <v>0</v>
      </c>
      <c r="M191" s="860">
        <f>'d3'!M191-d3П!M190</f>
        <v>0</v>
      </c>
      <c r="N191" s="860">
        <f>'d3'!N191-d3П!N190</f>
        <v>0</v>
      </c>
      <c r="O191" s="860">
        <f>'d3'!O191-d3П!O190</f>
        <v>0</v>
      </c>
      <c r="P191" s="860">
        <f>'d3'!P191-d3П!P190</f>
        <v>0</v>
      </c>
      <c r="R191" s="297"/>
    </row>
    <row r="192" spans="1:18" ht="93" thickTop="1" thickBot="1" x14ac:dyDescent="0.25">
      <c r="A192" s="489" t="s">
        <v>1115</v>
      </c>
      <c r="B192" s="489" t="s">
        <v>1116</v>
      </c>
      <c r="C192" s="489"/>
      <c r="D192" s="489" t="s">
        <v>1114</v>
      </c>
      <c r="E192" s="860">
        <f>'d3'!E192-d3П!E191</f>
        <v>0</v>
      </c>
      <c r="F192" s="860">
        <f>'d3'!F192-d3П!F191</f>
        <v>0</v>
      </c>
      <c r="G192" s="860">
        <f>'d3'!G192-d3П!G191</f>
        <v>0</v>
      </c>
      <c r="H192" s="860">
        <f>'d3'!H192-d3П!H191</f>
        <v>0</v>
      </c>
      <c r="I192" s="860">
        <f>'d3'!I192-d3П!I191</f>
        <v>0</v>
      </c>
      <c r="J192" s="860">
        <f>'d3'!J192-d3П!J191</f>
        <v>0</v>
      </c>
      <c r="K192" s="860">
        <f>'d3'!K192-d3П!K191</f>
        <v>0</v>
      </c>
      <c r="L192" s="860">
        <f>'d3'!L192-d3П!L191</f>
        <v>0</v>
      </c>
      <c r="M192" s="860">
        <f>'d3'!M192-d3П!M191</f>
        <v>0</v>
      </c>
      <c r="N192" s="860">
        <f>'d3'!N192-d3П!N191</f>
        <v>0</v>
      </c>
      <c r="O192" s="860">
        <f>'d3'!O192-d3П!O191</f>
        <v>0</v>
      </c>
      <c r="P192" s="860">
        <f>'d3'!P192-d3П!P191</f>
        <v>0</v>
      </c>
      <c r="R192" s="297"/>
    </row>
    <row r="193" spans="1:18" ht="153" customHeight="1" thickTop="1" thickBot="1" x14ac:dyDescent="0.25">
      <c r="A193" s="864" t="s">
        <v>1118</v>
      </c>
      <c r="B193" s="864" t="s">
        <v>1119</v>
      </c>
      <c r="C193" s="864" t="s">
        <v>225</v>
      </c>
      <c r="D193" s="864" t="s">
        <v>1117</v>
      </c>
      <c r="E193" s="860">
        <f>'d3'!E193-d3П!E192</f>
        <v>0</v>
      </c>
      <c r="F193" s="860">
        <f>'d3'!F193-d3П!F192</f>
        <v>0</v>
      </c>
      <c r="G193" s="860">
        <f>'d3'!G193-d3П!G192</f>
        <v>0</v>
      </c>
      <c r="H193" s="860">
        <f>'d3'!H193-d3П!H192</f>
        <v>0</v>
      </c>
      <c r="I193" s="860">
        <f>'d3'!I193-d3П!I192</f>
        <v>0</v>
      </c>
      <c r="J193" s="860">
        <f>'d3'!J193-d3П!J192</f>
        <v>0</v>
      </c>
      <c r="K193" s="860">
        <f>'d3'!K193-d3П!K192</f>
        <v>0</v>
      </c>
      <c r="L193" s="860">
        <f>'d3'!L193-d3П!L192</f>
        <v>0</v>
      </c>
      <c r="M193" s="860">
        <f>'d3'!M193-d3П!M192</f>
        <v>0</v>
      </c>
      <c r="N193" s="860">
        <f>'d3'!N193-d3П!N192</f>
        <v>0</v>
      </c>
      <c r="O193" s="860">
        <f>'d3'!O193-d3П!O192</f>
        <v>0</v>
      </c>
      <c r="P193" s="860">
        <f>'d3'!P193-d3П!P192</f>
        <v>0</v>
      </c>
      <c r="R193" s="297"/>
    </row>
    <row r="194" spans="1:18" ht="93" thickTop="1" thickBot="1" x14ac:dyDescent="0.25">
      <c r="A194" s="864" t="s">
        <v>975</v>
      </c>
      <c r="B194" s="864" t="s">
        <v>209</v>
      </c>
      <c r="C194" s="864" t="s">
        <v>178</v>
      </c>
      <c r="D194" s="864" t="s">
        <v>36</v>
      </c>
      <c r="E194" s="860">
        <f>'d3'!E194-d3П!E193</f>
        <v>0</v>
      </c>
      <c r="F194" s="860">
        <f>'d3'!F194-d3П!F193</f>
        <v>0</v>
      </c>
      <c r="G194" s="860">
        <f>'d3'!G194-d3П!G193</f>
        <v>0</v>
      </c>
      <c r="H194" s="860">
        <f>'d3'!H194-d3П!H193</f>
        <v>0</v>
      </c>
      <c r="I194" s="860">
        <f>'d3'!I194-d3П!I193</f>
        <v>0</v>
      </c>
      <c r="J194" s="860">
        <f>'d3'!J194-d3П!J193</f>
        <v>0</v>
      </c>
      <c r="K194" s="860">
        <f>'d3'!K194-d3П!K193</f>
        <v>0</v>
      </c>
      <c r="L194" s="860">
        <f>'d3'!L194-d3П!L193</f>
        <v>0</v>
      </c>
      <c r="M194" s="860">
        <f>'d3'!M194-d3П!M193</f>
        <v>0</v>
      </c>
      <c r="N194" s="860">
        <f>'d3'!N194-d3П!N193</f>
        <v>0</v>
      </c>
      <c r="O194" s="860">
        <f>'d3'!O194-d3П!O193</f>
        <v>0</v>
      </c>
      <c r="P194" s="860">
        <f>'d3'!P194-d3П!P193</f>
        <v>0</v>
      </c>
      <c r="R194" s="875"/>
    </row>
    <row r="195" spans="1:18" ht="47.25" hidden="1" thickTop="1" thickBot="1" x14ac:dyDescent="0.25">
      <c r="A195" s="250" t="s">
        <v>805</v>
      </c>
      <c r="B195" s="250" t="s">
        <v>745</v>
      </c>
      <c r="C195" s="250"/>
      <c r="D195" s="250" t="s">
        <v>746</v>
      </c>
      <c r="E195" s="874">
        <f>E196</f>
        <v>0</v>
      </c>
      <c r="F195" s="874">
        <f t="shared" ref="F195:P196" si="27">F196</f>
        <v>0</v>
      </c>
      <c r="G195" s="874">
        <f t="shared" si="27"/>
        <v>0</v>
      </c>
      <c r="H195" s="874">
        <f t="shared" si="27"/>
        <v>0</v>
      </c>
      <c r="I195" s="874">
        <f t="shared" si="27"/>
        <v>0</v>
      </c>
      <c r="J195" s="874">
        <f t="shared" si="27"/>
        <v>0</v>
      </c>
      <c r="K195" s="874">
        <f t="shared" si="27"/>
        <v>0</v>
      </c>
      <c r="L195" s="874">
        <f t="shared" si="27"/>
        <v>0</v>
      </c>
      <c r="M195" s="874">
        <f t="shared" si="27"/>
        <v>0</v>
      </c>
      <c r="N195" s="874">
        <f t="shared" si="27"/>
        <v>0</v>
      </c>
      <c r="O195" s="874">
        <f t="shared" si="27"/>
        <v>0</v>
      </c>
      <c r="P195" s="874">
        <f t="shared" si="27"/>
        <v>0</v>
      </c>
      <c r="R195" s="297"/>
    </row>
    <row r="196" spans="1:18" ht="271.5" hidden="1" thickTop="1" thickBot="1" x14ac:dyDescent="0.25">
      <c r="A196" s="253" t="s">
        <v>806</v>
      </c>
      <c r="B196" s="253" t="s">
        <v>748</v>
      </c>
      <c r="C196" s="253"/>
      <c r="D196" s="253" t="s">
        <v>749</v>
      </c>
      <c r="E196" s="270">
        <f>E197</f>
        <v>0</v>
      </c>
      <c r="F196" s="270">
        <f t="shared" si="27"/>
        <v>0</v>
      </c>
      <c r="G196" s="270">
        <f t="shared" si="27"/>
        <v>0</v>
      </c>
      <c r="H196" s="270">
        <f t="shared" si="27"/>
        <v>0</v>
      </c>
      <c r="I196" s="270">
        <f t="shared" si="27"/>
        <v>0</v>
      </c>
      <c r="J196" s="270">
        <f t="shared" si="27"/>
        <v>0</v>
      </c>
      <c r="K196" s="270">
        <f t="shared" si="27"/>
        <v>0</v>
      </c>
      <c r="L196" s="270">
        <f t="shared" si="27"/>
        <v>0</v>
      </c>
      <c r="M196" s="270">
        <f t="shared" si="27"/>
        <v>0</v>
      </c>
      <c r="N196" s="270">
        <f t="shared" si="27"/>
        <v>0</v>
      </c>
      <c r="O196" s="270">
        <f t="shared" si="27"/>
        <v>0</v>
      </c>
      <c r="P196" s="270">
        <f t="shared" si="27"/>
        <v>0</v>
      </c>
      <c r="R196" s="297"/>
    </row>
    <row r="197" spans="1:18" ht="93" hidden="1" thickTop="1" thickBot="1" x14ac:dyDescent="0.25">
      <c r="A197" s="873" t="s">
        <v>618</v>
      </c>
      <c r="B197" s="873" t="s">
        <v>377</v>
      </c>
      <c r="C197" s="873" t="s">
        <v>45</v>
      </c>
      <c r="D197" s="873" t="s">
        <v>378</v>
      </c>
      <c r="E197" s="874">
        <f t="shared" ref="E197" si="28">F197</f>
        <v>0</v>
      </c>
      <c r="F197" s="278">
        <v>0</v>
      </c>
      <c r="G197" s="278"/>
      <c r="H197" s="278"/>
      <c r="I197" s="278"/>
      <c r="J197" s="874">
        <f>L197+O197</f>
        <v>0</v>
      </c>
      <c r="K197" s="278"/>
      <c r="L197" s="278"/>
      <c r="M197" s="278"/>
      <c r="N197" s="278"/>
      <c r="O197" s="871">
        <f>K197</f>
        <v>0</v>
      </c>
      <c r="P197" s="874">
        <f>E197+J197</f>
        <v>0</v>
      </c>
      <c r="R197" s="297"/>
    </row>
    <row r="198" spans="1:18" ht="136.5" thickTop="1" thickBot="1" x14ac:dyDescent="0.25">
      <c r="A198" s="828" t="s">
        <v>22</v>
      </c>
      <c r="B198" s="828"/>
      <c r="C198" s="828"/>
      <c r="D198" s="829" t="s">
        <v>23</v>
      </c>
      <c r="E198" s="830">
        <f>E199</f>
        <v>-6040461</v>
      </c>
      <c r="F198" s="831">
        <f t="shared" ref="F198:G198" si="29">F199</f>
        <v>-6040461</v>
      </c>
      <c r="G198" s="831">
        <f t="shared" si="29"/>
        <v>-4559615</v>
      </c>
      <c r="H198" s="831">
        <f>H199</f>
        <v>-137400</v>
      </c>
      <c r="I198" s="831">
        <f t="shared" ref="I198" si="30">I199</f>
        <v>0</v>
      </c>
      <c r="J198" s="830">
        <f>J199</f>
        <v>0</v>
      </c>
      <c r="K198" s="831">
        <f>K199</f>
        <v>0</v>
      </c>
      <c r="L198" s="831">
        <f>L199</f>
        <v>0</v>
      </c>
      <c r="M198" s="831">
        <f t="shared" ref="M198" si="31">M199</f>
        <v>0</v>
      </c>
      <c r="N198" s="831">
        <f>N199</f>
        <v>0</v>
      </c>
      <c r="O198" s="830">
        <f>O199</f>
        <v>0</v>
      </c>
      <c r="P198" s="831">
        <f t="shared" ref="P198" si="32">P199</f>
        <v>-6040461</v>
      </c>
    </row>
    <row r="199" spans="1:18" ht="178.5" customHeight="1" thickTop="1" thickBot="1" x14ac:dyDescent="0.25">
      <c r="A199" s="832" t="s">
        <v>21</v>
      </c>
      <c r="B199" s="832"/>
      <c r="C199" s="832"/>
      <c r="D199" s="833" t="s">
        <v>37</v>
      </c>
      <c r="E199" s="834">
        <f>E200+E206+E219+E222+E228</f>
        <v>-6040461</v>
      </c>
      <c r="F199" s="834">
        <f t="shared" ref="F199:I199" si="33">F200+F206+F219+F222+F228</f>
        <v>-6040461</v>
      </c>
      <c r="G199" s="834">
        <f t="shared" si="33"/>
        <v>-4559615</v>
      </c>
      <c r="H199" s="834">
        <f t="shared" si="33"/>
        <v>-137400</v>
      </c>
      <c r="I199" s="834">
        <f t="shared" si="33"/>
        <v>0</v>
      </c>
      <c r="J199" s="834">
        <f>L199+O199</f>
        <v>0</v>
      </c>
      <c r="K199" s="834">
        <f t="shared" ref="K199:O199" si="34">K200+K206+K219+K222+K228</f>
        <v>0</v>
      </c>
      <c r="L199" s="834">
        <f t="shared" si="34"/>
        <v>0</v>
      </c>
      <c r="M199" s="834">
        <f t="shared" si="34"/>
        <v>0</v>
      </c>
      <c r="N199" s="834">
        <f t="shared" si="34"/>
        <v>0</v>
      </c>
      <c r="O199" s="834">
        <f t="shared" si="34"/>
        <v>0</v>
      </c>
      <c r="P199" s="834">
        <f>E199+J199</f>
        <v>-6040461</v>
      </c>
      <c r="Q199" s="628" t="b">
        <f>P199=P202+P204+P205+P208+P209+P211+P213+P214+P216+P217+P218+P221+P227+P225+P230</f>
        <v>1</v>
      </c>
      <c r="R199" s="875"/>
    </row>
    <row r="200" spans="1:18" ht="91.5" thickTop="1" thickBot="1" x14ac:dyDescent="0.25">
      <c r="A200" s="151" t="s">
        <v>807</v>
      </c>
      <c r="B200" s="151" t="s">
        <v>754</v>
      </c>
      <c r="C200" s="151"/>
      <c r="D200" s="151" t="s">
        <v>755</v>
      </c>
      <c r="E200" s="860">
        <f>'d3'!E200-d3П!E199</f>
        <v>-6040461</v>
      </c>
      <c r="F200" s="860">
        <f>'d3'!F200-d3П!F199</f>
        <v>-6040461</v>
      </c>
      <c r="G200" s="860">
        <f>'d3'!G200-d3П!G199</f>
        <v>-4559615</v>
      </c>
      <c r="H200" s="860">
        <f>'d3'!H200-d3П!H199</f>
        <v>-137400</v>
      </c>
      <c r="I200" s="860">
        <f>'d3'!I200-d3П!I199</f>
        <v>0</v>
      </c>
      <c r="J200" s="860">
        <f>'d3'!J200-d3П!J199</f>
        <v>0</v>
      </c>
      <c r="K200" s="860">
        <f>'d3'!K200-d3П!K199</f>
        <v>0</v>
      </c>
      <c r="L200" s="860">
        <f>'d3'!L200-d3П!L199</f>
        <v>0</v>
      </c>
      <c r="M200" s="860">
        <f>'d3'!M200-d3П!M199</f>
        <v>0</v>
      </c>
      <c r="N200" s="860">
        <f>'d3'!N200-d3П!N199</f>
        <v>0</v>
      </c>
      <c r="O200" s="860">
        <f>'d3'!O200-d3П!O199</f>
        <v>0</v>
      </c>
      <c r="P200" s="860">
        <f>'d3'!P200-d3П!P199</f>
        <v>-6040461</v>
      </c>
      <c r="Q200" s="628"/>
      <c r="R200" s="875"/>
    </row>
    <row r="201" spans="1:18" s="272" customFormat="1" ht="138.75" hidden="1" thickTop="1" thickBot="1" x14ac:dyDescent="0.25">
      <c r="A201" s="489" t="s">
        <v>808</v>
      </c>
      <c r="B201" s="489" t="s">
        <v>809</v>
      </c>
      <c r="C201" s="489"/>
      <c r="D201" s="489" t="s">
        <v>810</v>
      </c>
      <c r="E201" s="860">
        <f>'d3'!E201-d3П!E200</f>
        <v>-6040461</v>
      </c>
      <c r="F201" s="860">
        <f>'d3'!F201-d3П!F200</f>
        <v>-6040461</v>
      </c>
      <c r="G201" s="860">
        <f>'d3'!G201-d3П!G200</f>
        <v>-4559615</v>
      </c>
      <c r="H201" s="860">
        <f>'d3'!H201-d3П!H200</f>
        <v>-137400</v>
      </c>
      <c r="I201" s="860">
        <f>'d3'!I201-d3П!I200</f>
        <v>0</v>
      </c>
      <c r="J201" s="860">
        <f>'d3'!J201-d3П!J200</f>
        <v>0</v>
      </c>
      <c r="K201" s="860">
        <f>'d3'!K201-d3П!K200</f>
        <v>0</v>
      </c>
      <c r="L201" s="860">
        <f>'d3'!L201-d3П!L200</f>
        <v>0</v>
      </c>
      <c r="M201" s="860">
        <f>'d3'!M201-d3П!M200</f>
        <v>0</v>
      </c>
      <c r="N201" s="860">
        <f>'d3'!N201-d3П!N200</f>
        <v>0</v>
      </c>
      <c r="O201" s="860">
        <f>'d3'!O201-d3П!O200</f>
        <v>0</v>
      </c>
      <c r="P201" s="860">
        <f>'d3'!P201-d3П!P200</f>
        <v>-6040461</v>
      </c>
      <c r="Q201" s="630"/>
      <c r="R201" s="302"/>
    </row>
    <row r="202" spans="1:18" ht="138.75" thickTop="1" thickBot="1" x14ac:dyDescent="0.25">
      <c r="A202" s="864" t="s">
        <v>195</v>
      </c>
      <c r="B202" s="864" t="s">
        <v>196</v>
      </c>
      <c r="C202" s="864" t="s">
        <v>197</v>
      </c>
      <c r="D202" s="864" t="s">
        <v>680</v>
      </c>
      <c r="E202" s="860">
        <f>'d3'!E202-d3П!E201</f>
        <v>-6040461</v>
      </c>
      <c r="F202" s="860">
        <f>'d3'!F202-d3П!F201</f>
        <v>-6040461</v>
      </c>
      <c r="G202" s="860">
        <f>'d3'!G202-d3П!G201</f>
        <v>-4559615</v>
      </c>
      <c r="H202" s="860">
        <f>'d3'!H202-d3П!H201</f>
        <v>-137400</v>
      </c>
      <c r="I202" s="860">
        <f>'d3'!I202-d3П!I201</f>
        <v>0</v>
      </c>
      <c r="J202" s="860">
        <f>'d3'!J202-d3П!J201</f>
        <v>0</v>
      </c>
      <c r="K202" s="860">
        <f>'d3'!K202-d3П!K201</f>
        <v>0</v>
      </c>
      <c r="L202" s="860">
        <f>'d3'!L202-d3П!L201</f>
        <v>0</v>
      </c>
      <c r="M202" s="860">
        <f>'d3'!M202-d3П!M201</f>
        <v>0</v>
      </c>
      <c r="N202" s="860">
        <f>'d3'!N202-d3П!N201</f>
        <v>0</v>
      </c>
      <c r="O202" s="860">
        <f>'d3'!O202-d3П!O201</f>
        <v>0</v>
      </c>
      <c r="P202" s="860">
        <f>'d3'!P202-d3П!P201</f>
        <v>-6040461</v>
      </c>
      <c r="Q202" s="631"/>
      <c r="R202" s="297"/>
    </row>
    <row r="203" spans="1:18" s="272" customFormat="1" ht="93" thickTop="1" thickBot="1" x14ac:dyDescent="0.25">
      <c r="A203" s="489" t="s">
        <v>811</v>
      </c>
      <c r="B203" s="489" t="s">
        <v>812</v>
      </c>
      <c r="C203" s="489"/>
      <c r="D203" s="489" t="s">
        <v>813</v>
      </c>
      <c r="E203" s="860">
        <f>'d3'!E203-d3П!E202</f>
        <v>0</v>
      </c>
      <c r="F203" s="860">
        <f>'d3'!F203-d3П!F202</f>
        <v>0</v>
      </c>
      <c r="G203" s="860">
        <f>'d3'!G203-d3П!G202</f>
        <v>0</v>
      </c>
      <c r="H203" s="860">
        <f>'d3'!H203-d3П!H202</f>
        <v>0</v>
      </c>
      <c r="I203" s="860">
        <f>'d3'!I203-d3П!I202</f>
        <v>0</v>
      </c>
      <c r="J203" s="860">
        <f>'d3'!J203-d3П!J202</f>
        <v>0</v>
      </c>
      <c r="K203" s="860">
        <f>'d3'!K203-d3П!K202</f>
        <v>0</v>
      </c>
      <c r="L203" s="860">
        <f>'d3'!L203-d3П!L202</f>
        <v>0</v>
      </c>
      <c r="M203" s="860">
        <f>'d3'!M203-d3П!M202</f>
        <v>0</v>
      </c>
      <c r="N203" s="860">
        <f>'d3'!N203-d3П!N202</f>
        <v>0</v>
      </c>
      <c r="O203" s="860">
        <f>'d3'!O203-d3П!O202</f>
        <v>0</v>
      </c>
      <c r="P203" s="860">
        <f>'d3'!P203-d3П!P202</f>
        <v>0</v>
      </c>
      <c r="Q203" s="632"/>
      <c r="R203" s="298"/>
    </row>
    <row r="204" spans="1:18" ht="93" thickTop="1" thickBot="1" x14ac:dyDescent="0.25">
      <c r="A204" s="864" t="s">
        <v>201</v>
      </c>
      <c r="B204" s="864" t="s">
        <v>202</v>
      </c>
      <c r="C204" s="864" t="s">
        <v>197</v>
      </c>
      <c r="D204" s="864" t="s">
        <v>10</v>
      </c>
      <c r="E204" s="860">
        <f>'d3'!E204-d3П!E203</f>
        <v>0</v>
      </c>
      <c r="F204" s="860">
        <f>'d3'!F204-d3П!F203</f>
        <v>0</v>
      </c>
      <c r="G204" s="860">
        <f>'d3'!G204-d3П!G203</f>
        <v>0</v>
      </c>
      <c r="H204" s="860">
        <f>'d3'!H204-d3П!H203</f>
        <v>0</v>
      </c>
      <c r="I204" s="860">
        <f>'d3'!I204-d3П!I203</f>
        <v>0</v>
      </c>
      <c r="J204" s="860">
        <f>'d3'!J204-d3П!J203</f>
        <v>0</v>
      </c>
      <c r="K204" s="860">
        <f>'d3'!K204-d3П!K203</f>
        <v>0</v>
      </c>
      <c r="L204" s="860">
        <f>'d3'!L204-d3П!L203</f>
        <v>0</v>
      </c>
      <c r="M204" s="860">
        <f>'d3'!M204-d3П!M203</f>
        <v>0</v>
      </c>
      <c r="N204" s="860">
        <f>'d3'!N204-d3П!N203</f>
        <v>0</v>
      </c>
      <c r="O204" s="860">
        <f>'d3'!O204-d3П!O203</f>
        <v>0</v>
      </c>
      <c r="P204" s="860">
        <f>'d3'!P204-d3П!P203</f>
        <v>0</v>
      </c>
      <c r="R204" s="875"/>
    </row>
    <row r="205" spans="1:18" ht="93" thickTop="1" thickBot="1" x14ac:dyDescent="0.25">
      <c r="A205" s="864" t="s">
        <v>365</v>
      </c>
      <c r="B205" s="864" t="s">
        <v>366</v>
      </c>
      <c r="C205" s="864" t="s">
        <v>197</v>
      </c>
      <c r="D205" s="864" t="s">
        <v>367</v>
      </c>
      <c r="E205" s="860">
        <f>'d3'!E205-d3П!E204</f>
        <v>0</v>
      </c>
      <c r="F205" s="860">
        <f>'d3'!F205-d3П!F204</f>
        <v>0</v>
      </c>
      <c r="G205" s="860">
        <f>'d3'!G205-d3П!G204</f>
        <v>0</v>
      </c>
      <c r="H205" s="860">
        <f>'d3'!H205-d3П!H204</f>
        <v>0</v>
      </c>
      <c r="I205" s="860">
        <f>'d3'!I205-d3П!I204</f>
        <v>0</v>
      </c>
      <c r="J205" s="860">
        <f>'d3'!J205-d3П!J204</f>
        <v>0</v>
      </c>
      <c r="K205" s="860">
        <f>'d3'!K205-d3П!K204</f>
        <v>0</v>
      </c>
      <c r="L205" s="860">
        <f>'d3'!L205-d3П!L204</f>
        <v>0</v>
      </c>
      <c r="M205" s="860">
        <f>'d3'!M205-d3П!M204</f>
        <v>0</v>
      </c>
      <c r="N205" s="860">
        <f>'d3'!N205-d3П!N204</f>
        <v>0</v>
      </c>
      <c r="O205" s="860">
        <f>'d3'!O205-d3П!O204</f>
        <v>0</v>
      </c>
      <c r="P205" s="860">
        <f>'d3'!P205-d3П!P204</f>
        <v>0</v>
      </c>
      <c r="R205" s="875"/>
    </row>
    <row r="206" spans="1:18" ht="47.25" thickTop="1" thickBot="1" x14ac:dyDescent="0.25">
      <c r="A206" s="151" t="s">
        <v>814</v>
      </c>
      <c r="B206" s="151" t="s">
        <v>815</v>
      </c>
      <c r="C206" s="864"/>
      <c r="D206" s="151" t="s">
        <v>816</v>
      </c>
      <c r="E206" s="860">
        <f>'d3'!E206-d3П!E205</f>
        <v>0</v>
      </c>
      <c r="F206" s="860">
        <f>'d3'!F206-d3П!F205</f>
        <v>0</v>
      </c>
      <c r="G206" s="860">
        <f>'d3'!G206-d3П!G205</f>
        <v>0</v>
      </c>
      <c r="H206" s="860">
        <f>'d3'!H206-d3П!H205</f>
        <v>0</v>
      </c>
      <c r="I206" s="860">
        <f>'d3'!I206-d3П!I205</f>
        <v>0</v>
      </c>
      <c r="J206" s="860">
        <f>'d3'!J206-d3П!J205</f>
        <v>0</v>
      </c>
      <c r="K206" s="860">
        <f>'d3'!K206-d3П!K205</f>
        <v>0</v>
      </c>
      <c r="L206" s="860">
        <f>'d3'!L206-d3П!L205</f>
        <v>0</v>
      </c>
      <c r="M206" s="860">
        <f>'d3'!M206-d3П!M205</f>
        <v>0</v>
      </c>
      <c r="N206" s="860">
        <f>'d3'!N206-d3П!N205</f>
        <v>0</v>
      </c>
      <c r="O206" s="860">
        <f>'d3'!O206-d3П!O205</f>
        <v>0</v>
      </c>
      <c r="P206" s="860">
        <f>'d3'!P206-d3П!P205</f>
        <v>0</v>
      </c>
      <c r="R206" s="875"/>
    </row>
    <row r="207" spans="1:18" s="272" customFormat="1" ht="93" thickTop="1" thickBot="1" x14ac:dyDescent="0.25">
      <c r="A207" s="489" t="s">
        <v>817</v>
      </c>
      <c r="B207" s="489" t="s">
        <v>818</v>
      </c>
      <c r="C207" s="489"/>
      <c r="D207" s="489" t="s">
        <v>819</v>
      </c>
      <c r="E207" s="860">
        <f>'d3'!E207-d3П!E206</f>
        <v>0</v>
      </c>
      <c r="F207" s="860">
        <f>'d3'!F207-d3П!F206</f>
        <v>0</v>
      </c>
      <c r="G207" s="860">
        <f>'d3'!G207-d3П!G206</f>
        <v>0</v>
      </c>
      <c r="H207" s="860">
        <f>'d3'!H207-d3П!H206</f>
        <v>0</v>
      </c>
      <c r="I207" s="860">
        <f>'d3'!I207-d3П!I206</f>
        <v>0</v>
      </c>
      <c r="J207" s="860">
        <f>'d3'!J207-d3П!J206</f>
        <v>0</v>
      </c>
      <c r="K207" s="860">
        <f>'d3'!K207-d3П!K206</f>
        <v>0</v>
      </c>
      <c r="L207" s="860">
        <f>'d3'!L207-d3П!L206</f>
        <v>0</v>
      </c>
      <c r="M207" s="860">
        <f>'d3'!M207-d3П!M206</f>
        <v>0</v>
      </c>
      <c r="N207" s="860">
        <f>'d3'!N207-d3П!N206</f>
        <v>0</v>
      </c>
      <c r="O207" s="860">
        <f>'d3'!O207-d3П!O206</f>
        <v>0</v>
      </c>
      <c r="P207" s="860">
        <f>'d3'!P207-d3П!P206</f>
        <v>0</v>
      </c>
      <c r="Q207" s="624"/>
      <c r="R207" s="302"/>
    </row>
    <row r="208" spans="1:18" ht="138.75" thickTop="1" thickBot="1" x14ac:dyDescent="0.25">
      <c r="A208" s="864" t="s">
        <v>46</v>
      </c>
      <c r="B208" s="864" t="s">
        <v>198</v>
      </c>
      <c r="C208" s="864" t="s">
        <v>207</v>
      </c>
      <c r="D208" s="864" t="s">
        <v>47</v>
      </c>
      <c r="E208" s="860">
        <f>'d3'!E208-d3П!E207</f>
        <v>0</v>
      </c>
      <c r="F208" s="860">
        <f>'d3'!F208-d3П!F207</f>
        <v>0</v>
      </c>
      <c r="G208" s="860">
        <f>'d3'!G208-d3П!G207</f>
        <v>0</v>
      </c>
      <c r="H208" s="860">
        <f>'d3'!H208-d3П!H207</f>
        <v>0</v>
      </c>
      <c r="I208" s="860">
        <f>'d3'!I208-d3П!I207</f>
        <v>0</v>
      </c>
      <c r="J208" s="860">
        <f>'d3'!J208-d3П!J207</f>
        <v>0</v>
      </c>
      <c r="K208" s="860">
        <f>'d3'!K208-d3П!K207</f>
        <v>0</v>
      </c>
      <c r="L208" s="860">
        <f>'d3'!L208-d3П!L207</f>
        <v>0</v>
      </c>
      <c r="M208" s="860">
        <f>'d3'!M208-d3П!M207</f>
        <v>0</v>
      </c>
      <c r="N208" s="860">
        <f>'d3'!N208-d3П!N207</f>
        <v>0</v>
      </c>
      <c r="O208" s="860">
        <f>'d3'!O208-d3П!O207</f>
        <v>0</v>
      </c>
      <c r="P208" s="860">
        <f>'d3'!P208-d3П!P207</f>
        <v>0</v>
      </c>
      <c r="R208" s="875"/>
    </row>
    <row r="209" spans="1:18" ht="138.75" thickTop="1" thickBot="1" x14ac:dyDescent="0.25">
      <c r="A209" s="864" t="s">
        <v>48</v>
      </c>
      <c r="B209" s="864" t="s">
        <v>199</v>
      </c>
      <c r="C209" s="864" t="s">
        <v>207</v>
      </c>
      <c r="D209" s="864" t="s">
        <v>4</v>
      </c>
      <c r="E209" s="860">
        <f>'d3'!E209-d3П!E208</f>
        <v>0</v>
      </c>
      <c r="F209" s="860">
        <f>'d3'!F209-d3П!F208</f>
        <v>0</v>
      </c>
      <c r="G209" s="860">
        <f>'d3'!G209-d3П!G208</f>
        <v>0</v>
      </c>
      <c r="H209" s="860">
        <f>'d3'!H209-d3П!H208</f>
        <v>0</v>
      </c>
      <c r="I209" s="860">
        <f>'d3'!I209-d3П!I208</f>
        <v>0</v>
      </c>
      <c r="J209" s="860">
        <f>'d3'!J209-d3П!J208</f>
        <v>0</v>
      </c>
      <c r="K209" s="860">
        <f>'d3'!K209-d3П!K208</f>
        <v>0</v>
      </c>
      <c r="L209" s="860">
        <f>'d3'!L209-d3П!L208</f>
        <v>0</v>
      </c>
      <c r="M209" s="860">
        <f>'d3'!M209-d3П!M208</f>
        <v>0</v>
      </c>
      <c r="N209" s="860">
        <f>'d3'!N209-d3П!N208</f>
        <v>0</v>
      </c>
      <c r="O209" s="860">
        <f>'d3'!O209-d3П!O208</f>
        <v>0</v>
      </c>
      <c r="P209" s="860">
        <f>'d3'!P209-d3П!P208</f>
        <v>0</v>
      </c>
      <c r="R209" s="875"/>
    </row>
    <row r="210" spans="1:18" s="272" customFormat="1" ht="184.5" thickTop="1" thickBot="1" x14ac:dyDescent="0.25">
      <c r="A210" s="489" t="s">
        <v>820</v>
      </c>
      <c r="B210" s="489" t="s">
        <v>821</v>
      </c>
      <c r="C210" s="489"/>
      <c r="D210" s="489" t="s">
        <v>822</v>
      </c>
      <c r="E210" s="860">
        <f>'d3'!E210-d3П!E209</f>
        <v>0</v>
      </c>
      <c r="F210" s="860">
        <f>'d3'!F210-d3П!F209</f>
        <v>0</v>
      </c>
      <c r="G210" s="860">
        <f>'d3'!G210-d3П!G209</f>
        <v>0</v>
      </c>
      <c r="H210" s="860">
        <f>'d3'!H210-d3П!H209</f>
        <v>0</v>
      </c>
      <c r="I210" s="860">
        <f>'d3'!I210-d3П!I209</f>
        <v>0</v>
      </c>
      <c r="J210" s="860">
        <f>'d3'!J210-d3П!J209</f>
        <v>0</v>
      </c>
      <c r="K210" s="860">
        <f>'d3'!K210-d3П!K209</f>
        <v>0</v>
      </c>
      <c r="L210" s="860">
        <f>'d3'!L210-d3П!L209</f>
        <v>0</v>
      </c>
      <c r="M210" s="860">
        <f>'d3'!M210-d3П!M209</f>
        <v>0</v>
      </c>
      <c r="N210" s="860">
        <f>'d3'!N210-d3П!N209</f>
        <v>0</v>
      </c>
      <c r="O210" s="860">
        <f>'d3'!O210-d3П!O209</f>
        <v>0</v>
      </c>
      <c r="P210" s="860">
        <f>'d3'!P210-d3П!P209</f>
        <v>0</v>
      </c>
      <c r="Q210" s="624"/>
      <c r="R210" s="306"/>
    </row>
    <row r="211" spans="1:18" ht="184.5" thickTop="1" thickBot="1" x14ac:dyDescent="0.25">
      <c r="A211" s="864" t="s">
        <v>49</v>
      </c>
      <c r="B211" s="864" t="s">
        <v>200</v>
      </c>
      <c r="C211" s="864" t="s">
        <v>207</v>
      </c>
      <c r="D211" s="864" t="s">
        <v>363</v>
      </c>
      <c r="E211" s="860">
        <f>'d3'!E211-d3П!E210</f>
        <v>0</v>
      </c>
      <c r="F211" s="860">
        <f>'d3'!F211-d3П!F210</f>
        <v>0</v>
      </c>
      <c r="G211" s="860">
        <f>'d3'!G211-d3П!G210</f>
        <v>0</v>
      </c>
      <c r="H211" s="860">
        <f>'d3'!H211-d3П!H210</f>
        <v>0</v>
      </c>
      <c r="I211" s="860">
        <f>'d3'!I211-d3П!I210</f>
        <v>0</v>
      </c>
      <c r="J211" s="860">
        <f>'d3'!J211-d3П!J210</f>
        <v>0</v>
      </c>
      <c r="K211" s="860">
        <f>'d3'!K211-d3П!K210</f>
        <v>0</v>
      </c>
      <c r="L211" s="860">
        <f>'d3'!L211-d3П!L210</f>
        <v>0</v>
      </c>
      <c r="M211" s="860">
        <f>'d3'!M211-d3П!M210</f>
        <v>0</v>
      </c>
      <c r="N211" s="860">
        <f>'d3'!N211-d3П!N210</f>
        <v>0</v>
      </c>
      <c r="O211" s="860">
        <f>'d3'!O211-d3П!O210</f>
        <v>0</v>
      </c>
      <c r="P211" s="860">
        <f>'d3'!P211-d3П!P210</f>
        <v>0</v>
      </c>
      <c r="R211" s="875"/>
    </row>
    <row r="212" spans="1:18" ht="93" thickTop="1" thickBot="1" x14ac:dyDescent="0.25">
      <c r="A212" s="489" t="s">
        <v>823</v>
      </c>
      <c r="B212" s="489" t="s">
        <v>824</v>
      </c>
      <c r="C212" s="489"/>
      <c r="D212" s="489" t="s">
        <v>825</v>
      </c>
      <c r="E212" s="860">
        <f>'d3'!E212-d3П!E211</f>
        <v>0</v>
      </c>
      <c r="F212" s="860">
        <f>'d3'!F212-d3П!F211</f>
        <v>0</v>
      </c>
      <c r="G212" s="860">
        <f>'d3'!G212-d3П!G211</f>
        <v>0</v>
      </c>
      <c r="H212" s="860">
        <f>'d3'!H212-d3П!H211</f>
        <v>0</v>
      </c>
      <c r="I212" s="860">
        <f>'d3'!I212-d3П!I211</f>
        <v>0</v>
      </c>
      <c r="J212" s="860">
        <f>'d3'!J212-d3П!J211</f>
        <v>0</v>
      </c>
      <c r="K212" s="860">
        <f>'d3'!K212-d3П!K211</f>
        <v>0</v>
      </c>
      <c r="L212" s="860">
        <f>'d3'!L212-d3П!L211</f>
        <v>0</v>
      </c>
      <c r="M212" s="860">
        <f>'d3'!M212-d3П!M211</f>
        <v>0</v>
      </c>
      <c r="N212" s="860">
        <f>'d3'!N212-d3П!N211</f>
        <v>0</v>
      </c>
      <c r="O212" s="860">
        <f>'d3'!O212-d3П!O211</f>
        <v>0</v>
      </c>
      <c r="P212" s="860">
        <f>'d3'!P212-d3П!P211</f>
        <v>0</v>
      </c>
      <c r="R212" s="875"/>
    </row>
    <row r="213" spans="1:18" ht="184.5" thickTop="1" thickBot="1" x14ac:dyDescent="0.25">
      <c r="A213" s="864" t="s">
        <v>28</v>
      </c>
      <c r="B213" s="864" t="s">
        <v>204</v>
      </c>
      <c r="C213" s="864" t="s">
        <v>207</v>
      </c>
      <c r="D213" s="864" t="s">
        <v>50</v>
      </c>
      <c r="E213" s="860">
        <f>'d3'!E213-d3П!E212</f>
        <v>0</v>
      </c>
      <c r="F213" s="860">
        <f>'d3'!F213-d3П!F212</f>
        <v>0</v>
      </c>
      <c r="G213" s="860">
        <f>'d3'!G213-d3П!G212</f>
        <v>0</v>
      </c>
      <c r="H213" s="860">
        <f>'d3'!H213-d3П!H212</f>
        <v>0</v>
      </c>
      <c r="I213" s="860">
        <f>'d3'!I213-d3П!I212</f>
        <v>0</v>
      </c>
      <c r="J213" s="860">
        <f>'d3'!J213-d3П!J212</f>
        <v>0</v>
      </c>
      <c r="K213" s="860">
        <f>'d3'!K213-d3П!K212</f>
        <v>0</v>
      </c>
      <c r="L213" s="860">
        <f>'d3'!L213-d3П!L212</f>
        <v>0</v>
      </c>
      <c r="M213" s="860">
        <f>'d3'!M213-d3П!M212</f>
        <v>0</v>
      </c>
      <c r="N213" s="860">
        <f>'d3'!N213-d3П!N212</f>
        <v>0</v>
      </c>
      <c r="O213" s="860">
        <f>'d3'!O213-d3П!O212</f>
        <v>0</v>
      </c>
      <c r="P213" s="860">
        <f>'d3'!P213-d3П!P212</f>
        <v>0</v>
      </c>
      <c r="R213" s="875"/>
    </row>
    <row r="214" spans="1:18" ht="184.5" thickTop="1" thickBot="1" x14ac:dyDescent="0.25">
      <c r="A214" s="864" t="s">
        <v>29</v>
      </c>
      <c r="B214" s="864" t="s">
        <v>205</v>
      </c>
      <c r="C214" s="864" t="s">
        <v>207</v>
      </c>
      <c r="D214" s="864" t="s">
        <v>51</v>
      </c>
      <c r="E214" s="860">
        <f>'d3'!E214-d3П!E213</f>
        <v>0</v>
      </c>
      <c r="F214" s="860">
        <f>'d3'!F214-d3П!F213</f>
        <v>0</v>
      </c>
      <c r="G214" s="860">
        <f>'d3'!G214-d3П!G213</f>
        <v>0</v>
      </c>
      <c r="H214" s="860">
        <f>'d3'!H214-d3П!H213</f>
        <v>0</v>
      </c>
      <c r="I214" s="860">
        <f>'d3'!I214-d3П!I213</f>
        <v>0</v>
      </c>
      <c r="J214" s="860">
        <f>'d3'!J214-d3П!J213</f>
        <v>0</v>
      </c>
      <c r="K214" s="860">
        <f>'d3'!K214-d3П!K213</f>
        <v>0</v>
      </c>
      <c r="L214" s="860">
        <f>'d3'!L214-d3П!L213</f>
        <v>0</v>
      </c>
      <c r="M214" s="860">
        <f>'d3'!M214-d3П!M213</f>
        <v>0</v>
      </c>
      <c r="N214" s="860">
        <f>'d3'!N214-d3П!N213</f>
        <v>0</v>
      </c>
      <c r="O214" s="860">
        <f>'d3'!O214-d3П!O213</f>
        <v>0</v>
      </c>
      <c r="P214" s="860">
        <f>'d3'!P214-d3П!P213</f>
        <v>0</v>
      </c>
      <c r="R214" s="875"/>
    </row>
    <row r="215" spans="1:18" ht="93" thickTop="1" thickBot="1" x14ac:dyDescent="0.25">
      <c r="A215" s="578" t="s">
        <v>826</v>
      </c>
      <c r="B215" s="489" t="s">
        <v>827</v>
      </c>
      <c r="C215" s="489"/>
      <c r="D215" s="489" t="s">
        <v>828</v>
      </c>
      <c r="E215" s="860">
        <f>'d3'!E215-d3П!E214</f>
        <v>0</v>
      </c>
      <c r="F215" s="860">
        <f>'d3'!F215-d3П!F214</f>
        <v>0</v>
      </c>
      <c r="G215" s="860">
        <f>'d3'!G215-d3П!G214</f>
        <v>0</v>
      </c>
      <c r="H215" s="860">
        <f>'d3'!H215-d3П!H214</f>
        <v>0</v>
      </c>
      <c r="I215" s="860">
        <f>'d3'!I215-d3П!I214</f>
        <v>0</v>
      </c>
      <c r="J215" s="860">
        <f>'d3'!J215-d3П!J214</f>
        <v>0</v>
      </c>
      <c r="K215" s="860">
        <f>'d3'!K215-d3П!K214</f>
        <v>0</v>
      </c>
      <c r="L215" s="860">
        <f>'d3'!L215-d3П!L214</f>
        <v>0</v>
      </c>
      <c r="M215" s="860">
        <f>'d3'!M215-d3П!M214</f>
        <v>0</v>
      </c>
      <c r="N215" s="860">
        <f>'d3'!N215-d3П!N214</f>
        <v>0</v>
      </c>
      <c r="O215" s="860">
        <f>'d3'!O215-d3П!O214</f>
        <v>0</v>
      </c>
      <c r="P215" s="860">
        <f>'d3'!P215-d3П!P214</f>
        <v>0</v>
      </c>
      <c r="R215" s="875"/>
    </row>
    <row r="216" spans="1:18" ht="276" thickTop="1" thickBot="1" x14ac:dyDescent="0.25">
      <c r="A216" s="579" t="s">
        <v>30</v>
      </c>
      <c r="B216" s="579" t="s">
        <v>206</v>
      </c>
      <c r="C216" s="579" t="s">
        <v>207</v>
      </c>
      <c r="D216" s="864" t="s">
        <v>31</v>
      </c>
      <c r="E216" s="860">
        <f>'d3'!E216-d3П!E215</f>
        <v>0</v>
      </c>
      <c r="F216" s="860">
        <f>'d3'!F216-d3П!F215</f>
        <v>0</v>
      </c>
      <c r="G216" s="860">
        <f>'d3'!G216-d3П!G215</f>
        <v>0</v>
      </c>
      <c r="H216" s="860">
        <f>'d3'!H216-d3П!H215</f>
        <v>0</v>
      </c>
      <c r="I216" s="860">
        <f>'d3'!I216-d3П!I215</f>
        <v>0</v>
      </c>
      <c r="J216" s="860">
        <f>'d3'!J216-d3П!J215</f>
        <v>0</v>
      </c>
      <c r="K216" s="860">
        <f>'d3'!K216-d3П!K215</f>
        <v>0</v>
      </c>
      <c r="L216" s="860">
        <f>'d3'!L216-d3П!L215</f>
        <v>0</v>
      </c>
      <c r="M216" s="860">
        <f>'d3'!M216-d3П!M215</f>
        <v>0</v>
      </c>
      <c r="N216" s="860">
        <f>'d3'!N216-d3П!N215</f>
        <v>0</v>
      </c>
      <c r="O216" s="860">
        <f>'d3'!O216-d3П!O215</f>
        <v>0</v>
      </c>
      <c r="P216" s="860">
        <f>'d3'!P216-d3П!P215</f>
        <v>0</v>
      </c>
      <c r="R216" s="875"/>
    </row>
    <row r="217" spans="1:18" ht="184.5" thickTop="1" thickBot="1" x14ac:dyDescent="0.25">
      <c r="A217" s="579" t="s">
        <v>530</v>
      </c>
      <c r="B217" s="579" t="s">
        <v>528</v>
      </c>
      <c r="C217" s="579" t="s">
        <v>207</v>
      </c>
      <c r="D217" s="864" t="s">
        <v>529</v>
      </c>
      <c r="E217" s="860">
        <f>'d3'!E217-d3П!E216</f>
        <v>0</v>
      </c>
      <c r="F217" s="860">
        <f>'d3'!F217-d3П!F216</f>
        <v>0</v>
      </c>
      <c r="G217" s="860">
        <f>'d3'!G217-d3П!G216</f>
        <v>0</v>
      </c>
      <c r="H217" s="860">
        <f>'d3'!H217-d3П!H216</f>
        <v>0</v>
      </c>
      <c r="I217" s="860">
        <f>'d3'!I217-d3П!I216</f>
        <v>0</v>
      </c>
      <c r="J217" s="860">
        <f>'d3'!J217-d3П!J216</f>
        <v>0</v>
      </c>
      <c r="K217" s="860">
        <f>'d3'!K217-d3П!K216</f>
        <v>0</v>
      </c>
      <c r="L217" s="860">
        <f>'d3'!L217-d3П!L216</f>
        <v>0</v>
      </c>
      <c r="M217" s="860">
        <f>'d3'!M217-d3П!M216</f>
        <v>0</v>
      </c>
      <c r="N217" s="860">
        <f>'d3'!N217-d3П!N216</f>
        <v>0</v>
      </c>
      <c r="O217" s="860">
        <f>'d3'!O217-d3П!O216</f>
        <v>0</v>
      </c>
      <c r="P217" s="860">
        <f>'d3'!P217-d3П!P216</f>
        <v>0</v>
      </c>
      <c r="R217" s="875"/>
    </row>
    <row r="218" spans="1:18" ht="93" thickTop="1" thickBot="1" x14ac:dyDescent="0.25">
      <c r="A218" s="579" t="s">
        <v>32</v>
      </c>
      <c r="B218" s="579" t="s">
        <v>208</v>
      </c>
      <c r="C218" s="579" t="s">
        <v>207</v>
      </c>
      <c r="D218" s="864" t="s">
        <v>33</v>
      </c>
      <c r="E218" s="860">
        <f>'d3'!E218-d3П!E217</f>
        <v>0</v>
      </c>
      <c r="F218" s="860">
        <f>'d3'!F218-d3П!F217</f>
        <v>0</v>
      </c>
      <c r="G218" s="860">
        <f>'d3'!G218-d3П!G217</f>
        <v>0</v>
      </c>
      <c r="H218" s="860">
        <f>'d3'!H218-d3П!H217</f>
        <v>0</v>
      </c>
      <c r="I218" s="860">
        <f>'d3'!I218-d3П!I217</f>
        <v>0</v>
      </c>
      <c r="J218" s="860">
        <f>'d3'!J218-d3П!J217</f>
        <v>0</v>
      </c>
      <c r="K218" s="860">
        <f>'d3'!K218-d3П!K217</f>
        <v>0</v>
      </c>
      <c r="L218" s="860">
        <f>'d3'!L218-d3П!L217</f>
        <v>0</v>
      </c>
      <c r="M218" s="860">
        <f>'d3'!M218-d3П!M217</f>
        <v>0</v>
      </c>
      <c r="N218" s="860">
        <f>'d3'!N218-d3П!N217</f>
        <v>0</v>
      </c>
      <c r="O218" s="860">
        <f>'d3'!O218-d3П!O217</f>
        <v>0</v>
      </c>
      <c r="P218" s="860">
        <f>'d3'!P218-d3П!P217</f>
        <v>0</v>
      </c>
      <c r="R218" s="875"/>
    </row>
    <row r="219" spans="1:18" ht="91.5" thickTop="1" thickBot="1" x14ac:dyDescent="0.25">
      <c r="A219" s="151" t="s">
        <v>829</v>
      </c>
      <c r="B219" s="151" t="s">
        <v>786</v>
      </c>
      <c r="C219" s="151"/>
      <c r="D219" s="560" t="s">
        <v>787</v>
      </c>
      <c r="E219" s="860">
        <f>'d3'!E219-d3П!E218</f>
        <v>0</v>
      </c>
      <c r="F219" s="860">
        <f>'d3'!F219-d3П!F218</f>
        <v>0</v>
      </c>
      <c r="G219" s="860">
        <f>'d3'!G219-d3П!G218</f>
        <v>0</v>
      </c>
      <c r="H219" s="860">
        <f>'d3'!H219-d3П!H218</f>
        <v>0</v>
      </c>
      <c r="I219" s="860">
        <f>'d3'!I219-d3П!I218</f>
        <v>0</v>
      </c>
      <c r="J219" s="860">
        <f>'d3'!J219-d3П!J218</f>
        <v>0</v>
      </c>
      <c r="K219" s="860">
        <f>'d3'!K219-d3П!K218</f>
        <v>0</v>
      </c>
      <c r="L219" s="860">
        <f>'d3'!L219-d3П!L218</f>
        <v>0</v>
      </c>
      <c r="M219" s="860">
        <f>'d3'!M219-d3П!M218</f>
        <v>0</v>
      </c>
      <c r="N219" s="860">
        <f>'d3'!N219-d3П!N218</f>
        <v>0</v>
      </c>
      <c r="O219" s="860">
        <f>'d3'!O219-d3П!O218</f>
        <v>0</v>
      </c>
      <c r="P219" s="860">
        <f>'d3'!P219-d3П!P218</f>
        <v>0</v>
      </c>
      <c r="R219" s="875"/>
    </row>
    <row r="220" spans="1:18" ht="93" thickTop="1" thickBot="1" x14ac:dyDescent="0.25">
      <c r="A220" s="578" t="s">
        <v>830</v>
      </c>
      <c r="B220" s="578" t="s">
        <v>789</v>
      </c>
      <c r="C220" s="578"/>
      <c r="D220" s="489" t="s">
        <v>790</v>
      </c>
      <c r="E220" s="860">
        <f>'d3'!E220-d3П!E219</f>
        <v>0</v>
      </c>
      <c r="F220" s="860">
        <f>'d3'!F220-d3П!F219</f>
        <v>0</v>
      </c>
      <c r="G220" s="860">
        <f>'d3'!G220-d3П!G219</f>
        <v>0</v>
      </c>
      <c r="H220" s="860">
        <f>'d3'!H220-d3П!H219</f>
        <v>0</v>
      </c>
      <c r="I220" s="860">
        <f>'d3'!I220-d3П!I219</f>
        <v>0</v>
      </c>
      <c r="J220" s="860">
        <f>'d3'!J220-d3П!J219</f>
        <v>0</v>
      </c>
      <c r="K220" s="860">
        <f>'d3'!K220-d3П!K219</f>
        <v>0</v>
      </c>
      <c r="L220" s="860">
        <f>'d3'!L220-d3П!L219</f>
        <v>0</v>
      </c>
      <c r="M220" s="860">
        <f>'d3'!M220-d3П!M219</f>
        <v>0</v>
      </c>
      <c r="N220" s="860">
        <f>'d3'!N220-d3П!N219</f>
        <v>0</v>
      </c>
      <c r="O220" s="860">
        <f>'d3'!O220-d3П!O219</f>
        <v>0</v>
      </c>
      <c r="P220" s="860">
        <f>'d3'!P220-d3П!P219</f>
        <v>0</v>
      </c>
      <c r="R220" s="875"/>
    </row>
    <row r="221" spans="1:18" ht="276" thickTop="1" thickBot="1" x14ac:dyDescent="0.25">
      <c r="A221" s="579" t="s">
        <v>356</v>
      </c>
      <c r="B221" s="579" t="s">
        <v>355</v>
      </c>
      <c r="C221" s="579" t="s">
        <v>354</v>
      </c>
      <c r="D221" s="864" t="s">
        <v>681</v>
      </c>
      <c r="E221" s="860">
        <f>'d3'!E221-d3П!E220</f>
        <v>0</v>
      </c>
      <c r="F221" s="860">
        <f>'d3'!F221-d3П!F220</f>
        <v>0</v>
      </c>
      <c r="G221" s="860">
        <f>'d3'!G221-d3П!G220</f>
        <v>0</v>
      </c>
      <c r="H221" s="860">
        <f>'d3'!H221-d3П!H220</f>
        <v>0</v>
      </c>
      <c r="I221" s="860">
        <f>'d3'!I221-d3П!I220</f>
        <v>0</v>
      </c>
      <c r="J221" s="860">
        <f>'d3'!J221-d3П!J220</f>
        <v>0</v>
      </c>
      <c r="K221" s="860">
        <f>'d3'!K221-d3П!K220</f>
        <v>0</v>
      </c>
      <c r="L221" s="860">
        <f>'d3'!L221-d3П!L220</f>
        <v>0</v>
      </c>
      <c r="M221" s="860">
        <f>'d3'!M221-d3П!M220</f>
        <v>0</v>
      </c>
      <c r="N221" s="860">
        <f>'d3'!N221-d3П!N220</f>
        <v>0</v>
      </c>
      <c r="O221" s="860">
        <f>'d3'!O221-d3П!O220</f>
        <v>0</v>
      </c>
      <c r="P221" s="860">
        <f>'d3'!P221-d3П!P220</f>
        <v>0</v>
      </c>
      <c r="R221" s="297"/>
    </row>
    <row r="222" spans="1:18" ht="47.25" thickTop="1" thickBot="1" x14ac:dyDescent="0.25">
      <c r="A222" s="151" t="s">
        <v>831</v>
      </c>
      <c r="B222" s="466" t="s">
        <v>792</v>
      </c>
      <c r="C222" s="466"/>
      <c r="D222" s="466" t="s">
        <v>793</v>
      </c>
      <c r="E222" s="860">
        <f>'d3'!E222-d3П!E221</f>
        <v>0</v>
      </c>
      <c r="F222" s="860">
        <f>'d3'!F222-d3П!F221</f>
        <v>0</v>
      </c>
      <c r="G222" s="860">
        <f>'d3'!G222-d3П!G221</f>
        <v>0</v>
      </c>
      <c r="H222" s="860">
        <f>'d3'!H222-d3П!H221</f>
        <v>0</v>
      </c>
      <c r="I222" s="860">
        <f>'d3'!I222-d3П!I221</f>
        <v>0</v>
      </c>
      <c r="J222" s="860">
        <f>'d3'!J222-d3П!J221</f>
        <v>0</v>
      </c>
      <c r="K222" s="860">
        <f>'d3'!K222-d3П!K221</f>
        <v>0</v>
      </c>
      <c r="L222" s="860">
        <f>'d3'!L222-d3П!L221</f>
        <v>0</v>
      </c>
      <c r="M222" s="860">
        <f>'d3'!M222-d3П!M221</f>
        <v>0</v>
      </c>
      <c r="N222" s="860">
        <f>'d3'!N222-d3П!N221</f>
        <v>0</v>
      </c>
      <c r="O222" s="860">
        <f>'d3'!O222-d3П!O221</f>
        <v>0</v>
      </c>
      <c r="P222" s="860">
        <f>'d3'!P222-d3П!P221</f>
        <v>0</v>
      </c>
      <c r="R222" s="297"/>
    </row>
    <row r="223" spans="1:18" ht="91.5" hidden="1" thickTop="1" thickBot="1" x14ac:dyDescent="0.25">
      <c r="A223" s="467" t="s">
        <v>1203</v>
      </c>
      <c r="B223" s="467" t="s">
        <v>848</v>
      </c>
      <c r="C223" s="467"/>
      <c r="D223" s="467" t="s">
        <v>849</v>
      </c>
      <c r="E223" s="860">
        <f>'d3'!E223-d3П!E222</f>
        <v>0</v>
      </c>
      <c r="F223" s="860">
        <f>'d3'!F223-d3П!F222</f>
        <v>0</v>
      </c>
      <c r="G223" s="860">
        <f>'d3'!G223-d3П!G222</f>
        <v>0</v>
      </c>
      <c r="H223" s="860">
        <f>'d3'!H223-d3П!H222</f>
        <v>0</v>
      </c>
      <c r="I223" s="860">
        <f>'d3'!I223-d3П!I222</f>
        <v>0</v>
      </c>
      <c r="J223" s="860">
        <f>'d3'!J223-d3П!J222</f>
        <v>0</v>
      </c>
      <c r="K223" s="860">
        <f>'d3'!K223-d3П!K222</f>
        <v>0</v>
      </c>
      <c r="L223" s="860">
        <f>'d3'!L223-d3П!L222</f>
        <v>0</v>
      </c>
      <c r="M223" s="860">
        <f>'d3'!M223-d3П!M222</f>
        <v>0</v>
      </c>
      <c r="N223" s="860">
        <f>'d3'!N223-d3П!N222</f>
        <v>0</v>
      </c>
      <c r="O223" s="860">
        <f>'d3'!O223-d3П!O222</f>
        <v>0</v>
      </c>
      <c r="P223" s="860">
        <f>'d3'!P223-d3П!P222</f>
        <v>0</v>
      </c>
      <c r="R223" s="297"/>
    </row>
    <row r="224" spans="1:18" ht="145.5" hidden="1" thickTop="1" thickBot="1" x14ac:dyDescent="0.25">
      <c r="A224" s="489" t="s">
        <v>1204</v>
      </c>
      <c r="B224" s="489" t="s">
        <v>867</v>
      </c>
      <c r="C224" s="489"/>
      <c r="D224" s="489" t="s">
        <v>1194</v>
      </c>
      <c r="E224" s="860">
        <f>'d3'!E224-d3П!E223</f>
        <v>0</v>
      </c>
      <c r="F224" s="860">
        <f>'d3'!F224-d3П!F223</f>
        <v>0</v>
      </c>
      <c r="G224" s="860">
        <f>'d3'!G224-d3П!G223</f>
        <v>0</v>
      </c>
      <c r="H224" s="860">
        <f>'d3'!H224-d3П!H223</f>
        <v>0</v>
      </c>
      <c r="I224" s="860">
        <f>'d3'!I224-d3П!I223</f>
        <v>0</v>
      </c>
      <c r="J224" s="860">
        <f>'d3'!J224-d3П!J223</f>
        <v>0</v>
      </c>
      <c r="K224" s="860">
        <f>'d3'!K224-d3П!K223</f>
        <v>0</v>
      </c>
      <c r="L224" s="860">
        <f>'d3'!L224-d3П!L223</f>
        <v>0</v>
      </c>
      <c r="M224" s="860">
        <f>'d3'!M224-d3П!M223</f>
        <v>0</v>
      </c>
      <c r="N224" s="860">
        <f>'d3'!N224-d3П!N223</f>
        <v>0</v>
      </c>
      <c r="O224" s="860">
        <f>'d3'!O224-d3П!O223</f>
        <v>0</v>
      </c>
      <c r="P224" s="860">
        <f>'d3'!P224-d3П!P223</f>
        <v>0</v>
      </c>
      <c r="R224" s="297"/>
    </row>
    <row r="225" spans="1:18" ht="145.5" hidden="1" thickTop="1" thickBot="1" x14ac:dyDescent="0.25">
      <c r="A225" s="864" t="s">
        <v>1205</v>
      </c>
      <c r="B225" s="864" t="s">
        <v>326</v>
      </c>
      <c r="C225" s="864" t="s">
        <v>317</v>
      </c>
      <c r="D225" s="864" t="s">
        <v>667</v>
      </c>
      <c r="E225" s="860">
        <f>'d3'!E225-d3П!E224</f>
        <v>0</v>
      </c>
      <c r="F225" s="860">
        <f>'d3'!F225-d3П!F224</f>
        <v>0</v>
      </c>
      <c r="G225" s="860">
        <f>'d3'!G225-d3П!G224</f>
        <v>0</v>
      </c>
      <c r="H225" s="860">
        <f>'d3'!H225-d3П!H224</f>
        <v>0</v>
      </c>
      <c r="I225" s="860">
        <f>'d3'!I225-d3П!I224</f>
        <v>0</v>
      </c>
      <c r="J225" s="860">
        <f>'d3'!J225-d3П!J224</f>
        <v>0</v>
      </c>
      <c r="K225" s="860">
        <f>'d3'!K225-d3П!K224</f>
        <v>0</v>
      </c>
      <c r="L225" s="860">
        <f>'d3'!L225-d3П!L224</f>
        <v>0</v>
      </c>
      <c r="M225" s="860">
        <f>'d3'!M225-d3П!M224</f>
        <v>0</v>
      </c>
      <c r="N225" s="860">
        <f>'d3'!N225-d3П!N224</f>
        <v>0</v>
      </c>
      <c r="O225" s="860">
        <f>'d3'!O225-d3П!O224</f>
        <v>0</v>
      </c>
      <c r="P225" s="860">
        <f>'d3'!P225-d3П!P224</f>
        <v>0</v>
      </c>
      <c r="R225" s="297"/>
    </row>
    <row r="226" spans="1:18" ht="136.5" thickTop="1" thickBot="1" x14ac:dyDescent="0.25">
      <c r="A226" s="467" t="s">
        <v>832</v>
      </c>
      <c r="B226" s="467" t="s">
        <v>734</v>
      </c>
      <c r="C226" s="467"/>
      <c r="D226" s="467" t="s">
        <v>732</v>
      </c>
      <c r="E226" s="860">
        <f>'d3'!E226-d3П!E225</f>
        <v>0</v>
      </c>
      <c r="F226" s="860">
        <f>'d3'!F226-d3П!F225</f>
        <v>0</v>
      </c>
      <c r="G226" s="860">
        <f>'d3'!G226-d3П!G225</f>
        <v>0</v>
      </c>
      <c r="H226" s="860">
        <f>'d3'!H226-d3П!H225</f>
        <v>0</v>
      </c>
      <c r="I226" s="860">
        <f>'d3'!I226-d3П!I225</f>
        <v>0</v>
      </c>
      <c r="J226" s="860">
        <f>'d3'!J226-d3П!J225</f>
        <v>0</v>
      </c>
      <c r="K226" s="860">
        <f>'d3'!K226-d3П!K225</f>
        <v>0</v>
      </c>
      <c r="L226" s="860">
        <f>'d3'!L226-d3П!L225</f>
        <v>0</v>
      </c>
      <c r="M226" s="860">
        <f>'d3'!M226-d3П!M225</f>
        <v>0</v>
      </c>
      <c r="N226" s="860">
        <f>'d3'!N226-d3П!N225</f>
        <v>0</v>
      </c>
      <c r="O226" s="860">
        <f>'d3'!O226-d3П!O225</f>
        <v>0</v>
      </c>
      <c r="P226" s="860">
        <f>'d3'!P226-d3П!P225</f>
        <v>0</v>
      </c>
      <c r="R226" s="297"/>
    </row>
    <row r="227" spans="1:18" ht="93" thickTop="1" thickBot="1" x14ac:dyDescent="0.25">
      <c r="A227" s="864" t="s">
        <v>642</v>
      </c>
      <c r="B227" s="864" t="s">
        <v>209</v>
      </c>
      <c r="C227" s="864" t="s">
        <v>178</v>
      </c>
      <c r="D227" s="864" t="s">
        <v>36</v>
      </c>
      <c r="E227" s="860">
        <f>'d3'!E227-d3П!E226</f>
        <v>0</v>
      </c>
      <c r="F227" s="860">
        <f>'d3'!F227-d3П!F226</f>
        <v>0</v>
      </c>
      <c r="G227" s="860">
        <f>'d3'!G227-d3П!G226</f>
        <v>0</v>
      </c>
      <c r="H227" s="860">
        <f>'d3'!H227-d3П!H226</f>
        <v>0</v>
      </c>
      <c r="I227" s="860">
        <f>'d3'!I227-d3П!I226</f>
        <v>0</v>
      </c>
      <c r="J227" s="860">
        <f>'d3'!J227-d3П!J226</f>
        <v>0</v>
      </c>
      <c r="K227" s="860">
        <f>'d3'!K227-d3П!K226</f>
        <v>0</v>
      </c>
      <c r="L227" s="860">
        <f>'d3'!L227-d3П!L226</f>
        <v>0</v>
      </c>
      <c r="M227" s="860">
        <f>'d3'!M227-d3П!M226</f>
        <v>0</v>
      </c>
      <c r="N227" s="860">
        <f>'d3'!N227-d3П!N226</f>
        <v>0</v>
      </c>
      <c r="O227" s="860">
        <f>'d3'!O227-d3П!O226</f>
        <v>0</v>
      </c>
      <c r="P227" s="860">
        <f>'d3'!P227-d3П!P226</f>
        <v>0</v>
      </c>
      <c r="R227" s="875"/>
    </row>
    <row r="228" spans="1:18" ht="47.25" hidden="1" thickTop="1" thickBot="1" x14ac:dyDescent="0.25">
      <c r="A228" s="250" t="s">
        <v>1213</v>
      </c>
      <c r="B228" s="250" t="s">
        <v>745</v>
      </c>
      <c r="C228" s="250"/>
      <c r="D228" s="250" t="s">
        <v>746</v>
      </c>
      <c r="E228" s="874">
        <f>E229</f>
        <v>0</v>
      </c>
      <c r="F228" s="874">
        <f t="shared" ref="F228:P229" si="35">F229</f>
        <v>0</v>
      </c>
      <c r="G228" s="874">
        <f t="shared" si="35"/>
        <v>0</v>
      </c>
      <c r="H228" s="874">
        <f t="shared" si="35"/>
        <v>0</v>
      </c>
      <c r="I228" s="874">
        <f t="shared" si="35"/>
        <v>0</v>
      </c>
      <c r="J228" s="874">
        <f t="shared" si="35"/>
        <v>0</v>
      </c>
      <c r="K228" s="874">
        <f t="shared" si="35"/>
        <v>0</v>
      </c>
      <c r="L228" s="874">
        <f t="shared" si="35"/>
        <v>0</v>
      </c>
      <c r="M228" s="874">
        <f t="shared" si="35"/>
        <v>0</v>
      </c>
      <c r="N228" s="874">
        <f t="shared" si="35"/>
        <v>0</v>
      </c>
      <c r="O228" s="874">
        <f t="shared" si="35"/>
        <v>0</v>
      </c>
      <c r="P228" s="874">
        <f t="shared" si="35"/>
        <v>0</v>
      </c>
      <c r="R228" s="875"/>
    </row>
    <row r="229" spans="1:18" ht="271.5" hidden="1" thickTop="1" thickBot="1" x14ac:dyDescent="0.25">
      <c r="A229" s="253" t="s">
        <v>1214</v>
      </c>
      <c r="B229" s="253" t="s">
        <v>748</v>
      </c>
      <c r="C229" s="253"/>
      <c r="D229" s="253" t="s">
        <v>749</v>
      </c>
      <c r="E229" s="270">
        <f>E230</f>
        <v>0</v>
      </c>
      <c r="F229" s="270">
        <f t="shared" si="35"/>
        <v>0</v>
      </c>
      <c r="G229" s="270">
        <f t="shared" si="35"/>
        <v>0</v>
      </c>
      <c r="H229" s="270">
        <f t="shared" si="35"/>
        <v>0</v>
      </c>
      <c r="I229" s="270">
        <f t="shared" si="35"/>
        <v>0</v>
      </c>
      <c r="J229" s="270">
        <f t="shared" si="35"/>
        <v>0</v>
      </c>
      <c r="K229" s="270">
        <f t="shared" si="35"/>
        <v>0</v>
      </c>
      <c r="L229" s="270">
        <f t="shared" si="35"/>
        <v>0</v>
      </c>
      <c r="M229" s="270">
        <f t="shared" si="35"/>
        <v>0</v>
      </c>
      <c r="N229" s="270">
        <f t="shared" si="35"/>
        <v>0</v>
      </c>
      <c r="O229" s="270">
        <f t="shared" si="35"/>
        <v>0</v>
      </c>
      <c r="P229" s="270">
        <f t="shared" si="35"/>
        <v>0</v>
      </c>
      <c r="R229" s="875"/>
    </row>
    <row r="230" spans="1:18" ht="93" hidden="1" thickTop="1" thickBot="1" x14ac:dyDescent="0.25">
      <c r="A230" s="873" t="s">
        <v>1215</v>
      </c>
      <c r="B230" s="873" t="s">
        <v>377</v>
      </c>
      <c r="C230" s="873" t="s">
        <v>45</v>
      </c>
      <c r="D230" s="873" t="s">
        <v>378</v>
      </c>
      <c r="E230" s="874">
        <f t="shared" ref="E230" si="36">F230</f>
        <v>0</v>
      </c>
      <c r="F230" s="278">
        <v>0</v>
      </c>
      <c r="G230" s="278"/>
      <c r="H230" s="278"/>
      <c r="I230" s="278"/>
      <c r="J230" s="874">
        <f>L230+O230</f>
        <v>0</v>
      </c>
      <c r="K230" s="278">
        <v>0</v>
      </c>
      <c r="L230" s="278"/>
      <c r="M230" s="278"/>
      <c r="N230" s="278"/>
      <c r="O230" s="871">
        <f>K230</f>
        <v>0</v>
      </c>
      <c r="P230" s="874">
        <f>E230+J230</f>
        <v>0</v>
      </c>
      <c r="R230" s="875"/>
    </row>
    <row r="231" spans="1:18" ht="181.5" thickTop="1" thickBot="1" x14ac:dyDescent="0.25">
      <c r="A231" s="828" t="s">
        <v>166</v>
      </c>
      <c r="B231" s="828"/>
      <c r="C231" s="828"/>
      <c r="D231" s="829" t="s">
        <v>587</v>
      </c>
      <c r="E231" s="830">
        <f>E232</f>
        <v>-10000000</v>
      </c>
      <c r="F231" s="831">
        <f t="shared" ref="F231:G231" si="37">F232</f>
        <v>-10000000</v>
      </c>
      <c r="G231" s="831">
        <f t="shared" si="37"/>
        <v>0</v>
      </c>
      <c r="H231" s="831">
        <f>H232</f>
        <v>0</v>
      </c>
      <c r="I231" s="831">
        <f t="shared" ref="I231" si="38">I232</f>
        <v>0</v>
      </c>
      <c r="J231" s="830">
        <f>J232</f>
        <v>-16000000</v>
      </c>
      <c r="K231" s="831">
        <f>K232</f>
        <v>-16000000</v>
      </c>
      <c r="L231" s="831">
        <f>L232</f>
        <v>0</v>
      </c>
      <c r="M231" s="831">
        <f t="shared" ref="M231" si="39">M232</f>
        <v>0</v>
      </c>
      <c r="N231" s="831">
        <f>N232</f>
        <v>0</v>
      </c>
      <c r="O231" s="830">
        <f>O232</f>
        <v>-16000000</v>
      </c>
      <c r="P231" s="831">
        <f>P232</f>
        <v>-26000000</v>
      </c>
      <c r="R231" s="297"/>
    </row>
    <row r="232" spans="1:18" ht="181.5" thickTop="1" thickBot="1" x14ac:dyDescent="0.25">
      <c r="A232" s="832" t="s">
        <v>167</v>
      </c>
      <c r="B232" s="832"/>
      <c r="C232" s="832"/>
      <c r="D232" s="833" t="s">
        <v>588</v>
      </c>
      <c r="E232" s="834">
        <f>E233+E237+E244</f>
        <v>-10000000</v>
      </c>
      <c r="F232" s="834">
        <f t="shared" ref="F232:I232" si="40">F233+F237+F244</f>
        <v>-10000000</v>
      </c>
      <c r="G232" s="834">
        <f t="shared" si="40"/>
        <v>0</v>
      </c>
      <c r="H232" s="834">
        <f t="shared" si="40"/>
        <v>0</v>
      </c>
      <c r="I232" s="834">
        <f t="shared" si="40"/>
        <v>0</v>
      </c>
      <c r="J232" s="834">
        <f t="shared" ref="J232:J251" si="41">L232+O232</f>
        <v>-16000000</v>
      </c>
      <c r="K232" s="834">
        <f t="shared" ref="K232:O232" si="42">K233+K237+K244</f>
        <v>-16000000</v>
      </c>
      <c r="L232" s="834">
        <f t="shared" si="42"/>
        <v>0</v>
      </c>
      <c r="M232" s="834">
        <f t="shared" si="42"/>
        <v>0</v>
      </c>
      <c r="N232" s="834">
        <f t="shared" si="42"/>
        <v>0</v>
      </c>
      <c r="O232" s="834">
        <f t="shared" si="42"/>
        <v>-16000000</v>
      </c>
      <c r="P232" s="834">
        <f>E232+J232</f>
        <v>-26000000</v>
      </c>
      <c r="Q232" s="628" t="b">
        <f>P232=P234+P239+P240+P241+P243+P248+P251+P235+P249+P242+P246+P236</f>
        <v>1</v>
      </c>
      <c r="R232" s="307"/>
    </row>
    <row r="233" spans="1:18" ht="47.25" thickTop="1" thickBot="1" x14ac:dyDescent="0.25">
      <c r="A233" s="151" t="s">
        <v>833</v>
      </c>
      <c r="B233" s="151" t="s">
        <v>727</v>
      </c>
      <c r="C233" s="151"/>
      <c r="D233" s="151" t="s">
        <v>728</v>
      </c>
      <c r="E233" s="860">
        <f>'d3'!E233-d3П!E232</f>
        <v>0</v>
      </c>
      <c r="F233" s="860">
        <f>'d3'!F233-d3П!F232</f>
        <v>0</v>
      </c>
      <c r="G233" s="860">
        <f>'d3'!G233-d3П!G232</f>
        <v>0</v>
      </c>
      <c r="H233" s="860">
        <f>'d3'!H233-d3П!H232</f>
        <v>0</v>
      </c>
      <c r="I233" s="860">
        <f>'d3'!I233-d3П!I232</f>
        <v>0</v>
      </c>
      <c r="J233" s="860">
        <f>'d3'!J233-d3П!J232</f>
        <v>0</v>
      </c>
      <c r="K233" s="860">
        <f>'d3'!K233-d3П!K232</f>
        <v>0</v>
      </c>
      <c r="L233" s="860">
        <f>'d3'!L233-d3П!L232</f>
        <v>0</v>
      </c>
      <c r="M233" s="860">
        <f>'d3'!M233-d3П!M232</f>
        <v>0</v>
      </c>
      <c r="N233" s="860">
        <f>'d3'!N233-d3П!N232</f>
        <v>0</v>
      </c>
      <c r="O233" s="860">
        <f>'d3'!O233-d3П!O232</f>
        <v>0</v>
      </c>
      <c r="P233" s="860">
        <f>'d3'!P233-d3П!P232</f>
        <v>0</v>
      </c>
      <c r="Q233" s="628"/>
      <c r="R233" s="307"/>
    </row>
    <row r="234" spans="1:18" ht="230.25" thickTop="1" thickBot="1" x14ac:dyDescent="0.25">
      <c r="A234" s="864" t="s">
        <v>437</v>
      </c>
      <c r="B234" s="864" t="s">
        <v>248</v>
      </c>
      <c r="C234" s="864" t="s">
        <v>246</v>
      </c>
      <c r="D234" s="864" t="s">
        <v>247</v>
      </c>
      <c r="E234" s="860">
        <f>'d3'!E234-d3П!E233</f>
        <v>0</v>
      </c>
      <c r="F234" s="860">
        <f>'d3'!F234-d3П!F233</f>
        <v>0</v>
      </c>
      <c r="G234" s="860">
        <f>'d3'!G234-d3П!G233</f>
        <v>0</v>
      </c>
      <c r="H234" s="860">
        <f>'d3'!H234-d3П!H233</f>
        <v>0</v>
      </c>
      <c r="I234" s="860">
        <f>'d3'!I234-d3П!I233</f>
        <v>0</v>
      </c>
      <c r="J234" s="860">
        <f>'d3'!J234-d3П!J233</f>
        <v>0</v>
      </c>
      <c r="K234" s="860">
        <f>'d3'!K234-d3П!K233</f>
        <v>0</v>
      </c>
      <c r="L234" s="860">
        <f>'d3'!L234-d3П!L233</f>
        <v>0</v>
      </c>
      <c r="M234" s="860">
        <f>'d3'!M234-d3П!M233</f>
        <v>0</v>
      </c>
      <c r="N234" s="860">
        <f>'d3'!N234-d3П!N233</f>
        <v>0</v>
      </c>
      <c r="O234" s="860">
        <f>'d3'!O234-d3П!O233</f>
        <v>0</v>
      </c>
      <c r="P234" s="860">
        <f>'d3'!P234-d3П!P233</f>
        <v>0</v>
      </c>
      <c r="R234" s="307"/>
    </row>
    <row r="235" spans="1:18" ht="184.5" thickTop="1" thickBot="1" x14ac:dyDescent="0.25">
      <c r="A235" s="862" t="s">
        <v>669</v>
      </c>
      <c r="B235" s="862" t="s">
        <v>376</v>
      </c>
      <c r="C235" s="862" t="s">
        <v>662</v>
      </c>
      <c r="D235" s="862" t="s">
        <v>663</v>
      </c>
      <c r="E235" s="860">
        <f>'d3'!E235-d3П!E234</f>
        <v>0</v>
      </c>
      <c r="F235" s="860">
        <f>'d3'!F235-d3П!F234</f>
        <v>0</v>
      </c>
      <c r="G235" s="860">
        <f>'d3'!G235-d3П!G234</f>
        <v>0</v>
      </c>
      <c r="H235" s="860">
        <f>'d3'!H235-d3П!H234</f>
        <v>0</v>
      </c>
      <c r="I235" s="860">
        <f>'d3'!I235-d3П!I234</f>
        <v>0</v>
      </c>
      <c r="J235" s="860">
        <f>'d3'!J235-d3П!J234</f>
        <v>0</v>
      </c>
      <c r="K235" s="860">
        <f>'d3'!K235-d3П!K234</f>
        <v>0</v>
      </c>
      <c r="L235" s="860">
        <f>'d3'!L235-d3П!L234</f>
        <v>0</v>
      </c>
      <c r="M235" s="860">
        <f>'d3'!M235-d3П!M234</f>
        <v>0</v>
      </c>
      <c r="N235" s="860">
        <f>'d3'!N235-d3П!N234</f>
        <v>0</v>
      </c>
      <c r="O235" s="860">
        <f>'d3'!O235-d3П!O234</f>
        <v>0</v>
      </c>
      <c r="P235" s="860">
        <f>'d3'!P235-d3П!P234</f>
        <v>0</v>
      </c>
      <c r="R235" s="307"/>
    </row>
    <row r="236" spans="1:18" ht="93" thickTop="1" thickBot="1" x14ac:dyDescent="0.25">
      <c r="A236" s="862" t="s">
        <v>1282</v>
      </c>
      <c r="B236" s="862" t="s">
        <v>45</v>
      </c>
      <c r="C236" s="862" t="s">
        <v>44</v>
      </c>
      <c r="D236" s="862" t="s">
        <v>260</v>
      </c>
      <c r="E236" s="860">
        <f>'d3'!E236-d3П!E235</f>
        <v>0</v>
      </c>
      <c r="F236" s="860">
        <f>'d3'!F236-d3П!F235</f>
        <v>0</v>
      </c>
      <c r="G236" s="860">
        <f>'d3'!G236-d3П!G235</f>
        <v>0</v>
      </c>
      <c r="H236" s="860">
        <f>'d3'!H236-d3П!H235</f>
        <v>0</v>
      </c>
      <c r="I236" s="860">
        <f>'d3'!I236-d3П!I235</f>
        <v>0</v>
      </c>
      <c r="J236" s="860">
        <f>'d3'!J236-d3П!J235</f>
        <v>0</v>
      </c>
      <c r="K236" s="860">
        <f>'d3'!K236-d3П!K235</f>
        <v>0</v>
      </c>
      <c r="L236" s="860">
        <f>'d3'!L236-d3П!L235</f>
        <v>0</v>
      </c>
      <c r="M236" s="860">
        <f>'d3'!M236-d3П!M235</f>
        <v>0</v>
      </c>
      <c r="N236" s="860">
        <f>'d3'!N236-d3П!N235</f>
        <v>0</v>
      </c>
      <c r="O236" s="860">
        <f>'d3'!O236-d3П!O235</f>
        <v>0</v>
      </c>
      <c r="P236" s="860">
        <f>'d3'!P236-d3П!P235</f>
        <v>0</v>
      </c>
      <c r="R236" s="307"/>
    </row>
    <row r="237" spans="1:18" ht="91.5" thickTop="1" thickBot="1" x14ac:dyDescent="0.25">
      <c r="A237" s="151" t="s">
        <v>834</v>
      </c>
      <c r="B237" s="466" t="s">
        <v>786</v>
      </c>
      <c r="C237" s="466"/>
      <c r="D237" s="560" t="s">
        <v>787</v>
      </c>
      <c r="E237" s="860">
        <f>'d3'!E237-d3П!E236</f>
        <v>-10000000</v>
      </c>
      <c r="F237" s="860">
        <f>'d3'!F237-d3П!F236</f>
        <v>-10000000</v>
      </c>
      <c r="G237" s="860">
        <f>'d3'!G237-d3П!G236</f>
        <v>0</v>
      </c>
      <c r="H237" s="860">
        <f>'d3'!H237-d3П!H236</f>
        <v>0</v>
      </c>
      <c r="I237" s="860">
        <f>'d3'!I237-d3П!I236</f>
        <v>0</v>
      </c>
      <c r="J237" s="860">
        <f>'d3'!J237-d3П!J236</f>
        <v>-16000000</v>
      </c>
      <c r="K237" s="860">
        <f>'d3'!K237-d3П!K236</f>
        <v>-16000000</v>
      </c>
      <c r="L237" s="860">
        <f>'d3'!L237-d3П!L236</f>
        <v>0</v>
      </c>
      <c r="M237" s="860">
        <f>'d3'!M237-d3П!M236</f>
        <v>0</v>
      </c>
      <c r="N237" s="860">
        <f>'d3'!N237-d3П!N236</f>
        <v>0</v>
      </c>
      <c r="O237" s="860">
        <f>'d3'!O237-d3П!O236</f>
        <v>-16000000</v>
      </c>
      <c r="P237" s="860">
        <f>'d3'!P237-d3П!P236</f>
        <v>-26000000</v>
      </c>
      <c r="R237" s="307"/>
    </row>
    <row r="238" spans="1:18" s="272" customFormat="1" ht="184.5" thickTop="1" thickBot="1" x14ac:dyDescent="0.25">
      <c r="A238" s="489" t="s">
        <v>835</v>
      </c>
      <c r="B238" s="470" t="s">
        <v>836</v>
      </c>
      <c r="C238" s="470"/>
      <c r="D238" s="470" t="s">
        <v>837</v>
      </c>
      <c r="E238" s="860">
        <f>'d3'!E238-d3П!E237</f>
        <v>0</v>
      </c>
      <c r="F238" s="860">
        <f>'d3'!F238-d3П!F237</f>
        <v>0</v>
      </c>
      <c r="G238" s="860">
        <f>'d3'!G238-d3П!G237</f>
        <v>0</v>
      </c>
      <c r="H238" s="860">
        <f>'d3'!H238-d3П!H237</f>
        <v>0</v>
      </c>
      <c r="I238" s="860">
        <f>'d3'!I238-d3П!I237</f>
        <v>0</v>
      </c>
      <c r="J238" s="860">
        <f>'d3'!J238-d3П!J237</f>
        <v>-16000000</v>
      </c>
      <c r="K238" s="860">
        <f>'d3'!K238-d3П!K237</f>
        <v>-16000000</v>
      </c>
      <c r="L238" s="860">
        <f>'d3'!L238-d3П!L237</f>
        <v>0</v>
      </c>
      <c r="M238" s="860">
        <f>'d3'!M238-d3П!M237</f>
        <v>0</v>
      </c>
      <c r="N238" s="860">
        <f>'d3'!N238-d3П!N237</f>
        <v>0</v>
      </c>
      <c r="O238" s="860">
        <f>'d3'!O238-d3П!O237</f>
        <v>-16000000</v>
      </c>
      <c r="P238" s="860">
        <f>'d3'!P238-d3П!P237</f>
        <v>-16000000</v>
      </c>
      <c r="Q238" s="624"/>
      <c r="R238" s="307"/>
    </row>
    <row r="239" spans="1:18" ht="138.75" thickTop="1" thickBot="1" x14ac:dyDescent="0.25">
      <c r="A239" s="864" t="s">
        <v>292</v>
      </c>
      <c r="B239" s="864" t="s">
        <v>293</v>
      </c>
      <c r="C239" s="864" t="s">
        <v>354</v>
      </c>
      <c r="D239" s="864" t="s">
        <v>294</v>
      </c>
      <c r="E239" s="860">
        <f>'d3'!E239-d3П!E238</f>
        <v>0</v>
      </c>
      <c r="F239" s="860">
        <f>'d3'!F239-d3П!F238</f>
        <v>0</v>
      </c>
      <c r="G239" s="860">
        <f>'d3'!G239-d3П!G238</f>
        <v>0</v>
      </c>
      <c r="H239" s="860">
        <f>'d3'!H239-d3П!H238</f>
        <v>0</v>
      </c>
      <c r="I239" s="860">
        <f>'d3'!I239-d3П!I238</f>
        <v>0</v>
      </c>
      <c r="J239" s="860">
        <f>'d3'!J239-d3П!J238</f>
        <v>-3000000</v>
      </c>
      <c r="K239" s="860">
        <f>'d3'!K239-d3П!K238</f>
        <v>-3000000</v>
      </c>
      <c r="L239" s="860">
        <f>'d3'!L239-d3П!L238</f>
        <v>0</v>
      </c>
      <c r="M239" s="860">
        <f>'d3'!M239-d3П!M238</f>
        <v>0</v>
      </c>
      <c r="N239" s="860">
        <f>'d3'!N239-d3П!N238</f>
        <v>0</v>
      </c>
      <c r="O239" s="860">
        <f>'d3'!O239-d3П!O238</f>
        <v>-3000000</v>
      </c>
      <c r="P239" s="860">
        <f>'d3'!P239-d3П!P238</f>
        <v>-3000000</v>
      </c>
      <c r="R239" s="307"/>
    </row>
    <row r="240" spans="1:18" ht="138.75" thickTop="1" thickBot="1" x14ac:dyDescent="0.25">
      <c r="A240" s="864" t="s">
        <v>314</v>
      </c>
      <c r="B240" s="864" t="s">
        <v>315</v>
      </c>
      <c r="C240" s="864" t="s">
        <v>295</v>
      </c>
      <c r="D240" s="864" t="s">
        <v>316</v>
      </c>
      <c r="E240" s="860">
        <f>'d3'!E240-d3П!E239</f>
        <v>0</v>
      </c>
      <c r="F240" s="860">
        <f>'d3'!F240-d3П!F239</f>
        <v>0</v>
      </c>
      <c r="G240" s="860">
        <f>'d3'!G240-d3П!G239</f>
        <v>0</v>
      </c>
      <c r="H240" s="860">
        <f>'d3'!H240-d3П!H239</f>
        <v>0</v>
      </c>
      <c r="I240" s="860">
        <f>'d3'!I240-d3П!I239</f>
        <v>0</v>
      </c>
      <c r="J240" s="860">
        <f>'d3'!J240-d3П!J239</f>
        <v>0</v>
      </c>
      <c r="K240" s="860">
        <f>'d3'!K240-d3П!K239</f>
        <v>0</v>
      </c>
      <c r="L240" s="860">
        <f>'d3'!L240-d3П!L239</f>
        <v>0</v>
      </c>
      <c r="M240" s="860">
        <f>'d3'!M240-d3П!M239</f>
        <v>0</v>
      </c>
      <c r="N240" s="860">
        <f>'d3'!N240-d3П!N239</f>
        <v>0</v>
      </c>
      <c r="O240" s="860">
        <f>'d3'!O240-d3П!O239</f>
        <v>0</v>
      </c>
      <c r="P240" s="860">
        <f>'d3'!P240-d3П!P239</f>
        <v>0</v>
      </c>
      <c r="R240" s="307"/>
    </row>
    <row r="241" spans="1:18" ht="184.5" thickTop="1" thickBot="1" x14ac:dyDescent="0.25">
      <c r="A241" s="864" t="s">
        <v>296</v>
      </c>
      <c r="B241" s="864" t="s">
        <v>297</v>
      </c>
      <c r="C241" s="864" t="s">
        <v>295</v>
      </c>
      <c r="D241" s="864" t="s">
        <v>484</v>
      </c>
      <c r="E241" s="860">
        <f>'d3'!E241-d3П!E240</f>
        <v>0</v>
      </c>
      <c r="F241" s="860">
        <f>'d3'!F241-d3П!F240</f>
        <v>0</v>
      </c>
      <c r="G241" s="860">
        <f>'d3'!G241-d3П!G240</f>
        <v>0</v>
      </c>
      <c r="H241" s="860">
        <f>'d3'!H241-d3П!H240</f>
        <v>0</v>
      </c>
      <c r="I241" s="860">
        <f>'d3'!I241-d3П!I240</f>
        <v>0</v>
      </c>
      <c r="J241" s="860">
        <f>'d3'!J241-d3П!J240</f>
        <v>-13000000</v>
      </c>
      <c r="K241" s="860">
        <f>'d3'!K241-d3П!K240</f>
        <v>-13000000</v>
      </c>
      <c r="L241" s="860">
        <f>'d3'!L241-d3П!L240</f>
        <v>0</v>
      </c>
      <c r="M241" s="860">
        <f>'d3'!M241-d3П!M240</f>
        <v>0</v>
      </c>
      <c r="N241" s="860">
        <f>'d3'!N241-d3П!N240</f>
        <v>0</v>
      </c>
      <c r="O241" s="860">
        <f>'d3'!O241-d3П!O240</f>
        <v>-13000000</v>
      </c>
      <c r="P241" s="860">
        <f>'d3'!P241-d3П!P240</f>
        <v>-13000000</v>
      </c>
      <c r="R241" s="307"/>
    </row>
    <row r="242" spans="1:18" ht="230.25" thickTop="1" thickBot="1" x14ac:dyDescent="0.25">
      <c r="A242" s="864" t="s">
        <v>989</v>
      </c>
      <c r="B242" s="864" t="s">
        <v>310</v>
      </c>
      <c r="C242" s="864" t="s">
        <v>295</v>
      </c>
      <c r="D242" s="864" t="s">
        <v>311</v>
      </c>
      <c r="E242" s="860">
        <f>'d3'!E242-d3П!E241</f>
        <v>0</v>
      </c>
      <c r="F242" s="860">
        <f>'d3'!F242-d3П!F241</f>
        <v>0</v>
      </c>
      <c r="G242" s="860">
        <f>'d3'!G242-d3П!G241</f>
        <v>0</v>
      </c>
      <c r="H242" s="860">
        <f>'d3'!H242-d3П!H241</f>
        <v>0</v>
      </c>
      <c r="I242" s="860">
        <f>'d3'!I242-d3П!I241</f>
        <v>0</v>
      </c>
      <c r="J242" s="860">
        <f>'d3'!J242-d3П!J241</f>
        <v>0</v>
      </c>
      <c r="K242" s="860">
        <f>'d3'!K242-d3П!K241</f>
        <v>0</v>
      </c>
      <c r="L242" s="860">
        <f>'d3'!L242-d3П!L241</f>
        <v>0</v>
      </c>
      <c r="M242" s="860">
        <f>'d3'!M242-d3П!M241</f>
        <v>0</v>
      </c>
      <c r="N242" s="860">
        <f>'d3'!N242-d3П!N241</f>
        <v>0</v>
      </c>
      <c r="O242" s="860">
        <f>'d3'!O242-d3П!O241</f>
        <v>0</v>
      </c>
      <c r="P242" s="860">
        <f>'d3'!P242-d3П!P241</f>
        <v>0</v>
      </c>
      <c r="R242" s="307"/>
    </row>
    <row r="243" spans="1:18" ht="93" thickTop="1" thickBot="1" x14ac:dyDescent="0.25">
      <c r="A243" s="864" t="s">
        <v>300</v>
      </c>
      <c r="B243" s="864" t="s">
        <v>301</v>
      </c>
      <c r="C243" s="864" t="s">
        <v>295</v>
      </c>
      <c r="D243" s="864" t="s">
        <v>302</v>
      </c>
      <c r="E243" s="860">
        <f>'d3'!E243-d3П!E242</f>
        <v>-10000000</v>
      </c>
      <c r="F243" s="860">
        <f>'d3'!F243-d3П!F242</f>
        <v>-10000000</v>
      </c>
      <c r="G243" s="860">
        <f>'d3'!G243-d3П!G242</f>
        <v>0</v>
      </c>
      <c r="H243" s="860">
        <f>'d3'!H243-d3П!H242</f>
        <v>0</v>
      </c>
      <c r="I243" s="860">
        <f>'d3'!I243-d3П!I242</f>
        <v>0</v>
      </c>
      <c r="J243" s="860">
        <f>'d3'!J243-d3П!J242</f>
        <v>0</v>
      </c>
      <c r="K243" s="860">
        <f>'d3'!K243-d3П!K242</f>
        <v>0</v>
      </c>
      <c r="L243" s="860">
        <f>'d3'!L243-d3П!L242</f>
        <v>0</v>
      </c>
      <c r="M243" s="860">
        <f>'d3'!M243-d3П!M242</f>
        <v>0</v>
      </c>
      <c r="N243" s="860">
        <f>'d3'!N243-d3П!N242</f>
        <v>0</v>
      </c>
      <c r="O243" s="860">
        <f>'d3'!O243-d3П!O242</f>
        <v>0</v>
      </c>
      <c r="P243" s="860">
        <f>'d3'!P243-d3П!P242</f>
        <v>-10000000</v>
      </c>
      <c r="R243" s="297"/>
    </row>
    <row r="244" spans="1:18" ht="47.25" thickTop="1" thickBot="1" x14ac:dyDescent="0.25">
      <c r="A244" s="151" t="s">
        <v>838</v>
      </c>
      <c r="B244" s="151" t="s">
        <v>792</v>
      </c>
      <c r="C244" s="151"/>
      <c r="D244" s="151" t="s">
        <v>839</v>
      </c>
      <c r="E244" s="860">
        <f>'d3'!E244-d3П!E243</f>
        <v>0</v>
      </c>
      <c r="F244" s="860">
        <f>'d3'!F244-d3П!F243</f>
        <v>0</v>
      </c>
      <c r="G244" s="860">
        <f>'d3'!G244-d3П!G243</f>
        <v>0</v>
      </c>
      <c r="H244" s="860">
        <f>'d3'!H244-d3П!H243</f>
        <v>0</v>
      </c>
      <c r="I244" s="860">
        <f>'d3'!I244-d3П!I243</f>
        <v>0</v>
      </c>
      <c r="J244" s="860">
        <f>'d3'!J244-d3П!J243</f>
        <v>0</v>
      </c>
      <c r="K244" s="860">
        <f>'d3'!K244-d3П!K243</f>
        <v>0</v>
      </c>
      <c r="L244" s="860">
        <f>'d3'!L244-d3П!L243</f>
        <v>0</v>
      </c>
      <c r="M244" s="860">
        <f>'d3'!M244-d3П!M243</f>
        <v>0</v>
      </c>
      <c r="N244" s="860">
        <f>'d3'!N244-d3П!N243</f>
        <v>0</v>
      </c>
      <c r="O244" s="860">
        <f>'d3'!O244-d3П!O243</f>
        <v>0</v>
      </c>
      <c r="P244" s="860">
        <f>'d3'!P244-d3П!P243</f>
        <v>0</v>
      </c>
      <c r="R244" s="297"/>
    </row>
    <row r="245" spans="1:18" ht="91.5" thickTop="1" thickBot="1" x14ac:dyDescent="0.25">
      <c r="A245" s="467" t="s">
        <v>1286</v>
      </c>
      <c r="B245" s="467" t="s">
        <v>848</v>
      </c>
      <c r="C245" s="467"/>
      <c r="D245" s="467" t="s">
        <v>849</v>
      </c>
      <c r="E245" s="860">
        <f>'d3'!E245-d3П!E244</f>
        <v>0</v>
      </c>
      <c r="F245" s="860">
        <f>'d3'!F245-d3П!F244</f>
        <v>0</v>
      </c>
      <c r="G245" s="860">
        <f>'d3'!G245-d3П!G244</f>
        <v>0</v>
      </c>
      <c r="H245" s="860">
        <f>'d3'!H245-d3П!H244</f>
        <v>0</v>
      </c>
      <c r="I245" s="860">
        <f>'d3'!I245-d3П!I244</f>
        <v>0</v>
      </c>
      <c r="J245" s="860">
        <f>'d3'!J245-d3П!J244</f>
        <v>0</v>
      </c>
      <c r="K245" s="860">
        <f>'d3'!K245-d3П!K244</f>
        <v>0</v>
      </c>
      <c r="L245" s="860">
        <f>'d3'!L245-d3П!L244</f>
        <v>0</v>
      </c>
      <c r="M245" s="860">
        <f>'d3'!M245-d3П!M244</f>
        <v>0</v>
      </c>
      <c r="N245" s="860">
        <f>'d3'!N245-d3П!N244</f>
        <v>0</v>
      </c>
      <c r="O245" s="860">
        <f>'d3'!O245-d3П!O244</f>
        <v>0</v>
      </c>
      <c r="P245" s="860">
        <f>'d3'!P245-d3П!P244</f>
        <v>0</v>
      </c>
      <c r="R245" s="297"/>
    </row>
    <row r="246" spans="1:18" ht="129.75" customHeight="1" thickTop="1" thickBot="1" x14ac:dyDescent="0.25">
      <c r="A246" s="864" t="s">
        <v>1287</v>
      </c>
      <c r="B246" s="864" t="s">
        <v>318</v>
      </c>
      <c r="C246" s="864" t="s">
        <v>317</v>
      </c>
      <c r="D246" s="864" t="s">
        <v>664</v>
      </c>
      <c r="E246" s="860">
        <f>'d3'!E246-d3П!E245</f>
        <v>0</v>
      </c>
      <c r="F246" s="860">
        <f>'d3'!F246-d3П!F245</f>
        <v>0</v>
      </c>
      <c r="G246" s="860">
        <f>'d3'!G246-d3П!G245</f>
        <v>0</v>
      </c>
      <c r="H246" s="860">
        <f>'d3'!H246-d3П!H245</f>
        <v>0</v>
      </c>
      <c r="I246" s="860">
        <f>'d3'!I246-d3П!I245</f>
        <v>0</v>
      </c>
      <c r="J246" s="860">
        <f>'d3'!J246-d3П!J245</f>
        <v>0</v>
      </c>
      <c r="K246" s="860">
        <f>'d3'!K246-d3П!K245</f>
        <v>0</v>
      </c>
      <c r="L246" s="860">
        <f>'d3'!L246-d3П!L245</f>
        <v>0</v>
      </c>
      <c r="M246" s="860">
        <f>'d3'!M246-d3П!M245</f>
        <v>0</v>
      </c>
      <c r="N246" s="860">
        <f>'d3'!N246-d3П!N245</f>
        <v>0</v>
      </c>
      <c r="O246" s="860">
        <f>'d3'!O246-d3П!O245</f>
        <v>0</v>
      </c>
      <c r="P246" s="860">
        <f>'d3'!P246-d3П!P245</f>
        <v>0</v>
      </c>
      <c r="R246" s="297"/>
    </row>
    <row r="247" spans="1:18" ht="136.5" thickTop="1" thickBot="1" x14ac:dyDescent="0.25">
      <c r="A247" s="467" t="s">
        <v>840</v>
      </c>
      <c r="B247" s="467" t="s">
        <v>734</v>
      </c>
      <c r="C247" s="467"/>
      <c r="D247" s="467" t="s">
        <v>732</v>
      </c>
      <c r="E247" s="860">
        <f>'d3'!E247-d3П!E246</f>
        <v>0</v>
      </c>
      <c r="F247" s="860">
        <f>'d3'!F247-d3П!F246</f>
        <v>0</v>
      </c>
      <c r="G247" s="860">
        <f>'d3'!G247-d3П!G246</f>
        <v>0</v>
      </c>
      <c r="H247" s="860">
        <f>'d3'!H247-d3П!H246</f>
        <v>0</v>
      </c>
      <c r="I247" s="860">
        <f>'d3'!I247-d3П!I246</f>
        <v>0</v>
      </c>
      <c r="J247" s="860">
        <f>'d3'!J247-d3П!J246</f>
        <v>0</v>
      </c>
      <c r="K247" s="860">
        <f>'d3'!K247-d3П!K246</f>
        <v>0</v>
      </c>
      <c r="L247" s="860">
        <f>'d3'!L247-d3П!L246</f>
        <v>0</v>
      </c>
      <c r="M247" s="860">
        <f>'d3'!M247-d3П!M246</f>
        <v>0</v>
      </c>
      <c r="N247" s="860">
        <f>'d3'!N247-d3П!N246</f>
        <v>0</v>
      </c>
      <c r="O247" s="860">
        <f>'d3'!O247-d3П!O246</f>
        <v>0</v>
      </c>
      <c r="P247" s="860">
        <f>'d3'!P247-d3П!P246</f>
        <v>0</v>
      </c>
      <c r="R247" s="297"/>
    </row>
    <row r="248" spans="1:18" ht="47.25" thickTop="1" thickBot="1" x14ac:dyDescent="0.25">
      <c r="A248" s="864" t="s">
        <v>309</v>
      </c>
      <c r="B248" s="864" t="s">
        <v>224</v>
      </c>
      <c r="C248" s="864" t="s">
        <v>225</v>
      </c>
      <c r="D248" s="864" t="s">
        <v>43</v>
      </c>
      <c r="E248" s="860">
        <f>'d3'!E248-d3П!E247</f>
        <v>0</v>
      </c>
      <c r="F248" s="860">
        <f>'d3'!F248-d3П!F247</f>
        <v>0</v>
      </c>
      <c r="G248" s="860">
        <f>'d3'!G248-d3П!G247</f>
        <v>0</v>
      </c>
      <c r="H248" s="860">
        <f>'d3'!H248-d3П!H247</f>
        <v>0</v>
      </c>
      <c r="I248" s="860">
        <f>'d3'!I248-d3П!I247</f>
        <v>0</v>
      </c>
      <c r="J248" s="860">
        <f>'d3'!J248-d3П!J247</f>
        <v>0</v>
      </c>
      <c r="K248" s="860">
        <f>'d3'!K248-d3П!K247</f>
        <v>0</v>
      </c>
      <c r="L248" s="860">
        <f>'d3'!L248-d3П!L247</f>
        <v>0</v>
      </c>
      <c r="M248" s="860">
        <f>'d3'!M248-d3П!M247</f>
        <v>0</v>
      </c>
      <c r="N248" s="860">
        <f>'d3'!N248-d3П!N247</f>
        <v>0</v>
      </c>
      <c r="O248" s="860">
        <f>'d3'!O248-d3П!O247</f>
        <v>0</v>
      </c>
      <c r="P248" s="860">
        <f>'d3'!P248-d3П!P247</f>
        <v>0</v>
      </c>
      <c r="R248" s="307"/>
    </row>
    <row r="249" spans="1:18" ht="93" hidden="1" thickTop="1" thickBot="1" x14ac:dyDescent="0.25">
      <c r="A249" s="873" t="s">
        <v>976</v>
      </c>
      <c r="B249" s="873" t="s">
        <v>209</v>
      </c>
      <c r="C249" s="873" t="s">
        <v>178</v>
      </c>
      <c r="D249" s="873" t="s">
        <v>36</v>
      </c>
      <c r="E249" s="860">
        <f>'d3'!E249-d3П!E248</f>
        <v>0</v>
      </c>
      <c r="F249" s="860">
        <f>'d3'!F249-d3П!F248</f>
        <v>0</v>
      </c>
      <c r="G249" s="860">
        <f>'d3'!G249-d3П!G248</f>
        <v>0</v>
      </c>
      <c r="H249" s="860">
        <f>'d3'!H249-d3П!H248</f>
        <v>0</v>
      </c>
      <c r="I249" s="860">
        <f>'d3'!I249-d3П!I248</f>
        <v>0</v>
      </c>
      <c r="J249" s="860">
        <f>'d3'!J249-d3П!J248</f>
        <v>0</v>
      </c>
      <c r="K249" s="860">
        <f>'d3'!K249-d3П!K248</f>
        <v>0</v>
      </c>
      <c r="L249" s="860">
        <f>'d3'!L249-d3П!L248</f>
        <v>0</v>
      </c>
      <c r="M249" s="860">
        <f>'d3'!M249-d3П!M248</f>
        <v>0</v>
      </c>
      <c r="N249" s="860">
        <f>'d3'!N249-d3П!N248</f>
        <v>0</v>
      </c>
      <c r="O249" s="860">
        <f>'d3'!O249-d3П!O248</f>
        <v>0</v>
      </c>
      <c r="P249" s="860">
        <f>'d3'!P249-d3П!P248</f>
        <v>0</v>
      </c>
      <c r="R249" s="307"/>
    </row>
    <row r="250" spans="1:18" ht="47.25" thickTop="1" thickBot="1" x14ac:dyDescent="0.25">
      <c r="A250" s="489" t="s">
        <v>841</v>
      </c>
      <c r="B250" s="489" t="s">
        <v>737</v>
      </c>
      <c r="C250" s="489"/>
      <c r="D250" s="489" t="s">
        <v>842</v>
      </c>
      <c r="E250" s="860">
        <f>'d3'!E250-d3П!E249</f>
        <v>0</v>
      </c>
      <c r="F250" s="860">
        <f>'d3'!F250-d3П!F249</f>
        <v>0</v>
      </c>
      <c r="G250" s="860">
        <f>'d3'!G250-d3П!G249</f>
        <v>0</v>
      </c>
      <c r="H250" s="860">
        <f>'d3'!H250-d3П!H249</f>
        <v>0</v>
      </c>
      <c r="I250" s="860">
        <f>'d3'!I250-d3П!I249</f>
        <v>0</v>
      </c>
      <c r="J250" s="860">
        <f>'d3'!J250-d3П!J249</f>
        <v>0</v>
      </c>
      <c r="K250" s="860">
        <f>'d3'!K250-d3П!K249</f>
        <v>0</v>
      </c>
      <c r="L250" s="860">
        <f>'d3'!L250-d3П!L249</f>
        <v>0</v>
      </c>
      <c r="M250" s="860">
        <f>'d3'!M250-d3П!M249</f>
        <v>0</v>
      </c>
      <c r="N250" s="860">
        <f>'d3'!N250-d3П!N249</f>
        <v>0</v>
      </c>
      <c r="O250" s="860">
        <f>'d3'!O250-d3П!O249</f>
        <v>0</v>
      </c>
      <c r="P250" s="860">
        <f>'d3'!P250-d3П!P249</f>
        <v>0</v>
      </c>
      <c r="R250" s="297"/>
    </row>
    <row r="251" spans="1:18" ht="409.6" thickTop="1" thickBot="1" x14ac:dyDescent="0.7">
      <c r="A251" s="920" t="s">
        <v>440</v>
      </c>
      <c r="B251" s="920" t="s">
        <v>352</v>
      </c>
      <c r="C251" s="920" t="s">
        <v>178</v>
      </c>
      <c r="D251" s="484" t="s">
        <v>457</v>
      </c>
      <c r="E251" s="1080">
        <f>'d3'!E251-d3П!E250</f>
        <v>0</v>
      </c>
      <c r="F251" s="1080">
        <f>'d3'!F251-d3П!F250</f>
        <v>0</v>
      </c>
      <c r="G251" s="1080">
        <f>'d3'!G251-d3П!G250</f>
        <v>0</v>
      </c>
      <c r="H251" s="1080">
        <f>'d3'!H251-d3П!H250</f>
        <v>0</v>
      </c>
      <c r="I251" s="1080">
        <f>'d3'!I251-d3П!I250</f>
        <v>0</v>
      </c>
      <c r="J251" s="1080">
        <f>'d3'!J251-d3П!J250</f>
        <v>0</v>
      </c>
      <c r="K251" s="1080">
        <f>'d3'!K251-d3П!K250</f>
        <v>0</v>
      </c>
      <c r="L251" s="1080">
        <f>'d3'!L251-d3П!L250</f>
        <v>0</v>
      </c>
      <c r="M251" s="1080">
        <f>'d3'!M251-d3П!M250</f>
        <v>0</v>
      </c>
      <c r="N251" s="1080">
        <f>'d3'!N251-d3П!N250</f>
        <v>0</v>
      </c>
      <c r="O251" s="1080">
        <f>'d3'!O251-d3П!O250</f>
        <v>0</v>
      </c>
      <c r="P251" s="1080">
        <f>'d3'!P251-d3П!P250</f>
        <v>0</v>
      </c>
      <c r="R251" s="297"/>
    </row>
    <row r="252" spans="1:18" ht="184.5" thickTop="1" thickBot="1" x14ac:dyDescent="0.25">
      <c r="A252" s="920"/>
      <c r="B252" s="920"/>
      <c r="C252" s="920"/>
      <c r="D252" s="488" t="s">
        <v>458</v>
      </c>
      <c r="E252" s="1081"/>
      <c r="F252" s="1081"/>
      <c r="G252" s="1081"/>
      <c r="H252" s="1081"/>
      <c r="I252" s="1081"/>
      <c r="J252" s="1081"/>
      <c r="K252" s="1081"/>
      <c r="L252" s="1081"/>
      <c r="M252" s="1081"/>
      <c r="N252" s="1081"/>
      <c r="O252" s="1081"/>
      <c r="P252" s="1081"/>
      <c r="R252" s="297"/>
    </row>
    <row r="253" spans="1:18" ht="181.5" thickTop="1" thickBot="1" x14ac:dyDescent="0.25">
      <c r="A253" s="828" t="s">
        <v>566</v>
      </c>
      <c r="B253" s="828"/>
      <c r="C253" s="828"/>
      <c r="D253" s="829" t="s">
        <v>585</v>
      </c>
      <c r="E253" s="830">
        <f>E254</f>
        <v>37595000</v>
      </c>
      <c r="F253" s="831">
        <f t="shared" ref="F253:G253" si="43">F254</f>
        <v>37595000</v>
      </c>
      <c r="G253" s="831">
        <f t="shared" si="43"/>
        <v>0</v>
      </c>
      <c r="H253" s="831">
        <f>H254</f>
        <v>0</v>
      </c>
      <c r="I253" s="831">
        <f t="shared" ref="I253" si="44">I254</f>
        <v>0</v>
      </c>
      <c r="J253" s="830">
        <f>J254</f>
        <v>-11595000</v>
      </c>
      <c r="K253" s="831">
        <f>K254</f>
        <v>-11595000</v>
      </c>
      <c r="L253" s="831">
        <f>L254</f>
        <v>0</v>
      </c>
      <c r="M253" s="831">
        <f t="shared" ref="M253" si="45">M254</f>
        <v>0</v>
      </c>
      <c r="N253" s="831">
        <f>N254</f>
        <v>0</v>
      </c>
      <c r="O253" s="830">
        <f>O254</f>
        <v>-11595000</v>
      </c>
      <c r="P253" s="831">
        <f>P254</f>
        <v>26000000</v>
      </c>
      <c r="R253" s="297"/>
    </row>
    <row r="254" spans="1:18" ht="181.5" thickTop="1" thickBot="1" x14ac:dyDescent="0.25">
      <c r="A254" s="832" t="s">
        <v>567</v>
      </c>
      <c r="B254" s="832"/>
      <c r="C254" s="832"/>
      <c r="D254" s="833" t="s">
        <v>586</v>
      </c>
      <c r="E254" s="834">
        <f>E255+E259+E266+E279</f>
        <v>37595000</v>
      </c>
      <c r="F254" s="834">
        <f t="shared" ref="F254:I254" si="46">F255+F259+F266+F279</f>
        <v>37595000</v>
      </c>
      <c r="G254" s="834">
        <f t="shared" si="46"/>
        <v>0</v>
      </c>
      <c r="H254" s="834">
        <f t="shared" si="46"/>
        <v>0</v>
      </c>
      <c r="I254" s="834">
        <f t="shared" si="46"/>
        <v>0</v>
      </c>
      <c r="J254" s="834">
        <f t="shared" ref="J254:J276" si="47">L254+O254</f>
        <v>-11595000</v>
      </c>
      <c r="K254" s="834">
        <f t="shared" ref="K254:O254" si="48">K255+K259+K266+K279</f>
        <v>-11595000</v>
      </c>
      <c r="L254" s="834">
        <f t="shared" si="48"/>
        <v>0</v>
      </c>
      <c r="M254" s="834">
        <f t="shared" si="48"/>
        <v>0</v>
      </c>
      <c r="N254" s="834">
        <f t="shared" si="48"/>
        <v>0</v>
      </c>
      <c r="O254" s="834">
        <f t="shared" si="48"/>
        <v>-11595000</v>
      </c>
      <c r="P254" s="834">
        <f>E254+J254</f>
        <v>26000000</v>
      </c>
      <c r="Q254" s="628" t="b">
        <f>P254=P256+P257+P258+P261+P262+P263+P264+P268+P271+P273+P274+P276+P281+P282+P283+P265+P278</f>
        <v>1</v>
      </c>
      <c r="R254" s="291"/>
    </row>
    <row r="255" spans="1:18" ht="47.25" thickTop="1" thickBot="1" x14ac:dyDescent="0.25">
      <c r="A255" s="151" t="s">
        <v>843</v>
      </c>
      <c r="B255" s="151" t="s">
        <v>727</v>
      </c>
      <c r="C255" s="151"/>
      <c r="D255" s="151" t="s">
        <v>728</v>
      </c>
      <c r="E255" s="860">
        <f>'d3'!E255-d3П!E254</f>
        <v>0</v>
      </c>
      <c r="F255" s="860">
        <f>'d3'!F255-d3П!F254</f>
        <v>0</v>
      </c>
      <c r="G255" s="860">
        <f>'d3'!G255-d3П!G254</f>
        <v>0</v>
      </c>
      <c r="H255" s="860">
        <f>'d3'!H255-d3П!H254</f>
        <v>0</v>
      </c>
      <c r="I255" s="860">
        <f>'d3'!I255-d3П!I254</f>
        <v>0</v>
      </c>
      <c r="J255" s="860">
        <f>'d3'!J255-d3П!J254</f>
        <v>0</v>
      </c>
      <c r="K255" s="860">
        <f>'d3'!K255-d3П!K254</f>
        <v>0</v>
      </c>
      <c r="L255" s="860">
        <f>'d3'!L255-d3П!L254</f>
        <v>0</v>
      </c>
      <c r="M255" s="860">
        <f>'d3'!M255-d3П!M254</f>
        <v>0</v>
      </c>
      <c r="N255" s="860">
        <f>'d3'!N255-d3П!N254</f>
        <v>0</v>
      </c>
      <c r="O255" s="860">
        <f>'d3'!O255-d3П!O254</f>
        <v>0</v>
      </c>
      <c r="P255" s="860">
        <f>'d3'!P255-d3П!P254</f>
        <v>0</v>
      </c>
      <c r="Q255" s="628"/>
      <c r="R255" s="291"/>
    </row>
    <row r="256" spans="1:18" ht="230.25" thickTop="1" thickBot="1" x14ac:dyDescent="0.25">
      <c r="A256" s="864" t="s">
        <v>568</v>
      </c>
      <c r="B256" s="864" t="s">
        <v>248</v>
      </c>
      <c r="C256" s="864" t="s">
        <v>246</v>
      </c>
      <c r="D256" s="864" t="s">
        <v>247</v>
      </c>
      <c r="E256" s="860">
        <f>'d3'!E256-d3П!E255</f>
        <v>0</v>
      </c>
      <c r="F256" s="860">
        <f>'d3'!F256-d3П!F255</f>
        <v>0</v>
      </c>
      <c r="G256" s="860">
        <f>'d3'!G256-d3П!G255</f>
        <v>0</v>
      </c>
      <c r="H256" s="860">
        <f>'d3'!H256-d3П!H255</f>
        <v>0</v>
      </c>
      <c r="I256" s="860">
        <f>'d3'!I256-d3П!I255</f>
        <v>0</v>
      </c>
      <c r="J256" s="860">
        <f>'d3'!J256-d3П!J255</f>
        <v>0</v>
      </c>
      <c r="K256" s="860">
        <f>'d3'!K256-d3П!K255</f>
        <v>0</v>
      </c>
      <c r="L256" s="860">
        <f>'d3'!L256-d3П!L255</f>
        <v>0</v>
      </c>
      <c r="M256" s="860">
        <f>'d3'!M256-d3П!M255</f>
        <v>0</v>
      </c>
      <c r="N256" s="860">
        <f>'d3'!N256-d3П!N255</f>
        <v>0</v>
      </c>
      <c r="O256" s="860">
        <f>'d3'!O256-d3П!O255</f>
        <v>0</v>
      </c>
      <c r="P256" s="860">
        <f>'d3'!P256-d3П!P255</f>
        <v>0</v>
      </c>
      <c r="R256" s="291"/>
    </row>
    <row r="257" spans="1:18" ht="184.5" thickTop="1" thickBot="1" x14ac:dyDescent="0.25">
      <c r="A257" s="862" t="s">
        <v>671</v>
      </c>
      <c r="B257" s="862" t="s">
        <v>376</v>
      </c>
      <c r="C257" s="862" t="s">
        <v>662</v>
      </c>
      <c r="D257" s="862" t="s">
        <v>663</v>
      </c>
      <c r="E257" s="860">
        <f>'d3'!E257-d3П!E256</f>
        <v>0</v>
      </c>
      <c r="F257" s="860">
        <f>'d3'!F257-d3П!F256</f>
        <v>0</v>
      </c>
      <c r="G257" s="860">
        <f>'d3'!G257-d3П!G256</f>
        <v>0</v>
      </c>
      <c r="H257" s="860">
        <f>'d3'!H257-d3П!H256</f>
        <v>0</v>
      </c>
      <c r="I257" s="860">
        <f>'d3'!I257-d3П!I256</f>
        <v>0</v>
      </c>
      <c r="J257" s="860">
        <f>'d3'!J257-d3П!J256</f>
        <v>0</v>
      </c>
      <c r="K257" s="860">
        <f>'d3'!K257-d3П!K256</f>
        <v>0</v>
      </c>
      <c r="L257" s="860">
        <f>'d3'!L257-d3П!L256</f>
        <v>0</v>
      </c>
      <c r="M257" s="860">
        <f>'d3'!M257-d3П!M256</f>
        <v>0</v>
      </c>
      <c r="N257" s="860">
        <f>'d3'!N257-d3П!N256</f>
        <v>0</v>
      </c>
      <c r="O257" s="860">
        <f>'d3'!O257-d3П!O256</f>
        <v>0</v>
      </c>
      <c r="P257" s="860">
        <f>'d3'!P257-d3П!P256</f>
        <v>0</v>
      </c>
      <c r="R257" s="291"/>
    </row>
    <row r="258" spans="1:18" ht="93" thickTop="1" thickBot="1" x14ac:dyDescent="0.25">
      <c r="A258" s="864" t="s">
        <v>569</v>
      </c>
      <c r="B258" s="864" t="s">
        <v>45</v>
      </c>
      <c r="C258" s="864" t="s">
        <v>44</v>
      </c>
      <c r="D258" s="864" t="s">
        <v>260</v>
      </c>
      <c r="E258" s="860">
        <f>'d3'!E258-d3П!E257</f>
        <v>0</v>
      </c>
      <c r="F258" s="860">
        <f>'d3'!F258-d3П!F257</f>
        <v>0</v>
      </c>
      <c r="G258" s="860">
        <f>'d3'!G258-d3П!G257</f>
        <v>0</v>
      </c>
      <c r="H258" s="860">
        <f>'d3'!H258-d3П!H257</f>
        <v>0</v>
      </c>
      <c r="I258" s="860">
        <f>'d3'!I258-d3П!I257</f>
        <v>0</v>
      </c>
      <c r="J258" s="860">
        <f>'d3'!J258-d3П!J257</f>
        <v>0</v>
      </c>
      <c r="K258" s="860">
        <f>'d3'!K258-d3П!K257</f>
        <v>0</v>
      </c>
      <c r="L258" s="860">
        <f>'d3'!L258-d3П!L257</f>
        <v>0</v>
      </c>
      <c r="M258" s="860">
        <f>'d3'!M258-d3П!M257</f>
        <v>0</v>
      </c>
      <c r="N258" s="860">
        <f>'d3'!N258-d3П!N257</f>
        <v>0</v>
      </c>
      <c r="O258" s="860">
        <f>'d3'!O258-d3П!O257</f>
        <v>0</v>
      </c>
      <c r="P258" s="860">
        <f>'d3'!P258-d3П!P257</f>
        <v>0</v>
      </c>
      <c r="R258" s="297"/>
    </row>
    <row r="259" spans="1:18" ht="91.5" thickTop="1" thickBot="1" x14ac:dyDescent="0.25">
      <c r="A259" s="151" t="s">
        <v>844</v>
      </c>
      <c r="B259" s="466" t="s">
        <v>786</v>
      </c>
      <c r="C259" s="466"/>
      <c r="D259" s="560" t="s">
        <v>787</v>
      </c>
      <c r="E259" s="860">
        <f>'d3'!E259-d3П!E258</f>
        <v>34615000</v>
      </c>
      <c r="F259" s="860">
        <f>'d3'!F259-d3П!F258</f>
        <v>34615000</v>
      </c>
      <c r="G259" s="860">
        <f>'d3'!G259-d3П!G258</f>
        <v>0</v>
      </c>
      <c r="H259" s="860">
        <f>'d3'!H259-d3П!H258</f>
        <v>0</v>
      </c>
      <c r="I259" s="860">
        <f>'d3'!I259-d3П!I258</f>
        <v>0</v>
      </c>
      <c r="J259" s="860">
        <f>'d3'!J259-d3П!J258</f>
        <v>-3700000</v>
      </c>
      <c r="K259" s="860">
        <f>'d3'!K259-d3П!K258</f>
        <v>-3700000</v>
      </c>
      <c r="L259" s="860">
        <f>'d3'!L259-d3П!L258</f>
        <v>0</v>
      </c>
      <c r="M259" s="860">
        <f>'d3'!M259-d3П!M258</f>
        <v>0</v>
      </c>
      <c r="N259" s="860">
        <f>'d3'!N259-d3П!N258</f>
        <v>0</v>
      </c>
      <c r="O259" s="860">
        <f>'d3'!O259-d3П!O258</f>
        <v>-3700000</v>
      </c>
      <c r="P259" s="860">
        <f>'d3'!P259-d3П!P258</f>
        <v>30915000</v>
      </c>
      <c r="R259" s="297"/>
    </row>
    <row r="260" spans="1:18" ht="184.5" thickTop="1" thickBot="1" x14ac:dyDescent="0.25">
      <c r="A260" s="489" t="s">
        <v>845</v>
      </c>
      <c r="B260" s="470" t="s">
        <v>836</v>
      </c>
      <c r="C260" s="470"/>
      <c r="D260" s="470" t="s">
        <v>837</v>
      </c>
      <c r="E260" s="860">
        <f>'d3'!E260-d3П!E259</f>
        <v>0</v>
      </c>
      <c r="F260" s="860">
        <f>'d3'!F260-d3П!F259</f>
        <v>0</v>
      </c>
      <c r="G260" s="860">
        <f>'d3'!G260-d3П!G259</f>
        <v>0</v>
      </c>
      <c r="H260" s="860">
        <f>'d3'!H260-d3П!H259</f>
        <v>0</v>
      </c>
      <c r="I260" s="860">
        <f>'d3'!I260-d3П!I259</f>
        <v>0</v>
      </c>
      <c r="J260" s="860">
        <f>'d3'!J260-d3П!J259</f>
        <v>0</v>
      </c>
      <c r="K260" s="860">
        <f>'d3'!K260-d3П!K259</f>
        <v>0</v>
      </c>
      <c r="L260" s="860">
        <f>'d3'!L260-d3П!L259</f>
        <v>0</v>
      </c>
      <c r="M260" s="860">
        <f>'d3'!M260-d3П!M259</f>
        <v>0</v>
      </c>
      <c r="N260" s="860">
        <f>'d3'!N260-d3П!N259</f>
        <v>0</v>
      </c>
      <c r="O260" s="860">
        <f>'d3'!O260-d3П!O259</f>
        <v>0</v>
      </c>
      <c r="P260" s="860">
        <f>'d3'!P260-d3П!P259</f>
        <v>0</v>
      </c>
      <c r="R260" s="297"/>
    </row>
    <row r="261" spans="1:18" ht="184.5" thickTop="1" thickBot="1" x14ac:dyDescent="0.25">
      <c r="A261" s="864" t="s">
        <v>570</v>
      </c>
      <c r="B261" s="864" t="s">
        <v>391</v>
      </c>
      <c r="C261" s="864" t="s">
        <v>295</v>
      </c>
      <c r="D261" s="864" t="s">
        <v>392</v>
      </c>
      <c r="E261" s="860">
        <f>'d3'!E261-d3П!E260</f>
        <v>0</v>
      </c>
      <c r="F261" s="860">
        <f>'d3'!F261-d3П!F260</f>
        <v>0</v>
      </c>
      <c r="G261" s="860">
        <f>'d3'!G261-d3П!G260</f>
        <v>0</v>
      </c>
      <c r="H261" s="860">
        <f>'d3'!H261-d3П!H260</f>
        <v>0</v>
      </c>
      <c r="I261" s="860">
        <f>'d3'!I261-d3П!I260</f>
        <v>0</v>
      </c>
      <c r="J261" s="860">
        <f>'d3'!J261-d3П!J260</f>
        <v>0</v>
      </c>
      <c r="K261" s="860">
        <f>'d3'!K261-d3П!K260</f>
        <v>0</v>
      </c>
      <c r="L261" s="860">
        <f>'d3'!L261-d3П!L260</f>
        <v>0</v>
      </c>
      <c r="M261" s="860">
        <f>'d3'!M261-d3П!M260</f>
        <v>0</v>
      </c>
      <c r="N261" s="860">
        <f>'d3'!N261-d3П!N260</f>
        <v>0</v>
      </c>
      <c r="O261" s="860">
        <f>'d3'!O261-d3П!O260</f>
        <v>0</v>
      </c>
      <c r="P261" s="860">
        <f>'d3'!P261-d3П!P260</f>
        <v>0</v>
      </c>
      <c r="R261" s="297"/>
    </row>
    <row r="262" spans="1:18" ht="138.75" thickTop="1" thickBot="1" x14ac:dyDescent="0.25">
      <c r="A262" s="864" t="s">
        <v>571</v>
      </c>
      <c r="B262" s="864" t="s">
        <v>298</v>
      </c>
      <c r="C262" s="864" t="s">
        <v>295</v>
      </c>
      <c r="D262" s="864" t="s">
        <v>299</v>
      </c>
      <c r="E262" s="860">
        <f>'d3'!E262-d3П!E261</f>
        <v>0</v>
      </c>
      <c r="F262" s="860">
        <f>'d3'!F262-d3П!F261</f>
        <v>0</v>
      </c>
      <c r="G262" s="860">
        <f>'d3'!G262-d3П!G261</f>
        <v>0</v>
      </c>
      <c r="H262" s="860">
        <f>'d3'!H262-d3П!H261</f>
        <v>0</v>
      </c>
      <c r="I262" s="860">
        <f>'d3'!I262-d3П!I261</f>
        <v>0</v>
      </c>
      <c r="J262" s="860">
        <f>'d3'!J262-d3П!J261</f>
        <v>0</v>
      </c>
      <c r="K262" s="860">
        <f>'d3'!K262-d3П!K261</f>
        <v>0</v>
      </c>
      <c r="L262" s="860">
        <f>'d3'!L262-d3П!L261</f>
        <v>0</v>
      </c>
      <c r="M262" s="860">
        <f>'d3'!M262-d3П!M261</f>
        <v>0</v>
      </c>
      <c r="N262" s="860">
        <f>'d3'!N262-d3П!N261</f>
        <v>0</v>
      </c>
      <c r="O262" s="860">
        <f>'d3'!O262-d3П!O261</f>
        <v>0</v>
      </c>
      <c r="P262" s="860">
        <f>'d3'!P262-d3П!P261</f>
        <v>0</v>
      </c>
      <c r="R262" s="297"/>
    </row>
    <row r="263" spans="1:18" ht="230.25" thickTop="1" thickBot="1" x14ac:dyDescent="0.25">
      <c r="A263" s="864" t="s">
        <v>572</v>
      </c>
      <c r="B263" s="864" t="s">
        <v>310</v>
      </c>
      <c r="C263" s="864" t="s">
        <v>295</v>
      </c>
      <c r="D263" s="864" t="s">
        <v>311</v>
      </c>
      <c r="E263" s="860">
        <f>'d3'!E263-d3П!E262</f>
        <v>0</v>
      </c>
      <c r="F263" s="860">
        <f>'d3'!F263-d3П!F262</f>
        <v>0</v>
      </c>
      <c r="G263" s="860">
        <f>'d3'!G263-d3П!G262</f>
        <v>0</v>
      </c>
      <c r="H263" s="860">
        <f>'d3'!H263-d3П!H262</f>
        <v>0</v>
      </c>
      <c r="I263" s="860">
        <f>'d3'!I263-d3П!I262</f>
        <v>0</v>
      </c>
      <c r="J263" s="860">
        <f>'d3'!J263-d3П!J262</f>
        <v>0</v>
      </c>
      <c r="K263" s="860">
        <f>'d3'!K263-d3П!K262</f>
        <v>0</v>
      </c>
      <c r="L263" s="860">
        <f>'d3'!L263-d3П!L262</f>
        <v>0</v>
      </c>
      <c r="M263" s="860">
        <f>'d3'!M263-d3П!M262</f>
        <v>0</v>
      </c>
      <c r="N263" s="860">
        <f>'d3'!N263-d3П!N262</f>
        <v>0</v>
      </c>
      <c r="O263" s="860">
        <f>'d3'!O263-d3П!O262</f>
        <v>0</v>
      </c>
      <c r="P263" s="860">
        <f>'d3'!P263-d3П!P262</f>
        <v>0</v>
      </c>
      <c r="R263" s="297"/>
    </row>
    <row r="264" spans="1:18" ht="93" thickTop="1" thickBot="1" x14ac:dyDescent="0.25">
      <c r="A264" s="864" t="s">
        <v>573</v>
      </c>
      <c r="B264" s="864" t="s">
        <v>301</v>
      </c>
      <c r="C264" s="864" t="s">
        <v>295</v>
      </c>
      <c r="D264" s="864" t="s">
        <v>302</v>
      </c>
      <c r="E264" s="860">
        <f>'d3'!E264-d3П!E263</f>
        <v>34615000</v>
      </c>
      <c r="F264" s="860">
        <f>'d3'!F264-d3П!F263</f>
        <v>34615000</v>
      </c>
      <c r="G264" s="860">
        <f>'d3'!G264-d3П!G263</f>
        <v>0</v>
      </c>
      <c r="H264" s="860">
        <f>'d3'!H264-d3П!H263</f>
        <v>0</v>
      </c>
      <c r="I264" s="860">
        <f>'d3'!I264-d3П!I263</f>
        <v>0</v>
      </c>
      <c r="J264" s="860">
        <f>'d3'!J264-d3П!J263</f>
        <v>-3700000</v>
      </c>
      <c r="K264" s="860">
        <f>'d3'!K264-d3П!K263</f>
        <v>-3700000</v>
      </c>
      <c r="L264" s="860">
        <f>'d3'!L264-d3П!L263</f>
        <v>0</v>
      </c>
      <c r="M264" s="860">
        <f>'d3'!M264-d3П!M263</f>
        <v>0</v>
      </c>
      <c r="N264" s="860">
        <f>'d3'!N264-d3П!N263</f>
        <v>0</v>
      </c>
      <c r="O264" s="860">
        <f>'d3'!O264-d3П!O263</f>
        <v>-3700000</v>
      </c>
      <c r="P264" s="860">
        <f>'d3'!P264-d3П!P263</f>
        <v>30915000</v>
      </c>
      <c r="R264" s="291"/>
    </row>
    <row r="265" spans="1:18" ht="138.75" thickTop="1" thickBot="1" x14ac:dyDescent="0.25">
      <c r="A265" s="864" t="s">
        <v>1289</v>
      </c>
      <c r="B265" s="864" t="s">
        <v>1290</v>
      </c>
      <c r="C265" s="864" t="s">
        <v>1291</v>
      </c>
      <c r="D265" s="864" t="s">
        <v>1288</v>
      </c>
      <c r="E265" s="860">
        <f>'d3'!E265-d3П!E264</f>
        <v>0</v>
      </c>
      <c r="F265" s="860">
        <f>'d3'!F265-d3П!F264</f>
        <v>0</v>
      </c>
      <c r="G265" s="860">
        <f>'d3'!G265-d3П!G264</f>
        <v>0</v>
      </c>
      <c r="H265" s="860">
        <f>'d3'!H265-d3П!H264</f>
        <v>0</v>
      </c>
      <c r="I265" s="860">
        <f>'d3'!I265-d3П!I264</f>
        <v>0</v>
      </c>
      <c r="J265" s="860">
        <f>'d3'!J265-d3П!J264</f>
        <v>0</v>
      </c>
      <c r="K265" s="860">
        <f>'d3'!K265-d3П!K264</f>
        <v>0</v>
      </c>
      <c r="L265" s="860">
        <f>'d3'!L265-d3П!L264</f>
        <v>0</v>
      </c>
      <c r="M265" s="860">
        <f>'d3'!M265-d3П!M264</f>
        <v>0</v>
      </c>
      <c r="N265" s="860">
        <f>'d3'!N265-d3П!N264</f>
        <v>0</v>
      </c>
      <c r="O265" s="860">
        <f>'d3'!O265-d3П!O264</f>
        <v>0</v>
      </c>
      <c r="P265" s="860">
        <f>'d3'!P265-d3П!P264</f>
        <v>0</v>
      </c>
      <c r="R265" s="291"/>
    </row>
    <row r="266" spans="1:18" ht="47.25" thickTop="1" thickBot="1" x14ac:dyDescent="0.25">
      <c r="A266" s="151" t="s">
        <v>846</v>
      </c>
      <c r="B266" s="466" t="s">
        <v>792</v>
      </c>
      <c r="C266" s="466"/>
      <c r="D266" s="466" t="s">
        <v>793</v>
      </c>
      <c r="E266" s="860">
        <f>'d3'!E266-d3П!E265</f>
        <v>2980000</v>
      </c>
      <c r="F266" s="860">
        <f>'d3'!F266-d3П!F265</f>
        <v>2980000</v>
      </c>
      <c r="G266" s="860">
        <f>'d3'!G266-d3П!G265</f>
        <v>0</v>
      </c>
      <c r="H266" s="860">
        <f>'d3'!H266-d3П!H265</f>
        <v>0</v>
      </c>
      <c r="I266" s="860">
        <f>'d3'!I266-d3П!I265</f>
        <v>0</v>
      </c>
      <c r="J266" s="860">
        <f>'d3'!J266-d3П!J265</f>
        <v>-7895000</v>
      </c>
      <c r="K266" s="860">
        <f>'d3'!K266-d3П!K265</f>
        <v>-7895000</v>
      </c>
      <c r="L266" s="860">
        <f>'d3'!L266-d3П!L265</f>
        <v>0</v>
      </c>
      <c r="M266" s="860">
        <f>'d3'!M266-d3П!M265</f>
        <v>0</v>
      </c>
      <c r="N266" s="860">
        <f>'d3'!N266-d3П!N265</f>
        <v>0</v>
      </c>
      <c r="O266" s="860">
        <f>'d3'!O266-d3П!O265</f>
        <v>-7895000</v>
      </c>
      <c r="P266" s="860">
        <f>'d3'!P266-d3П!P265</f>
        <v>-4915000</v>
      </c>
      <c r="R266" s="297"/>
    </row>
    <row r="267" spans="1:18" ht="91.5" thickTop="1" thickBot="1" x14ac:dyDescent="0.25">
      <c r="A267" s="467" t="s">
        <v>847</v>
      </c>
      <c r="B267" s="467" t="s">
        <v>848</v>
      </c>
      <c r="C267" s="467"/>
      <c r="D267" s="467" t="s">
        <v>849</v>
      </c>
      <c r="E267" s="860">
        <f>'d3'!E267-d3П!E266</f>
        <v>0</v>
      </c>
      <c r="F267" s="860">
        <f>'d3'!F267-d3П!F266</f>
        <v>0</v>
      </c>
      <c r="G267" s="860">
        <f>'d3'!G267-d3П!G266</f>
        <v>0</v>
      </c>
      <c r="H267" s="860">
        <f>'d3'!H267-d3П!H266</f>
        <v>0</v>
      </c>
      <c r="I267" s="860">
        <f>'d3'!I267-d3П!I266</f>
        <v>0</v>
      </c>
      <c r="J267" s="860">
        <f>'d3'!J267-d3П!J266</f>
        <v>-600000</v>
      </c>
      <c r="K267" s="860">
        <f>'d3'!K267-d3П!K266</f>
        <v>-600000</v>
      </c>
      <c r="L267" s="860">
        <f>'d3'!L267-d3П!L266</f>
        <v>0</v>
      </c>
      <c r="M267" s="860">
        <f>'d3'!M267-d3П!M266</f>
        <v>0</v>
      </c>
      <c r="N267" s="860">
        <f>'d3'!N267-d3П!N266</f>
        <v>0</v>
      </c>
      <c r="O267" s="860">
        <f>'d3'!O267-d3П!O266</f>
        <v>-600000</v>
      </c>
      <c r="P267" s="860">
        <f>'d3'!P267-d3П!P266</f>
        <v>-600000</v>
      </c>
      <c r="R267" s="297"/>
    </row>
    <row r="268" spans="1:18" ht="99.75" thickTop="1" thickBot="1" x14ac:dyDescent="0.25">
      <c r="A268" s="864" t="s">
        <v>574</v>
      </c>
      <c r="B268" s="864" t="s">
        <v>318</v>
      </c>
      <c r="C268" s="864" t="s">
        <v>317</v>
      </c>
      <c r="D268" s="864" t="s">
        <v>664</v>
      </c>
      <c r="E268" s="860">
        <f>'d3'!E268-d3П!E267</f>
        <v>0</v>
      </c>
      <c r="F268" s="860">
        <f>'d3'!F268-d3П!F267</f>
        <v>0</v>
      </c>
      <c r="G268" s="860">
        <f>'d3'!G268-d3П!G267</f>
        <v>0</v>
      </c>
      <c r="H268" s="860">
        <f>'d3'!H268-d3П!H267</f>
        <v>0</v>
      </c>
      <c r="I268" s="860">
        <f>'d3'!I268-d3П!I267</f>
        <v>0</v>
      </c>
      <c r="J268" s="860">
        <f>'d3'!J268-d3П!J267</f>
        <v>-600000</v>
      </c>
      <c r="K268" s="860">
        <f>'d3'!K268-d3П!K267</f>
        <v>-600000</v>
      </c>
      <c r="L268" s="860">
        <f>'d3'!L268-d3П!L267</f>
        <v>0</v>
      </c>
      <c r="M268" s="860">
        <f>'d3'!M268-d3П!M267</f>
        <v>0</v>
      </c>
      <c r="N268" s="860">
        <f>'d3'!N268-d3П!N267</f>
        <v>0</v>
      </c>
      <c r="O268" s="860">
        <f>'d3'!O268-d3П!O267</f>
        <v>-600000</v>
      </c>
      <c r="P268" s="860">
        <f>'d3'!P268-d3П!P267</f>
        <v>-600000</v>
      </c>
      <c r="R268" s="291"/>
    </row>
    <row r="269" spans="1:18" ht="136.5" thickTop="1" thickBot="1" x14ac:dyDescent="0.25">
      <c r="A269" s="467" t="s">
        <v>850</v>
      </c>
      <c r="B269" s="467" t="s">
        <v>851</v>
      </c>
      <c r="C269" s="467"/>
      <c r="D269" s="467" t="s">
        <v>852</v>
      </c>
      <c r="E269" s="860">
        <f>'d3'!E269-d3П!E268</f>
        <v>2980000</v>
      </c>
      <c r="F269" s="860">
        <f>'d3'!F269-d3П!F268</f>
        <v>2980000</v>
      </c>
      <c r="G269" s="860">
        <f>'d3'!G269-d3П!G268</f>
        <v>0</v>
      </c>
      <c r="H269" s="860">
        <f>'d3'!H269-d3П!H268</f>
        <v>0</v>
      </c>
      <c r="I269" s="860">
        <f>'d3'!I269-d3П!I268</f>
        <v>0</v>
      </c>
      <c r="J269" s="860">
        <f>'d3'!J269-d3П!J268</f>
        <v>-5000000</v>
      </c>
      <c r="K269" s="860">
        <f>'d3'!K269-d3П!K268</f>
        <v>-5000000</v>
      </c>
      <c r="L269" s="860">
        <f>'d3'!L269-d3П!L268</f>
        <v>0</v>
      </c>
      <c r="M269" s="860">
        <f>'d3'!M269-d3П!M268</f>
        <v>0</v>
      </c>
      <c r="N269" s="860">
        <f>'d3'!N269-d3П!N268</f>
        <v>0</v>
      </c>
      <c r="O269" s="860">
        <f>'d3'!O269-d3П!O268</f>
        <v>-5000000</v>
      </c>
      <c r="P269" s="860">
        <f>'d3'!P269-d3П!P268</f>
        <v>-2020000</v>
      </c>
      <c r="R269" s="297"/>
    </row>
    <row r="270" spans="1:18" ht="138.75" thickTop="1" thickBot="1" x14ac:dyDescent="0.25">
      <c r="A270" s="864" t="s">
        <v>1029</v>
      </c>
      <c r="B270" s="489" t="s">
        <v>1030</v>
      </c>
      <c r="C270" s="467"/>
      <c r="D270" s="489" t="s">
        <v>1031</v>
      </c>
      <c r="E270" s="860">
        <f>'d3'!E270-d3П!E269</f>
        <v>2980000</v>
      </c>
      <c r="F270" s="860">
        <f>'d3'!F270-d3П!F269</f>
        <v>2980000</v>
      </c>
      <c r="G270" s="860">
        <f>'d3'!G270-d3П!G269</f>
        <v>0</v>
      </c>
      <c r="H270" s="860">
        <f>'d3'!H270-d3П!H269</f>
        <v>0</v>
      </c>
      <c r="I270" s="860">
        <f>'d3'!I270-d3П!I269</f>
        <v>0</v>
      </c>
      <c r="J270" s="860">
        <f>'d3'!J270-d3П!J269</f>
        <v>-5000000</v>
      </c>
      <c r="K270" s="860">
        <f>'d3'!K270-d3П!K269</f>
        <v>-5000000</v>
      </c>
      <c r="L270" s="860">
        <f>'d3'!L270-d3П!L269</f>
        <v>0</v>
      </c>
      <c r="M270" s="860">
        <f>'d3'!M270-d3П!M269</f>
        <v>0</v>
      </c>
      <c r="N270" s="860">
        <f>'d3'!N270-d3П!N269</f>
        <v>0</v>
      </c>
      <c r="O270" s="860">
        <f>'d3'!O270-d3П!O269</f>
        <v>-5000000</v>
      </c>
      <c r="P270" s="860">
        <f>'d3'!P270-d3П!P269</f>
        <v>-2020000</v>
      </c>
      <c r="R270" s="297"/>
    </row>
    <row r="271" spans="1:18" ht="230.25" thickTop="1" thickBot="1" x14ac:dyDescent="0.25">
      <c r="A271" s="864" t="s">
        <v>575</v>
      </c>
      <c r="B271" s="864" t="s">
        <v>306</v>
      </c>
      <c r="C271" s="864" t="s">
        <v>308</v>
      </c>
      <c r="D271" s="864" t="s">
        <v>307</v>
      </c>
      <c r="E271" s="860">
        <f>'d3'!E271-d3П!E270</f>
        <v>2980000</v>
      </c>
      <c r="F271" s="860">
        <f>'d3'!F271-d3П!F270</f>
        <v>2980000</v>
      </c>
      <c r="G271" s="860">
        <f>'d3'!G271-d3П!G270</f>
        <v>0</v>
      </c>
      <c r="H271" s="860">
        <f>'d3'!H271-d3П!H270</f>
        <v>0</v>
      </c>
      <c r="I271" s="860">
        <f>'d3'!I271-d3П!I270</f>
        <v>0</v>
      </c>
      <c r="J271" s="860">
        <f>'d3'!J271-d3П!J270</f>
        <v>-5000000</v>
      </c>
      <c r="K271" s="860">
        <f>'d3'!K271-d3П!K270</f>
        <v>-5000000</v>
      </c>
      <c r="L271" s="860">
        <f>'d3'!L271-d3П!L270</f>
        <v>0</v>
      </c>
      <c r="M271" s="860">
        <f>'d3'!M271-d3П!M270</f>
        <v>0</v>
      </c>
      <c r="N271" s="860">
        <f>'d3'!N271-d3П!N270</f>
        <v>0</v>
      </c>
      <c r="O271" s="860">
        <f>'d3'!O271-d3П!O270</f>
        <v>-5000000</v>
      </c>
      <c r="P271" s="860">
        <f>'d3'!P271-d3П!P270</f>
        <v>-2020000</v>
      </c>
      <c r="R271" s="291"/>
    </row>
    <row r="272" spans="1:18" ht="136.5" thickTop="1" thickBot="1" x14ac:dyDescent="0.25">
      <c r="A272" s="467" t="s">
        <v>853</v>
      </c>
      <c r="B272" s="467" t="s">
        <v>734</v>
      </c>
      <c r="C272" s="467"/>
      <c r="D272" s="467" t="s">
        <v>732</v>
      </c>
      <c r="E272" s="860">
        <f>'d3'!E272-d3П!E271</f>
        <v>0</v>
      </c>
      <c r="F272" s="860">
        <f>'d3'!F272-d3П!F271</f>
        <v>0</v>
      </c>
      <c r="G272" s="860">
        <f>'d3'!G272-d3П!G271</f>
        <v>0</v>
      </c>
      <c r="H272" s="860">
        <f>'d3'!H272-d3П!H271</f>
        <v>0</v>
      </c>
      <c r="I272" s="860">
        <f>'d3'!I272-d3П!I271</f>
        <v>0</v>
      </c>
      <c r="J272" s="860">
        <f>'d3'!J272-d3П!J271</f>
        <v>-2295000</v>
      </c>
      <c r="K272" s="860">
        <f>'d3'!K272-d3П!K271</f>
        <v>-2295000</v>
      </c>
      <c r="L272" s="860">
        <f>'d3'!L272-d3П!L271</f>
        <v>0</v>
      </c>
      <c r="M272" s="860">
        <f>'d3'!M272-d3П!M271</f>
        <v>0</v>
      </c>
      <c r="N272" s="860">
        <f>'d3'!N272-d3П!N271</f>
        <v>0</v>
      </c>
      <c r="O272" s="860">
        <f>'d3'!O272-d3П!O271</f>
        <v>-2295000</v>
      </c>
      <c r="P272" s="860">
        <f>'d3'!P272-d3П!P271</f>
        <v>-2295000</v>
      </c>
      <c r="R272" s="291"/>
    </row>
    <row r="273" spans="1:18" ht="47.25" thickTop="1" thickBot="1" x14ac:dyDescent="0.25">
      <c r="A273" s="864" t="s">
        <v>576</v>
      </c>
      <c r="B273" s="864" t="s">
        <v>224</v>
      </c>
      <c r="C273" s="864" t="s">
        <v>225</v>
      </c>
      <c r="D273" s="864" t="s">
        <v>43</v>
      </c>
      <c r="E273" s="860">
        <f>'d3'!E273-d3П!E272</f>
        <v>0</v>
      </c>
      <c r="F273" s="860">
        <f>'d3'!F273-d3П!F272</f>
        <v>0</v>
      </c>
      <c r="G273" s="860">
        <f>'d3'!G273-d3П!G272</f>
        <v>0</v>
      </c>
      <c r="H273" s="860">
        <f>'d3'!H273-d3П!H272</f>
        <v>0</v>
      </c>
      <c r="I273" s="860">
        <f>'d3'!I273-d3П!I272</f>
        <v>0</v>
      </c>
      <c r="J273" s="860">
        <f>'d3'!J273-d3П!J272</f>
        <v>0</v>
      </c>
      <c r="K273" s="860">
        <f>'d3'!K273-d3П!K272</f>
        <v>0</v>
      </c>
      <c r="L273" s="860">
        <f>'d3'!L273-d3П!L272</f>
        <v>0</v>
      </c>
      <c r="M273" s="860">
        <f>'d3'!M273-d3П!M272</f>
        <v>0</v>
      </c>
      <c r="N273" s="860">
        <f>'d3'!N273-d3П!N272</f>
        <v>0</v>
      </c>
      <c r="O273" s="860">
        <f>'d3'!O273-d3П!O272</f>
        <v>0</v>
      </c>
      <c r="P273" s="860">
        <f>'d3'!P273-d3П!P272</f>
        <v>0</v>
      </c>
      <c r="R273" s="291"/>
    </row>
    <row r="274" spans="1:18" ht="93" thickTop="1" thickBot="1" x14ac:dyDescent="0.25">
      <c r="A274" s="864" t="s">
        <v>577</v>
      </c>
      <c r="B274" s="864" t="s">
        <v>209</v>
      </c>
      <c r="C274" s="864" t="s">
        <v>178</v>
      </c>
      <c r="D274" s="864" t="s">
        <v>36</v>
      </c>
      <c r="E274" s="860">
        <f>'d3'!E274-d3П!E273</f>
        <v>0</v>
      </c>
      <c r="F274" s="860">
        <f>'d3'!F274-d3П!F273</f>
        <v>0</v>
      </c>
      <c r="G274" s="860">
        <f>'d3'!G274-d3П!G273</f>
        <v>0</v>
      </c>
      <c r="H274" s="860">
        <f>'d3'!H274-d3П!H273</f>
        <v>0</v>
      </c>
      <c r="I274" s="860">
        <f>'d3'!I274-d3П!I273</f>
        <v>0</v>
      </c>
      <c r="J274" s="860">
        <f>'d3'!J274-d3П!J273</f>
        <v>-2295000</v>
      </c>
      <c r="K274" s="860">
        <f>'d3'!K274-d3П!K273</f>
        <v>-2295000</v>
      </c>
      <c r="L274" s="860">
        <f>'d3'!L274-d3П!L273</f>
        <v>0</v>
      </c>
      <c r="M274" s="860">
        <f>'d3'!M274-d3П!M273</f>
        <v>0</v>
      </c>
      <c r="N274" s="860">
        <f>'d3'!N274-d3П!N273</f>
        <v>0</v>
      </c>
      <c r="O274" s="860">
        <f>'d3'!O274-d3П!O273</f>
        <v>-2295000</v>
      </c>
      <c r="P274" s="860">
        <f>'d3'!P274-d3П!P273</f>
        <v>-2295000</v>
      </c>
      <c r="R274" s="291"/>
    </row>
    <row r="275" spans="1:18" ht="47.25" thickTop="1" thickBot="1" x14ac:dyDescent="0.25">
      <c r="A275" s="489" t="s">
        <v>854</v>
      </c>
      <c r="B275" s="489" t="s">
        <v>737</v>
      </c>
      <c r="C275" s="489"/>
      <c r="D275" s="489" t="s">
        <v>842</v>
      </c>
      <c r="E275" s="860">
        <f>'d3'!E275-d3П!E274</f>
        <v>0</v>
      </c>
      <c r="F275" s="860">
        <f>'d3'!F275-d3П!F274</f>
        <v>0</v>
      </c>
      <c r="G275" s="860">
        <f>'d3'!G275-d3П!G274</f>
        <v>0</v>
      </c>
      <c r="H275" s="860">
        <f>'d3'!H275-d3П!H274</f>
        <v>0</v>
      </c>
      <c r="I275" s="860">
        <f>'d3'!I275-d3П!I274</f>
        <v>0</v>
      </c>
      <c r="J275" s="860">
        <f>'d3'!J275-d3П!J274</f>
        <v>0</v>
      </c>
      <c r="K275" s="860">
        <f>'d3'!K275-d3П!K274</f>
        <v>0</v>
      </c>
      <c r="L275" s="860">
        <f>'d3'!L275-d3П!L274</f>
        <v>0</v>
      </c>
      <c r="M275" s="860">
        <f>'d3'!M275-d3П!M274</f>
        <v>0</v>
      </c>
      <c r="N275" s="860">
        <f>'d3'!N275-d3П!N274</f>
        <v>0</v>
      </c>
      <c r="O275" s="860">
        <f>'d3'!O275-d3П!O274</f>
        <v>0</v>
      </c>
      <c r="P275" s="860">
        <f>'d3'!P275-d3П!P274</f>
        <v>0</v>
      </c>
      <c r="R275" s="297"/>
    </row>
    <row r="276" spans="1:18" ht="409.6" thickTop="1" thickBot="1" x14ac:dyDescent="0.7">
      <c r="A276" s="920" t="s">
        <v>578</v>
      </c>
      <c r="B276" s="920" t="s">
        <v>352</v>
      </c>
      <c r="C276" s="920" t="s">
        <v>178</v>
      </c>
      <c r="D276" s="484" t="s">
        <v>457</v>
      </c>
      <c r="E276" s="1080">
        <f>'d3'!E276-d3П!E275</f>
        <v>0</v>
      </c>
      <c r="F276" s="1080">
        <f>'d3'!F276-d3П!F275</f>
        <v>0</v>
      </c>
      <c r="G276" s="1080">
        <f>'d3'!G276-d3П!G275</f>
        <v>0</v>
      </c>
      <c r="H276" s="1080">
        <f>'d3'!H276-d3П!H275</f>
        <v>0</v>
      </c>
      <c r="I276" s="1080">
        <f>'d3'!I276-d3П!I275</f>
        <v>0</v>
      </c>
      <c r="J276" s="1080">
        <f>'d3'!J276-d3П!J275</f>
        <v>0</v>
      </c>
      <c r="K276" s="1080">
        <f>'d3'!K276-d3П!K275</f>
        <v>0</v>
      </c>
      <c r="L276" s="1080">
        <f>'d3'!L276-d3П!L275</f>
        <v>0</v>
      </c>
      <c r="M276" s="1080">
        <f>'d3'!M276-d3П!M275</f>
        <v>0</v>
      </c>
      <c r="N276" s="1080">
        <f>'d3'!N276-d3П!N275</f>
        <v>0</v>
      </c>
      <c r="O276" s="1080">
        <f>'d3'!O276-d3П!O275</f>
        <v>0</v>
      </c>
      <c r="P276" s="1080">
        <f>'d3'!P276-d3П!P275</f>
        <v>0</v>
      </c>
      <c r="R276" s="297"/>
    </row>
    <row r="277" spans="1:18" ht="184.5" thickTop="1" thickBot="1" x14ac:dyDescent="0.25">
      <c r="A277" s="920"/>
      <c r="B277" s="920"/>
      <c r="C277" s="920"/>
      <c r="D277" s="488" t="s">
        <v>458</v>
      </c>
      <c r="E277" s="1081"/>
      <c r="F277" s="1081">
        <f>'d3'!F277-d3П!F276</f>
        <v>0</v>
      </c>
      <c r="G277" s="1081">
        <f>'d3'!G277-d3П!G276</f>
        <v>0</v>
      </c>
      <c r="H277" s="1081">
        <f>'d3'!H277-d3П!H276</f>
        <v>0</v>
      </c>
      <c r="I277" s="1081">
        <f>'d3'!I277-d3П!I276</f>
        <v>0</v>
      </c>
      <c r="J277" s="1081">
        <f>'d3'!J277-d3П!J276</f>
        <v>0</v>
      </c>
      <c r="K277" s="1081">
        <f>'d3'!K277-d3П!K276</f>
        <v>0</v>
      </c>
      <c r="L277" s="1081">
        <f>'d3'!L277-d3П!L276</f>
        <v>0</v>
      </c>
      <c r="M277" s="1081">
        <f>'d3'!M277-d3П!M276</f>
        <v>0</v>
      </c>
      <c r="N277" s="1081">
        <f>'d3'!N277-d3П!N276</f>
        <v>0</v>
      </c>
      <c r="O277" s="1081">
        <f>'d3'!O277-d3П!O276</f>
        <v>0</v>
      </c>
      <c r="P277" s="1081">
        <f>'d3'!P277-d3П!P276</f>
        <v>0</v>
      </c>
      <c r="R277" s="297"/>
    </row>
    <row r="278" spans="1:18" ht="93" thickTop="1" thickBot="1" x14ac:dyDescent="0.25">
      <c r="A278" s="864" t="s">
        <v>1338</v>
      </c>
      <c r="B278" s="864" t="s">
        <v>269</v>
      </c>
      <c r="C278" s="864" t="s">
        <v>178</v>
      </c>
      <c r="D278" s="488" t="s">
        <v>267</v>
      </c>
      <c r="E278" s="860">
        <f>'d3'!E278-d3П!E277</f>
        <v>0</v>
      </c>
      <c r="F278" s="860">
        <f>'d3'!F278-d3П!F277</f>
        <v>0</v>
      </c>
      <c r="G278" s="860">
        <f>'d3'!G278-d3П!G277</f>
        <v>0</v>
      </c>
      <c r="H278" s="860">
        <f>'d3'!H278-d3П!H277</f>
        <v>0</v>
      </c>
      <c r="I278" s="860">
        <f>'d3'!I278-d3П!I277</f>
        <v>0</v>
      </c>
      <c r="J278" s="860">
        <f>'d3'!J278-d3П!J277</f>
        <v>0</v>
      </c>
      <c r="K278" s="860">
        <f>'d3'!K278-d3П!K277</f>
        <v>0</v>
      </c>
      <c r="L278" s="860">
        <f>'d3'!L278-d3П!L277</f>
        <v>0</v>
      </c>
      <c r="M278" s="860">
        <f>'d3'!M278-d3П!M277</f>
        <v>0</v>
      </c>
      <c r="N278" s="860">
        <f>'d3'!N278-d3П!N277</f>
        <v>0</v>
      </c>
      <c r="O278" s="860">
        <f>'d3'!O278-d3П!O277</f>
        <v>0</v>
      </c>
      <c r="P278" s="860">
        <f>'d3'!P278-d3П!P277</f>
        <v>0</v>
      </c>
      <c r="R278" s="297"/>
    </row>
    <row r="279" spans="1:18" ht="47.25" thickTop="1" thickBot="1" x14ac:dyDescent="0.25">
      <c r="A279" s="151" t="s">
        <v>855</v>
      </c>
      <c r="B279" s="151" t="s">
        <v>739</v>
      </c>
      <c r="C279" s="151"/>
      <c r="D279" s="569" t="s">
        <v>740</v>
      </c>
      <c r="E279" s="860">
        <f>'d3'!E279-d3П!E278</f>
        <v>0</v>
      </c>
      <c r="F279" s="860">
        <f>'d3'!F279-d3П!F278</f>
        <v>0</v>
      </c>
      <c r="G279" s="860">
        <f>'d3'!G279-d3П!G278</f>
        <v>0</v>
      </c>
      <c r="H279" s="860">
        <f>'d3'!H279-d3П!H278</f>
        <v>0</v>
      </c>
      <c r="I279" s="860">
        <f>'d3'!I279-d3П!I278</f>
        <v>0</v>
      </c>
      <c r="J279" s="860">
        <f>'d3'!J279-d3П!J278</f>
        <v>0</v>
      </c>
      <c r="K279" s="860">
        <f>'d3'!K279-d3П!K278</f>
        <v>0</v>
      </c>
      <c r="L279" s="860">
        <f>'d3'!L279-d3П!L278</f>
        <v>0</v>
      </c>
      <c r="M279" s="860">
        <f>'d3'!M279-d3П!M278</f>
        <v>0</v>
      </c>
      <c r="N279" s="860">
        <f>'d3'!N279-d3П!N278</f>
        <v>0</v>
      </c>
      <c r="O279" s="860">
        <f>'d3'!O279-d3П!O278</f>
        <v>0</v>
      </c>
      <c r="P279" s="860">
        <f>'d3'!P279-d3П!P278</f>
        <v>0</v>
      </c>
      <c r="R279" s="297"/>
    </row>
    <row r="280" spans="1:18" ht="181.5" thickTop="1" thickBot="1" x14ac:dyDescent="0.25">
      <c r="A280" s="467" t="s">
        <v>857</v>
      </c>
      <c r="B280" s="467" t="s">
        <v>858</v>
      </c>
      <c r="C280" s="467"/>
      <c r="D280" s="570" t="s">
        <v>856</v>
      </c>
      <c r="E280" s="860">
        <f>'d3'!E280-d3П!E279</f>
        <v>0</v>
      </c>
      <c r="F280" s="860">
        <f>'d3'!F280-d3П!F279</f>
        <v>0</v>
      </c>
      <c r="G280" s="860">
        <f>'d3'!G280-d3П!G279</f>
        <v>0</v>
      </c>
      <c r="H280" s="860">
        <f>'d3'!H280-d3П!H279</f>
        <v>0</v>
      </c>
      <c r="I280" s="860">
        <f>'d3'!I280-d3П!I279</f>
        <v>0</v>
      </c>
      <c r="J280" s="860">
        <f>'d3'!J280-d3П!J279</f>
        <v>0</v>
      </c>
      <c r="K280" s="860">
        <f>'d3'!K280-d3П!K279</f>
        <v>0</v>
      </c>
      <c r="L280" s="860">
        <f>'d3'!L280-d3П!L279</f>
        <v>0</v>
      </c>
      <c r="M280" s="860">
        <f>'d3'!M280-d3П!M279</f>
        <v>0</v>
      </c>
      <c r="N280" s="860">
        <f>'d3'!N280-d3П!N279</f>
        <v>0</v>
      </c>
      <c r="O280" s="860">
        <f>'d3'!O280-d3П!O279</f>
        <v>0</v>
      </c>
      <c r="P280" s="860">
        <f>'d3'!P280-d3П!P279</f>
        <v>0</v>
      </c>
      <c r="R280" s="297"/>
    </row>
    <row r="281" spans="1:18" ht="184.5" thickTop="1" thickBot="1" x14ac:dyDescent="0.25">
      <c r="A281" s="864" t="s">
        <v>579</v>
      </c>
      <c r="B281" s="864" t="s">
        <v>536</v>
      </c>
      <c r="C281" s="864" t="s">
        <v>263</v>
      </c>
      <c r="D281" s="864" t="s">
        <v>537</v>
      </c>
      <c r="E281" s="860">
        <f>'d3'!E281-d3П!E280</f>
        <v>0</v>
      </c>
      <c r="F281" s="860">
        <f>'d3'!F281-d3П!F280</f>
        <v>0</v>
      </c>
      <c r="G281" s="860">
        <f>'d3'!G281-d3П!G280</f>
        <v>0</v>
      </c>
      <c r="H281" s="860">
        <f>'d3'!H281-d3П!H280</f>
        <v>0</v>
      </c>
      <c r="I281" s="860">
        <f>'d3'!I281-d3П!I280</f>
        <v>0</v>
      </c>
      <c r="J281" s="860">
        <f>'d3'!J281-d3П!J280</f>
        <v>0</v>
      </c>
      <c r="K281" s="860">
        <f>'d3'!K281-d3П!K280</f>
        <v>0</v>
      </c>
      <c r="L281" s="860">
        <f>'d3'!L281-d3П!L280</f>
        <v>0</v>
      </c>
      <c r="M281" s="860">
        <f>'d3'!M281-d3П!M280</f>
        <v>0</v>
      </c>
      <c r="N281" s="860">
        <f>'d3'!N281-d3П!N280</f>
        <v>0</v>
      </c>
      <c r="O281" s="860">
        <f>'d3'!O281-d3П!O280</f>
        <v>0</v>
      </c>
      <c r="P281" s="860">
        <f>'d3'!P281-d3П!P280</f>
        <v>0</v>
      </c>
      <c r="R281" s="297"/>
    </row>
    <row r="282" spans="1:18" ht="93" thickTop="1" thickBot="1" x14ac:dyDescent="0.25">
      <c r="A282" s="864" t="s">
        <v>580</v>
      </c>
      <c r="B282" s="864" t="s">
        <v>262</v>
      </c>
      <c r="C282" s="864" t="s">
        <v>263</v>
      </c>
      <c r="D282" s="864" t="s">
        <v>261</v>
      </c>
      <c r="E282" s="860">
        <f>'d3'!E282-d3П!E281</f>
        <v>0</v>
      </c>
      <c r="F282" s="860">
        <f>'d3'!F282-d3П!F281</f>
        <v>0</v>
      </c>
      <c r="G282" s="860">
        <f>'d3'!G282-d3П!G281</f>
        <v>0</v>
      </c>
      <c r="H282" s="860">
        <f>'d3'!H282-d3П!H281</f>
        <v>0</v>
      </c>
      <c r="I282" s="860">
        <f>'d3'!I282-d3П!I281</f>
        <v>0</v>
      </c>
      <c r="J282" s="860">
        <f>'d3'!J282-d3П!J281</f>
        <v>0</v>
      </c>
      <c r="K282" s="860">
        <f>'d3'!K282-d3П!K281</f>
        <v>0</v>
      </c>
      <c r="L282" s="860">
        <f>'d3'!L282-d3П!L281</f>
        <v>0</v>
      </c>
      <c r="M282" s="860">
        <f>'d3'!M282-d3П!M281</f>
        <v>0</v>
      </c>
      <c r="N282" s="860">
        <f>'d3'!N282-d3П!N281</f>
        <v>0</v>
      </c>
      <c r="O282" s="860">
        <f>'d3'!O282-d3П!O281</f>
        <v>0</v>
      </c>
      <c r="P282" s="860">
        <f>'d3'!P282-d3П!P281</f>
        <v>0</v>
      </c>
      <c r="R282" s="875"/>
    </row>
    <row r="283" spans="1:18" ht="93" hidden="1" thickTop="1" thickBot="1" x14ac:dyDescent="0.25">
      <c r="A283" s="873" t="s">
        <v>581</v>
      </c>
      <c r="B283" s="873" t="s">
        <v>582</v>
      </c>
      <c r="C283" s="873" t="s">
        <v>263</v>
      </c>
      <c r="D283" s="873" t="s">
        <v>583</v>
      </c>
      <c r="E283" s="305">
        <f t="shared" ref="E282:E283" si="49">F283</f>
        <v>0</v>
      </c>
      <c r="F283" s="260">
        <f>(1219000)-1219000</f>
        <v>0</v>
      </c>
      <c r="G283" s="260">
        <f>(354000+540000)-894000</f>
        <v>0</v>
      </c>
      <c r="H283" s="260">
        <f>(6000+3000)-9000</f>
        <v>0</v>
      </c>
      <c r="I283" s="260"/>
      <c r="J283" s="874">
        <f>L283+O283</f>
        <v>0</v>
      </c>
      <c r="K283" s="278"/>
      <c r="L283" s="260"/>
      <c r="M283" s="260"/>
      <c r="N283" s="260"/>
      <c r="O283" s="871">
        <f>K283</f>
        <v>0</v>
      </c>
      <c r="P283" s="874">
        <f>E283+J283</f>
        <v>0</v>
      </c>
      <c r="R283" s="297"/>
    </row>
    <row r="284" spans="1:18" ht="316.5" thickTop="1" thickBot="1" x14ac:dyDescent="0.25">
      <c r="A284" s="828" t="s">
        <v>25</v>
      </c>
      <c r="B284" s="828"/>
      <c r="C284" s="828"/>
      <c r="D284" s="829" t="s">
        <v>388</v>
      </c>
      <c r="E284" s="830">
        <f>E285</f>
        <v>0</v>
      </c>
      <c r="F284" s="831">
        <f t="shared" ref="F284:G284" si="50">F285</f>
        <v>0</v>
      </c>
      <c r="G284" s="831">
        <f t="shared" si="50"/>
        <v>0</v>
      </c>
      <c r="H284" s="831">
        <f>H285</f>
        <v>0</v>
      </c>
      <c r="I284" s="831">
        <f t="shared" ref="I284" si="51">I285</f>
        <v>0</v>
      </c>
      <c r="J284" s="830">
        <f>J285</f>
        <v>0</v>
      </c>
      <c r="K284" s="831">
        <f>K285</f>
        <v>0</v>
      </c>
      <c r="L284" s="831">
        <f>L285</f>
        <v>0</v>
      </c>
      <c r="M284" s="831">
        <f t="shared" ref="M284" si="52">M285</f>
        <v>0</v>
      </c>
      <c r="N284" s="831">
        <f>N285</f>
        <v>0</v>
      </c>
      <c r="O284" s="830">
        <f>O285</f>
        <v>0</v>
      </c>
      <c r="P284" s="831">
        <f t="shared" ref="P284" si="53">P285</f>
        <v>0</v>
      </c>
    </row>
    <row r="285" spans="1:18" ht="181.5" thickTop="1" thickBot="1" x14ac:dyDescent="0.25">
      <c r="A285" s="832" t="s">
        <v>26</v>
      </c>
      <c r="B285" s="832"/>
      <c r="C285" s="832"/>
      <c r="D285" s="833" t="s">
        <v>945</v>
      </c>
      <c r="E285" s="834">
        <f>E286+E290+E293</f>
        <v>0</v>
      </c>
      <c r="F285" s="834">
        <f t="shared" ref="F285:I285" si="54">F286+F290+F293</f>
        <v>0</v>
      </c>
      <c r="G285" s="834">
        <f t="shared" si="54"/>
        <v>0</v>
      </c>
      <c r="H285" s="834">
        <f t="shared" si="54"/>
        <v>0</v>
      </c>
      <c r="I285" s="834">
        <f t="shared" si="54"/>
        <v>0</v>
      </c>
      <c r="J285" s="834">
        <f>L285+O285</f>
        <v>0</v>
      </c>
      <c r="K285" s="834">
        <f t="shared" ref="K285:O285" si="55">K286+K290+K293</f>
        <v>0</v>
      </c>
      <c r="L285" s="834">
        <f t="shared" si="55"/>
        <v>0</v>
      </c>
      <c r="M285" s="834">
        <f t="shared" si="55"/>
        <v>0</v>
      </c>
      <c r="N285" s="834">
        <f t="shared" si="55"/>
        <v>0</v>
      </c>
      <c r="O285" s="834">
        <f t="shared" si="55"/>
        <v>0</v>
      </c>
      <c r="P285" s="834">
        <f t="shared" ref="P285:P301" si="56">E285+J285</f>
        <v>0</v>
      </c>
      <c r="Q285" s="628" t="b">
        <f>P285=P297+P299+P300+P287+P301+P292+P298+P288+P295+P289+P304+P306</f>
        <v>1</v>
      </c>
      <c r="R285" s="875"/>
    </row>
    <row r="286" spans="1:18" ht="47.25" thickTop="1" thickBot="1" x14ac:dyDescent="0.25">
      <c r="A286" s="151" t="s">
        <v>859</v>
      </c>
      <c r="B286" s="151" t="s">
        <v>727</v>
      </c>
      <c r="C286" s="151"/>
      <c r="D286" s="151" t="s">
        <v>728</v>
      </c>
      <c r="E286" s="860">
        <f>'d3'!E286-d3П!E285</f>
        <v>0</v>
      </c>
      <c r="F286" s="860">
        <f>'d3'!F286-d3П!F285</f>
        <v>0</v>
      </c>
      <c r="G286" s="860">
        <f>'d3'!G286-d3П!G285</f>
        <v>0</v>
      </c>
      <c r="H286" s="860">
        <f>'d3'!H286-d3П!H285</f>
        <v>0</v>
      </c>
      <c r="I286" s="860">
        <f>'d3'!I286-d3П!I285</f>
        <v>0</v>
      </c>
      <c r="J286" s="860">
        <f>'d3'!J286-d3П!J285</f>
        <v>0</v>
      </c>
      <c r="K286" s="860">
        <f>'d3'!K286-d3П!K285</f>
        <v>0</v>
      </c>
      <c r="L286" s="860">
        <f>'d3'!L286-d3П!L285</f>
        <v>0</v>
      </c>
      <c r="M286" s="860">
        <f>'d3'!M286-d3П!M285</f>
        <v>0</v>
      </c>
      <c r="N286" s="860">
        <f>'d3'!N286-d3П!N285</f>
        <v>0</v>
      </c>
      <c r="O286" s="860">
        <f>'d3'!O286-d3П!O285</f>
        <v>0</v>
      </c>
      <c r="P286" s="860">
        <f>'d3'!P286-d3П!P285</f>
        <v>0</v>
      </c>
      <c r="Q286" s="628"/>
      <c r="R286" s="875"/>
    </row>
    <row r="287" spans="1:18" ht="230.25" thickTop="1" thickBot="1" x14ac:dyDescent="0.25">
      <c r="A287" s="864" t="s">
        <v>433</v>
      </c>
      <c r="B287" s="864" t="s">
        <v>248</v>
      </c>
      <c r="C287" s="864" t="s">
        <v>246</v>
      </c>
      <c r="D287" s="864" t="s">
        <v>247</v>
      </c>
      <c r="E287" s="860">
        <f>'d3'!E287-d3П!E286</f>
        <v>0</v>
      </c>
      <c r="F287" s="860">
        <f>'d3'!F287-d3П!F286</f>
        <v>0</v>
      </c>
      <c r="G287" s="860">
        <f>'d3'!G287-d3П!G286</f>
        <v>0</v>
      </c>
      <c r="H287" s="860">
        <f>'d3'!H287-d3П!H286</f>
        <v>0</v>
      </c>
      <c r="I287" s="860">
        <f>'d3'!I287-d3П!I286</f>
        <v>0</v>
      </c>
      <c r="J287" s="860">
        <f>'d3'!J287-d3П!J286</f>
        <v>0</v>
      </c>
      <c r="K287" s="860">
        <f>'d3'!K287-d3П!K286</f>
        <v>0</v>
      </c>
      <c r="L287" s="860">
        <f>'d3'!L287-d3П!L286</f>
        <v>0</v>
      </c>
      <c r="M287" s="860">
        <f>'d3'!M287-d3П!M286</f>
        <v>0</v>
      </c>
      <c r="N287" s="860">
        <f>'d3'!N287-d3П!N286</f>
        <v>0</v>
      </c>
      <c r="O287" s="860">
        <f>'d3'!O287-d3П!O286</f>
        <v>0</v>
      </c>
      <c r="P287" s="860">
        <f>'d3'!P287-d3П!P286</f>
        <v>0</v>
      </c>
      <c r="Q287" s="628"/>
      <c r="R287" s="297"/>
    </row>
    <row r="288" spans="1:18" ht="184.5" thickTop="1" thickBot="1" x14ac:dyDescent="0.25">
      <c r="A288" s="862" t="s">
        <v>672</v>
      </c>
      <c r="B288" s="862" t="s">
        <v>376</v>
      </c>
      <c r="C288" s="862" t="s">
        <v>662</v>
      </c>
      <c r="D288" s="862" t="s">
        <v>663</v>
      </c>
      <c r="E288" s="860">
        <f>'d3'!E288-d3П!E287</f>
        <v>0</v>
      </c>
      <c r="F288" s="860">
        <f>'d3'!F288-d3П!F287</f>
        <v>0</v>
      </c>
      <c r="G288" s="860">
        <f>'d3'!G288-d3П!G287</f>
        <v>0</v>
      </c>
      <c r="H288" s="860">
        <f>'d3'!H288-d3П!H287</f>
        <v>0</v>
      </c>
      <c r="I288" s="860">
        <f>'d3'!I288-d3П!I287</f>
        <v>0</v>
      </c>
      <c r="J288" s="860">
        <f>'d3'!J288-d3П!J287</f>
        <v>0</v>
      </c>
      <c r="K288" s="860">
        <f>'d3'!K288-d3П!K287</f>
        <v>0</v>
      </c>
      <c r="L288" s="860">
        <f>'d3'!L288-d3П!L287</f>
        <v>0</v>
      </c>
      <c r="M288" s="860">
        <f>'d3'!M288-d3П!M287</f>
        <v>0</v>
      </c>
      <c r="N288" s="860">
        <f>'d3'!N288-d3П!N287</f>
        <v>0</v>
      </c>
      <c r="O288" s="860">
        <f>'d3'!O288-d3П!O287</f>
        <v>0</v>
      </c>
      <c r="P288" s="860">
        <f>'d3'!P288-d3П!P287</f>
        <v>0</v>
      </c>
      <c r="Q288" s="628"/>
      <c r="R288" s="297"/>
    </row>
    <row r="289" spans="1:18" ht="93" hidden="1" thickTop="1" thickBot="1" x14ac:dyDescent="0.25">
      <c r="A289" s="864" t="s">
        <v>988</v>
      </c>
      <c r="B289" s="864" t="s">
        <v>45</v>
      </c>
      <c r="C289" s="864" t="s">
        <v>44</v>
      </c>
      <c r="D289" s="864" t="s">
        <v>260</v>
      </c>
      <c r="E289" s="860">
        <f>'d3'!E289-d3П!E288</f>
        <v>0</v>
      </c>
      <c r="F289" s="860">
        <f>'d3'!F289-d3П!F288</f>
        <v>0</v>
      </c>
      <c r="G289" s="860">
        <f>'d3'!G289-d3П!G288</f>
        <v>0</v>
      </c>
      <c r="H289" s="860">
        <f>'d3'!H289-d3П!H288</f>
        <v>0</v>
      </c>
      <c r="I289" s="860">
        <f>'d3'!I289-d3П!I288</f>
        <v>0</v>
      </c>
      <c r="J289" s="860">
        <f>'d3'!J289-d3П!J288</f>
        <v>0</v>
      </c>
      <c r="K289" s="860">
        <f>'d3'!K289-d3П!K288</f>
        <v>0</v>
      </c>
      <c r="L289" s="860">
        <f>'d3'!L289-d3П!L288</f>
        <v>0</v>
      </c>
      <c r="M289" s="860">
        <f>'d3'!M289-d3П!M288</f>
        <v>0</v>
      </c>
      <c r="N289" s="860">
        <f>'d3'!N289-d3П!N288</f>
        <v>0</v>
      </c>
      <c r="O289" s="860">
        <f>'d3'!O289-d3П!O288</f>
        <v>0</v>
      </c>
      <c r="P289" s="860">
        <f>'d3'!P289-d3П!P288</f>
        <v>0</v>
      </c>
      <c r="Q289" s="628"/>
      <c r="R289" s="297"/>
    </row>
    <row r="290" spans="1:18" ht="47.25" thickTop="1" thickBot="1" x14ac:dyDescent="0.25">
      <c r="A290" s="151" t="s">
        <v>860</v>
      </c>
      <c r="B290" s="151" t="s">
        <v>815</v>
      </c>
      <c r="C290" s="864"/>
      <c r="D290" s="151" t="s">
        <v>816</v>
      </c>
      <c r="E290" s="860">
        <f>'d3'!E290-d3П!E289</f>
        <v>0</v>
      </c>
      <c r="F290" s="860">
        <f>'d3'!F290-d3П!F289</f>
        <v>0</v>
      </c>
      <c r="G290" s="860">
        <f>'d3'!G290-d3П!G289</f>
        <v>0</v>
      </c>
      <c r="H290" s="860">
        <f>'d3'!H290-d3П!H289</f>
        <v>0</v>
      </c>
      <c r="I290" s="860">
        <f>'d3'!I290-d3П!I289</f>
        <v>0</v>
      </c>
      <c r="J290" s="860">
        <f>'d3'!J290-d3П!J289</f>
        <v>0</v>
      </c>
      <c r="K290" s="860">
        <f>'d3'!K290-d3П!K289</f>
        <v>0</v>
      </c>
      <c r="L290" s="860">
        <f>'d3'!L290-d3П!L289</f>
        <v>0</v>
      </c>
      <c r="M290" s="860">
        <f>'d3'!M290-d3П!M289</f>
        <v>0</v>
      </c>
      <c r="N290" s="860">
        <f>'d3'!N290-d3П!N289</f>
        <v>0</v>
      </c>
      <c r="O290" s="860">
        <f>'d3'!O290-d3П!O289</f>
        <v>0</v>
      </c>
      <c r="P290" s="860">
        <f>'d3'!P290-d3П!P289</f>
        <v>0</v>
      </c>
      <c r="Q290" s="628"/>
      <c r="R290" s="297"/>
    </row>
    <row r="291" spans="1:18" ht="93" thickTop="1" thickBot="1" x14ac:dyDescent="0.25">
      <c r="A291" s="489" t="s">
        <v>861</v>
      </c>
      <c r="B291" s="489" t="s">
        <v>862</v>
      </c>
      <c r="C291" s="489"/>
      <c r="D291" s="489" t="s">
        <v>863</v>
      </c>
      <c r="E291" s="860">
        <f>'d3'!E291-d3П!E290</f>
        <v>0</v>
      </c>
      <c r="F291" s="860">
        <f>'d3'!F291-d3П!F290</f>
        <v>0</v>
      </c>
      <c r="G291" s="860">
        <f>'d3'!G291-d3П!G290</f>
        <v>0</v>
      </c>
      <c r="H291" s="860">
        <f>'d3'!H291-d3П!H290</f>
        <v>0</v>
      </c>
      <c r="I291" s="860">
        <f>'d3'!I291-d3П!I290</f>
        <v>0</v>
      </c>
      <c r="J291" s="860">
        <f>'d3'!J291-d3П!J290</f>
        <v>0</v>
      </c>
      <c r="K291" s="860">
        <f>'d3'!K291-d3П!K290</f>
        <v>0</v>
      </c>
      <c r="L291" s="860">
        <f>'d3'!L291-d3П!L290</f>
        <v>0</v>
      </c>
      <c r="M291" s="860">
        <f>'d3'!M291-d3П!M290</f>
        <v>0</v>
      </c>
      <c r="N291" s="860">
        <f>'d3'!N291-d3П!N290</f>
        <v>0</v>
      </c>
      <c r="O291" s="860">
        <f>'d3'!O291-d3П!O290</f>
        <v>0</v>
      </c>
      <c r="P291" s="860">
        <f>'d3'!P291-d3П!P290</f>
        <v>0</v>
      </c>
      <c r="Q291" s="628"/>
      <c r="R291" s="297"/>
    </row>
    <row r="292" spans="1:18" ht="409.6" thickTop="1" thickBot="1" x14ac:dyDescent="0.25">
      <c r="A292" s="864" t="s">
        <v>449</v>
      </c>
      <c r="B292" s="864" t="s">
        <v>450</v>
      </c>
      <c r="C292" s="864" t="s">
        <v>207</v>
      </c>
      <c r="D292" s="864" t="s">
        <v>1331</v>
      </c>
      <c r="E292" s="860">
        <f>'d3'!E292-d3П!E291</f>
        <v>0</v>
      </c>
      <c r="F292" s="860">
        <f>'d3'!F292-d3П!F291</f>
        <v>0</v>
      </c>
      <c r="G292" s="860">
        <f>'d3'!G292-d3П!G291</f>
        <v>0</v>
      </c>
      <c r="H292" s="860">
        <f>'d3'!H292-d3П!H291</f>
        <v>0</v>
      </c>
      <c r="I292" s="860">
        <f>'d3'!I292-d3П!I291</f>
        <v>0</v>
      </c>
      <c r="J292" s="860">
        <f>'d3'!J292-d3П!J291</f>
        <v>0</v>
      </c>
      <c r="K292" s="860">
        <f>'d3'!K292-d3П!K291</f>
        <v>0</v>
      </c>
      <c r="L292" s="860">
        <f>'d3'!L292-d3П!L291</f>
        <v>0</v>
      </c>
      <c r="M292" s="860">
        <f>'d3'!M292-d3П!M291</f>
        <v>0</v>
      </c>
      <c r="N292" s="860">
        <f>'d3'!N292-d3П!N291</f>
        <v>0</v>
      </c>
      <c r="O292" s="860">
        <f>'d3'!O292-d3П!O291</f>
        <v>0</v>
      </c>
      <c r="P292" s="860">
        <f>'d3'!P292-d3П!P291</f>
        <v>0</v>
      </c>
      <c r="Q292" s="628"/>
      <c r="R292" s="875"/>
    </row>
    <row r="293" spans="1:18" ht="47.25" thickTop="1" thickBot="1" x14ac:dyDescent="0.25">
      <c r="A293" s="151" t="s">
        <v>864</v>
      </c>
      <c r="B293" s="151" t="s">
        <v>792</v>
      </c>
      <c r="C293" s="864"/>
      <c r="D293" s="151" t="s">
        <v>839</v>
      </c>
      <c r="E293" s="860">
        <f>'d3'!E293-d3П!E292</f>
        <v>0</v>
      </c>
      <c r="F293" s="860">
        <f>'d3'!F293-d3П!F292</f>
        <v>0</v>
      </c>
      <c r="G293" s="860">
        <f>'d3'!G293-d3П!G292</f>
        <v>0</v>
      </c>
      <c r="H293" s="860">
        <f>'d3'!H293-d3П!H292</f>
        <v>0</v>
      </c>
      <c r="I293" s="860">
        <f>'d3'!I293-d3П!I292</f>
        <v>0</v>
      </c>
      <c r="J293" s="860">
        <f>'d3'!J293-d3П!J292</f>
        <v>0</v>
      </c>
      <c r="K293" s="860">
        <f>'d3'!K293-d3П!K292</f>
        <v>0</v>
      </c>
      <c r="L293" s="860">
        <f>'d3'!L293-d3П!L292</f>
        <v>0</v>
      </c>
      <c r="M293" s="860">
        <f>'d3'!M293-d3П!M292</f>
        <v>0</v>
      </c>
      <c r="N293" s="860">
        <f>'d3'!N293-d3П!N292</f>
        <v>0</v>
      </c>
      <c r="O293" s="860">
        <f>'d3'!O293-d3П!O292</f>
        <v>0</v>
      </c>
      <c r="P293" s="860">
        <f>'d3'!P293-d3П!P292</f>
        <v>0</v>
      </c>
      <c r="Q293" s="628"/>
      <c r="R293" s="297"/>
    </row>
    <row r="294" spans="1:18" ht="91.5" thickTop="1" thickBot="1" x14ac:dyDescent="0.25">
      <c r="A294" s="467" t="s">
        <v>865</v>
      </c>
      <c r="B294" s="467" t="s">
        <v>848</v>
      </c>
      <c r="C294" s="467"/>
      <c r="D294" s="467" t="s">
        <v>849</v>
      </c>
      <c r="E294" s="860">
        <f>'d3'!E294-d3П!E293</f>
        <v>0</v>
      </c>
      <c r="F294" s="860">
        <f>'d3'!F294-d3П!F293</f>
        <v>0</v>
      </c>
      <c r="G294" s="860">
        <f>'d3'!G294-d3П!G293</f>
        <v>0</v>
      </c>
      <c r="H294" s="860">
        <f>'d3'!H294-d3П!H293</f>
        <v>0</v>
      </c>
      <c r="I294" s="860">
        <f>'d3'!I294-d3П!I293</f>
        <v>0</v>
      </c>
      <c r="J294" s="860">
        <f>'d3'!J294-d3П!J293</f>
        <v>0</v>
      </c>
      <c r="K294" s="860">
        <f>'d3'!K294-d3П!K293</f>
        <v>0</v>
      </c>
      <c r="L294" s="860">
        <f>'d3'!L294-d3П!L293</f>
        <v>0</v>
      </c>
      <c r="M294" s="860">
        <f>'d3'!M294-d3П!M293</f>
        <v>0</v>
      </c>
      <c r="N294" s="860">
        <f>'d3'!N294-d3П!N293</f>
        <v>0</v>
      </c>
      <c r="O294" s="860">
        <f>'d3'!O294-d3П!O293</f>
        <v>0</v>
      </c>
      <c r="P294" s="860">
        <f>'d3'!P294-d3П!P293</f>
        <v>0</v>
      </c>
      <c r="Q294" s="628"/>
      <c r="R294" s="297"/>
    </row>
    <row r="295" spans="1:18" ht="99.75" thickTop="1" thickBot="1" x14ac:dyDescent="0.25">
      <c r="A295" s="864" t="s">
        <v>987</v>
      </c>
      <c r="B295" s="864" t="s">
        <v>318</v>
      </c>
      <c r="C295" s="864" t="s">
        <v>317</v>
      </c>
      <c r="D295" s="864" t="s">
        <v>664</v>
      </c>
      <c r="E295" s="860">
        <f>'d3'!E295-d3П!E294</f>
        <v>0</v>
      </c>
      <c r="F295" s="860">
        <f>'d3'!F295-d3П!F294</f>
        <v>0</v>
      </c>
      <c r="G295" s="860">
        <f>'d3'!G295-d3П!G294</f>
        <v>0</v>
      </c>
      <c r="H295" s="860">
        <f>'d3'!H295-d3П!H294</f>
        <v>0</v>
      </c>
      <c r="I295" s="860">
        <f>'d3'!I295-d3П!I294</f>
        <v>0</v>
      </c>
      <c r="J295" s="860">
        <f>'d3'!J295-d3П!J294</f>
        <v>0</v>
      </c>
      <c r="K295" s="860">
        <f>'d3'!K295-d3П!K294</f>
        <v>0</v>
      </c>
      <c r="L295" s="860">
        <f>'d3'!L295-d3П!L294</f>
        <v>0</v>
      </c>
      <c r="M295" s="860">
        <f>'d3'!M295-d3П!M294</f>
        <v>0</v>
      </c>
      <c r="N295" s="860">
        <f>'d3'!N295-d3П!N294</f>
        <v>0</v>
      </c>
      <c r="O295" s="860">
        <f>'d3'!O295-d3П!O294</f>
        <v>0</v>
      </c>
      <c r="P295" s="860">
        <f>'d3'!P295-d3П!P294</f>
        <v>0</v>
      </c>
      <c r="Q295" s="628"/>
      <c r="R295" s="875"/>
    </row>
    <row r="296" spans="1:18" ht="146.25" thickTop="1" thickBot="1" x14ac:dyDescent="0.25">
      <c r="A296" s="489" t="s">
        <v>866</v>
      </c>
      <c r="B296" s="489" t="s">
        <v>867</v>
      </c>
      <c r="C296" s="489"/>
      <c r="D296" s="489" t="s">
        <v>868</v>
      </c>
      <c r="E296" s="860">
        <f>'d3'!E296-d3П!E295</f>
        <v>0</v>
      </c>
      <c r="F296" s="860">
        <f>'d3'!F296-d3П!F295</f>
        <v>0</v>
      </c>
      <c r="G296" s="860">
        <f>'d3'!G296-d3П!G295</f>
        <v>0</v>
      </c>
      <c r="H296" s="860">
        <f>'d3'!H296-d3П!H295</f>
        <v>0</v>
      </c>
      <c r="I296" s="860">
        <f>'d3'!I296-d3П!I295</f>
        <v>0</v>
      </c>
      <c r="J296" s="860">
        <f>'d3'!J296-d3П!J295</f>
        <v>0</v>
      </c>
      <c r="K296" s="860">
        <f>'d3'!K296-d3П!K295</f>
        <v>0</v>
      </c>
      <c r="L296" s="860">
        <f>'d3'!L296-d3П!L295</f>
        <v>0</v>
      </c>
      <c r="M296" s="860">
        <f>'d3'!M296-d3П!M295</f>
        <v>0</v>
      </c>
      <c r="N296" s="860">
        <f>'d3'!N296-d3П!N295</f>
        <v>0</v>
      </c>
      <c r="O296" s="860">
        <f>'d3'!O296-d3П!O295</f>
        <v>0</v>
      </c>
      <c r="P296" s="860">
        <f>'d3'!P296-d3П!P295</f>
        <v>0</v>
      </c>
      <c r="Q296" s="628"/>
      <c r="R296" s="297"/>
    </row>
    <row r="297" spans="1:18" ht="99.75" thickTop="1" thickBot="1" x14ac:dyDescent="0.25">
      <c r="A297" s="864" t="s">
        <v>323</v>
      </c>
      <c r="B297" s="864" t="s">
        <v>324</v>
      </c>
      <c r="C297" s="864" t="s">
        <v>317</v>
      </c>
      <c r="D297" s="864" t="s">
        <v>665</v>
      </c>
      <c r="E297" s="860">
        <f>'d3'!E297-d3П!E296</f>
        <v>0</v>
      </c>
      <c r="F297" s="860">
        <f>'d3'!F297-d3П!F296</f>
        <v>0</v>
      </c>
      <c r="G297" s="860">
        <f>'d3'!G297-d3П!G296</f>
        <v>0</v>
      </c>
      <c r="H297" s="860">
        <f>'d3'!H297-d3П!H296</f>
        <v>0</v>
      </c>
      <c r="I297" s="860">
        <f>'d3'!I297-d3П!I296</f>
        <v>0</v>
      </c>
      <c r="J297" s="860">
        <f>'d3'!J297-d3П!J296</f>
        <v>0</v>
      </c>
      <c r="K297" s="860">
        <f>'d3'!K297-d3П!K296</f>
        <v>0</v>
      </c>
      <c r="L297" s="860">
        <f>'d3'!L297-d3П!L296</f>
        <v>0</v>
      </c>
      <c r="M297" s="860">
        <f>'d3'!M297-d3П!M296</f>
        <v>0</v>
      </c>
      <c r="N297" s="860">
        <f>'d3'!N297-d3П!N296</f>
        <v>0</v>
      </c>
      <c r="O297" s="860">
        <f>'d3'!O297-d3П!O296</f>
        <v>0</v>
      </c>
      <c r="P297" s="860">
        <f>'d3'!P297-d3П!P296</f>
        <v>0</v>
      </c>
      <c r="Q297" s="615"/>
      <c r="R297" s="875"/>
    </row>
    <row r="298" spans="1:18" ht="99.75" thickTop="1" thickBot="1" x14ac:dyDescent="0.25">
      <c r="A298" s="864" t="s">
        <v>534</v>
      </c>
      <c r="B298" s="864" t="s">
        <v>535</v>
      </c>
      <c r="C298" s="864" t="s">
        <v>317</v>
      </c>
      <c r="D298" s="864" t="s">
        <v>666</v>
      </c>
      <c r="E298" s="860">
        <f>'d3'!E298-d3П!E297</f>
        <v>0</v>
      </c>
      <c r="F298" s="860">
        <f>'d3'!F298-d3П!F297</f>
        <v>0</v>
      </c>
      <c r="G298" s="860">
        <f>'d3'!G298-d3П!G297</f>
        <v>0</v>
      </c>
      <c r="H298" s="860">
        <f>'d3'!H298-d3П!H297</f>
        <v>0</v>
      </c>
      <c r="I298" s="860">
        <f>'d3'!I298-d3П!I297</f>
        <v>0</v>
      </c>
      <c r="J298" s="860">
        <f>'d3'!J298-d3П!J297</f>
        <v>0</v>
      </c>
      <c r="K298" s="860">
        <f>'d3'!K298-d3П!K297</f>
        <v>0</v>
      </c>
      <c r="L298" s="860">
        <f>'d3'!L298-d3П!L297</f>
        <v>0</v>
      </c>
      <c r="M298" s="860">
        <f>'d3'!M298-d3П!M297</f>
        <v>0</v>
      </c>
      <c r="N298" s="860">
        <f>'d3'!N298-d3П!N297</f>
        <v>0</v>
      </c>
      <c r="O298" s="860">
        <f>'d3'!O298-d3П!O297</f>
        <v>0</v>
      </c>
      <c r="P298" s="860">
        <f>'d3'!P298-d3П!P297</f>
        <v>0</v>
      </c>
      <c r="Q298" s="615"/>
      <c r="R298" s="875"/>
    </row>
    <row r="299" spans="1:18" ht="145.5" thickTop="1" thickBot="1" x14ac:dyDescent="0.25">
      <c r="A299" s="864" t="s">
        <v>325</v>
      </c>
      <c r="B299" s="864" t="s">
        <v>326</v>
      </c>
      <c r="C299" s="864" t="s">
        <v>317</v>
      </c>
      <c r="D299" s="864" t="s">
        <v>667</v>
      </c>
      <c r="E299" s="860">
        <f>'d3'!E299-d3П!E298</f>
        <v>0</v>
      </c>
      <c r="F299" s="860">
        <f>'d3'!F299-d3П!F298</f>
        <v>0</v>
      </c>
      <c r="G299" s="860">
        <f>'d3'!G299-d3П!G298</f>
        <v>0</v>
      </c>
      <c r="H299" s="860">
        <f>'d3'!H299-d3П!H298</f>
        <v>0</v>
      </c>
      <c r="I299" s="860">
        <f>'d3'!I299-d3П!I298</f>
        <v>0</v>
      </c>
      <c r="J299" s="860">
        <f>'d3'!J299-d3П!J298</f>
        <v>0</v>
      </c>
      <c r="K299" s="860">
        <f>'d3'!K299-d3П!K298</f>
        <v>0</v>
      </c>
      <c r="L299" s="860">
        <f>'d3'!L299-d3П!L298</f>
        <v>0</v>
      </c>
      <c r="M299" s="860">
        <f>'d3'!M299-d3П!M298</f>
        <v>0</v>
      </c>
      <c r="N299" s="860">
        <f>'d3'!N299-d3П!N298</f>
        <v>0</v>
      </c>
      <c r="O299" s="860">
        <f>'d3'!O299-d3П!O298</f>
        <v>0</v>
      </c>
      <c r="P299" s="860">
        <f>'d3'!P299-d3П!P298</f>
        <v>0</v>
      </c>
      <c r="Q299" s="615"/>
    </row>
    <row r="300" spans="1:18" ht="99.75" thickTop="1" thickBot="1" x14ac:dyDescent="0.3">
      <c r="A300" s="864" t="s">
        <v>327</v>
      </c>
      <c r="B300" s="864" t="s">
        <v>328</v>
      </c>
      <c r="C300" s="864" t="s">
        <v>317</v>
      </c>
      <c r="D300" s="864" t="s">
        <v>668</v>
      </c>
      <c r="E300" s="860">
        <f>'d3'!E300-d3П!E299</f>
        <v>0</v>
      </c>
      <c r="F300" s="860">
        <f>'d3'!F300-d3П!F299</f>
        <v>0</v>
      </c>
      <c r="G300" s="860">
        <f>'d3'!G300-d3П!G299</f>
        <v>0</v>
      </c>
      <c r="H300" s="860">
        <f>'d3'!H300-d3П!H299</f>
        <v>0</v>
      </c>
      <c r="I300" s="860">
        <f>'d3'!I300-d3П!I299</f>
        <v>0</v>
      </c>
      <c r="J300" s="860">
        <f>'d3'!J300-d3П!J299</f>
        <v>0</v>
      </c>
      <c r="K300" s="860">
        <f>'d3'!K300-d3П!K299</f>
        <v>0</v>
      </c>
      <c r="L300" s="860">
        <f>'d3'!L300-d3П!L299</f>
        <v>0</v>
      </c>
      <c r="M300" s="860">
        <f>'d3'!M300-d3П!M299</f>
        <v>0</v>
      </c>
      <c r="N300" s="860">
        <f>'d3'!N300-d3П!N299</f>
        <v>0</v>
      </c>
      <c r="O300" s="860">
        <f>'d3'!O300-d3П!O299</f>
        <v>0</v>
      </c>
      <c r="P300" s="860">
        <f>'d3'!P300-d3П!P299</f>
        <v>0</v>
      </c>
      <c r="Q300" s="633"/>
      <c r="R300" s="875"/>
    </row>
    <row r="301" spans="1:18" ht="138.75" hidden="1" customHeight="1" thickTop="1" thickBot="1" x14ac:dyDescent="0.25">
      <c r="A301" s="873" t="s">
        <v>454</v>
      </c>
      <c r="B301" s="873" t="s">
        <v>364</v>
      </c>
      <c r="C301" s="873" t="s">
        <v>178</v>
      </c>
      <c r="D301" s="873" t="s">
        <v>274</v>
      </c>
      <c r="E301" s="860">
        <f>'d3'!E301-d3П!E300</f>
        <v>0</v>
      </c>
      <c r="F301" s="860">
        <f>'d3'!F301-d3П!F300</f>
        <v>0</v>
      </c>
      <c r="G301" s="860">
        <f>'d3'!G301-d3П!G300</f>
        <v>0</v>
      </c>
      <c r="H301" s="860">
        <f>'d3'!H301-d3П!H300</f>
        <v>0</v>
      </c>
      <c r="I301" s="860">
        <f>'d3'!I301-d3П!I300</f>
        <v>0</v>
      </c>
      <c r="J301" s="860">
        <f>'d3'!J301-d3П!J300</f>
        <v>0</v>
      </c>
      <c r="K301" s="860">
        <f>'d3'!K301-d3П!K300</f>
        <v>0</v>
      </c>
      <c r="L301" s="860">
        <f>'d3'!L301-d3П!L300</f>
        <v>0</v>
      </c>
      <c r="M301" s="860">
        <f>'d3'!M301-d3П!M300</f>
        <v>0</v>
      </c>
      <c r="N301" s="860">
        <f>'d3'!N301-d3П!N300</f>
        <v>0</v>
      </c>
      <c r="O301" s="860">
        <f>'d3'!O301-d3П!O300</f>
        <v>0</v>
      </c>
      <c r="P301" s="860">
        <f>'d3'!P301-d3П!P300</f>
        <v>0</v>
      </c>
      <c r="R301" s="875"/>
    </row>
    <row r="302" spans="1:18" ht="136.5" thickTop="1" thickBot="1" x14ac:dyDescent="0.25">
      <c r="A302" s="467" t="s">
        <v>1064</v>
      </c>
      <c r="B302" s="467" t="s">
        <v>734</v>
      </c>
      <c r="C302" s="467"/>
      <c r="D302" s="467" t="s">
        <v>732</v>
      </c>
      <c r="E302" s="860">
        <f>'d3'!E302-d3П!E301</f>
        <v>0</v>
      </c>
      <c r="F302" s="860">
        <f>'d3'!F302-d3П!F301</f>
        <v>0</v>
      </c>
      <c r="G302" s="860">
        <f>'d3'!G302-d3П!G301</f>
        <v>0</v>
      </c>
      <c r="H302" s="860">
        <f>'d3'!H302-d3П!H301</f>
        <v>0</v>
      </c>
      <c r="I302" s="860">
        <f>'d3'!I302-d3П!I301</f>
        <v>0</v>
      </c>
      <c r="J302" s="860">
        <f>'d3'!J302-d3П!J301</f>
        <v>0</v>
      </c>
      <c r="K302" s="860">
        <f>'d3'!K302-d3П!K301</f>
        <v>0</v>
      </c>
      <c r="L302" s="860">
        <f>'d3'!L302-d3П!L301</f>
        <v>0</v>
      </c>
      <c r="M302" s="860">
        <f>'d3'!M302-d3П!M301</f>
        <v>0</v>
      </c>
      <c r="N302" s="860">
        <f>'d3'!N302-d3П!N301</f>
        <v>0</v>
      </c>
      <c r="O302" s="860">
        <f>'d3'!O302-d3П!O301</f>
        <v>0</v>
      </c>
      <c r="P302" s="860">
        <f>'d3'!P302-d3П!P301</f>
        <v>0</v>
      </c>
      <c r="R302" s="875"/>
    </row>
    <row r="303" spans="1:18" ht="47.25" thickTop="1" thickBot="1" x14ac:dyDescent="0.25">
      <c r="A303" s="489" t="s">
        <v>1065</v>
      </c>
      <c r="B303" s="489" t="s">
        <v>737</v>
      </c>
      <c r="C303" s="489"/>
      <c r="D303" s="489" t="s">
        <v>842</v>
      </c>
      <c r="E303" s="860">
        <f>'d3'!E303-d3П!E302</f>
        <v>0</v>
      </c>
      <c r="F303" s="860">
        <f>'d3'!F303-d3П!F302</f>
        <v>0</v>
      </c>
      <c r="G303" s="860">
        <f>'d3'!G303-d3П!G302</f>
        <v>0</v>
      </c>
      <c r="H303" s="860">
        <f>'d3'!H303-d3П!H302</f>
        <v>0</v>
      </c>
      <c r="I303" s="860">
        <f>'d3'!I303-d3П!I302</f>
        <v>0</v>
      </c>
      <c r="J303" s="860">
        <f>'d3'!J303-d3П!J302</f>
        <v>0</v>
      </c>
      <c r="K303" s="860">
        <f>'d3'!K303-d3П!K302</f>
        <v>0</v>
      </c>
      <c r="L303" s="860">
        <f>'d3'!L303-d3П!L302</f>
        <v>0</v>
      </c>
      <c r="M303" s="860">
        <f>'d3'!M303-d3П!M302</f>
        <v>0</v>
      </c>
      <c r="N303" s="860">
        <f>'d3'!N303-d3П!N302</f>
        <v>0</v>
      </c>
      <c r="O303" s="860">
        <f>'d3'!O303-d3П!O302</f>
        <v>0</v>
      </c>
      <c r="P303" s="860">
        <f>'d3'!P303-d3П!P302</f>
        <v>0</v>
      </c>
      <c r="R303" s="875"/>
    </row>
    <row r="304" spans="1:18" ht="409.6" hidden="1" customHeight="1" thickTop="1" thickBot="1" x14ac:dyDescent="0.7">
      <c r="A304" s="917" t="s">
        <v>1066</v>
      </c>
      <c r="B304" s="917" t="s">
        <v>352</v>
      </c>
      <c r="C304" s="917" t="s">
        <v>178</v>
      </c>
      <c r="D304" s="303" t="s">
        <v>457</v>
      </c>
      <c r="E304" s="860">
        <f>'d3'!E304-d3П!E303</f>
        <v>0</v>
      </c>
      <c r="F304" s="860">
        <f>'d3'!F304-d3П!F303</f>
        <v>0</v>
      </c>
      <c r="G304" s="860">
        <f>'d3'!G304-d3П!G303</f>
        <v>0</v>
      </c>
      <c r="H304" s="860">
        <f>'d3'!H304-d3П!H303</f>
        <v>0</v>
      </c>
      <c r="I304" s="860">
        <f>'d3'!I304-d3П!I303</f>
        <v>0</v>
      </c>
      <c r="J304" s="860">
        <f>'d3'!J304-d3П!J303</f>
        <v>0</v>
      </c>
      <c r="K304" s="860">
        <f>'d3'!K304-d3П!K303</f>
        <v>0</v>
      </c>
      <c r="L304" s="860">
        <f>'d3'!L304-d3П!L303</f>
        <v>0</v>
      </c>
      <c r="M304" s="860">
        <f>'d3'!M304-d3П!M303</f>
        <v>0</v>
      </c>
      <c r="N304" s="860">
        <f>'d3'!N304-d3П!N303</f>
        <v>0</v>
      </c>
      <c r="O304" s="860">
        <f>'d3'!O304-d3П!O303</f>
        <v>0</v>
      </c>
      <c r="P304" s="860">
        <f>'d3'!P304-d3П!P303</f>
        <v>0</v>
      </c>
      <c r="R304" s="875"/>
    </row>
    <row r="305" spans="1:18" ht="184.5" hidden="1" customHeight="1" thickTop="1" thickBot="1" x14ac:dyDescent="0.25">
      <c r="A305" s="917"/>
      <c r="B305" s="917"/>
      <c r="C305" s="917"/>
      <c r="D305" s="304" t="s">
        <v>458</v>
      </c>
      <c r="E305" s="860">
        <f>'d3'!E305-d3П!E304</f>
        <v>0</v>
      </c>
      <c r="F305" s="860">
        <f>'d3'!F305-d3П!F304</f>
        <v>0</v>
      </c>
      <c r="G305" s="860">
        <f>'d3'!G305-d3П!G304</f>
        <v>0</v>
      </c>
      <c r="H305" s="860">
        <f>'d3'!H305-d3П!H304</f>
        <v>0</v>
      </c>
      <c r="I305" s="860">
        <f>'d3'!I305-d3П!I304</f>
        <v>0</v>
      </c>
      <c r="J305" s="860">
        <f>'d3'!J305-d3П!J304</f>
        <v>0</v>
      </c>
      <c r="K305" s="860">
        <f>'d3'!K305-d3П!K304</f>
        <v>0</v>
      </c>
      <c r="L305" s="860">
        <f>'d3'!L305-d3П!L304</f>
        <v>0</v>
      </c>
      <c r="M305" s="860">
        <f>'d3'!M305-d3П!M304</f>
        <v>0</v>
      </c>
      <c r="N305" s="860">
        <f>'d3'!N305-d3П!N304</f>
        <v>0</v>
      </c>
      <c r="O305" s="860">
        <f>'d3'!O305-d3П!O304</f>
        <v>0</v>
      </c>
      <c r="P305" s="860">
        <f>'d3'!P305-d3П!P304</f>
        <v>0</v>
      </c>
      <c r="R305" s="875"/>
    </row>
    <row r="306" spans="1:18" ht="93" thickTop="1" thickBot="1" x14ac:dyDescent="0.25">
      <c r="A306" s="864" t="s">
        <v>1362</v>
      </c>
      <c r="B306" s="864" t="s">
        <v>269</v>
      </c>
      <c r="C306" s="864" t="s">
        <v>178</v>
      </c>
      <c r="D306" s="488" t="s">
        <v>267</v>
      </c>
      <c r="E306" s="860">
        <f>'d3'!E306-d3П!E305</f>
        <v>0</v>
      </c>
      <c r="F306" s="860">
        <f>'d3'!F306-d3П!F305</f>
        <v>0</v>
      </c>
      <c r="G306" s="860">
        <f>'d3'!G306-d3П!G305</f>
        <v>0</v>
      </c>
      <c r="H306" s="860">
        <f>'d3'!H306-d3П!H305</f>
        <v>0</v>
      </c>
      <c r="I306" s="860">
        <f>'d3'!I306-d3П!I305</f>
        <v>0</v>
      </c>
      <c r="J306" s="860">
        <f>'d3'!J306-d3П!J305</f>
        <v>0</v>
      </c>
      <c r="K306" s="860">
        <f>'d3'!K306-d3П!K305</f>
        <v>0</v>
      </c>
      <c r="L306" s="860">
        <f>'d3'!L306-d3П!L305</f>
        <v>0</v>
      </c>
      <c r="M306" s="860">
        <f>'d3'!M306-d3П!M305</f>
        <v>0</v>
      </c>
      <c r="N306" s="860">
        <f>'d3'!N306-d3П!N305</f>
        <v>0</v>
      </c>
      <c r="O306" s="860">
        <f>'d3'!O306-d3П!O305</f>
        <v>0</v>
      </c>
      <c r="P306" s="860">
        <f>'d3'!P306-d3П!P305</f>
        <v>0</v>
      </c>
      <c r="R306" s="875"/>
    </row>
    <row r="307" spans="1:18" ht="181.5" thickTop="1" thickBot="1" x14ac:dyDescent="0.25">
      <c r="A307" s="828" t="s">
        <v>168</v>
      </c>
      <c r="B307" s="828"/>
      <c r="C307" s="828"/>
      <c r="D307" s="829" t="s">
        <v>946</v>
      </c>
      <c r="E307" s="830">
        <f>E308</f>
        <v>0</v>
      </c>
      <c r="F307" s="831">
        <f t="shared" ref="F307:G307" si="57">F308</f>
        <v>0</v>
      </c>
      <c r="G307" s="831">
        <f t="shared" si="57"/>
        <v>0</v>
      </c>
      <c r="H307" s="831">
        <f>H308</f>
        <v>0</v>
      </c>
      <c r="I307" s="831">
        <f t="shared" ref="I307" si="58">I308</f>
        <v>0</v>
      </c>
      <c r="J307" s="830">
        <f>J308</f>
        <v>0</v>
      </c>
      <c r="K307" s="831">
        <f>K308</f>
        <v>0</v>
      </c>
      <c r="L307" s="831">
        <f>L308</f>
        <v>0</v>
      </c>
      <c r="M307" s="831">
        <f t="shared" ref="M307" si="59">M308</f>
        <v>0</v>
      </c>
      <c r="N307" s="831">
        <f>N308</f>
        <v>0</v>
      </c>
      <c r="O307" s="830">
        <f>O308</f>
        <v>0</v>
      </c>
      <c r="P307" s="831">
        <f t="shared" ref="P307" si="60">P308</f>
        <v>0</v>
      </c>
    </row>
    <row r="308" spans="1:18" ht="181.5" thickTop="1" thickBot="1" x14ac:dyDescent="0.25">
      <c r="A308" s="832" t="s">
        <v>169</v>
      </c>
      <c r="B308" s="832"/>
      <c r="C308" s="832"/>
      <c r="D308" s="833" t="s">
        <v>947</v>
      </c>
      <c r="E308" s="834">
        <f>E309+E312</f>
        <v>0</v>
      </c>
      <c r="F308" s="834">
        <f>F309+F312</f>
        <v>0</v>
      </c>
      <c r="G308" s="834">
        <f>G309+G312</f>
        <v>0</v>
      </c>
      <c r="H308" s="834">
        <f>H309+H312</f>
        <v>0</v>
      </c>
      <c r="I308" s="834">
        <f>I309+I312</f>
        <v>0</v>
      </c>
      <c r="J308" s="834">
        <f>L308+O308</f>
        <v>0</v>
      </c>
      <c r="K308" s="834">
        <f>K309+K312</f>
        <v>0</v>
      </c>
      <c r="L308" s="834">
        <f>L309+L312</f>
        <v>0</v>
      </c>
      <c r="M308" s="834">
        <f>M309+M312</f>
        <v>0</v>
      </c>
      <c r="N308" s="834">
        <f>N309+N312</f>
        <v>0</v>
      </c>
      <c r="O308" s="834">
        <f>O309+O312</f>
        <v>0</v>
      </c>
      <c r="P308" s="834">
        <f>E308+J308</f>
        <v>0</v>
      </c>
      <c r="Q308" s="628" t="b">
        <f>P308=P310+P311+P314</f>
        <v>1</v>
      </c>
      <c r="R308" s="875"/>
    </row>
    <row r="309" spans="1:18" ht="47.25" thickTop="1" thickBot="1" x14ac:dyDescent="0.25">
      <c r="A309" s="151" t="s">
        <v>869</v>
      </c>
      <c r="B309" s="151" t="s">
        <v>727</v>
      </c>
      <c r="C309" s="151"/>
      <c r="D309" s="151" t="s">
        <v>728</v>
      </c>
      <c r="E309" s="860">
        <f>'d3'!E309-d3П!E308</f>
        <v>0</v>
      </c>
      <c r="F309" s="860">
        <f>'d3'!F309-d3П!F308</f>
        <v>0</v>
      </c>
      <c r="G309" s="860">
        <f>'d3'!G309-d3П!G308</f>
        <v>0</v>
      </c>
      <c r="H309" s="860">
        <f>'d3'!H309-d3П!H308</f>
        <v>0</v>
      </c>
      <c r="I309" s="860">
        <f>'d3'!I309-d3П!I308</f>
        <v>0</v>
      </c>
      <c r="J309" s="860">
        <f>'d3'!J309-d3П!J308</f>
        <v>0</v>
      </c>
      <c r="K309" s="860">
        <f>'d3'!K309-d3П!K308</f>
        <v>0</v>
      </c>
      <c r="L309" s="860">
        <f>'d3'!L309-d3П!L308</f>
        <v>0</v>
      </c>
      <c r="M309" s="860">
        <f>'d3'!M309-d3П!M308</f>
        <v>0</v>
      </c>
      <c r="N309" s="860">
        <f>'d3'!N309-d3П!N308</f>
        <v>0</v>
      </c>
      <c r="O309" s="860">
        <f>'d3'!O309-d3П!O308</f>
        <v>0</v>
      </c>
      <c r="P309" s="860">
        <f>'d3'!P309-d3П!P308</f>
        <v>0</v>
      </c>
      <c r="Q309" s="628"/>
      <c r="R309" s="875"/>
    </row>
    <row r="310" spans="1:18" ht="230.25" thickTop="1" thickBot="1" x14ac:dyDescent="0.25">
      <c r="A310" s="864" t="s">
        <v>435</v>
      </c>
      <c r="B310" s="864" t="s">
        <v>248</v>
      </c>
      <c r="C310" s="864" t="s">
        <v>246</v>
      </c>
      <c r="D310" s="864" t="s">
        <v>247</v>
      </c>
      <c r="E310" s="860">
        <f>'d3'!E310-d3П!E309</f>
        <v>0</v>
      </c>
      <c r="F310" s="860">
        <f>'d3'!F310-d3П!F309</f>
        <v>0</v>
      </c>
      <c r="G310" s="860">
        <f>'d3'!G310-d3П!G309</f>
        <v>0</v>
      </c>
      <c r="H310" s="860">
        <f>'d3'!H310-d3П!H309</f>
        <v>0</v>
      </c>
      <c r="I310" s="860">
        <f>'d3'!I310-d3П!I309</f>
        <v>0</v>
      </c>
      <c r="J310" s="860">
        <f>'d3'!J310-d3П!J309</f>
        <v>0</v>
      </c>
      <c r="K310" s="860">
        <f>'d3'!K310-d3П!K309</f>
        <v>0</v>
      </c>
      <c r="L310" s="860">
        <f>'d3'!L310-d3П!L309</f>
        <v>0</v>
      </c>
      <c r="M310" s="860">
        <f>'d3'!M310-d3П!M309</f>
        <v>0</v>
      </c>
      <c r="N310" s="860">
        <f>'d3'!N310-d3П!N309</f>
        <v>0</v>
      </c>
      <c r="O310" s="860">
        <f>'d3'!O310-d3П!O309</f>
        <v>0</v>
      </c>
      <c r="P310" s="860">
        <f>'d3'!P310-d3П!P309</f>
        <v>0</v>
      </c>
      <c r="Q310" s="628"/>
      <c r="R310" s="875"/>
    </row>
    <row r="311" spans="1:18" ht="184.5" thickTop="1" thickBot="1" x14ac:dyDescent="0.25">
      <c r="A311" s="864" t="s">
        <v>673</v>
      </c>
      <c r="B311" s="864" t="s">
        <v>376</v>
      </c>
      <c r="C311" s="864" t="s">
        <v>662</v>
      </c>
      <c r="D311" s="864" t="s">
        <v>663</v>
      </c>
      <c r="E311" s="860">
        <f>'d3'!E311-d3П!E310</f>
        <v>0</v>
      </c>
      <c r="F311" s="860">
        <f>'d3'!F311-d3П!F310</f>
        <v>0</v>
      </c>
      <c r="G311" s="860">
        <f>'d3'!G311-d3П!G310</f>
        <v>0</v>
      </c>
      <c r="H311" s="860">
        <f>'d3'!H311-d3П!H310</f>
        <v>0</v>
      </c>
      <c r="I311" s="860">
        <f>'d3'!I311-d3П!I310</f>
        <v>0</v>
      </c>
      <c r="J311" s="860">
        <f>'d3'!J311-d3П!J310</f>
        <v>0</v>
      </c>
      <c r="K311" s="860">
        <f>'d3'!K311-d3П!K310</f>
        <v>0</v>
      </c>
      <c r="L311" s="860">
        <f>'d3'!L311-d3П!L310</f>
        <v>0</v>
      </c>
      <c r="M311" s="860">
        <f>'d3'!M311-d3П!M310</f>
        <v>0</v>
      </c>
      <c r="N311" s="860">
        <f>'d3'!N311-d3П!N310</f>
        <v>0</v>
      </c>
      <c r="O311" s="860">
        <f>'d3'!O311-d3П!O310</f>
        <v>0</v>
      </c>
      <c r="P311" s="860">
        <f>'d3'!P311-d3П!P310</f>
        <v>0</v>
      </c>
      <c r="Q311" s="628"/>
      <c r="R311" s="875"/>
    </row>
    <row r="312" spans="1:18" ht="47.25" thickTop="1" thickBot="1" x14ac:dyDescent="0.25">
      <c r="A312" s="151" t="s">
        <v>965</v>
      </c>
      <c r="B312" s="151" t="s">
        <v>792</v>
      </c>
      <c r="C312" s="864"/>
      <c r="D312" s="151" t="s">
        <v>839</v>
      </c>
      <c r="E312" s="860">
        <f>'d3'!E312-d3П!E311</f>
        <v>0</v>
      </c>
      <c r="F312" s="860">
        <f>'d3'!F312-d3П!F311</f>
        <v>0</v>
      </c>
      <c r="G312" s="860">
        <f>'d3'!G312-d3П!G311</f>
        <v>0</v>
      </c>
      <c r="H312" s="860">
        <f>'d3'!H312-d3П!H311</f>
        <v>0</v>
      </c>
      <c r="I312" s="860">
        <f>'d3'!I312-d3П!I311</f>
        <v>0</v>
      </c>
      <c r="J312" s="860">
        <f>'d3'!J312-d3П!J311</f>
        <v>0</v>
      </c>
      <c r="K312" s="860">
        <f>'d3'!K312-d3П!K311</f>
        <v>0</v>
      </c>
      <c r="L312" s="860">
        <f>'d3'!L312-d3П!L311</f>
        <v>0</v>
      </c>
      <c r="M312" s="860">
        <f>'d3'!M312-d3П!M311</f>
        <v>0</v>
      </c>
      <c r="N312" s="860">
        <f>'d3'!N312-d3П!N311</f>
        <v>0</v>
      </c>
      <c r="O312" s="860">
        <f>'d3'!O312-d3П!O311</f>
        <v>0</v>
      </c>
      <c r="P312" s="860">
        <f>'d3'!P312-d3П!P311</f>
        <v>0</v>
      </c>
      <c r="Q312" s="628"/>
      <c r="R312" s="875"/>
    </row>
    <row r="313" spans="1:18" ht="91.5" thickTop="1" thickBot="1" x14ac:dyDescent="0.25">
      <c r="A313" s="467" t="s">
        <v>966</v>
      </c>
      <c r="B313" s="467" t="s">
        <v>848</v>
      </c>
      <c r="C313" s="467"/>
      <c r="D313" s="467" t="s">
        <v>849</v>
      </c>
      <c r="E313" s="860">
        <f>'d3'!E313-d3П!E312</f>
        <v>0</v>
      </c>
      <c r="F313" s="860">
        <f>'d3'!F313-d3П!F312</f>
        <v>0</v>
      </c>
      <c r="G313" s="860">
        <f>'d3'!G313-d3П!G312</f>
        <v>0</v>
      </c>
      <c r="H313" s="860">
        <f>'d3'!H313-d3П!H312</f>
        <v>0</v>
      </c>
      <c r="I313" s="860">
        <f>'d3'!I313-d3П!I312</f>
        <v>0</v>
      </c>
      <c r="J313" s="860">
        <f>'d3'!J313-d3П!J312</f>
        <v>0</v>
      </c>
      <c r="K313" s="860">
        <f>'d3'!K313-d3П!K312</f>
        <v>0</v>
      </c>
      <c r="L313" s="860">
        <f>'d3'!L313-d3П!L312</f>
        <v>0</v>
      </c>
      <c r="M313" s="860">
        <f>'d3'!M313-d3П!M312</f>
        <v>0</v>
      </c>
      <c r="N313" s="860">
        <f>'d3'!N313-d3П!N312</f>
        <v>0</v>
      </c>
      <c r="O313" s="860">
        <f>'d3'!O313-d3П!O312</f>
        <v>0</v>
      </c>
      <c r="P313" s="860">
        <f>'d3'!P313-d3П!P312</f>
        <v>0</v>
      </c>
      <c r="Q313" s="628"/>
      <c r="R313" s="875"/>
    </row>
    <row r="314" spans="1:18" ht="138.75" thickTop="1" thickBot="1" x14ac:dyDescent="0.25">
      <c r="A314" s="864" t="s">
        <v>967</v>
      </c>
      <c r="B314" s="864" t="s">
        <v>968</v>
      </c>
      <c r="C314" s="864" t="s">
        <v>317</v>
      </c>
      <c r="D314" s="864" t="s">
        <v>969</v>
      </c>
      <c r="E314" s="860">
        <f>'d3'!E314-d3П!E313</f>
        <v>0</v>
      </c>
      <c r="F314" s="860">
        <f>'d3'!F314-d3П!F313</f>
        <v>0</v>
      </c>
      <c r="G314" s="860">
        <f>'d3'!G314-d3П!G313</f>
        <v>0</v>
      </c>
      <c r="H314" s="860">
        <f>'d3'!H314-d3П!H313</f>
        <v>0</v>
      </c>
      <c r="I314" s="860">
        <f>'d3'!I314-d3П!I313</f>
        <v>0</v>
      </c>
      <c r="J314" s="860">
        <f>'d3'!J314-d3П!J313</f>
        <v>0</v>
      </c>
      <c r="K314" s="860">
        <f>'d3'!K314-d3П!K313</f>
        <v>0</v>
      </c>
      <c r="L314" s="860">
        <f>'d3'!L314-d3П!L313</f>
        <v>0</v>
      </c>
      <c r="M314" s="860">
        <f>'d3'!M314-d3П!M313</f>
        <v>0</v>
      </c>
      <c r="N314" s="860">
        <f>'d3'!N314-d3П!N313</f>
        <v>0</v>
      </c>
      <c r="O314" s="860">
        <f>'d3'!O314-d3П!O313</f>
        <v>0</v>
      </c>
      <c r="P314" s="860">
        <f>'d3'!P314-d3П!P313</f>
        <v>0</v>
      </c>
      <c r="Q314" s="628"/>
      <c r="R314" s="875"/>
    </row>
    <row r="315" spans="1:18" ht="136.5" thickTop="1" thickBot="1" x14ac:dyDescent="0.25">
      <c r="A315" s="828" t="s">
        <v>461</v>
      </c>
      <c r="B315" s="828"/>
      <c r="C315" s="828"/>
      <c r="D315" s="829" t="s">
        <v>463</v>
      </c>
      <c r="E315" s="830">
        <f>E316</f>
        <v>0</v>
      </c>
      <c r="F315" s="831">
        <f t="shared" ref="F315:G315" si="61">F316</f>
        <v>0</v>
      </c>
      <c r="G315" s="831">
        <f t="shared" si="61"/>
        <v>0</v>
      </c>
      <c r="H315" s="831">
        <f>H316</f>
        <v>0</v>
      </c>
      <c r="I315" s="831">
        <f t="shared" ref="I315" si="62">I316</f>
        <v>0</v>
      </c>
      <c r="J315" s="830">
        <f>J316</f>
        <v>110500</v>
      </c>
      <c r="K315" s="831">
        <f>K316</f>
        <v>110500</v>
      </c>
      <c r="L315" s="831">
        <f>L316</f>
        <v>0</v>
      </c>
      <c r="M315" s="831">
        <f t="shared" ref="M315" si="63">M316</f>
        <v>0</v>
      </c>
      <c r="N315" s="831">
        <f>N316</f>
        <v>0</v>
      </c>
      <c r="O315" s="830">
        <f>O316</f>
        <v>110500</v>
      </c>
      <c r="P315" s="831">
        <f t="shared" ref="P315" si="64">P316</f>
        <v>110500</v>
      </c>
    </row>
    <row r="316" spans="1:18" ht="181.5" thickTop="1" thickBot="1" x14ac:dyDescent="0.25">
      <c r="A316" s="832" t="s">
        <v>462</v>
      </c>
      <c r="B316" s="832"/>
      <c r="C316" s="832"/>
      <c r="D316" s="833" t="s">
        <v>464</v>
      </c>
      <c r="E316" s="834">
        <f>E317+E320</f>
        <v>0</v>
      </c>
      <c r="F316" s="834">
        <f>F317+F320</f>
        <v>0</v>
      </c>
      <c r="G316" s="834">
        <f>G317+G320</f>
        <v>0</v>
      </c>
      <c r="H316" s="834">
        <f>H317+H320</f>
        <v>0</v>
      </c>
      <c r="I316" s="834">
        <f>I317+I320</f>
        <v>0</v>
      </c>
      <c r="J316" s="834">
        <f>L316+O316</f>
        <v>110500</v>
      </c>
      <c r="K316" s="834">
        <f>K317+K320</f>
        <v>110500</v>
      </c>
      <c r="L316" s="834">
        <f>L317+L320</f>
        <v>0</v>
      </c>
      <c r="M316" s="834">
        <f>M317+M320</f>
        <v>0</v>
      </c>
      <c r="N316" s="834">
        <f>N317+N320</f>
        <v>0</v>
      </c>
      <c r="O316" s="834">
        <f>O317+O320</f>
        <v>110500</v>
      </c>
      <c r="P316" s="834">
        <f>E316+J316</f>
        <v>110500</v>
      </c>
      <c r="Q316" s="628" t="b">
        <f>P316=P318+P325+P319+P323+P328+P326</f>
        <v>1</v>
      </c>
      <c r="R316" s="875"/>
    </row>
    <row r="317" spans="1:18" ht="47.25" thickTop="1" thickBot="1" x14ac:dyDescent="0.25">
      <c r="A317" s="151" t="s">
        <v>870</v>
      </c>
      <c r="B317" s="151" t="s">
        <v>727</v>
      </c>
      <c r="C317" s="151"/>
      <c r="D317" s="151" t="s">
        <v>728</v>
      </c>
      <c r="E317" s="860">
        <f>'d3'!E317-d3П!E316</f>
        <v>0</v>
      </c>
      <c r="F317" s="860">
        <f>'d3'!F317-d3П!F316</f>
        <v>0</v>
      </c>
      <c r="G317" s="860">
        <f>'d3'!G317-d3П!G316</f>
        <v>0</v>
      </c>
      <c r="H317" s="860">
        <f>'d3'!H317-d3П!H316</f>
        <v>0</v>
      </c>
      <c r="I317" s="860">
        <f>'d3'!I317-d3П!I316</f>
        <v>0</v>
      </c>
      <c r="J317" s="860">
        <f>'d3'!J317-d3П!J316</f>
        <v>110500</v>
      </c>
      <c r="K317" s="860">
        <f>'d3'!K317-d3П!K316</f>
        <v>110500</v>
      </c>
      <c r="L317" s="860">
        <f>'d3'!L317-d3П!L316</f>
        <v>0</v>
      </c>
      <c r="M317" s="860">
        <f>'d3'!M317-d3П!M316</f>
        <v>0</v>
      </c>
      <c r="N317" s="860">
        <f>'d3'!N317-d3П!N316</f>
        <v>0</v>
      </c>
      <c r="O317" s="860">
        <f>'d3'!O317-d3П!O316</f>
        <v>110500</v>
      </c>
      <c r="P317" s="860">
        <f>'d3'!P317-d3П!P316</f>
        <v>110500</v>
      </c>
      <c r="Q317" s="628"/>
      <c r="R317" s="875"/>
    </row>
    <row r="318" spans="1:18" ht="230.25" thickTop="1" thickBot="1" x14ac:dyDescent="0.25">
      <c r="A318" s="864" t="s">
        <v>465</v>
      </c>
      <c r="B318" s="864" t="s">
        <v>248</v>
      </c>
      <c r="C318" s="864" t="s">
        <v>246</v>
      </c>
      <c r="D318" s="864" t="s">
        <v>247</v>
      </c>
      <c r="E318" s="860">
        <f>'d3'!E318-d3П!E317</f>
        <v>0</v>
      </c>
      <c r="F318" s="860">
        <f>'d3'!F318-d3П!F317</f>
        <v>0</v>
      </c>
      <c r="G318" s="860">
        <f>'d3'!G318-d3П!G317</f>
        <v>0</v>
      </c>
      <c r="H318" s="860">
        <f>'d3'!H318-d3П!H317</f>
        <v>0</v>
      </c>
      <c r="I318" s="860">
        <f>'d3'!I318-d3П!I317</f>
        <v>0</v>
      </c>
      <c r="J318" s="860">
        <f>'d3'!J318-d3П!J317</f>
        <v>110500</v>
      </c>
      <c r="K318" s="860">
        <f>'d3'!K318-d3П!K317</f>
        <v>110500</v>
      </c>
      <c r="L318" s="860">
        <f>'d3'!L318-d3П!L317</f>
        <v>0</v>
      </c>
      <c r="M318" s="860">
        <f>'d3'!M318-d3П!M317</f>
        <v>0</v>
      </c>
      <c r="N318" s="860">
        <f>'d3'!N318-d3П!N317</f>
        <v>0</v>
      </c>
      <c r="O318" s="860">
        <f>'d3'!O318-d3П!O317</f>
        <v>110500</v>
      </c>
      <c r="P318" s="860">
        <f>'d3'!P318-d3П!P317</f>
        <v>110500</v>
      </c>
      <c r="Q318" s="628"/>
      <c r="R318" s="875"/>
    </row>
    <row r="319" spans="1:18" ht="184.5" hidden="1" thickTop="1" thickBot="1" x14ac:dyDescent="0.25">
      <c r="A319" s="873" t="s">
        <v>674</v>
      </c>
      <c r="B319" s="873" t="s">
        <v>376</v>
      </c>
      <c r="C319" s="873" t="s">
        <v>662</v>
      </c>
      <c r="D319" s="873" t="s">
        <v>663</v>
      </c>
      <c r="E319" s="860">
        <f>'d3'!E319-d3П!E318</f>
        <v>0</v>
      </c>
      <c r="F319" s="860">
        <f>'d3'!F319-d3П!F318</f>
        <v>0</v>
      </c>
      <c r="G319" s="860">
        <f>'d3'!G319-d3П!G318</f>
        <v>0</v>
      </c>
      <c r="H319" s="860">
        <f>'d3'!H319-d3П!H318</f>
        <v>0</v>
      </c>
      <c r="I319" s="860">
        <f>'d3'!I319-d3П!I318</f>
        <v>0</v>
      </c>
      <c r="J319" s="860">
        <f>'d3'!J319-d3П!J318</f>
        <v>0</v>
      </c>
      <c r="K319" s="860">
        <f>'d3'!K319-d3П!K318</f>
        <v>0</v>
      </c>
      <c r="L319" s="860">
        <f>'d3'!L319-d3П!L318</f>
        <v>0</v>
      </c>
      <c r="M319" s="860">
        <f>'d3'!M319-d3П!M318</f>
        <v>0</v>
      </c>
      <c r="N319" s="860">
        <f>'d3'!N319-d3П!N318</f>
        <v>0</v>
      </c>
      <c r="O319" s="860">
        <f>'d3'!O319-d3П!O318</f>
        <v>0</v>
      </c>
      <c r="P319" s="860">
        <f>'d3'!P319-d3П!P318</f>
        <v>0</v>
      </c>
      <c r="Q319" s="628"/>
      <c r="R319" s="875"/>
    </row>
    <row r="320" spans="1:18" ht="47.25" thickTop="1" thickBot="1" x14ac:dyDescent="0.25">
      <c r="A320" s="151" t="s">
        <v>871</v>
      </c>
      <c r="B320" s="151" t="s">
        <v>792</v>
      </c>
      <c r="C320" s="864"/>
      <c r="D320" s="151" t="s">
        <v>839</v>
      </c>
      <c r="E320" s="860">
        <f>'d3'!E320-d3П!E319</f>
        <v>0</v>
      </c>
      <c r="F320" s="860">
        <f>'d3'!F320-d3П!F319</f>
        <v>0</v>
      </c>
      <c r="G320" s="860">
        <f>'d3'!G320-d3П!G319</f>
        <v>0</v>
      </c>
      <c r="H320" s="860">
        <f>'d3'!H320-d3П!H319</f>
        <v>0</v>
      </c>
      <c r="I320" s="860">
        <f>'d3'!I320-d3П!I319</f>
        <v>0</v>
      </c>
      <c r="J320" s="860">
        <f>'d3'!J320-d3П!J319</f>
        <v>0</v>
      </c>
      <c r="K320" s="860">
        <f>'d3'!K320-d3П!K319</f>
        <v>0</v>
      </c>
      <c r="L320" s="860">
        <f>'d3'!L320-d3П!L319</f>
        <v>0</v>
      </c>
      <c r="M320" s="860">
        <f>'d3'!M320-d3П!M319</f>
        <v>0</v>
      </c>
      <c r="N320" s="860">
        <f>'d3'!N320-d3П!N319</f>
        <v>0</v>
      </c>
      <c r="O320" s="860">
        <f>'d3'!O320-d3П!O319</f>
        <v>0</v>
      </c>
      <c r="P320" s="860">
        <f>'d3'!P320-d3П!P319</f>
        <v>0</v>
      </c>
      <c r="Q320" s="628"/>
      <c r="R320" s="297"/>
    </row>
    <row r="321" spans="1:18" ht="136.5" thickTop="1" thickBot="1" x14ac:dyDescent="0.25">
      <c r="A321" s="467" t="s">
        <v>872</v>
      </c>
      <c r="B321" s="467" t="s">
        <v>851</v>
      </c>
      <c r="C321" s="467"/>
      <c r="D321" s="467" t="s">
        <v>852</v>
      </c>
      <c r="E321" s="860">
        <f>'d3'!E321-d3П!E320</f>
        <v>0</v>
      </c>
      <c r="F321" s="860">
        <f>'d3'!F321-d3П!F320</f>
        <v>0</v>
      </c>
      <c r="G321" s="860">
        <f>'d3'!G321-d3П!G320</f>
        <v>0</v>
      </c>
      <c r="H321" s="860">
        <f>'d3'!H321-d3П!H320</f>
        <v>0</v>
      </c>
      <c r="I321" s="860">
        <f>'d3'!I321-d3П!I320</f>
        <v>0</v>
      </c>
      <c r="J321" s="860">
        <f>'d3'!J321-d3П!J320</f>
        <v>0</v>
      </c>
      <c r="K321" s="860">
        <f>'d3'!K321-d3П!K320</f>
        <v>0</v>
      </c>
      <c r="L321" s="860">
        <f>'d3'!L321-d3П!L320</f>
        <v>0</v>
      </c>
      <c r="M321" s="860">
        <f>'d3'!M321-d3П!M320</f>
        <v>0</v>
      </c>
      <c r="N321" s="860">
        <f>'d3'!N321-d3П!N320</f>
        <v>0</v>
      </c>
      <c r="O321" s="860">
        <f>'d3'!O321-d3П!O320</f>
        <v>0</v>
      </c>
      <c r="P321" s="860">
        <f>'d3'!P321-d3П!P320</f>
        <v>0</v>
      </c>
      <c r="Q321" s="628"/>
      <c r="R321" s="297"/>
    </row>
    <row r="322" spans="1:18" ht="138.75" hidden="1" thickTop="1" thickBot="1" x14ac:dyDescent="0.25">
      <c r="A322" s="489" t="s">
        <v>1094</v>
      </c>
      <c r="B322" s="489" t="s">
        <v>1095</v>
      </c>
      <c r="C322" s="489"/>
      <c r="D322" s="489" t="s">
        <v>1093</v>
      </c>
      <c r="E322" s="860">
        <f>'d3'!E322-d3П!E321</f>
        <v>0</v>
      </c>
      <c r="F322" s="860">
        <f>'d3'!F322-d3П!F321</f>
        <v>0</v>
      </c>
      <c r="G322" s="860">
        <f>'d3'!G322-d3П!G321</f>
        <v>0</v>
      </c>
      <c r="H322" s="860">
        <f>'d3'!H322-d3П!H321</f>
        <v>0</v>
      </c>
      <c r="I322" s="860">
        <f>'d3'!I322-d3П!I321</f>
        <v>0</v>
      </c>
      <c r="J322" s="860">
        <f>'d3'!J322-d3П!J321</f>
        <v>0</v>
      </c>
      <c r="K322" s="860">
        <f>'d3'!K322-d3П!K321</f>
        <v>0</v>
      </c>
      <c r="L322" s="860">
        <f>'d3'!L322-d3П!L321</f>
        <v>0</v>
      </c>
      <c r="M322" s="860">
        <f>'d3'!M322-d3П!M321</f>
        <v>0</v>
      </c>
      <c r="N322" s="860">
        <f>'d3'!N322-d3П!N321</f>
        <v>0</v>
      </c>
      <c r="O322" s="860">
        <f>'d3'!O322-d3П!O321</f>
        <v>0</v>
      </c>
      <c r="P322" s="860">
        <f>'d3'!P322-d3П!P321</f>
        <v>0</v>
      </c>
      <c r="Q322" s="628"/>
      <c r="R322" s="297"/>
    </row>
    <row r="323" spans="1:18" ht="93" hidden="1" thickTop="1" thickBot="1" x14ac:dyDescent="0.25">
      <c r="A323" s="864" t="s">
        <v>485</v>
      </c>
      <c r="B323" s="864" t="s">
        <v>428</v>
      </c>
      <c r="C323" s="864" t="s">
        <v>429</v>
      </c>
      <c r="D323" s="864" t="s">
        <v>430</v>
      </c>
      <c r="E323" s="860">
        <f>'d3'!E323-d3П!E322</f>
        <v>0</v>
      </c>
      <c r="F323" s="860">
        <f>'d3'!F323-d3П!F322</f>
        <v>0</v>
      </c>
      <c r="G323" s="860">
        <f>'d3'!G323-d3П!G322</f>
        <v>0</v>
      </c>
      <c r="H323" s="860">
        <f>'d3'!H323-d3П!H322</f>
        <v>0</v>
      </c>
      <c r="I323" s="860">
        <f>'d3'!I323-d3П!I322</f>
        <v>0</v>
      </c>
      <c r="J323" s="860">
        <f>'d3'!J323-d3П!J322</f>
        <v>0</v>
      </c>
      <c r="K323" s="860">
        <f>'d3'!K323-d3П!K322</f>
        <v>0</v>
      </c>
      <c r="L323" s="860">
        <f>'d3'!L323-d3П!L322</f>
        <v>0</v>
      </c>
      <c r="M323" s="860">
        <f>'d3'!M323-d3П!M322</f>
        <v>0</v>
      </c>
      <c r="N323" s="860">
        <f>'d3'!N323-d3П!N322</f>
        <v>0</v>
      </c>
      <c r="O323" s="860">
        <f>'d3'!O323-d3П!O322</f>
        <v>0</v>
      </c>
      <c r="P323" s="860">
        <f>'d3'!P323-d3П!P322</f>
        <v>0</v>
      </c>
      <c r="Q323" s="628"/>
      <c r="R323" s="297"/>
    </row>
    <row r="324" spans="1:18" ht="138.75" thickTop="1" thickBot="1" x14ac:dyDescent="0.25">
      <c r="A324" s="489" t="s">
        <v>873</v>
      </c>
      <c r="B324" s="489" t="s">
        <v>874</v>
      </c>
      <c r="C324" s="489"/>
      <c r="D324" s="489" t="s">
        <v>875</v>
      </c>
      <c r="E324" s="860">
        <f>'d3'!E324-d3П!E323</f>
        <v>0</v>
      </c>
      <c r="F324" s="860">
        <f>'d3'!F324-d3П!F323</f>
        <v>0</v>
      </c>
      <c r="G324" s="860">
        <f>'d3'!G324-d3П!G323</f>
        <v>0</v>
      </c>
      <c r="H324" s="860">
        <f>'d3'!H324-d3П!H323</f>
        <v>0</v>
      </c>
      <c r="I324" s="860">
        <f>'d3'!I324-d3П!I323</f>
        <v>0</v>
      </c>
      <c r="J324" s="860">
        <f>'d3'!J324-d3П!J323</f>
        <v>0</v>
      </c>
      <c r="K324" s="860">
        <f>'d3'!K324-d3П!K323</f>
        <v>0</v>
      </c>
      <c r="L324" s="860">
        <f>'d3'!L324-d3П!L323</f>
        <v>0</v>
      </c>
      <c r="M324" s="860">
        <f>'d3'!M324-d3П!M323</f>
        <v>0</v>
      </c>
      <c r="N324" s="860">
        <f>'d3'!N324-d3П!N323</f>
        <v>0</v>
      </c>
      <c r="O324" s="860">
        <f>'d3'!O324-d3П!O323</f>
        <v>0</v>
      </c>
      <c r="P324" s="860">
        <f>'d3'!P324-d3П!P323</f>
        <v>0</v>
      </c>
      <c r="Q324" s="628"/>
      <c r="R324" s="297"/>
    </row>
    <row r="325" spans="1:18" ht="93" thickTop="1" thickBot="1" x14ac:dyDescent="0.25">
      <c r="A325" s="864" t="s">
        <v>486</v>
      </c>
      <c r="B325" s="864" t="s">
        <v>303</v>
      </c>
      <c r="C325" s="864" t="s">
        <v>305</v>
      </c>
      <c r="D325" s="864" t="s">
        <v>304</v>
      </c>
      <c r="E325" s="860">
        <f>'d3'!E325-d3П!E324</f>
        <v>0</v>
      </c>
      <c r="F325" s="860">
        <f>'d3'!F325-d3П!F324</f>
        <v>0</v>
      </c>
      <c r="G325" s="860">
        <f>'d3'!G325-d3П!G324</f>
        <v>0</v>
      </c>
      <c r="H325" s="860">
        <f>'d3'!H325-d3П!H324</f>
        <v>0</v>
      </c>
      <c r="I325" s="860">
        <f>'d3'!I325-d3П!I324</f>
        <v>0</v>
      </c>
      <c r="J325" s="860">
        <f>'d3'!J325-d3П!J324</f>
        <v>0</v>
      </c>
      <c r="K325" s="860">
        <f>'d3'!K325-d3П!K324</f>
        <v>0</v>
      </c>
      <c r="L325" s="860">
        <f>'d3'!L325-d3П!L324</f>
        <v>0</v>
      </c>
      <c r="M325" s="860">
        <f>'d3'!M325-d3П!M324</f>
        <v>0</v>
      </c>
      <c r="N325" s="860">
        <f>'d3'!N325-d3П!N324</f>
        <v>0</v>
      </c>
      <c r="O325" s="860">
        <f>'d3'!O325-d3П!O324</f>
        <v>0</v>
      </c>
      <c r="P325" s="860">
        <f>'d3'!P325-d3П!P324</f>
        <v>0</v>
      </c>
      <c r="Q325" s="628"/>
      <c r="R325" s="297"/>
    </row>
    <row r="326" spans="1:18" ht="93" thickTop="1" thickBot="1" x14ac:dyDescent="0.25">
      <c r="A326" s="864" t="s">
        <v>1201</v>
      </c>
      <c r="B326" s="864" t="s">
        <v>1202</v>
      </c>
      <c r="C326" s="864" t="s">
        <v>308</v>
      </c>
      <c r="D326" s="864" t="s">
        <v>1200</v>
      </c>
      <c r="E326" s="860">
        <f>'d3'!E326-d3П!E325</f>
        <v>0</v>
      </c>
      <c r="F326" s="860">
        <f>'d3'!F326-d3П!F325</f>
        <v>0</v>
      </c>
      <c r="G326" s="860">
        <f>'d3'!G326-d3П!G325</f>
        <v>0</v>
      </c>
      <c r="H326" s="860">
        <f>'d3'!H326-d3П!H325</f>
        <v>0</v>
      </c>
      <c r="I326" s="860">
        <f>'d3'!I326-d3П!I325</f>
        <v>0</v>
      </c>
      <c r="J326" s="860">
        <f>'d3'!J326-d3П!J325</f>
        <v>0</v>
      </c>
      <c r="K326" s="860">
        <f>'d3'!K326-d3П!K325</f>
        <v>0</v>
      </c>
      <c r="L326" s="860">
        <f>'d3'!L326-d3П!L325</f>
        <v>0</v>
      </c>
      <c r="M326" s="860">
        <f>'d3'!M326-d3П!M325</f>
        <v>0</v>
      </c>
      <c r="N326" s="860">
        <f>'d3'!N326-d3П!N325</f>
        <v>0</v>
      </c>
      <c r="O326" s="860">
        <f>'d3'!O326-d3П!O325</f>
        <v>0</v>
      </c>
      <c r="P326" s="860">
        <f>'d3'!P326-d3П!P325</f>
        <v>0</v>
      </c>
      <c r="Q326" s="628"/>
      <c r="R326" s="297"/>
    </row>
    <row r="327" spans="1:18" ht="136.5" thickTop="1" thickBot="1" x14ac:dyDescent="0.25">
      <c r="A327" s="467" t="s">
        <v>1325</v>
      </c>
      <c r="B327" s="467" t="s">
        <v>734</v>
      </c>
      <c r="C327" s="467"/>
      <c r="D327" s="467" t="s">
        <v>732</v>
      </c>
      <c r="E327" s="860">
        <f>'d3'!E327-d3П!E326</f>
        <v>0</v>
      </c>
      <c r="F327" s="860">
        <f>'d3'!F327-d3П!F326</f>
        <v>0</v>
      </c>
      <c r="G327" s="860">
        <f>'d3'!G327-d3П!G326</f>
        <v>0</v>
      </c>
      <c r="H327" s="860">
        <f>'d3'!H327-d3П!H326</f>
        <v>0</v>
      </c>
      <c r="I327" s="860">
        <f>'d3'!I327-d3П!I326</f>
        <v>0</v>
      </c>
      <c r="J327" s="860">
        <f>'d3'!J327-d3П!J326</f>
        <v>0</v>
      </c>
      <c r="K327" s="860">
        <f>'d3'!K327-d3П!K326</f>
        <v>0</v>
      </c>
      <c r="L327" s="860">
        <f>'d3'!L327-d3П!L326</f>
        <v>0</v>
      </c>
      <c r="M327" s="860">
        <f>'d3'!M327-d3П!M326</f>
        <v>0</v>
      </c>
      <c r="N327" s="860">
        <f>'d3'!N327-d3П!N326</f>
        <v>0</v>
      </c>
      <c r="O327" s="860">
        <f>'d3'!O327-d3П!O326</f>
        <v>0</v>
      </c>
      <c r="P327" s="860">
        <f>'d3'!P327-d3П!P326</f>
        <v>0</v>
      </c>
      <c r="Q327" s="628"/>
      <c r="R327" s="297"/>
    </row>
    <row r="328" spans="1:18" ht="93" thickTop="1" thickBot="1" x14ac:dyDescent="0.25">
      <c r="A328" s="864" t="s">
        <v>1326</v>
      </c>
      <c r="B328" s="864" t="s">
        <v>209</v>
      </c>
      <c r="C328" s="864" t="s">
        <v>178</v>
      </c>
      <c r="D328" s="864" t="s">
        <v>1327</v>
      </c>
      <c r="E328" s="860">
        <f>'d3'!E328-d3П!E327</f>
        <v>0</v>
      </c>
      <c r="F328" s="860">
        <f>'d3'!F328-d3П!F327</f>
        <v>0</v>
      </c>
      <c r="G328" s="860">
        <f>'d3'!G328-d3П!G327</f>
        <v>0</v>
      </c>
      <c r="H328" s="860">
        <f>'d3'!H328-d3П!H327</f>
        <v>0</v>
      </c>
      <c r="I328" s="860">
        <f>'d3'!I328-d3П!I327</f>
        <v>0</v>
      </c>
      <c r="J328" s="860">
        <f>'d3'!J328-d3П!J327</f>
        <v>0</v>
      </c>
      <c r="K328" s="860">
        <f>'d3'!K328-d3П!K327</f>
        <v>0</v>
      </c>
      <c r="L328" s="860">
        <f>'d3'!L328-d3П!L327</f>
        <v>0</v>
      </c>
      <c r="M328" s="860">
        <f>'d3'!M328-d3П!M327</f>
        <v>0</v>
      </c>
      <c r="N328" s="860">
        <f>'d3'!N328-d3П!N327</f>
        <v>0</v>
      </c>
      <c r="O328" s="860">
        <f>'d3'!O328-d3П!O327</f>
        <v>0</v>
      </c>
      <c r="P328" s="860">
        <f>'d3'!P328-d3П!P327</f>
        <v>0</v>
      </c>
      <c r="Q328" s="628"/>
      <c r="R328" s="297"/>
    </row>
    <row r="329" spans="1:18" ht="136.5" thickTop="1" thickBot="1" x14ac:dyDescent="0.25">
      <c r="A329" s="828" t="s">
        <v>174</v>
      </c>
      <c r="B329" s="828"/>
      <c r="C329" s="828"/>
      <c r="D329" s="829" t="s">
        <v>368</v>
      </c>
      <c r="E329" s="830">
        <f>E330</f>
        <v>0</v>
      </c>
      <c r="F329" s="831">
        <f t="shared" ref="F329:G329" si="65">F330</f>
        <v>0</v>
      </c>
      <c r="G329" s="831">
        <f t="shared" si="65"/>
        <v>0</v>
      </c>
      <c r="H329" s="831">
        <f>H330</f>
        <v>0</v>
      </c>
      <c r="I329" s="831">
        <f t="shared" ref="I329" si="66">I330</f>
        <v>0</v>
      </c>
      <c r="J329" s="830">
        <f>J330</f>
        <v>0</v>
      </c>
      <c r="K329" s="831">
        <f>K330</f>
        <v>0</v>
      </c>
      <c r="L329" s="831">
        <f>L330</f>
        <v>0</v>
      </c>
      <c r="M329" s="831">
        <f t="shared" ref="M329" si="67">M330</f>
        <v>0</v>
      </c>
      <c r="N329" s="831">
        <f>N330</f>
        <v>0</v>
      </c>
      <c r="O329" s="830">
        <f>O330</f>
        <v>0</v>
      </c>
      <c r="P329" s="831">
        <f t="shared" ref="P329" si="68">P330</f>
        <v>0</v>
      </c>
    </row>
    <row r="330" spans="1:18" ht="136.5" thickTop="1" thickBot="1" x14ac:dyDescent="0.25">
      <c r="A330" s="832" t="s">
        <v>175</v>
      </c>
      <c r="B330" s="832"/>
      <c r="C330" s="832"/>
      <c r="D330" s="833" t="s">
        <v>369</v>
      </c>
      <c r="E330" s="834">
        <f>E331+E339</f>
        <v>0</v>
      </c>
      <c r="F330" s="834">
        <f>F331+F339</f>
        <v>0</v>
      </c>
      <c r="G330" s="834">
        <f t="shared" ref="G330:O330" si="69">G331+G339</f>
        <v>0</v>
      </c>
      <c r="H330" s="834">
        <f t="shared" si="69"/>
        <v>0</v>
      </c>
      <c r="I330" s="834">
        <f t="shared" si="69"/>
        <v>0</v>
      </c>
      <c r="J330" s="834">
        <f t="shared" ref="J330:J338" si="70">L330+O330</f>
        <v>0</v>
      </c>
      <c r="K330" s="834">
        <f t="shared" si="69"/>
        <v>0</v>
      </c>
      <c r="L330" s="834">
        <f t="shared" si="69"/>
        <v>0</v>
      </c>
      <c r="M330" s="834">
        <f t="shared" si="69"/>
        <v>0</v>
      </c>
      <c r="N330" s="834">
        <f t="shared" si="69"/>
        <v>0</v>
      </c>
      <c r="O330" s="834">
        <f t="shared" si="69"/>
        <v>0</v>
      </c>
      <c r="P330" s="834">
        <f t="shared" ref="P330:P338" si="71">E330+J330</f>
        <v>0</v>
      </c>
      <c r="Q330" s="628" t="b">
        <f>P330=P335+P336+P338+P341+P333</f>
        <v>1</v>
      </c>
      <c r="R330" s="875"/>
    </row>
    <row r="331" spans="1:18" ht="47.25" thickTop="1" thickBot="1" x14ac:dyDescent="0.25">
      <c r="A331" s="151" t="s">
        <v>876</v>
      </c>
      <c r="B331" s="151" t="s">
        <v>792</v>
      </c>
      <c r="C331" s="864"/>
      <c r="D331" s="151" t="s">
        <v>839</v>
      </c>
      <c r="E331" s="860">
        <f>'d3'!E331-d3П!E330</f>
        <v>0</v>
      </c>
      <c r="F331" s="860">
        <f>'d3'!F331-d3П!F330</f>
        <v>0</v>
      </c>
      <c r="G331" s="860">
        <f>'d3'!G331-d3П!G330</f>
        <v>0</v>
      </c>
      <c r="H331" s="860">
        <f>'d3'!H331-d3П!H330</f>
        <v>0</v>
      </c>
      <c r="I331" s="860">
        <f>'d3'!I331-d3П!I330</f>
        <v>0</v>
      </c>
      <c r="J331" s="860">
        <f>'d3'!J331-d3П!J330</f>
        <v>0</v>
      </c>
      <c r="K331" s="860">
        <f>'d3'!K331-d3П!K330</f>
        <v>0</v>
      </c>
      <c r="L331" s="860">
        <f>'d3'!L331-d3П!L330</f>
        <v>0</v>
      </c>
      <c r="M331" s="860">
        <f>'d3'!M331-d3П!M330</f>
        <v>0</v>
      </c>
      <c r="N331" s="860">
        <f>'d3'!N331-d3П!N330</f>
        <v>0</v>
      </c>
      <c r="O331" s="860">
        <f>'d3'!O331-d3П!O330</f>
        <v>0</v>
      </c>
      <c r="P331" s="860">
        <f>'d3'!P331-d3П!P330</f>
        <v>0</v>
      </c>
      <c r="Q331" s="628"/>
      <c r="R331" s="875"/>
    </row>
    <row r="332" spans="1:18" ht="91.5" thickTop="1" thickBot="1" x14ac:dyDescent="0.25">
      <c r="A332" s="467" t="s">
        <v>1091</v>
      </c>
      <c r="B332" s="467" t="s">
        <v>848</v>
      </c>
      <c r="C332" s="467"/>
      <c r="D332" s="467" t="s">
        <v>849</v>
      </c>
      <c r="E332" s="860">
        <f>'d3'!E332-d3П!E331</f>
        <v>0</v>
      </c>
      <c r="F332" s="860">
        <f>'d3'!F332-d3П!F331</f>
        <v>0</v>
      </c>
      <c r="G332" s="860">
        <f>'d3'!G332-d3П!G331</f>
        <v>0</v>
      </c>
      <c r="H332" s="860">
        <f>'d3'!H332-d3П!H331</f>
        <v>0</v>
      </c>
      <c r="I332" s="860">
        <f>'d3'!I332-d3П!I331</f>
        <v>0</v>
      </c>
      <c r="J332" s="860">
        <f>'d3'!J332-d3П!J331</f>
        <v>0</v>
      </c>
      <c r="K332" s="860">
        <f>'d3'!K332-d3П!K331</f>
        <v>0</v>
      </c>
      <c r="L332" s="860">
        <f>'d3'!L332-d3П!L331</f>
        <v>0</v>
      </c>
      <c r="M332" s="860">
        <f>'d3'!M332-d3П!M331</f>
        <v>0</v>
      </c>
      <c r="N332" s="860">
        <f>'d3'!N332-d3П!N331</f>
        <v>0</v>
      </c>
      <c r="O332" s="860">
        <f>'d3'!O332-d3П!O331</f>
        <v>0</v>
      </c>
      <c r="P332" s="860">
        <f>'d3'!P332-d3П!P331</f>
        <v>0</v>
      </c>
      <c r="Q332" s="628"/>
      <c r="R332" s="875"/>
    </row>
    <row r="333" spans="1:18" ht="138.75" thickTop="1" thickBot="1" x14ac:dyDescent="0.25">
      <c r="A333" s="864" t="s">
        <v>1092</v>
      </c>
      <c r="B333" s="864" t="s">
        <v>364</v>
      </c>
      <c r="C333" s="864" t="s">
        <v>178</v>
      </c>
      <c r="D333" s="864" t="s">
        <v>274</v>
      </c>
      <c r="E333" s="860">
        <f>'d3'!E333-d3П!E332</f>
        <v>0</v>
      </c>
      <c r="F333" s="860">
        <f>'d3'!F333-d3П!F332</f>
        <v>0</v>
      </c>
      <c r="G333" s="860">
        <f>'d3'!G333-d3П!G332</f>
        <v>0</v>
      </c>
      <c r="H333" s="860">
        <f>'d3'!H333-d3П!H332</f>
        <v>0</v>
      </c>
      <c r="I333" s="860">
        <f>'d3'!I333-d3П!I332</f>
        <v>0</v>
      </c>
      <c r="J333" s="860">
        <f>'d3'!J333-d3П!J332</f>
        <v>0</v>
      </c>
      <c r="K333" s="860">
        <f>'d3'!K333-d3П!K332</f>
        <v>0</v>
      </c>
      <c r="L333" s="860">
        <f>'d3'!L333-d3П!L332</f>
        <v>0</v>
      </c>
      <c r="M333" s="860">
        <f>'d3'!M333-d3П!M332</f>
        <v>0</v>
      </c>
      <c r="N333" s="860">
        <f>'d3'!N333-d3П!N332</f>
        <v>0</v>
      </c>
      <c r="O333" s="860">
        <f>'d3'!O333-d3П!O332</f>
        <v>0</v>
      </c>
      <c r="P333" s="860">
        <f>'d3'!P333-d3П!P332</f>
        <v>0</v>
      </c>
      <c r="Q333" s="628"/>
      <c r="R333" s="875"/>
    </row>
    <row r="334" spans="1:18" ht="136.5" thickTop="1" thickBot="1" x14ac:dyDescent="0.25">
      <c r="A334" s="467" t="s">
        <v>877</v>
      </c>
      <c r="B334" s="467" t="s">
        <v>734</v>
      </c>
      <c r="C334" s="467"/>
      <c r="D334" s="467" t="s">
        <v>732</v>
      </c>
      <c r="E334" s="860">
        <f>'d3'!E334-d3П!E333</f>
        <v>0</v>
      </c>
      <c r="F334" s="860">
        <f>'d3'!F334-d3П!F333</f>
        <v>0</v>
      </c>
      <c r="G334" s="860">
        <f>'d3'!G334-d3П!G333</f>
        <v>0</v>
      </c>
      <c r="H334" s="860">
        <f>'d3'!H334-d3П!H333</f>
        <v>0</v>
      </c>
      <c r="I334" s="860">
        <f>'d3'!I334-d3П!I333</f>
        <v>0</v>
      </c>
      <c r="J334" s="860">
        <f>'d3'!J334-d3П!J333</f>
        <v>0</v>
      </c>
      <c r="K334" s="860">
        <f>'d3'!K334-d3П!K333</f>
        <v>0</v>
      </c>
      <c r="L334" s="860">
        <f>'d3'!L334-d3П!L333</f>
        <v>0</v>
      </c>
      <c r="M334" s="860">
        <f>'d3'!M334-d3П!M333</f>
        <v>0</v>
      </c>
      <c r="N334" s="860">
        <f>'d3'!N334-d3П!N333</f>
        <v>0</v>
      </c>
      <c r="O334" s="860">
        <f>'d3'!O334-d3П!O333</f>
        <v>0</v>
      </c>
      <c r="P334" s="860">
        <f>'d3'!P334-d3П!P333</f>
        <v>0</v>
      </c>
      <c r="Q334" s="628"/>
      <c r="R334" s="875"/>
    </row>
    <row r="335" spans="1:18" ht="93" thickTop="1" thickBot="1" x14ac:dyDescent="0.25">
      <c r="A335" s="864" t="s">
        <v>272</v>
      </c>
      <c r="B335" s="864" t="s">
        <v>273</v>
      </c>
      <c r="C335" s="864" t="s">
        <v>271</v>
      </c>
      <c r="D335" s="864" t="s">
        <v>270</v>
      </c>
      <c r="E335" s="860">
        <f>'d3'!E335-d3П!E334</f>
        <v>0</v>
      </c>
      <c r="F335" s="860">
        <f>'d3'!F335-d3П!F334</f>
        <v>0</v>
      </c>
      <c r="G335" s="860">
        <f>'d3'!G335-d3П!G334</f>
        <v>0</v>
      </c>
      <c r="H335" s="860">
        <f>'d3'!H335-d3П!H334</f>
        <v>0</v>
      </c>
      <c r="I335" s="860">
        <f>'d3'!I335-d3П!I334</f>
        <v>0</v>
      </c>
      <c r="J335" s="860">
        <f>'d3'!J335-d3П!J334</f>
        <v>0</v>
      </c>
      <c r="K335" s="860">
        <f>'d3'!K335-d3П!K334</f>
        <v>0</v>
      </c>
      <c r="L335" s="860">
        <f>'d3'!L335-d3П!L334</f>
        <v>0</v>
      </c>
      <c r="M335" s="860">
        <f>'d3'!M335-d3П!M334</f>
        <v>0</v>
      </c>
      <c r="N335" s="860">
        <f>'d3'!N335-d3П!N334</f>
        <v>0</v>
      </c>
      <c r="O335" s="860">
        <f>'d3'!O335-d3П!O334</f>
        <v>0</v>
      </c>
      <c r="P335" s="860">
        <f>'d3'!P335-d3П!P334</f>
        <v>0</v>
      </c>
      <c r="R335" s="875"/>
    </row>
    <row r="336" spans="1:18" ht="138.75" thickTop="1" thickBot="1" x14ac:dyDescent="0.25">
      <c r="A336" s="864" t="s">
        <v>264</v>
      </c>
      <c r="B336" s="864" t="s">
        <v>266</v>
      </c>
      <c r="C336" s="864" t="s">
        <v>225</v>
      </c>
      <c r="D336" s="864" t="s">
        <v>265</v>
      </c>
      <c r="E336" s="860">
        <f>'d3'!E336-d3П!E335</f>
        <v>0</v>
      </c>
      <c r="F336" s="860">
        <f>'d3'!F336-d3П!F335</f>
        <v>0</v>
      </c>
      <c r="G336" s="860">
        <f>'d3'!G336-d3П!G335</f>
        <v>0</v>
      </c>
      <c r="H336" s="860">
        <f>'d3'!H336-d3П!H335</f>
        <v>0</v>
      </c>
      <c r="I336" s="860">
        <f>'d3'!I336-d3П!I335</f>
        <v>0</v>
      </c>
      <c r="J336" s="860">
        <f>'d3'!J336-d3П!J335</f>
        <v>0</v>
      </c>
      <c r="K336" s="860">
        <f>'d3'!K336-d3П!K335</f>
        <v>0</v>
      </c>
      <c r="L336" s="860">
        <f>'d3'!L336-d3П!L335</f>
        <v>0</v>
      </c>
      <c r="M336" s="860">
        <f>'d3'!M336-d3П!M335</f>
        <v>0</v>
      </c>
      <c r="N336" s="860">
        <f>'d3'!N336-d3П!N335</f>
        <v>0</v>
      </c>
      <c r="O336" s="860">
        <f>'d3'!O336-d3П!O335</f>
        <v>0</v>
      </c>
      <c r="P336" s="860">
        <f>'d3'!P336-d3П!P335</f>
        <v>0</v>
      </c>
      <c r="R336" s="875"/>
    </row>
    <row r="337" spans="1:18" ht="47.25" thickTop="1" thickBot="1" x14ac:dyDescent="0.25">
      <c r="A337" s="489" t="s">
        <v>878</v>
      </c>
      <c r="B337" s="489" t="s">
        <v>737</v>
      </c>
      <c r="C337" s="489"/>
      <c r="D337" s="489" t="s">
        <v>735</v>
      </c>
      <c r="E337" s="860">
        <f>'d3'!E337-d3П!E336</f>
        <v>0</v>
      </c>
      <c r="F337" s="860">
        <f>'d3'!F337-d3П!F336</f>
        <v>0</v>
      </c>
      <c r="G337" s="860">
        <f>'d3'!G337-d3П!G336</f>
        <v>0</v>
      </c>
      <c r="H337" s="860">
        <f>'d3'!H337-d3П!H336</f>
        <v>0</v>
      </c>
      <c r="I337" s="860">
        <f>'d3'!I337-d3П!I336</f>
        <v>0</v>
      </c>
      <c r="J337" s="860">
        <f>'d3'!J337-d3П!J336</f>
        <v>0</v>
      </c>
      <c r="K337" s="860">
        <f>'d3'!K337-d3П!K336</f>
        <v>0</v>
      </c>
      <c r="L337" s="860">
        <f>'d3'!L337-d3П!L336</f>
        <v>0</v>
      </c>
      <c r="M337" s="860">
        <f>'d3'!M337-d3П!M336</f>
        <v>0</v>
      </c>
      <c r="N337" s="860">
        <f>'d3'!N337-d3П!N336</f>
        <v>0</v>
      </c>
      <c r="O337" s="860">
        <f>'d3'!O337-d3П!O336</f>
        <v>0</v>
      </c>
      <c r="P337" s="860">
        <f>'d3'!P337-d3П!P336</f>
        <v>0</v>
      </c>
      <c r="R337" s="875"/>
    </row>
    <row r="338" spans="1:18" ht="93" thickTop="1" thickBot="1" x14ac:dyDescent="0.25">
      <c r="A338" s="864" t="s">
        <v>268</v>
      </c>
      <c r="B338" s="864" t="s">
        <v>269</v>
      </c>
      <c r="C338" s="864" t="s">
        <v>178</v>
      </c>
      <c r="D338" s="864" t="s">
        <v>267</v>
      </c>
      <c r="E338" s="860">
        <f>'d3'!E338-d3П!E337</f>
        <v>0</v>
      </c>
      <c r="F338" s="860">
        <f>'d3'!F338-d3П!F337</f>
        <v>0</v>
      </c>
      <c r="G338" s="860">
        <f>'d3'!G338-d3П!G337</f>
        <v>0</v>
      </c>
      <c r="H338" s="860">
        <f>'d3'!H338-d3П!H337</f>
        <v>0</v>
      </c>
      <c r="I338" s="860">
        <f>'d3'!I338-d3П!I337</f>
        <v>0</v>
      </c>
      <c r="J338" s="860">
        <f>'d3'!J338-d3П!J337</f>
        <v>0</v>
      </c>
      <c r="K338" s="860">
        <f>'d3'!K338-d3П!K337</f>
        <v>0</v>
      </c>
      <c r="L338" s="860">
        <f>'d3'!L338-d3П!L337</f>
        <v>0</v>
      </c>
      <c r="M338" s="860">
        <f>'d3'!M338-d3П!M337</f>
        <v>0</v>
      </c>
      <c r="N338" s="860">
        <f>'d3'!N338-d3П!N337</f>
        <v>0</v>
      </c>
      <c r="O338" s="860">
        <f>'d3'!O338-d3П!O337</f>
        <v>0</v>
      </c>
      <c r="P338" s="860">
        <f>'d3'!P338-d3П!P337</f>
        <v>0</v>
      </c>
      <c r="R338" s="875"/>
    </row>
    <row r="339" spans="1:18" ht="47.25" hidden="1" thickTop="1" thickBot="1" x14ac:dyDescent="0.25">
      <c r="A339" s="250" t="s">
        <v>961</v>
      </c>
      <c r="B339" s="250" t="s">
        <v>745</v>
      </c>
      <c r="C339" s="250"/>
      <c r="D339" s="250" t="s">
        <v>746</v>
      </c>
      <c r="E339" s="874">
        <f>E340</f>
        <v>0</v>
      </c>
      <c r="F339" s="874">
        <f t="shared" ref="F339:P340" si="72">F340</f>
        <v>0</v>
      </c>
      <c r="G339" s="874">
        <f t="shared" si="72"/>
        <v>0</v>
      </c>
      <c r="H339" s="874">
        <f t="shared" si="72"/>
        <v>0</v>
      </c>
      <c r="I339" s="874">
        <f t="shared" si="72"/>
        <v>0</v>
      </c>
      <c r="J339" s="874">
        <f t="shared" si="72"/>
        <v>0</v>
      </c>
      <c r="K339" s="874">
        <f t="shared" si="72"/>
        <v>0</v>
      </c>
      <c r="L339" s="874">
        <f t="shared" si="72"/>
        <v>0</v>
      </c>
      <c r="M339" s="874">
        <f t="shared" si="72"/>
        <v>0</v>
      </c>
      <c r="N339" s="874">
        <f t="shared" si="72"/>
        <v>0</v>
      </c>
      <c r="O339" s="874">
        <f t="shared" si="72"/>
        <v>0</v>
      </c>
      <c r="P339" s="874">
        <f t="shared" si="72"/>
        <v>0</v>
      </c>
      <c r="R339" s="875"/>
    </row>
    <row r="340" spans="1:18" ht="271.5" hidden="1" thickTop="1" thickBot="1" x14ac:dyDescent="0.25">
      <c r="A340" s="253" t="s">
        <v>962</v>
      </c>
      <c r="B340" s="253" t="s">
        <v>748</v>
      </c>
      <c r="C340" s="253"/>
      <c r="D340" s="253" t="s">
        <v>749</v>
      </c>
      <c r="E340" s="270">
        <f>E341</f>
        <v>0</v>
      </c>
      <c r="F340" s="270">
        <f t="shared" si="72"/>
        <v>0</v>
      </c>
      <c r="G340" s="270">
        <f t="shared" si="72"/>
        <v>0</v>
      </c>
      <c r="H340" s="270">
        <f t="shared" si="72"/>
        <v>0</v>
      </c>
      <c r="I340" s="270">
        <f t="shared" si="72"/>
        <v>0</v>
      </c>
      <c r="J340" s="270">
        <f t="shared" si="72"/>
        <v>0</v>
      </c>
      <c r="K340" s="270">
        <f t="shared" si="72"/>
        <v>0</v>
      </c>
      <c r="L340" s="270">
        <f t="shared" si="72"/>
        <v>0</v>
      </c>
      <c r="M340" s="270">
        <f t="shared" si="72"/>
        <v>0</v>
      </c>
      <c r="N340" s="270">
        <f t="shared" si="72"/>
        <v>0</v>
      </c>
      <c r="O340" s="270">
        <f t="shared" si="72"/>
        <v>0</v>
      </c>
      <c r="P340" s="270">
        <f t="shared" si="72"/>
        <v>0</v>
      </c>
      <c r="R340" s="875"/>
    </row>
    <row r="341" spans="1:18" ht="93" hidden="1" thickTop="1" thickBot="1" x14ac:dyDescent="0.25">
      <c r="A341" s="873" t="s">
        <v>963</v>
      </c>
      <c r="B341" s="873" t="s">
        <v>377</v>
      </c>
      <c r="C341" s="873" t="s">
        <v>45</v>
      </c>
      <c r="D341" s="873" t="s">
        <v>378</v>
      </c>
      <c r="E341" s="874">
        <f t="shared" ref="E341" si="73">F341</f>
        <v>0</v>
      </c>
      <c r="F341" s="278">
        <v>0</v>
      </c>
      <c r="G341" s="278"/>
      <c r="H341" s="278"/>
      <c r="I341" s="278"/>
      <c r="J341" s="874">
        <f>L341+O341</f>
        <v>0</v>
      </c>
      <c r="K341" s="278">
        <v>0</v>
      </c>
      <c r="L341" s="278"/>
      <c r="M341" s="278"/>
      <c r="N341" s="278"/>
      <c r="O341" s="871">
        <f>K341</f>
        <v>0</v>
      </c>
      <c r="P341" s="874">
        <f>E341+J341</f>
        <v>0</v>
      </c>
      <c r="R341" s="875"/>
    </row>
    <row r="342" spans="1:18" ht="226.5" thickTop="1" thickBot="1" x14ac:dyDescent="0.25">
      <c r="A342" s="828" t="s">
        <v>172</v>
      </c>
      <c r="B342" s="828"/>
      <c r="C342" s="828"/>
      <c r="D342" s="829" t="s">
        <v>938</v>
      </c>
      <c r="E342" s="830">
        <f>E343</f>
        <v>0</v>
      </c>
      <c r="F342" s="831">
        <f t="shared" ref="F342:G342" si="74">F343</f>
        <v>0</v>
      </c>
      <c r="G342" s="831">
        <f t="shared" si="74"/>
        <v>0</v>
      </c>
      <c r="H342" s="831">
        <f>H343</f>
        <v>0</v>
      </c>
      <c r="I342" s="831">
        <f t="shared" ref="I342" si="75">I343</f>
        <v>0</v>
      </c>
      <c r="J342" s="830">
        <f>J343</f>
        <v>0</v>
      </c>
      <c r="K342" s="831">
        <f>K343</f>
        <v>0</v>
      </c>
      <c r="L342" s="831">
        <f>L343</f>
        <v>0</v>
      </c>
      <c r="M342" s="831">
        <f t="shared" ref="M342" si="76">M343</f>
        <v>0</v>
      </c>
      <c r="N342" s="831">
        <f>N343</f>
        <v>0</v>
      </c>
      <c r="O342" s="830">
        <f>O343</f>
        <v>0</v>
      </c>
      <c r="P342" s="831">
        <f t="shared" ref="P342" si="77">P343</f>
        <v>0</v>
      </c>
    </row>
    <row r="343" spans="1:18" ht="226.5" thickTop="1" thickBot="1" x14ac:dyDescent="0.25">
      <c r="A343" s="832" t="s">
        <v>173</v>
      </c>
      <c r="B343" s="832"/>
      <c r="C343" s="832"/>
      <c r="D343" s="833" t="s">
        <v>937</v>
      </c>
      <c r="E343" s="834">
        <f>E344+E347</f>
        <v>0</v>
      </c>
      <c r="F343" s="834">
        <f t="shared" ref="F343:I343" si="78">F344+F347</f>
        <v>0</v>
      </c>
      <c r="G343" s="834">
        <f t="shared" si="78"/>
        <v>0</v>
      </c>
      <c r="H343" s="834">
        <f t="shared" si="78"/>
        <v>0</v>
      </c>
      <c r="I343" s="834">
        <f t="shared" si="78"/>
        <v>0</v>
      </c>
      <c r="J343" s="834">
        <f>L343+O343</f>
        <v>0</v>
      </c>
      <c r="K343" s="834">
        <f t="shared" ref="K343:O343" si="79">K344+K347</f>
        <v>0</v>
      </c>
      <c r="L343" s="834">
        <f t="shared" si="79"/>
        <v>0</v>
      </c>
      <c r="M343" s="834">
        <f t="shared" si="79"/>
        <v>0</v>
      </c>
      <c r="N343" s="834">
        <f t="shared" si="79"/>
        <v>0</v>
      </c>
      <c r="O343" s="834">
        <f t="shared" si="79"/>
        <v>0</v>
      </c>
      <c r="P343" s="834">
        <f t="shared" ref="P343:P349" si="80">E343+J343</f>
        <v>0</v>
      </c>
      <c r="Q343" s="628" t="b">
        <f>P343=P345+P349</f>
        <v>1</v>
      </c>
      <c r="R343" s="875"/>
    </row>
    <row r="344" spans="1:18" ht="47.25" thickTop="1" thickBot="1" x14ac:dyDescent="0.25">
      <c r="A344" s="151" t="s">
        <v>879</v>
      </c>
      <c r="B344" s="151" t="s">
        <v>727</v>
      </c>
      <c r="C344" s="151"/>
      <c r="D344" s="151" t="s">
        <v>728</v>
      </c>
      <c r="E344" s="860">
        <f>'d3'!E344-d3П!E343</f>
        <v>0</v>
      </c>
      <c r="F344" s="860">
        <f>'d3'!F344-d3П!F343</f>
        <v>0</v>
      </c>
      <c r="G344" s="860">
        <f>'d3'!G344-d3П!G343</f>
        <v>0</v>
      </c>
      <c r="H344" s="860">
        <f>'d3'!H344-d3П!H343</f>
        <v>0</v>
      </c>
      <c r="I344" s="860">
        <f>'d3'!I344-d3П!I343</f>
        <v>0</v>
      </c>
      <c r="J344" s="860">
        <f>'d3'!J344-d3П!J343</f>
        <v>0</v>
      </c>
      <c r="K344" s="860">
        <f>'d3'!K344-d3П!K343</f>
        <v>0</v>
      </c>
      <c r="L344" s="860">
        <f>'d3'!L344-d3П!L343</f>
        <v>0</v>
      </c>
      <c r="M344" s="860">
        <f>'d3'!M344-d3П!M343</f>
        <v>0</v>
      </c>
      <c r="N344" s="860">
        <f>'d3'!N344-d3П!N343</f>
        <v>0</v>
      </c>
      <c r="O344" s="860">
        <f>'d3'!O344-d3П!O343</f>
        <v>0</v>
      </c>
      <c r="P344" s="860">
        <f>'d3'!P344-d3П!P343</f>
        <v>0</v>
      </c>
      <c r="Q344" s="628"/>
      <c r="R344" s="875"/>
    </row>
    <row r="345" spans="1:18" ht="230.25" thickTop="1" thickBot="1" x14ac:dyDescent="0.25">
      <c r="A345" s="864" t="s">
        <v>438</v>
      </c>
      <c r="B345" s="864" t="s">
        <v>248</v>
      </c>
      <c r="C345" s="864" t="s">
        <v>246</v>
      </c>
      <c r="D345" s="864" t="s">
        <v>247</v>
      </c>
      <c r="E345" s="860">
        <f>'d3'!E345-d3П!E344</f>
        <v>0</v>
      </c>
      <c r="F345" s="860">
        <f>'d3'!F345-d3П!F344</f>
        <v>0</v>
      </c>
      <c r="G345" s="860">
        <f>'d3'!G345-d3П!G344</f>
        <v>0</v>
      </c>
      <c r="H345" s="860">
        <f>'d3'!H345-d3П!H344</f>
        <v>0</v>
      </c>
      <c r="I345" s="860">
        <f>'d3'!I345-d3П!I344</f>
        <v>0</v>
      </c>
      <c r="J345" s="860">
        <f>'d3'!J345-d3П!J344</f>
        <v>0</v>
      </c>
      <c r="K345" s="860">
        <f>'d3'!K345-d3П!K344</f>
        <v>0</v>
      </c>
      <c r="L345" s="860">
        <f>'d3'!L345-d3П!L344</f>
        <v>0</v>
      </c>
      <c r="M345" s="860">
        <f>'d3'!M345-d3П!M344</f>
        <v>0</v>
      </c>
      <c r="N345" s="860">
        <f>'d3'!N345-d3П!N344</f>
        <v>0</v>
      </c>
      <c r="O345" s="860">
        <f>'d3'!O345-d3П!O344</f>
        <v>0</v>
      </c>
      <c r="P345" s="860">
        <f>'d3'!P345-d3П!P344</f>
        <v>0</v>
      </c>
      <c r="Q345" s="628"/>
      <c r="R345" s="875"/>
    </row>
    <row r="346" spans="1:18" ht="184.5" hidden="1" thickTop="1" thickBot="1" x14ac:dyDescent="0.25">
      <c r="A346" s="873" t="s">
        <v>675</v>
      </c>
      <c r="B346" s="873" t="s">
        <v>376</v>
      </c>
      <c r="C346" s="873" t="s">
        <v>662</v>
      </c>
      <c r="D346" s="873" t="s">
        <v>663</v>
      </c>
      <c r="E346" s="860">
        <f>'d3'!E346-d3П!E345</f>
        <v>0</v>
      </c>
      <c r="F346" s="860">
        <f>'d3'!F346-d3П!F345</f>
        <v>0</v>
      </c>
      <c r="G346" s="860">
        <f>'d3'!G346-d3П!G345</f>
        <v>0</v>
      </c>
      <c r="H346" s="860">
        <f>'d3'!H346-d3П!H345</f>
        <v>0</v>
      </c>
      <c r="I346" s="860">
        <f>'d3'!I346-d3П!I345</f>
        <v>0</v>
      </c>
      <c r="J346" s="860">
        <f>'d3'!J346-d3П!J345</f>
        <v>0</v>
      </c>
      <c r="K346" s="860">
        <f>'d3'!K346-d3П!K345</f>
        <v>0</v>
      </c>
      <c r="L346" s="860">
        <f>'d3'!L346-d3П!L345</f>
        <v>0</v>
      </c>
      <c r="M346" s="860">
        <f>'d3'!M346-d3П!M345</f>
        <v>0</v>
      </c>
      <c r="N346" s="860">
        <f>'d3'!N346-d3П!N345</f>
        <v>0</v>
      </c>
      <c r="O346" s="860">
        <f>'d3'!O346-d3П!O345</f>
        <v>0</v>
      </c>
      <c r="P346" s="860">
        <f>'d3'!P346-d3П!P345</f>
        <v>0</v>
      </c>
      <c r="Q346" s="628"/>
      <c r="R346" s="875"/>
    </row>
    <row r="347" spans="1:18" ht="47.25" thickTop="1" thickBot="1" x14ac:dyDescent="0.25">
      <c r="A347" s="151" t="s">
        <v>880</v>
      </c>
      <c r="B347" s="151" t="s">
        <v>739</v>
      </c>
      <c r="C347" s="151"/>
      <c r="D347" s="151" t="s">
        <v>740</v>
      </c>
      <c r="E347" s="860">
        <f>'d3'!E347-d3П!E346</f>
        <v>0</v>
      </c>
      <c r="F347" s="860">
        <f>'d3'!F347-d3П!F346</f>
        <v>0</v>
      </c>
      <c r="G347" s="860">
        <f>'d3'!G347-d3П!G346</f>
        <v>0</v>
      </c>
      <c r="H347" s="860">
        <f>'d3'!H347-d3П!H346</f>
        <v>0</v>
      </c>
      <c r="I347" s="860">
        <f>'d3'!I347-d3П!I346</f>
        <v>0</v>
      </c>
      <c r="J347" s="860">
        <f>'d3'!J347-d3П!J346</f>
        <v>0</v>
      </c>
      <c r="K347" s="860">
        <f>'d3'!K347-d3П!K346</f>
        <v>0</v>
      </c>
      <c r="L347" s="860">
        <f>'d3'!L347-d3П!L346</f>
        <v>0</v>
      </c>
      <c r="M347" s="860">
        <f>'d3'!M347-d3П!M346</f>
        <v>0</v>
      </c>
      <c r="N347" s="860">
        <f>'d3'!N347-d3П!N346</f>
        <v>0</v>
      </c>
      <c r="O347" s="860">
        <f>'d3'!O347-d3П!O346</f>
        <v>0</v>
      </c>
      <c r="P347" s="860">
        <f>'d3'!P347-d3П!P346</f>
        <v>0</v>
      </c>
      <c r="Q347" s="628"/>
      <c r="R347" s="875"/>
    </row>
    <row r="348" spans="1:18" ht="91.5" thickTop="1" thickBot="1" x14ac:dyDescent="0.25">
      <c r="A348" s="467" t="s">
        <v>881</v>
      </c>
      <c r="B348" s="467" t="s">
        <v>882</v>
      </c>
      <c r="C348" s="467"/>
      <c r="D348" s="467" t="s">
        <v>883</v>
      </c>
      <c r="E348" s="860">
        <f>'d3'!E348-d3П!E347</f>
        <v>0</v>
      </c>
      <c r="F348" s="860">
        <f>'d3'!F348-d3П!F347</f>
        <v>0</v>
      </c>
      <c r="G348" s="860">
        <f>'d3'!G348-d3П!G347</f>
        <v>0</v>
      </c>
      <c r="H348" s="860">
        <f>'d3'!H348-d3П!H347</f>
        <v>0</v>
      </c>
      <c r="I348" s="860">
        <f>'d3'!I348-d3П!I347</f>
        <v>0</v>
      </c>
      <c r="J348" s="860">
        <f>'d3'!J348-d3П!J347</f>
        <v>0</v>
      </c>
      <c r="K348" s="860">
        <f>'d3'!K348-d3П!K347</f>
        <v>0</v>
      </c>
      <c r="L348" s="860">
        <f>'d3'!L348-d3П!L347</f>
        <v>0</v>
      </c>
      <c r="M348" s="860">
        <f>'d3'!M348-d3П!M347</f>
        <v>0</v>
      </c>
      <c r="N348" s="860">
        <f>'d3'!N348-d3П!N347</f>
        <v>0</v>
      </c>
      <c r="O348" s="860">
        <f>'d3'!O348-d3П!O347</f>
        <v>0</v>
      </c>
      <c r="P348" s="860">
        <f>'d3'!P348-d3П!P347</f>
        <v>0</v>
      </c>
      <c r="Q348" s="628"/>
      <c r="R348" s="875"/>
    </row>
    <row r="349" spans="1:18" ht="93" thickTop="1" thickBot="1" x14ac:dyDescent="0.25">
      <c r="A349" s="864" t="s">
        <v>1258</v>
      </c>
      <c r="B349" s="864" t="s">
        <v>1259</v>
      </c>
      <c r="C349" s="864" t="s">
        <v>53</v>
      </c>
      <c r="D349" s="864" t="s">
        <v>1260</v>
      </c>
      <c r="E349" s="860">
        <f>'d3'!E349-d3П!E348</f>
        <v>0</v>
      </c>
      <c r="F349" s="860">
        <f>'d3'!F349-d3П!F348</f>
        <v>0</v>
      </c>
      <c r="G349" s="860">
        <f>'d3'!G349-d3П!G348</f>
        <v>0</v>
      </c>
      <c r="H349" s="860">
        <f>'d3'!H349-d3П!H348</f>
        <v>0</v>
      </c>
      <c r="I349" s="860">
        <f>'d3'!I349-d3П!I348</f>
        <v>0</v>
      </c>
      <c r="J349" s="860">
        <f>'d3'!J349-d3П!J348</f>
        <v>0</v>
      </c>
      <c r="K349" s="860">
        <f>'d3'!K349-d3П!K348</f>
        <v>0</v>
      </c>
      <c r="L349" s="860">
        <f>'d3'!L349-d3П!L348</f>
        <v>0</v>
      </c>
      <c r="M349" s="860">
        <f>'d3'!M349-d3П!M348</f>
        <v>0</v>
      </c>
      <c r="N349" s="860">
        <f>'d3'!N349-d3П!N348</f>
        <v>0</v>
      </c>
      <c r="O349" s="860">
        <f>'d3'!O349-d3П!O348</f>
        <v>0</v>
      </c>
      <c r="P349" s="860">
        <f>'d3'!P349-d3П!P348</f>
        <v>0</v>
      </c>
      <c r="Q349" s="628" t="b">
        <f>J349='d9'!F17</f>
        <v>0</v>
      </c>
    </row>
    <row r="350" spans="1:18" ht="181.5" thickTop="1" thickBot="1" x14ac:dyDescent="0.25">
      <c r="A350" s="828" t="s">
        <v>170</v>
      </c>
      <c r="B350" s="828"/>
      <c r="C350" s="828"/>
      <c r="D350" s="829" t="s">
        <v>950</v>
      </c>
      <c r="E350" s="830">
        <f>E351</f>
        <v>0</v>
      </c>
      <c r="F350" s="831">
        <f t="shared" ref="F350:G350" si="81">F351</f>
        <v>0</v>
      </c>
      <c r="G350" s="831">
        <f t="shared" si="81"/>
        <v>0</v>
      </c>
      <c r="H350" s="831">
        <f>H351</f>
        <v>0</v>
      </c>
      <c r="I350" s="831">
        <f t="shared" ref="I350" si="82">I351</f>
        <v>0</v>
      </c>
      <c r="J350" s="830">
        <f>J351</f>
        <v>0</v>
      </c>
      <c r="K350" s="831">
        <f>K351</f>
        <v>0</v>
      </c>
      <c r="L350" s="831">
        <f>L351</f>
        <v>0</v>
      </c>
      <c r="M350" s="831">
        <f t="shared" ref="M350" si="83">M351</f>
        <v>0</v>
      </c>
      <c r="N350" s="831">
        <f>N351</f>
        <v>0</v>
      </c>
      <c r="O350" s="830">
        <f>O351</f>
        <v>0</v>
      </c>
      <c r="P350" s="831">
        <f t="shared" ref="P350" si="84">P351</f>
        <v>0</v>
      </c>
    </row>
    <row r="351" spans="1:18" ht="181.5" thickTop="1" thickBot="1" x14ac:dyDescent="0.25">
      <c r="A351" s="832" t="s">
        <v>171</v>
      </c>
      <c r="B351" s="832"/>
      <c r="C351" s="832"/>
      <c r="D351" s="833" t="s">
        <v>949</v>
      </c>
      <c r="E351" s="834">
        <f>E352+E354</f>
        <v>0</v>
      </c>
      <c r="F351" s="834">
        <f t="shared" ref="F351:I351" si="85">F352+F354</f>
        <v>0</v>
      </c>
      <c r="G351" s="834">
        <f t="shared" si="85"/>
        <v>0</v>
      </c>
      <c r="H351" s="834">
        <f t="shared" si="85"/>
        <v>0</v>
      </c>
      <c r="I351" s="834">
        <f t="shared" si="85"/>
        <v>0</v>
      </c>
      <c r="J351" s="834">
        <f>L351+O351</f>
        <v>0</v>
      </c>
      <c r="K351" s="834">
        <f t="shared" ref="K351:O351" si="86">K352+K354</f>
        <v>0</v>
      </c>
      <c r="L351" s="834">
        <f t="shared" si="86"/>
        <v>0</v>
      </c>
      <c r="M351" s="834">
        <f t="shared" si="86"/>
        <v>0</v>
      </c>
      <c r="N351" s="834">
        <f t="shared" si="86"/>
        <v>0</v>
      </c>
      <c r="O351" s="834">
        <f t="shared" si="86"/>
        <v>0</v>
      </c>
      <c r="P351" s="834">
        <f>E351+J351</f>
        <v>0</v>
      </c>
      <c r="Q351" s="628" t="b">
        <f>P351=P356+P358+P353</f>
        <v>1</v>
      </c>
      <c r="R351" s="291"/>
    </row>
    <row r="352" spans="1:18" ht="47.25" thickTop="1" thickBot="1" x14ac:dyDescent="0.25">
      <c r="A352" s="151" t="s">
        <v>884</v>
      </c>
      <c r="B352" s="151" t="s">
        <v>727</v>
      </c>
      <c r="C352" s="151"/>
      <c r="D352" s="151" t="s">
        <v>728</v>
      </c>
      <c r="E352" s="860">
        <f>'d3'!E352-d3П!E351</f>
        <v>0</v>
      </c>
      <c r="F352" s="860">
        <f>'d3'!F352-d3П!F351</f>
        <v>0</v>
      </c>
      <c r="G352" s="860">
        <f>'d3'!G352-d3П!G351</f>
        <v>0</v>
      </c>
      <c r="H352" s="860">
        <f>'d3'!H352-d3П!H351</f>
        <v>0</v>
      </c>
      <c r="I352" s="860">
        <f>'d3'!I352-d3П!I351</f>
        <v>0</v>
      </c>
      <c r="J352" s="860">
        <f>'d3'!J352-d3П!J351</f>
        <v>0</v>
      </c>
      <c r="K352" s="860">
        <f>'d3'!K352-d3П!K351</f>
        <v>0</v>
      </c>
      <c r="L352" s="860">
        <f>'d3'!L352-d3П!L351</f>
        <v>0</v>
      </c>
      <c r="M352" s="860">
        <f>'d3'!M352-d3П!M351</f>
        <v>0</v>
      </c>
      <c r="N352" s="860">
        <f>'d3'!N352-d3П!N351</f>
        <v>0</v>
      </c>
      <c r="O352" s="860">
        <f>'d3'!O352-d3П!O351</f>
        <v>0</v>
      </c>
      <c r="P352" s="860">
        <f>'d3'!P352-d3П!P351</f>
        <v>0</v>
      </c>
      <c r="Q352" s="628"/>
      <c r="R352" s="291"/>
    </row>
    <row r="353" spans="1:19" ht="230.25" thickTop="1" thickBot="1" x14ac:dyDescent="0.25">
      <c r="A353" s="864" t="s">
        <v>434</v>
      </c>
      <c r="B353" s="864" t="s">
        <v>248</v>
      </c>
      <c r="C353" s="864" t="s">
        <v>246</v>
      </c>
      <c r="D353" s="864" t="s">
        <v>247</v>
      </c>
      <c r="E353" s="860">
        <f>'d3'!E353-d3П!E352</f>
        <v>0</v>
      </c>
      <c r="F353" s="860">
        <f>'d3'!F353-d3П!F352</f>
        <v>0</v>
      </c>
      <c r="G353" s="860">
        <f>'d3'!G353-d3П!G352</f>
        <v>0</v>
      </c>
      <c r="H353" s="860">
        <f>'d3'!H353-d3П!H352</f>
        <v>0</v>
      </c>
      <c r="I353" s="860">
        <f>'d3'!I353-d3П!I352</f>
        <v>0</v>
      </c>
      <c r="J353" s="860">
        <f>'d3'!J353-d3П!J352</f>
        <v>0</v>
      </c>
      <c r="K353" s="860">
        <f>'d3'!K353-d3П!K352</f>
        <v>0</v>
      </c>
      <c r="L353" s="860">
        <f>'d3'!L353-d3П!L352</f>
        <v>0</v>
      </c>
      <c r="M353" s="860">
        <f>'d3'!M353-d3П!M352</f>
        <v>0</v>
      </c>
      <c r="N353" s="860">
        <f>'d3'!N353-d3П!N352</f>
        <v>0</v>
      </c>
      <c r="O353" s="860">
        <f>'d3'!O353-d3П!O352</f>
        <v>0</v>
      </c>
      <c r="P353" s="860">
        <f>'d3'!P353-d3П!P352</f>
        <v>0</v>
      </c>
      <c r="R353" s="291"/>
    </row>
    <row r="354" spans="1:19" ht="47.25" thickTop="1" thickBot="1" x14ac:dyDescent="0.25">
      <c r="A354" s="151" t="s">
        <v>885</v>
      </c>
      <c r="B354" s="151" t="s">
        <v>792</v>
      </c>
      <c r="C354" s="864"/>
      <c r="D354" s="151" t="s">
        <v>839</v>
      </c>
      <c r="E354" s="860">
        <f>'d3'!E354-d3П!E353</f>
        <v>0</v>
      </c>
      <c r="F354" s="860">
        <f>'d3'!F354-d3П!F353</f>
        <v>0</v>
      </c>
      <c r="G354" s="860">
        <f>'d3'!G354-d3П!G353</f>
        <v>0</v>
      </c>
      <c r="H354" s="860">
        <f>'d3'!H354-d3П!H353</f>
        <v>0</v>
      </c>
      <c r="I354" s="860">
        <f>'d3'!I354-d3П!I353</f>
        <v>0</v>
      </c>
      <c r="J354" s="860">
        <f>'d3'!J354-d3П!J353</f>
        <v>0</v>
      </c>
      <c r="K354" s="860">
        <f>'d3'!K354-d3П!K353</f>
        <v>0</v>
      </c>
      <c r="L354" s="860">
        <f>'d3'!L354-d3П!L353</f>
        <v>0</v>
      </c>
      <c r="M354" s="860">
        <f>'d3'!M354-d3П!M353</f>
        <v>0</v>
      </c>
      <c r="N354" s="860">
        <f>'d3'!N354-d3П!N353</f>
        <v>0</v>
      </c>
      <c r="O354" s="860">
        <f>'d3'!O354-d3П!O353</f>
        <v>0</v>
      </c>
      <c r="P354" s="860">
        <f>'d3'!P354-d3П!P353</f>
        <v>0</v>
      </c>
      <c r="R354" s="293"/>
    </row>
    <row r="355" spans="1:19" ht="91.5" thickTop="1" thickBot="1" x14ac:dyDescent="0.25">
      <c r="A355" s="467" t="s">
        <v>886</v>
      </c>
      <c r="B355" s="467" t="s">
        <v>887</v>
      </c>
      <c r="C355" s="467"/>
      <c r="D355" s="467" t="s">
        <v>888</v>
      </c>
      <c r="E355" s="860">
        <f>'d3'!E355-d3П!E354</f>
        <v>0</v>
      </c>
      <c r="F355" s="860">
        <f>'d3'!F355-d3П!F354</f>
        <v>0</v>
      </c>
      <c r="G355" s="860">
        <f>'d3'!G355-d3П!G354</f>
        <v>0</v>
      </c>
      <c r="H355" s="860">
        <f>'d3'!H355-d3П!H354</f>
        <v>0</v>
      </c>
      <c r="I355" s="860">
        <f>'d3'!I355-d3П!I354</f>
        <v>0</v>
      </c>
      <c r="J355" s="860">
        <f>'d3'!J355-d3П!J354</f>
        <v>0</v>
      </c>
      <c r="K355" s="860">
        <f>'d3'!K355-d3П!K354</f>
        <v>0</v>
      </c>
      <c r="L355" s="860">
        <f>'d3'!L355-d3П!L354</f>
        <v>0</v>
      </c>
      <c r="M355" s="860">
        <f>'d3'!M355-d3П!M354</f>
        <v>0</v>
      </c>
      <c r="N355" s="860">
        <f>'d3'!N355-d3П!N354</f>
        <v>0</v>
      </c>
      <c r="O355" s="860">
        <f>'d3'!O355-d3П!O354</f>
        <v>0</v>
      </c>
      <c r="P355" s="860">
        <f>'d3'!P355-d3П!P354</f>
        <v>0</v>
      </c>
      <c r="R355" s="293"/>
    </row>
    <row r="356" spans="1:19" ht="93" thickTop="1" thickBot="1" x14ac:dyDescent="0.25">
      <c r="A356" s="864" t="s">
        <v>319</v>
      </c>
      <c r="B356" s="864" t="s">
        <v>320</v>
      </c>
      <c r="C356" s="864" t="s">
        <v>321</v>
      </c>
      <c r="D356" s="864" t="s">
        <v>479</v>
      </c>
      <c r="E356" s="860">
        <f>'d3'!E356-d3П!E355</f>
        <v>0</v>
      </c>
      <c r="F356" s="860">
        <f>'d3'!F356-d3П!F355</f>
        <v>0</v>
      </c>
      <c r="G356" s="860">
        <f>'d3'!G356-d3П!G355</f>
        <v>0</v>
      </c>
      <c r="H356" s="860">
        <f>'d3'!H356-d3П!H355</f>
        <v>0</v>
      </c>
      <c r="I356" s="860">
        <f>'d3'!I356-d3П!I355</f>
        <v>0</v>
      </c>
      <c r="J356" s="860">
        <f>'d3'!J356-d3П!J355</f>
        <v>0</v>
      </c>
      <c r="K356" s="860">
        <f>'d3'!K356-d3П!K355</f>
        <v>0</v>
      </c>
      <c r="L356" s="860">
        <f>'d3'!L356-d3П!L355</f>
        <v>0</v>
      </c>
      <c r="M356" s="860">
        <f>'d3'!M356-d3П!M355</f>
        <v>0</v>
      </c>
      <c r="N356" s="860">
        <f>'d3'!N356-d3П!N355</f>
        <v>0</v>
      </c>
      <c r="O356" s="860">
        <f>'d3'!O356-d3П!O355</f>
        <v>0</v>
      </c>
      <c r="P356" s="860">
        <f>'d3'!P356-d3П!P355</f>
        <v>0</v>
      </c>
      <c r="R356" s="291"/>
    </row>
    <row r="357" spans="1:19" ht="136.5" thickTop="1" thickBot="1" x14ac:dyDescent="0.25">
      <c r="A357" s="467" t="s">
        <v>889</v>
      </c>
      <c r="B357" s="467" t="s">
        <v>734</v>
      </c>
      <c r="C357" s="864"/>
      <c r="D357" s="467" t="s">
        <v>890</v>
      </c>
      <c r="E357" s="860">
        <f>'d3'!E357-d3П!E356</f>
        <v>0</v>
      </c>
      <c r="F357" s="860">
        <f>'d3'!F357-d3П!F356</f>
        <v>0</v>
      </c>
      <c r="G357" s="860">
        <f>'d3'!G357-d3П!G356</f>
        <v>0</v>
      </c>
      <c r="H357" s="860">
        <f>'d3'!H357-d3П!H356</f>
        <v>0</v>
      </c>
      <c r="I357" s="860">
        <f>'d3'!I357-d3П!I356</f>
        <v>0</v>
      </c>
      <c r="J357" s="860">
        <f>'d3'!J357-d3П!J356</f>
        <v>0</v>
      </c>
      <c r="K357" s="860">
        <f>'d3'!K357-d3П!K356</f>
        <v>0</v>
      </c>
      <c r="L357" s="860">
        <f>'d3'!L357-d3П!L356</f>
        <v>0</v>
      </c>
      <c r="M357" s="860">
        <f>'d3'!M357-d3П!M356</f>
        <v>0</v>
      </c>
      <c r="N357" s="860">
        <f>'d3'!N357-d3П!N356</f>
        <v>0</v>
      </c>
      <c r="O357" s="860">
        <f>'d3'!O357-d3П!O356</f>
        <v>0</v>
      </c>
      <c r="P357" s="860">
        <f>'d3'!P357-d3П!P356</f>
        <v>0</v>
      </c>
    </row>
    <row r="358" spans="1:19" ht="138.75" thickTop="1" thickBot="1" x14ac:dyDescent="0.25">
      <c r="A358" s="864" t="s">
        <v>382</v>
      </c>
      <c r="B358" s="864" t="s">
        <v>383</v>
      </c>
      <c r="C358" s="864" t="s">
        <v>178</v>
      </c>
      <c r="D358" s="864" t="s">
        <v>384</v>
      </c>
      <c r="E358" s="860">
        <f>'d3'!E358-d3П!E357</f>
        <v>0</v>
      </c>
      <c r="F358" s="860">
        <f>'d3'!F358-d3П!F357</f>
        <v>0</v>
      </c>
      <c r="G358" s="860">
        <f>'d3'!G358-d3П!G357</f>
        <v>0</v>
      </c>
      <c r="H358" s="860">
        <f>'d3'!H358-d3П!H357</f>
        <v>0</v>
      </c>
      <c r="I358" s="860">
        <f>'d3'!I358-d3П!I357</f>
        <v>0</v>
      </c>
      <c r="J358" s="860">
        <f>'d3'!J358-d3П!J357</f>
        <v>0</v>
      </c>
      <c r="K358" s="860">
        <f>'d3'!K358-d3П!K357</f>
        <v>0</v>
      </c>
      <c r="L358" s="860">
        <f>'d3'!L358-d3П!L357</f>
        <v>0</v>
      </c>
      <c r="M358" s="860">
        <f>'d3'!M358-d3П!M357</f>
        <v>0</v>
      </c>
      <c r="N358" s="860">
        <f>'d3'!N358-d3П!N357</f>
        <v>0</v>
      </c>
      <c r="O358" s="860">
        <f>'d3'!O358-d3П!O357</f>
        <v>0</v>
      </c>
      <c r="P358" s="860">
        <f>'d3'!P358-d3П!P357</f>
        <v>0</v>
      </c>
      <c r="R358" s="291"/>
    </row>
    <row r="359" spans="1:19" ht="136.5" thickTop="1" thickBot="1" x14ac:dyDescent="0.25">
      <c r="A359" s="828" t="s">
        <v>176</v>
      </c>
      <c r="B359" s="828"/>
      <c r="C359" s="828"/>
      <c r="D359" s="829" t="s">
        <v>27</v>
      </c>
      <c r="E359" s="830">
        <f>E360</f>
        <v>-4778474</v>
      </c>
      <c r="F359" s="831">
        <f t="shared" ref="F359:G359" si="87">F360</f>
        <v>-4778474</v>
      </c>
      <c r="G359" s="831">
        <f t="shared" si="87"/>
        <v>0</v>
      </c>
      <c r="H359" s="831">
        <f>H360</f>
        <v>0</v>
      </c>
      <c r="I359" s="831">
        <f t="shared" ref="I359" si="88">I360</f>
        <v>0</v>
      </c>
      <c r="J359" s="830">
        <f>J360</f>
        <v>0</v>
      </c>
      <c r="K359" s="831">
        <f>K360</f>
        <v>0</v>
      </c>
      <c r="L359" s="831">
        <f>L360</f>
        <v>0</v>
      </c>
      <c r="M359" s="831">
        <f t="shared" ref="M359" si="89">M360</f>
        <v>0</v>
      </c>
      <c r="N359" s="831">
        <f>N360</f>
        <v>0</v>
      </c>
      <c r="O359" s="830">
        <f>O360</f>
        <v>0</v>
      </c>
      <c r="P359" s="831">
        <f t="shared" ref="P359" si="90">P360</f>
        <v>-4778474</v>
      </c>
    </row>
    <row r="360" spans="1:19" ht="136.5" thickTop="1" thickBot="1" x14ac:dyDescent="0.25">
      <c r="A360" s="832" t="s">
        <v>177</v>
      </c>
      <c r="B360" s="832"/>
      <c r="C360" s="832"/>
      <c r="D360" s="833" t="s">
        <v>42</v>
      </c>
      <c r="E360" s="834">
        <f>E361+E367+E374+E364</f>
        <v>-4778474</v>
      </c>
      <c r="F360" s="834">
        <f t="shared" ref="F360:P360" si="91">F361+F367+F374+F364</f>
        <v>-4778474</v>
      </c>
      <c r="G360" s="834">
        <f t="shared" si="91"/>
        <v>0</v>
      </c>
      <c r="H360" s="834">
        <f t="shared" si="91"/>
        <v>0</v>
      </c>
      <c r="I360" s="834">
        <f t="shared" si="91"/>
        <v>0</v>
      </c>
      <c r="J360" s="834">
        <f t="shared" si="91"/>
        <v>0</v>
      </c>
      <c r="K360" s="834">
        <f t="shared" si="91"/>
        <v>0</v>
      </c>
      <c r="L360" s="834">
        <f t="shared" si="91"/>
        <v>0</v>
      </c>
      <c r="M360" s="834">
        <f t="shared" si="91"/>
        <v>0</v>
      </c>
      <c r="N360" s="834">
        <f t="shared" si="91"/>
        <v>0</v>
      </c>
      <c r="O360" s="834">
        <f t="shared" si="91"/>
        <v>0</v>
      </c>
      <c r="P360" s="834">
        <f t="shared" si="91"/>
        <v>-4778474</v>
      </c>
      <c r="Q360" s="628" t="b">
        <f>P360=P368+P370+P376+P362+P363+P373+P366</f>
        <v>1</v>
      </c>
      <c r="R360" s="291"/>
    </row>
    <row r="361" spans="1:19" ht="47.25" thickTop="1" thickBot="1" x14ac:dyDescent="0.25">
      <c r="A361" s="151" t="s">
        <v>891</v>
      </c>
      <c r="B361" s="151" t="s">
        <v>727</v>
      </c>
      <c r="C361" s="151"/>
      <c r="D361" s="151" t="s">
        <v>728</v>
      </c>
      <c r="E361" s="860">
        <f>'d3'!E361-d3П!E360</f>
        <v>0</v>
      </c>
      <c r="F361" s="860">
        <f>'d3'!F361-d3П!F360</f>
        <v>0</v>
      </c>
      <c r="G361" s="860">
        <f>'d3'!G361-d3П!G360</f>
        <v>0</v>
      </c>
      <c r="H361" s="860">
        <f>'d3'!H361-d3П!H360</f>
        <v>0</v>
      </c>
      <c r="I361" s="860">
        <f>'d3'!I361-d3П!I360</f>
        <v>0</v>
      </c>
      <c r="J361" s="860">
        <f>'d3'!J361-d3П!J360</f>
        <v>0</v>
      </c>
      <c r="K361" s="860">
        <f>'d3'!K361-d3П!K360</f>
        <v>0</v>
      </c>
      <c r="L361" s="860">
        <f>'d3'!L361-d3П!L360</f>
        <v>0</v>
      </c>
      <c r="M361" s="860">
        <f>'d3'!M361-d3П!M360</f>
        <v>0</v>
      </c>
      <c r="N361" s="860">
        <f>'d3'!N361-d3П!N360</f>
        <v>0</v>
      </c>
      <c r="O361" s="860">
        <f>'d3'!O361-d3П!O360</f>
        <v>0</v>
      </c>
      <c r="P361" s="860">
        <f>'d3'!P361-d3П!P360</f>
        <v>0</v>
      </c>
      <c r="Q361" s="628"/>
      <c r="R361" s="297"/>
    </row>
    <row r="362" spans="1:19" ht="230.25" thickTop="1" thickBot="1" x14ac:dyDescent="0.25">
      <c r="A362" s="864" t="s">
        <v>436</v>
      </c>
      <c r="B362" s="864" t="s">
        <v>248</v>
      </c>
      <c r="C362" s="864" t="s">
        <v>246</v>
      </c>
      <c r="D362" s="864" t="s">
        <v>247</v>
      </c>
      <c r="E362" s="860">
        <f>'d3'!E362-d3П!E361</f>
        <v>0</v>
      </c>
      <c r="F362" s="860">
        <f>'d3'!F362-d3П!F361</f>
        <v>0</v>
      </c>
      <c r="G362" s="860">
        <f>'d3'!G362-d3П!G361</f>
        <v>0</v>
      </c>
      <c r="H362" s="860">
        <f>'d3'!H362-d3П!H361</f>
        <v>0</v>
      </c>
      <c r="I362" s="860">
        <f>'d3'!I362-d3П!I361</f>
        <v>0</v>
      </c>
      <c r="J362" s="860">
        <f>'d3'!J362-d3П!J361</f>
        <v>0</v>
      </c>
      <c r="K362" s="860">
        <f>'d3'!K362-d3П!K361</f>
        <v>0</v>
      </c>
      <c r="L362" s="860">
        <f>'d3'!L362-d3П!L361</f>
        <v>0</v>
      </c>
      <c r="M362" s="860">
        <f>'d3'!M362-d3П!M361</f>
        <v>0</v>
      </c>
      <c r="N362" s="860">
        <f>'d3'!N362-d3П!N361</f>
        <v>0</v>
      </c>
      <c r="O362" s="860">
        <f>'d3'!O362-d3П!O361</f>
        <v>0</v>
      </c>
      <c r="P362" s="860">
        <f>'d3'!P362-d3П!P361</f>
        <v>0</v>
      </c>
      <c r="Q362" s="628" t="b">
        <f>K362='d6'!J100</f>
        <v>1</v>
      </c>
      <c r="R362" s="297"/>
      <c r="S362" s="293">
        <f>'d6'!J100</f>
        <v>0</v>
      </c>
    </row>
    <row r="363" spans="1:19" ht="184.5" thickTop="1" thickBot="1" x14ac:dyDescent="0.25">
      <c r="A363" s="864" t="s">
        <v>676</v>
      </c>
      <c r="B363" s="864" t="s">
        <v>376</v>
      </c>
      <c r="C363" s="864" t="s">
        <v>662</v>
      </c>
      <c r="D363" s="864" t="s">
        <v>663</v>
      </c>
      <c r="E363" s="860">
        <f>'d3'!E363-d3П!E362</f>
        <v>0</v>
      </c>
      <c r="F363" s="860">
        <f>'d3'!F363-d3П!F362</f>
        <v>0</v>
      </c>
      <c r="G363" s="860">
        <f>'d3'!G363-d3П!G362</f>
        <v>0</v>
      </c>
      <c r="H363" s="860">
        <f>'d3'!H363-d3П!H362</f>
        <v>0</v>
      </c>
      <c r="I363" s="860">
        <f>'d3'!I363-d3П!I362</f>
        <v>0</v>
      </c>
      <c r="J363" s="860">
        <f>'d3'!J363-d3П!J362</f>
        <v>0</v>
      </c>
      <c r="K363" s="860">
        <f>'d3'!K363-d3П!K362</f>
        <v>0</v>
      </c>
      <c r="L363" s="860">
        <f>'d3'!L363-d3П!L362</f>
        <v>0</v>
      </c>
      <c r="M363" s="860">
        <f>'d3'!M363-d3П!M362</f>
        <v>0</v>
      </c>
      <c r="N363" s="860">
        <f>'d3'!N363-d3П!N362</f>
        <v>0</v>
      </c>
      <c r="O363" s="860">
        <f>'d3'!O363-d3П!O362</f>
        <v>0</v>
      </c>
      <c r="P363" s="860">
        <f>'d3'!P363-d3П!P362</f>
        <v>0</v>
      </c>
      <c r="Q363" s="628"/>
      <c r="R363" s="297"/>
    </row>
    <row r="364" spans="1:19" ht="136.5" thickTop="1" thickBot="1" x14ac:dyDescent="0.25">
      <c r="A364" s="467" t="s">
        <v>1376</v>
      </c>
      <c r="B364" s="467" t="s">
        <v>734</v>
      </c>
      <c r="C364" s="467"/>
      <c r="D364" s="467" t="s">
        <v>732</v>
      </c>
      <c r="E364" s="860">
        <f>'d3'!E364-d3П!E363</f>
        <v>0</v>
      </c>
      <c r="F364" s="860">
        <f>'d3'!F364-d3П!F363</f>
        <v>0</v>
      </c>
      <c r="G364" s="860">
        <f>'d3'!G364-d3П!G363</f>
        <v>0</v>
      </c>
      <c r="H364" s="860">
        <f>'d3'!H364-d3П!H363</f>
        <v>0</v>
      </c>
      <c r="I364" s="860">
        <f>'d3'!I364-d3П!I363</f>
        <v>0</v>
      </c>
      <c r="J364" s="860">
        <f>'d3'!J364-d3П!J363</f>
        <v>0</v>
      </c>
      <c r="K364" s="860">
        <f>'d3'!K364-d3П!K363</f>
        <v>0</v>
      </c>
      <c r="L364" s="860">
        <f>'d3'!L364-d3П!L363</f>
        <v>0</v>
      </c>
      <c r="M364" s="860">
        <f>'d3'!M364-d3П!M363</f>
        <v>0</v>
      </c>
      <c r="N364" s="860">
        <f>'d3'!N364-d3П!N363</f>
        <v>0</v>
      </c>
      <c r="O364" s="860">
        <f>'d3'!O364-d3П!O363</f>
        <v>0</v>
      </c>
      <c r="P364" s="860">
        <f>'d3'!P364-d3П!P363</f>
        <v>0</v>
      </c>
      <c r="Q364" s="628"/>
      <c r="R364" s="297"/>
    </row>
    <row r="365" spans="1:19" ht="47.25" thickTop="1" thickBot="1" x14ac:dyDescent="0.25">
      <c r="A365" s="489" t="s">
        <v>1377</v>
      </c>
      <c r="B365" s="489" t="s">
        <v>737</v>
      </c>
      <c r="C365" s="489"/>
      <c r="D365" s="489" t="s">
        <v>735</v>
      </c>
      <c r="E365" s="860">
        <f>'d3'!E365-d3П!E364</f>
        <v>0</v>
      </c>
      <c r="F365" s="860">
        <f>'d3'!F365-d3П!F364</f>
        <v>0</v>
      </c>
      <c r="G365" s="860">
        <f>'d3'!G365-d3П!G364</f>
        <v>0</v>
      </c>
      <c r="H365" s="860">
        <f>'d3'!H365-d3П!H364</f>
        <v>0</v>
      </c>
      <c r="I365" s="860">
        <f>'d3'!I365-d3П!I364</f>
        <v>0</v>
      </c>
      <c r="J365" s="860">
        <f>'d3'!J365-d3П!J364</f>
        <v>0</v>
      </c>
      <c r="K365" s="860">
        <f>'d3'!K365-d3П!K364</f>
        <v>0</v>
      </c>
      <c r="L365" s="860">
        <f>'d3'!L365-d3П!L364</f>
        <v>0</v>
      </c>
      <c r="M365" s="860">
        <f>'d3'!M365-d3П!M364</f>
        <v>0</v>
      </c>
      <c r="N365" s="860">
        <f>'d3'!N365-d3П!N364</f>
        <v>0</v>
      </c>
      <c r="O365" s="860">
        <f>'d3'!O365-d3П!O364</f>
        <v>0</v>
      </c>
      <c r="P365" s="860">
        <f>'d3'!P365-d3П!P364</f>
        <v>0</v>
      </c>
      <c r="Q365" s="628"/>
      <c r="R365" s="297"/>
    </row>
    <row r="366" spans="1:19" ht="93" thickTop="1" thickBot="1" x14ac:dyDescent="0.25">
      <c r="A366" s="864" t="s">
        <v>1378</v>
      </c>
      <c r="B366" s="864" t="s">
        <v>269</v>
      </c>
      <c r="C366" s="864" t="s">
        <v>178</v>
      </c>
      <c r="D366" s="864" t="s">
        <v>267</v>
      </c>
      <c r="E366" s="860">
        <f>'d3'!E366-d3П!E365</f>
        <v>0</v>
      </c>
      <c r="F366" s="860">
        <f>'d3'!F366-d3П!F365</f>
        <v>0</v>
      </c>
      <c r="G366" s="860">
        <f>'d3'!G366-d3П!G365</f>
        <v>0</v>
      </c>
      <c r="H366" s="860">
        <f>'d3'!H366-d3П!H365</f>
        <v>0</v>
      </c>
      <c r="I366" s="860">
        <f>'d3'!I366-d3П!I365</f>
        <v>0</v>
      </c>
      <c r="J366" s="860">
        <f>'d3'!J366-d3П!J365</f>
        <v>0</v>
      </c>
      <c r="K366" s="860">
        <f>'d3'!K366-d3П!K365</f>
        <v>0</v>
      </c>
      <c r="L366" s="860">
        <f>'d3'!L366-d3П!L365</f>
        <v>0</v>
      </c>
      <c r="M366" s="860">
        <f>'d3'!M366-d3П!M365</f>
        <v>0</v>
      </c>
      <c r="N366" s="860">
        <f>'d3'!N366-d3П!N365</f>
        <v>0</v>
      </c>
      <c r="O366" s="860">
        <f>'d3'!O366-d3П!O365</f>
        <v>0</v>
      </c>
      <c r="P366" s="860">
        <f>'d3'!P366-d3П!P365</f>
        <v>0</v>
      </c>
      <c r="Q366" s="628"/>
      <c r="R366" s="297"/>
    </row>
    <row r="367" spans="1:19" ht="47.25" thickTop="1" thickBot="1" x14ac:dyDescent="0.25">
      <c r="A367" s="151" t="s">
        <v>892</v>
      </c>
      <c r="B367" s="151" t="s">
        <v>739</v>
      </c>
      <c r="C367" s="151"/>
      <c r="D367" s="151" t="s">
        <v>740</v>
      </c>
      <c r="E367" s="860">
        <f>'d3'!E367-d3П!E366</f>
        <v>-4778474</v>
      </c>
      <c r="F367" s="860">
        <f>'d3'!F367-d3П!F366</f>
        <v>-4778474</v>
      </c>
      <c r="G367" s="860">
        <f>'d3'!G367-d3П!G366</f>
        <v>0</v>
      </c>
      <c r="H367" s="860">
        <f>'d3'!H367-d3П!H366</f>
        <v>0</v>
      </c>
      <c r="I367" s="860">
        <f>'d3'!I367-d3П!I366</f>
        <v>0</v>
      </c>
      <c r="J367" s="860">
        <f>'d3'!J367-d3П!J366</f>
        <v>0</v>
      </c>
      <c r="K367" s="860">
        <f>'d3'!K367-d3П!K366</f>
        <v>0</v>
      </c>
      <c r="L367" s="860">
        <f>'d3'!L367-d3П!L366</f>
        <v>0</v>
      </c>
      <c r="M367" s="860">
        <f>'d3'!M367-d3П!M366</f>
        <v>0</v>
      </c>
      <c r="N367" s="860">
        <f>'d3'!N367-d3П!N366</f>
        <v>0</v>
      </c>
      <c r="O367" s="860">
        <f>'d3'!O367-d3П!O366</f>
        <v>0</v>
      </c>
      <c r="P367" s="860">
        <f>'d3'!P367-d3П!P366</f>
        <v>-4778474</v>
      </c>
      <c r="Q367" s="628"/>
      <c r="R367" s="297"/>
    </row>
    <row r="368" spans="1:19" ht="91.5" thickTop="1" thickBot="1" x14ac:dyDescent="0.25">
      <c r="A368" s="591">
        <v>3718600</v>
      </c>
      <c r="B368" s="591">
        <v>8600</v>
      </c>
      <c r="C368" s="467" t="s">
        <v>376</v>
      </c>
      <c r="D368" s="591" t="s">
        <v>470</v>
      </c>
      <c r="E368" s="860">
        <f>'d3'!E368-d3П!E367</f>
        <v>0</v>
      </c>
      <c r="F368" s="860">
        <f>'d3'!F368-d3П!F367</f>
        <v>0</v>
      </c>
      <c r="G368" s="860">
        <f>'d3'!G368-d3П!G367</f>
        <v>0</v>
      </c>
      <c r="H368" s="860">
        <f>'d3'!H368-d3П!H367</f>
        <v>0</v>
      </c>
      <c r="I368" s="860">
        <f>'d3'!I368-d3П!I367</f>
        <v>0</v>
      </c>
      <c r="J368" s="860">
        <f>'d3'!J368-d3П!J367</f>
        <v>0</v>
      </c>
      <c r="K368" s="860">
        <f>'d3'!K368-d3П!K367</f>
        <v>0</v>
      </c>
      <c r="L368" s="860">
        <f>'d3'!L368-d3П!L367</f>
        <v>0</v>
      </c>
      <c r="M368" s="860">
        <f>'d3'!M368-d3П!M367</f>
        <v>0</v>
      </c>
      <c r="N368" s="860">
        <f>'d3'!N368-d3П!N367</f>
        <v>0</v>
      </c>
      <c r="O368" s="860">
        <f>'d3'!O368-d3П!O367</f>
        <v>0</v>
      </c>
      <c r="P368" s="860">
        <f>'d3'!P368-d3П!P367</f>
        <v>0</v>
      </c>
    </row>
    <row r="369" spans="1:18" ht="47.25" thickTop="1" thickBot="1" x14ac:dyDescent="0.25">
      <c r="A369" s="591">
        <v>3718700</v>
      </c>
      <c r="B369" s="591">
        <v>8700</v>
      </c>
      <c r="C369" s="467"/>
      <c r="D369" s="591" t="s">
        <v>893</v>
      </c>
      <c r="E369" s="860">
        <f>'d3'!E369-d3П!E368</f>
        <v>-4778474</v>
      </c>
      <c r="F369" s="860">
        <f>'d3'!F369-d3П!F368</f>
        <v>-4778474</v>
      </c>
      <c r="G369" s="860">
        <f>'d3'!G369-d3П!G368</f>
        <v>0</v>
      </c>
      <c r="H369" s="860">
        <f>'d3'!H369-d3П!H368</f>
        <v>0</v>
      </c>
      <c r="I369" s="860">
        <f>'d3'!I369-d3П!I368</f>
        <v>0</v>
      </c>
      <c r="J369" s="860">
        <f>'d3'!J369-d3П!J368</f>
        <v>0</v>
      </c>
      <c r="K369" s="860">
        <f>'d3'!K369-d3П!K368</f>
        <v>0</v>
      </c>
      <c r="L369" s="860">
        <f>'d3'!L369-d3П!L368</f>
        <v>0</v>
      </c>
      <c r="M369" s="860">
        <f>'d3'!M369-d3П!M368</f>
        <v>0</v>
      </c>
      <c r="N369" s="860">
        <f>'d3'!N369-d3П!N368</f>
        <v>0</v>
      </c>
      <c r="O369" s="860">
        <f>'d3'!O369-d3П!O368</f>
        <v>0</v>
      </c>
      <c r="P369" s="860">
        <f>'d3'!P369-d3П!P368</f>
        <v>-4778474</v>
      </c>
    </row>
    <row r="370" spans="1:18" ht="93" thickTop="1" thickBot="1" x14ac:dyDescent="0.25">
      <c r="A370" s="562">
        <v>3718710</v>
      </c>
      <c r="B370" s="562">
        <v>8710</v>
      </c>
      <c r="C370" s="864" t="s">
        <v>44</v>
      </c>
      <c r="D370" s="499" t="s">
        <v>682</v>
      </c>
      <c r="E370" s="860">
        <f>'d3'!E370-d3П!E369</f>
        <v>-4778474</v>
      </c>
      <c r="F370" s="860">
        <f>'d3'!F370-d3П!F369</f>
        <v>-4778474</v>
      </c>
      <c r="G370" s="860">
        <f>'d3'!G370-d3П!G369</f>
        <v>0</v>
      </c>
      <c r="H370" s="860">
        <f>'d3'!H370-d3П!H369</f>
        <v>0</v>
      </c>
      <c r="I370" s="860">
        <f>'d3'!I370-d3П!I369</f>
        <v>0</v>
      </c>
      <c r="J370" s="860">
        <f>'d3'!J370-d3П!J369</f>
        <v>0</v>
      </c>
      <c r="K370" s="860">
        <f>'d3'!K370-d3П!K369</f>
        <v>0</v>
      </c>
      <c r="L370" s="860">
        <f>'d3'!L370-d3П!L369</f>
        <v>0</v>
      </c>
      <c r="M370" s="860">
        <f>'d3'!M370-d3П!M369</f>
        <v>0</v>
      </c>
      <c r="N370" s="860">
        <f>'d3'!N370-d3П!N369</f>
        <v>0</v>
      </c>
      <c r="O370" s="860">
        <f>'d3'!O370-d3П!O369</f>
        <v>0</v>
      </c>
      <c r="P370" s="860">
        <f>'d3'!P370-d3П!P369</f>
        <v>-4778474</v>
      </c>
    </row>
    <row r="371" spans="1:18" ht="47.25" hidden="1" thickTop="1" thickBot="1" x14ac:dyDescent="0.25">
      <c r="A371" s="591">
        <v>3718800</v>
      </c>
      <c r="B371" s="591">
        <v>8800</v>
      </c>
      <c r="C371" s="467"/>
      <c r="D371" s="591" t="s">
        <v>901</v>
      </c>
      <c r="E371" s="860">
        <f>'d3'!E371-d3П!E370</f>
        <v>0</v>
      </c>
      <c r="F371" s="860">
        <f>'d3'!F371-d3П!F370</f>
        <v>0</v>
      </c>
      <c r="G371" s="860">
        <f>'d3'!G371-d3П!G370</f>
        <v>0</v>
      </c>
      <c r="H371" s="860">
        <f>'d3'!H371-d3П!H370</f>
        <v>0</v>
      </c>
      <c r="I371" s="860">
        <f>'d3'!I371-d3П!I370</f>
        <v>0</v>
      </c>
      <c r="J371" s="860">
        <f>'d3'!J371-d3П!J370</f>
        <v>0</v>
      </c>
      <c r="K371" s="860">
        <f>'d3'!K371-d3П!K370</f>
        <v>0</v>
      </c>
      <c r="L371" s="860">
        <f>'d3'!L371-d3П!L370</f>
        <v>0</v>
      </c>
      <c r="M371" s="860">
        <f>'d3'!M371-d3П!M370</f>
        <v>0</v>
      </c>
      <c r="N371" s="860">
        <f>'d3'!N371-d3П!N370</f>
        <v>0</v>
      </c>
      <c r="O371" s="860">
        <f>'d3'!O371-d3П!O370</f>
        <v>0</v>
      </c>
      <c r="P371" s="860">
        <f>'d3'!P371-d3П!P370</f>
        <v>0</v>
      </c>
    </row>
    <row r="372" spans="1:18" ht="184.5" hidden="1" thickTop="1" thickBot="1" x14ac:dyDescent="0.25">
      <c r="A372" s="592">
        <v>3718880</v>
      </c>
      <c r="B372" s="592">
        <v>8880</v>
      </c>
      <c r="C372" s="489"/>
      <c r="D372" s="482" t="s">
        <v>1299</v>
      </c>
      <c r="E372" s="860">
        <f>'d3'!E372-d3П!E371</f>
        <v>0</v>
      </c>
      <c r="F372" s="860">
        <f>'d3'!F372-d3П!F371</f>
        <v>0</v>
      </c>
      <c r="G372" s="860">
        <f>'d3'!G372-d3П!G371</f>
        <v>0</v>
      </c>
      <c r="H372" s="860">
        <f>'d3'!H372-d3П!H371</f>
        <v>0</v>
      </c>
      <c r="I372" s="860">
        <f>'d3'!I372-d3П!I371</f>
        <v>0</v>
      </c>
      <c r="J372" s="860">
        <f>'d3'!J372-d3П!J371</f>
        <v>0</v>
      </c>
      <c r="K372" s="860">
        <f>'d3'!K372-d3П!K371</f>
        <v>0</v>
      </c>
      <c r="L372" s="860">
        <f>'d3'!L372-d3П!L371</f>
        <v>0</v>
      </c>
      <c r="M372" s="860">
        <f>'d3'!M372-d3П!M371</f>
        <v>0</v>
      </c>
      <c r="N372" s="860">
        <f>'d3'!N372-d3П!N371</f>
        <v>0</v>
      </c>
      <c r="O372" s="860">
        <f>'d3'!O372-d3П!O371</f>
        <v>0</v>
      </c>
      <c r="P372" s="860">
        <f>'d3'!P372-d3П!P371</f>
        <v>0</v>
      </c>
    </row>
    <row r="373" spans="1:18" ht="230.25" hidden="1" thickTop="1" thickBot="1" x14ac:dyDescent="0.25">
      <c r="A373" s="864">
        <v>3718881</v>
      </c>
      <c r="B373" s="864">
        <v>8881</v>
      </c>
      <c r="C373" s="864" t="s">
        <v>178</v>
      </c>
      <c r="D373" s="864" t="s">
        <v>1300</v>
      </c>
      <c r="E373" s="860">
        <f>'d3'!E373-d3П!E372</f>
        <v>0</v>
      </c>
      <c r="F373" s="860">
        <f>'d3'!F373-d3П!F372</f>
        <v>0</v>
      </c>
      <c r="G373" s="860">
        <f>'d3'!G373-d3П!G372</f>
        <v>0</v>
      </c>
      <c r="H373" s="860">
        <f>'d3'!H373-d3П!H372</f>
        <v>0</v>
      </c>
      <c r="I373" s="860">
        <f>'d3'!I373-d3П!I372</f>
        <v>0</v>
      </c>
      <c r="J373" s="860">
        <f>'d3'!J373-d3П!J372</f>
        <v>0</v>
      </c>
      <c r="K373" s="860">
        <f>'d3'!K373-d3П!K372</f>
        <v>0</v>
      </c>
      <c r="L373" s="860">
        <f>'d3'!L373-d3П!L372</f>
        <v>0</v>
      </c>
      <c r="M373" s="860">
        <f>'d3'!M373-d3П!M372</f>
        <v>0</v>
      </c>
      <c r="N373" s="860">
        <f>'d3'!N373-d3П!N372</f>
        <v>0</v>
      </c>
      <c r="O373" s="860">
        <f>'d3'!O373-d3П!O372</f>
        <v>0</v>
      </c>
      <c r="P373" s="860">
        <f>'d3'!P373-d3П!P372</f>
        <v>0</v>
      </c>
    </row>
    <row r="374" spans="1:18" ht="47.25" thickTop="1" thickBot="1" x14ac:dyDescent="0.25">
      <c r="A374" s="151" t="s">
        <v>894</v>
      </c>
      <c r="B374" s="151" t="s">
        <v>745</v>
      </c>
      <c r="C374" s="151"/>
      <c r="D374" s="151" t="s">
        <v>746</v>
      </c>
      <c r="E374" s="860">
        <f>'d3'!E374-d3П!E373</f>
        <v>0</v>
      </c>
      <c r="F374" s="860">
        <f>'d3'!F374-d3П!F373</f>
        <v>0</v>
      </c>
      <c r="G374" s="860">
        <f>'d3'!G374-d3П!G373</f>
        <v>0</v>
      </c>
      <c r="H374" s="860">
        <f>'d3'!H374-d3П!H373</f>
        <v>0</v>
      </c>
      <c r="I374" s="860">
        <f>'d3'!I374-d3П!I373</f>
        <v>0</v>
      </c>
      <c r="J374" s="860">
        <f>'d3'!J374-d3П!J373</f>
        <v>0</v>
      </c>
      <c r="K374" s="860">
        <f>'d3'!K374-d3П!K373</f>
        <v>0</v>
      </c>
      <c r="L374" s="860">
        <f>'d3'!L374-d3П!L373</f>
        <v>0</v>
      </c>
      <c r="M374" s="860">
        <f>'d3'!M374-d3П!M373</f>
        <v>0</v>
      </c>
      <c r="N374" s="860">
        <f>'d3'!N374-d3П!N373</f>
        <v>0</v>
      </c>
      <c r="O374" s="860">
        <f>'d3'!O374-d3П!O373</f>
        <v>0</v>
      </c>
      <c r="P374" s="860">
        <f>'d3'!P374-d3П!P373</f>
        <v>0</v>
      </c>
    </row>
    <row r="375" spans="1:18" ht="91.5" thickTop="1" thickBot="1" x14ac:dyDescent="0.25">
      <c r="A375" s="591">
        <v>3719100</v>
      </c>
      <c r="B375" s="467" t="s">
        <v>896</v>
      </c>
      <c r="C375" s="467"/>
      <c r="D375" s="467" t="s">
        <v>895</v>
      </c>
      <c r="E375" s="860">
        <f>'d3'!E375-d3П!E374</f>
        <v>0</v>
      </c>
      <c r="F375" s="860">
        <f>'d3'!F375-d3П!F374</f>
        <v>0</v>
      </c>
      <c r="G375" s="860">
        <f>'d3'!G375-d3П!G374</f>
        <v>0</v>
      </c>
      <c r="H375" s="860">
        <f>'d3'!H375-d3П!H374</f>
        <v>0</v>
      </c>
      <c r="I375" s="860">
        <f>'d3'!I375-d3П!I374</f>
        <v>0</v>
      </c>
      <c r="J375" s="860">
        <f>'d3'!J375-d3П!J374</f>
        <v>0</v>
      </c>
      <c r="K375" s="860">
        <f>'d3'!K375-d3П!K374</f>
        <v>0</v>
      </c>
      <c r="L375" s="860">
        <f>'d3'!L375-d3П!L374</f>
        <v>0</v>
      </c>
      <c r="M375" s="860">
        <f>'d3'!M375-d3П!M374</f>
        <v>0</v>
      </c>
      <c r="N375" s="860">
        <f>'d3'!N375-d3П!N374</f>
        <v>0</v>
      </c>
      <c r="O375" s="860">
        <f>'d3'!O375-d3П!O374</f>
        <v>0</v>
      </c>
      <c r="P375" s="860">
        <f>'d3'!P375-d3П!P374</f>
        <v>0</v>
      </c>
    </row>
    <row r="376" spans="1:18" ht="47.25" thickTop="1" thickBot="1" x14ac:dyDescent="0.25">
      <c r="A376" s="562">
        <v>3719110</v>
      </c>
      <c r="B376" s="562">
        <v>9110</v>
      </c>
      <c r="C376" s="864" t="s">
        <v>45</v>
      </c>
      <c r="D376" s="499" t="s">
        <v>469</v>
      </c>
      <c r="E376" s="860">
        <f>'d3'!E376-d3П!E375</f>
        <v>0</v>
      </c>
      <c r="F376" s="860">
        <f>'d3'!F376-d3П!F375</f>
        <v>0</v>
      </c>
      <c r="G376" s="860">
        <f>'d3'!G376-d3П!G375</f>
        <v>0</v>
      </c>
      <c r="H376" s="860">
        <f>'d3'!H376-d3П!H375</f>
        <v>0</v>
      </c>
      <c r="I376" s="860">
        <f>'d3'!I376-d3П!I375</f>
        <v>0</v>
      </c>
      <c r="J376" s="860">
        <f>'d3'!J376-d3П!J375</f>
        <v>0</v>
      </c>
      <c r="K376" s="860">
        <f>'d3'!K376-d3П!K375</f>
        <v>0</v>
      </c>
      <c r="L376" s="860">
        <f>'d3'!L376-d3П!L375</f>
        <v>0</v>
      </c>
      <c r="M376" s="860">
        <f>'d3'!M376-d3П!M375</f>
        <v>0</v>
      </c>
      <c r="N376" s="860">
        <f>'d3'!N376-d3П!N375</f>
        <v>0</v>
      </c>
      <c r="O376" s="860">
        <f>'d3'!O376-d3П!O375</f>
        <v>0</v>
      </c>
      <c r="P376" s="860">
        <f>'d3'!P376-d3П!P375</f>
        <v>0</v>
      </c>
    </row>
    <row r="377" spans="1:18" ht="159.75" customHeight="1" thickTop="1" thickBot="1" x14ac:dyDescent="0.25">
      <c r="A377" s="441" t="s">
        <v>396</v>
      </c>
      <c r="B377" s="441" t="s">
        <v>396</v>
      </c>
      <c r="C377" s="441" t="s">
        <v>396</v>
      </c>
      <c r="D377" s="441" t="s">
        <v>406</v>
      </c>
      <c r="E377" s="442">
        <f>E16+E44+E199+E92+E120+E178++E285+E308+E360+E330+E343+E351+E316+E254+E232</f>
        <v>27294676</v>
      </c>
      <c r="F377" s="442">
        <f>F16+F44+F199+F92+F120+F178++F285+F308+F360+F330+F343+F351+F316+F254+F232</f>
        <v>27294676</v>
      </c>
      <c r="G377" s="442">
        <f>G16+G44+G199+G92+G120+G178++G285+G308+G360+G330+G343+G351+G316+G254+G232</f>
        <v>0</v>
      </c>
      <c r="H377" s="442">
        <f>H16+H44+H199+H92+H120+H178++H285+H308+H360+H330+H343+H351+H316+H254+H232</f>
        <v>-300000</v>
      </c>
      <c r="I377" s="442">
        <f>I16+I44+I199+I92+I120+I178++I285+I308+I360+I330+I343+I351+I316+I254+I232</f>
        <v>0</v>
      </c>
      <c r="J377" s="442">
        <f>J16+J44+J199+J92+J120+J178++J285+J308+J360+J330+J343+J351+J316+J254+J232</f>
        <v>-25708361</v>
      </c>
      <c r="K377" s="442">
        <f>K16+K44+K199+K92+K120+K178++K285+K308+K360+K330+K343+K351+K316+K254+K232</f>
        <v>-25708361</v>
      </c>
      <c r="L377" s="442">
        <f>L16+L44+L199+L92+L120+L178++L285+L308+L360+L330+L343+L351+L316+L254+L232</f>
        <v>0</v>
      </c>
      <c r="M377" s="442">
        <f>M16+M44+M199+M92+M120+M178++M285+M308+M360+M330+M343+M351+M316+M254+M232</f>
        <v>0</v>
      </c>
      <c r="N377" s="442">
        <f>N16+N44+N199+N92+N120+N178++N285+N308+N360+N330+N343+N351+N316+N254+N232</f>
        <v>0</v>
      </c>
      <c r="O377" s="442">
        <f>O16+O44+O199+O92+O120+O178++O285+O308+O360+O330+O343+O351+O316+O254+O232</f>
        <v>-25708361</v>
      </c>
      <c r="P377" s="442">
        <f>P16+P44+P199+P92+P120+P178++P285+P308+P360+P330+P343+P351+P316+P254+P232</f>
        <v>1586315</v>
      </c>
      <c r="Q377" s="612" t="b">
        <f>P377=J377+E377</f>
        <v>1</v>
      </c>
    </row>
    <row r="378" spans="1:18" ht="46.5" thickTop="1" x14ac:dyDescent="0.2">
      <c r="A378" s="952" t="s">
        <v>1230</v>
      </c>
      <c r="B378" s="953"/>
      <c r="C378" s="953"/>
      <c r="D378" s="953"/>
      <c r="E378" s="953"/>
      <c r="F378" s="953"/>
      <c r="G378" s="953"/>
      <c r="H378" s="953"/>
      <c r="I378" s="953"/>
      <c r="J378" s="953"/>
      <c r="K378" s="953"/>
      <c r="L378" s="953"/>
      <c r="M378" s="953"/>
      <c r="N378" s="953"/>
      <c r="O378" s="953"/>
      <c r="P378" s="953"/>
      <c r="Q378" s="634"/>
    </row>
    <row r="379" spans="1:18" ht="60.75" hidden="1" x14ac:dyDescent="0.2">
      <c r="A379" s="858"/>
      <c r="B379" s="859"/>
      <c r="C379" s="859"/>
      <c r="D379" s="859"/>
      <c r="E379" s="1079">
        <f>F379</f>
        <v>3294554403.6700001</v>
      </c>
      <c r="F379" s="1079">
        <f>((((((((3193579493+15000000-'d4'!F20)+11441007)-8903408)+86371703.98)-74000)-73325965)+4807848.69-3000000+47600000)-5736952)+27294676</f>
        <v>3294554403.6700001</v>
      </c>
      <c r="G379" s="1079">
        <f>((1769990+50998970+103167225+34055950+2551300+1241065255+97388110+91862005+24500+3924850)-59767131)</f>
        <v>1567041024</v>
      </c>
      <c r="H379" s="1079">
        <f>((((64305+4537205+7734640+2175525+152010+198230190-5980497+5754505+3107172+6628199)+118900)+120000)+15430)+127866+71304-300000</f>
        <v>222556754</v>
      </c>
      <c r="I379" s="1079">
        <v>0</v>
      </c>
      <c r="J379" s="1079">
        <f>((((((((506071198+'d2'!E37)+1701336)+8903408)+5545498.37)+74000)-170420)+80000+3000000-47600000)-16299664.41+22773610)-25708361</f>
        <v>418543594.95999998</v>
      </c>
      <c r="K379" s="1079">
        <f>((((((((506071198-181772123-6000000-700000+'d2'!F37)+1701336)+8903408)+(5545498.37-2663342.37))+74000)-170420)+80000+3000000-47600000)-16299664.41+22773610)-25708361</f>
        <v>227408129.59</v>
      </c>
      <c r="L379" s="1079">
        <f>(((3616000+652000)+(163345550-3275910)+(9712850-109080)+(6580704-60368)+(2133019-79170))+2663342.37)+450000</f>
        <v>185628937.37</v>
      </c>
      <c r="M379" s="1079">
        <f>(45127299+7102670+1953040+1042780)</f>
        <v>55225789</v>
      </c>
      <c r="N379" s="1079">
        <f>(12370056+306880+465600+353328+2000000)+13500</f>
        <v>15509364</v>
      </c>
      <c r="O379" s="1079">
        <f>(((((((((2384000+48000+3275910+109080+60368+79170)+(506071198+'d2'!F37-181772123-6000000-700000)+1701336)+8903408)+(5545498.37-2663342.37))+74000)-450000)-170420)+80000+3000000-47600000)-16299664.41+22773610)-25708361</f>
        <v>232914657.59</v>
      </c>
      <c r="P379" s="1079">
        <f>((((((3699650691+15000000+'d2'!E37-'d4'!Q20)+13142343)+91917202.35)-73496385)+4887848.69)-16299664.41-5736952+22773610)+1586315</f>
        <v>3713097998.6300001</v>
      </c>
      <c r="Q379" s="612" t="b">
        <f>E379+J379=P379</f>
        <v>1</v>
      </c>
      <c r="R379" s="309"/>
    </row>
    <row r="380" spans="1:18" ht="60.75" x14ac:dyDescent="0.2">
      <c r="A380" s="858"/>
      <c r="B380" s="859"/>
      <c r="C380" s="859"/>
      <c r="D380" s="859"/>
      <c r="E380" s="187"/>
      <c r="F380" s="187"/>
      <c r="G380" s="187"/>
      <c r="H380" s="187"/>
      <c r="I380" s="187"/>
      <c r="J380" s="187"/>
      <c r="K380" s="187"/>
      <c r="L380" s="187"/>
      <c r="M380" s="187"/>
      <c r="N380" s="187"/>
      <c r="O380" s="187"/>
      <c r="P380" s="187"/>
      <c r="Q380" s="612"/>
      <c r="R380" s="309"/>
    </row>
    <row r="381" spans="1:18" ht="75.75" customHeight="1" x14ac:dyDescent="0.65">
      <c r="A381" s="858"/>
      <c r="B381" s="859"/>
      <c r="C381" s="859"/>
      <c r="D381" s="439" t="s">
        <v>1363</v>
      </c>
      <c r="E381" s="857"/>
      <c r="F381" s="857"/>
      <c r="G381" s="183"/>
      <c r="H381" s="439"/>
      <c r="I381" s="438"/>
      <c r="J381" s="439"/>
      <c r="K381" s="439" t="s">
        <v>1364</v>
      </c>
      <c r="L381" s="438"/>
      <c r="M381" s="438"/>
      <c r="N381" s="438"/>
      <c r="O381" s="438"/>
      <c r="P381" s="438"/>
      <c r="Q381" s="634"/>
    </row>
    <row r="382" spans="1:18" ht="12.75" customHeight="1" x14ac:dyDescent="0.65">
      <c r="A382" s="858"/>
      <c r="B382" s="859"/>
      <c r="C382" s="859"/>
      <c r="D382" s="921"/>
      <c r="E382" s="921"/>
      <c r="F382" s="921"/>
      <c r="G382" s="921"/>
      <c r="H382" s="921"/>
      <c r="I382" s="921"/>
      <c r="J382" s="921"/>
      <c r="K382" s="921"/>
      <c r="L382" s="921"/>
      <c r="M382" s="921"/>
      <c r="N382" s="921"/>
      <c r="O382" s="921"/>
      <c r="P382" s="921"/>
      <c r="Q382" s="634"/>
    </row>
    <row r="383" spans="1:18" ht="46.5" thickBot="1" x14ac:dyDescent="0.7">
      <c r="A383" s="858"/>
      <c r="B383" s="859"/>
      <c r="C383" s="859"/>
      <c r="D383" s="439" t="s">
        <v>544</v>
      </c>
      <c r="E383" s="870"/>
      <c r="F383" s="870"/>
      <c r="G383" s="870"/>
      <c r="H383" s="439"/>
      <c r="I383" s="438"/>
      <c r="J383" s="438"/>
      <c r="K383" s="439" t="s">
        <v>545</v>
      </c>
      <c r="L383" s="438"/>
      <c r="M383" s="438"/>
      <c r="N383" s="438"/>
      <c r="O383" s="438"/>
      <c r="P383" s="438"/>
      <c r="Q383" s="634"/>
    </row>
    <row r="384" spans="1:18" ht="47.25" thickTop="1" thickBot="1" x14ac:dyDescent="0.7">
      <c r="A384" s="246"/>
      <c r="B384" s="246"/>
      <c r="C384" s="246"/>
      <c r="D384" s="951"/>
      <c r="E384" s="951"/>
      <c r="F384" s="951"/>
      <c r="G384" s="951"/>
      <c r="H384" s="951"/>
      <c r="I384" s="951"/>
      <c r="J384" s="951"/>
      <c r="K384" s="951"/>
      <c r="L384" s="951"/>
      <c r="M384" s="951"/>
      <c r="N384" s="951"/>
      <c r="O384" s="951"/>
      <c r="P384" s="951"/>
      <c r="Q384" s="635"/>
    </row>
    <row r="385" spans="1:18" ht="150.75" hidden="1" customHeight="1" x14ac:dyDescent="0.65">
      <c r="D385" s="951" t="s">
        <v>546</v>
      </c>
      <c r="E385" s="951"/>
      <c r="F385" s="951"/>
      <c r="G385" s="951"/>
      <c r="H385" s="951"/>
      <c r="I385" s="951"/>
      <c r="J385" s="951"/>
      <c r="K385" s="951"/>
      <c r="L385" s="951"/>
      <c r="M385" s="951"/>
      <c r="N385" s="951"/>
      <c r="O385" s="951"/>
      <c r="P385" s="951"/>
    </row>
    <row r="386" spans="1:18" ht="95.25" customHeight="1" thickTop="1" x14ac:dyDescent="0.55000000000000004">
      <c r="G386" s="311"/>
      <c r="H386" s="311"/>
      <c r="I386" s="655"/>
      <c r="J386" s="656"/>
      <c r="K386" s="656"/>
      <c r="L386" s="655"/>
      <c r="M386" s="655"/>
      <c r="N386" s="655"/>
      <c r="O386" s="655"/>
      <c r="P386" s="656"/>
      <c r="Q386" s="625"/>
    </row>
    <row r="387" spans="1:18" hidden="1" x14ac:dyDescent="0.2">
      <c r="E387" s="312"/>
      <c r="F387" s="313"/>
      <c r="G387" s="311"/>
      <c r="H387" s="311"/>
      <c r="I387" s="655"/>
      <c r="J387" s="657"/>
      <c r="K387" s="657"/>
      <c r="L387" s="655"/>
      <c r="M387" s="655"/>
      <c r="N387" s="655"/>
      <c r="O387" s="655"/>
      <c r="P387" s="656"/>
    </row>
    <row r="388" spans="1:18" hidden="1" x14ac:dyDescent="0.2">
      <c r="E388" s="312"/>
      <c r="F388" s="313"/>
      <c r="G388" s="311"/>
      <c r="H388" s="311"/>
      <c r="I388" s="655"/>
      <c r="J388" s="657"/>
      <c r="K388" s="657"/>
      <c r="L388" s="655"/>
      <c r="M388" s="655"/>
      <c r="N388" s="655"/>
      <c r="O388" s="655"/>
      <c r="P388" s="656"/>
    </row>
    <row r="389" spans="1:18" ht="60.75" x14ac:dyDescent="0.2">
      <c r="E389" s="612" t="b">
        <f>E379=E377</f>
        <v>0</v>
      </c>
      <c r="F389" s="612" t="b">
        <f>F379=F377</f>
        <v>0</v>
      </c>
      <c r="G389" s="612" t="b">
        <f>G379=G377</f>
        <v>0</v>
      </c>
      <c r="H389" s="612" t="b">
        <f t="shared" ref="H389:O389" si="92">H379=H377</f>
        <v>0</v>
      </c>
      <c r="I389" s="612" t="b">
        <f>I379=I377</f>
        <v>1</v>
      </c>
      <c r="J389" s="612" t="b">
        <f>J377=J379</f>
        <v>0</v>
      </c>
      <c r="K389" s="612" t="b">
        <f>K379=K377</f>
        <v>0</v>
      </c>
      <c r="L389" s="612" t="b">
        <f t="shared" si="92"/>
        <v>0</v>
      </c>
      <c r="M389" s="612" t="b">
        <f t="shared" si="92"/>
        <v>0</v>
      </c>
      <c r="N389" s="612" t="b">
        <f>N379=N377</f>
        <v>0</v>
      </c>
      <c r="O389" s="612" t="b">
        <f t="shared" si="92"/>
        <v>0</v>
      </c>
      <c r="P389" s="612" t="b">
        <f>P379=P377</f>
        <v>0</v>
      </c>
    </row>
    <row r="390" spans="1:18" ht="61.5" x14ac:dyDescent="0.2">
      <c r="E390" s="612" t="b">
        <f>E377=F377</f>
        <v>1</v>
      </c>
      <c r="F390" s="823">
        <f>F370/E377</f>
        <v>-0.1750698194768826</v>
      </c>
      <c r="G390" s="649"/>
      <c r="H390" s="650"/>
      <c r="I390" s="651"/>
      <c r="J390" s="612" t="b">
        <f>J379=L379+O379</f>
        <v>1</v>
      </c>
      <c r="K390" s="658"/>
      <c r="L390" s="612"/>
      <c r="M390" s="651"/>
      <c r="N390" s="651"/>
      <c r="O390" s="612"/>
      <c r="P390" s="612" t="b">
        <f>E377+J377=P377</f>
        <v>1</v>
      </c>
    </row>
    <row r="391" spans="1:18" ht="60.75" x14ac:dyDescent="0.2">
      <c r="E391" s="652"/>
      <c r="F391" s="653"/>
      <c r="G391" s="652"/>
      <c r="H391" s="654"/>
      <c r="I391" s="652"/>
      <c r="J391" s="312"/>
      <c r="K391" s="312"/>
    </row>
    <row r="392" spans="1:18" ht="61.5" x14ac:dyDescent="0.2">
      <c r="A392" s="779"/>
      <c r="B392" s="779"/>
      <c r="C392" s="779"/>
      <c r="D392" s="249"/>
      <c r="E392" s="779"/>
      <c r="F392" s="823">
        <f>400000/E377</f>
        <v>1.4654872620579925E-2</v>
      </c>
      <c r="G392" s="649"/>
      <c r="H392" s="314"/>
      <c r="I392" s="249"/>
      <c r="J392" s="280">
        <f>J377-J379</f>
        <v>-444251955.95999998</v>
      </c>
      <c r="K392" s="280">
        <f>K377-K379</f>
        <v>-253116490.59</v>
      </c>
      <c r="L392" s="280"/>
      <c r="M392" s="280"/>
      <c r="N392" s="280"/>
      <c r="O392" s="280">
        <f>O377-O379</f>
        <v>-258623018.59</v>
      </c>
      <c r="P392" s="280"/>
    </row>
    <row r="393" spans="1:18" ht="61.5" x14ac:dyDescent="0.2">
      <c r="D393" s="249"/>
      <c r="E393" s="280"/>
      <c r="F393" s="316"/>
      <c r="G393" s="308"/>
      <c r="H393" s="314"/>
      <c r="I393" s="249"/>
      <c r="J393" s="280"/>
      <c r="K393" s="280"/>
      <c r="L393" s="317"/>
      <c r="P393" s="308"/>
      <c r="Q393" s="636"/>
      <c r="R393" s="318"/>
    </row>
    <row r="394" spans="1:18" ht="60.75" x14ac:dyDescent="0.2">
      <c r="A394" s="779"/>
      <c r="B394" s="779"/>
      <c r="C394" s="779"/>
      <c r="D394" s="249"/>
      <c r="E394" s="255"/>
      <c r="F394" s="255"/>
      <c r="G394" s="255"/>
      <c r="H394" s="255"/>
      <c r="I394" s="319"/>
      <c r="J394" s="255"/>
      <c r="K394" s="255"/>
      <c r="L394" s="255"/>
      <c r="M394" s="255"/>
      <c r="N394" s="255"/>
      <c r="O394" s="255"/>
      <c r="P394" s="255"/>
      <c r="Q394" s="636"/>
      <c r="R394" s="318"/>
    </row>
    <row r="395" spans="1:18" ht="60.75" x14ac:dyDescent="0.2">
      <c r="D395" s="249"/>
      <c r="E395" s="280"/>
      <c r="F395" s="320"/>
      <c r="G395" s="321"/>
      <c r="O395" s="308"/>
      <c r="P395" s="308"/>
    </row>
    <row r="396" spans="1:18" ht="60.75" x14ac:dyDescent="0.2">
      <c r="A396" s="779"/>
      <c r="B396" s="779"/>
      <c r="C396" s="779"/>
      <c r="D396" s="249"/>
      <c r="E396" s="280"/>
      <c r="F396" s="315"/>
      <c r="G396" s="317"/>
      <c r="I396" s="322"/>
      <c r="J396" s="312"/>
      <c r="K396" s="312"/>
      <c r="L396" s="779"/>
      <c r="M396" s="779"/>
      <c r="N396" s="779"/>
      <c r="O396" s="779"/>
      <c r="P396" s="308"/>
    </row>
    <row r="397" spans="1:18" ht="62.25" x14ac:dyDescent="0.8">
      <c r="A397" s="779"/>
      <c r="B397" s="779"/>
      <c r="C397" s="779"/>
      <c r="D397" s="779"/>
      <c r="E397" s="323"/>
      <c r="F397" s="315"/>
      <c r="J397" s="312"/>
      <c r="K397" s="312"/>
      <c r="L397" s="779"/>
      <c r="M397" s="779"/>
      <c r="N397" s="779"/>
      <c r="O397" s="779"/>
      <c r="P397" s="324"/>
    </row>
    <row r="398" spans="1:18" ht="45.75" x14ac:dyDescent="0.2">
      <c r="E398" s="325"/>
      <c r="F398" s="320"/>
    </row>
    <row r="399" spans="1:18" ht="45.75" x14ac:dyDescent="0.2">
      <c r="A399" s="779"/>
      <c r="B399" s="779"/>
      <c r="C399" s="779"/>
      <c r="D399" s="779"/>
      <c r="E399" s="323"/>
      <c r="F399" s="315"/>
      <c r="L399" s="779"/>
      <c r="M399" s="779"/>
      <c r="N399" s="779"/>
      <c r="O399" s="779"/>
      <c r="P399" s="779"/>
    </row>
    <row r="400" spans="1:18" ht="45.75" x14ac:dyDescent="0.2">
      <c r="E400" s="326"/>
      <c r="F400" s="320"/>
    </row>
    <row r="401" spans="1:16" ht="45.75" x14ac:dyDescent="0.2">
      <c r="E401" s="326"/>
      <c r="F401" s="320"/>
    </row>
    <row r="402" spans="1:16" ht="45.75" x14ac:dyDescent="0.2">
      <c r="E402" s="326"/>
      <c r="F402" s="320"/>
    </row>
    <row r="403" spans="1:16" ht="45.75" x14ac:dyDescent="0.2">
      <c r="A403" s="779"/>
      <c r="B403" s="779"/>
      <c r="C403" s="779"/>
      <c r="D403" s="779"/>
      <c r="E403" s="326"/>
      <c r="F403" s="320"/>
      <c r="G403" s="779"/>
      <c r="H403" s="779"/>
      <c r="I403" s="779"/>
      <c r="J403" s="779"/>
      <c r="K403" s="779"/>
      <c r="L403" s="779"/>
      <c r="M403" s="779"/>
      <c r="N403" s="779"/>
      <c r="O403" s="779"/>
      <c r="P403" s="779"/>
    </row>
    <row r="404" spans="1:16" ht="45.75" x14ac:dyDescent="0.2">
      <c r="A404" s="779"/>
      <c r="B404" s="779"/>
      <c r="C404" s="779"/>
      <c r="D404" s="779"/>
      <c r="E404" s="326"/>
      <c r="F404" s="320"/>
      <c r="G404" s="779"/>
      <c r="H404" s="779"/>
      <c r="I404" s="779"/>
      <c r="J404" s="779"/>
      <c r="K404" s="779"/>
      <c r="L404" s="779"/>
      <c r="M404" s="779"/>
      <c r="N404" s="779"/>
      <c r="O404" s="779"/>
      <c r="P404" s="779"/>
    </row>
    <row r="405" spans="1:16" ht="45.75" x14ac:dyDescent="0.2">
      <c r="A405" s="779"/>
      <c r="B405" s="779"/>
      <c r="C405" s="779"/>
      <c r="D405" s="779"/>
      <c r="E405" s="326"/>
      <c r="F405" s="320"/>
      <c r="G405" s="779"/>
      <c r="H405" s="779"/>
      <c r="I405" s="779"/>
      <c r="J405" s="779"/>
      <c r="K405" s="779"/>
      <c r="L405" s="779"/>
      <c r="M405" s="779"/>
      <c r="N405" s="779"/>
      <c r="O405" s="779"/>
      <c r="P405" s="779"/>
    </row>
    <row r="406" spans="1:16" ht="45.75" x14ac:dyDescent="0.2">
      <c r="A406" s="779"/>
      <c r="B406" s="779"/>
      <c r="C406" s="779"/>
      <c r="D406" s="779"/>
      <c r="E406" s="326"/>
      <c r="F406" s="320"/>
      <c r="G406" s="779"/>
      <c r="H406" s="779"/>
      <c r="I406" s="779"/>
      <c r="J406" s="779"/>
      <c r="K406" s="779"/>
      <c r="L406" s="779"/>
      <c r="M406" s="779"/>
      <c r="N406" s="779"/>
      <c r="O406" s="779"/>
      <c r="P406" s="779"/>
    </row>
  </sheetData>
  <mergeCells count="138">
    <mergeCell ref="A378:P378"/>
    <mergeCell ref="D382:P382"/>
    <mergeCell ref="D384:P384"/>
    <mergeCell ref="D385:P385"/>
    <mergeCell ref="P276:P277"/>
    <mergeCell ref="A304:A305"/>
    <mergeCell ref="B304:B305"/>
    <mergeCell ref="C304:C305"/>
    <mergeCell ref="J276:J277"/>
    <mergeCell ref="K276:K277"/>
    <mergeCell ref="L276:L277"/>
    <mergeCell ref="M276:M277"/>
    <mergeCell ref="N276:N277"/>
    <mergeCell ref="O276:O277"/>
    <mergeCell ref="O251:O252"/>
    <mergeCell ref="P251:P252"/>
    <mergeCell ref="A276:A277"/>
    <mergeCell ref="B276:B277"/>
    <mergeCell ref="C276:C277"/>
    <mergeCell ref="E276:E277"/>
    <mergeCell ref="F276:F277"/>
    <mergeCell ref="G276:G277"/>
    <mergeCell ref="H276:H277"/>
    <mergeCell ref="I276:I277"/>
    <mergeCell ref="I251:I252"/>
    <mergeCell ref="J251:J252"/>
    <mergeCell ref="K251:K252"/>
    <mergeCell ref="L251:L252"/>
    <mergeCell ref="M251:M252"/>
    <mergeCell ref="N251:N252"/>
    <mergeCell ref="N175:N176"/>
    <mergeCell ref="O175:O176"/>
    <mergeCell ref="P175:P176"/>
    <mergeCell ref="A251:A252"/>
    <mergeCell ref="B251:B252"/>
    <mergeCell ref="C251:C252"/>
    <mergeCell ref="E251:E252"/>
    <mergeCell ref="F251:F252"/>
    <mergeCell ref="G251:G252"/>
    <mergeCell ref="H251:H252"/>
    <mergeCell ref="H175:H176"/>
    <mergeCell ref="I175:I176"/>
    <mergeCell ref="J175:J176"/>
    <mergeCell ref="K175:K176"/>
    <mergeCell ref="L175:L176"/>
    <mergeCell ref="M175:M176"/>
    <mergeCell ref="R158:R160"/>
    <mergeCell ref="A175:A176"/>
    <mergeCell ref="B175:B176"/>
    <mergeCell ref="C175:C176"/>
    <mergeCell ref="E175:E176"/>
    <mergeCell ref="F175:F176"/>
    <mergeCell ref="G175:G176"/>
    <mergeCell ref="R155:R157"/>
    <mergeCell ref="A158:A160"/>
    <mergeCell ref="B158:B160"/>
    <mergeCell ref="C158:C160"/>
    <mergeCell ref="R151:R154"/>
    <mergeCell ref="A155:A157"/>
    <mergeCell ref="B155:B157"/>
    <mergeCell ref="C155:C157"/>
    <mergeCell ref="Q148:Q150"/>
    <mergeCell ref="R148:R150"/>
    <mergeCell ref="A151:A154"/>
    <mergeCell ref="B151:B154"/>
    <mergeCell ref="C151:C154"/>
    <mergeCell ref="N73:N74"/>
    <mergeCell ref="O73:O74"/>
    <mergeCell ref="P73:P74"/>
    <mergeCell ref="A148:A150"/>
    <mergeCell ref="B148:B150"/>
    <mergeCell ref="C148:C150"/>
    <mergeCell ref="H73:H74"/>
    <mergeCell ref="I73:I74"/>
    <mergeCell ref="J73:J74"/>
    <mergeCell ref="K73:K74"/>
    <mergeCell ref="L73:L74"/>
    <mergeCell ref="M73:M74"/>
    <mergeCell ref="N54:N55"/>
    <mergeCell ref="O54:O55"/>
    <mergeCell ref="P54:P55"/>
    <mergeCell ref="A73:A74"/>
    <mergeCell ref="B73:B74"/>
    <mergeCell ref="C73:C74"/>
    <mergeCell ref="D73:D74"/>
    <mergeCell ref="E73:E74"/>
    <mergeCell ref="F73:F74"/>
    <mergeCell ref="G73:G74"/>
    <mergeCell ref="H54:H55"/>
    <mergeCell ref="I54:I55"/>
    <mergeCell ref="J54:J55"/>
    <mergeCell ref="K54:K55"/>
    <mergeCell ref="L54:L55"/>
    <mergeCell ref="M54:M55"/>
    <mergeCell ref="A54:A55"/>
    <mergeCell ref="B54:B55"/>
    <mergeCell ref="C54:C55"/>
    <mergeCell ref="E54:E55"/>
    <mergeCell ref="F54:F55"/>
    <mergeCell ref="G54:G55"/>
    <mergeCell ref="K29:K30"/>
    <mergeCell ref="L29:L30"/>
    <mergeCell ref="M29:M30"/>
    <mergeCell ref="N29:N30"/>
    <mergeCell ref="O29:O30"/>
    <mergeCell ref="P29:P30"/>
    <mergeCell ref="O12:O13"/>
    <mergeCell ref="A29:A30"/>
    <mergeCell ref="B29:B30"/>
    <mergeCell ref="C29:C30"/>
    <mergeCell ref="E29:E30"/>
    <mergeCell ref="F29:F30"/>
    <mergeCell ref="G29:G30"/>
    <mergeCell ref="H29:H30"/>
    <mergeCell ref="I29:I30"/>
    <mergeCell ref="J29:J30"/>
    <mergeCell ref="J11:O11"/>
    <mergeCell ref="P11:P13"/>
    <mergeCell ref="E12:E13"/>
    <mergeCell ref="F12:F13"/>
    <mergeCell ref="G12:H12"/>
    <mergeCell ref="I12:I13"/>
    <mergeCell ref="J12:J13"/>
    <mergeCell ref="K12:K13"/>
    <mergeCell ref="L12:L13"/>
    <mergeCell ref="M12:N12"/>
    <mergeCell ref="A9:B9"/>
    <mergeCell ref="A11:A13"/>
    <mergeCell ref="B11:B13"/>
    <mergeCell ref="C11:C13"/>
    <mergeCell ref="D11:D13"/>
    <mergeCell ref="E11:I11"/>
    <mergeCell ref="N1:Q1"/>
    <mergeCell ref="N2:Q2"/>
    <mergeCell ref="O3:P3"/>
    <mergeCell ref="A5:P5"/>
    <mergeCell ref="A6:P6"/>
    <mergeCell ref="A8:B8"/>
  </mergeCells>
  <conditionalFormatting sqref="Q360:Q361 Q363:R367 R362:S362">
    <cfRule type="iconSet" priority="13">
      <iconSet iconSet="3Arrows">
        <cfvo type="percent" val="0"/>
        <cfvo type="percent" val="33"/>
        <cfvo type="percent" val="67"/>
      </iconSet>
    </cfRule>
  </conditionalFormatting>
  <conditionalFormatting sqref="R353:R355 Q351:R352">
    <cfRule type="iconSet" priority="12">
      <iconSet iconSet="3Arrows">
        <cfvo type="percent" val="0"/>
        <cfvo type="percent" val="33"/>
        <cfvo type="percent" val="67"/>
      </iconSet>
    </cfRule>
  </conditionalFormatting>
  <conditionalFormatting sqref="R361">
    <cfRule type="iconSet" priority="11">
      <iconSet iconSet="3Arrows">
        <cfvo type="percent" val="0"/>
        <cfvo type="percent" val="33"/>
        <cfvo type="percent" val="67"/>
      </iconSet>
    </cfRule>
  </conditionalFormatting>
  <conditionalFormatting sqref="Q330:R334">
    <cfRule type="iconSet" priority="14">
      <iconSet iconSet="3Arrows">
        <cfvo type="percent" val="0"/>
        <cfvo type="percent" val="33"/>
        <cfvo type="percent" val="67"/>
      </iconSet>
    </cfRule>
  </conditionalFormatting>
  <conditionalFormatting sqref="Q316:Q317">
    <cfRule type="iconSet" priority="10">
      <iconSet iconSet="3Arrows">
        <cfvo type="percent" val="0"/>
        <cfvo type="percent" val="33"/>
        <cfvo type="percent" val="67"/>
      </iconSet>
    </cfRule>
  </conditionalFormatting>
  <conditionalFormatting sqref="R316:R317">
    <cfRule type="iconSet" priority="9">
      <iconSet iconSet="3Arrows">
        <cfvo type="percent" val="0"/>
        <cfvo type="percent" val="33"/>
        <cfvo type="percent" val="67"/>
      </iconSet>
    </cfRule>
  </conditionalFormatting>
  <conditionalFormatting sqref="R308:R309"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Q308:Q314">
    <cfRule type="iconSet" priority="15">
      <iconSet iconSet="3Arrows">
        <cfvo type="percent" val="0"/>
        <cfvo type="percent" val="33"/>
        <cfvo type="percent" val="67"/>
      </iconSet>
    </cfRule>
  </conditionalFormatting>
  <conditionalFormatting sqref="R310:R314">
    <cfRule type="iconSet" priority="7">
      <iconSet iconSet="3Arrows">
        <cfvo type="percent" val="0"/>
        <cfvo type="percent" val="33"/>
        <cfvo type="percent" val="67"/>
      </iconSet>
    </cfRule>
  </conditionalFormatting>
  <conditionalFormatting sqref="R343:R344"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R335:R341">
    <cfRule type="iconSet" priority="16">
      <iconSet iconSet="3Arrows">
        <cfvo type="percent" val="0"/>
        <cfvo type="percent" val="33"/>
        <cfvo type="percent" val="67"/>
      </iconSet>
    </cfRule>
  </conditionalFormatting>
  <conditionalFormatting sqref="Q349">
    <cfRule type="iconSet" priority="5">
      <iconSet iconSet="3Arrows">
        <cfvo type="percent" val="0"/>
        <cfvo type="percent" val="33"/>
        <cfvo type="percent" val="67"/>
      </iconSet>
    </cfRule>
  </conditionalFormatting>
  <conditionalFormatting sqref="Q362">
    <cfRule type="iconSet" priority="4">
      <iconSet iconSet="3Arrows">
        <cfvo type="percent" val="0"/>
        <cfvo type="percent" val="33"/>
        <cfvo type="percent" val="67"/>
      </iconSet>
    </cfRule>
  </conditionalFormatting>
  <conditionalFormatting sqref="R360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R356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R358">
    <cfRule type="iconSet" priority="1">
      <iconSet iconSet="3Arrows">
        <cfvo type="percent" val="0"/>
        <cfvo type="percent" val="33"/>
        <cfvo type="percent" val="67"/>
      </iconSet>
    </cfRule>
  </conditionalFormatting>
  <conditionalFormatting sqref="R345:R348">
    <cfRule type="iconSet" priority="17">
      <iconSet iconSet="3Arrows">
        <cfvo type="percent" val="0"/>
        <cfvo type="percent" val="33"/>
        <cfvo type="percent" val="67"/>
      </iconSet>
    </cfRule>
  </conditionalFormatting>
  <conditionalFormatting sqref="Q343:Q348">
    <cfRule type="iconSet" priority="18">
      <iconSet iconSet="3Arrows">
        <cfvo type="percent" val="0"/>
        <cfvo type="percent" val="33"/>
        <cfvo type="percent" val="67"/>
      </iconSet>
    </cfRule>
  </conditionalFormatting>
  <conditionalFormatting sqref="Q318:Q328">
    <cfRule type="iconSet" priority="19">
      <iconSet iconSet="3Arrows">
        <cfvo type="percent" val="0"/>
        <cfvo type="percent" val="33"/>
        <cfvo type="percent" val="67"/>
      </iconSet>
    </cfRule>
  </conditionalFormatting>
  <conditionalFormatting sqref="R318:R328">
    <cfRule type="iconSet" priority="20">
      <iconSet iconSet="3Arrows">
        <cfvo type="percent" val="0"/>
        <cfvo type="percent" val="33"/>
        <cfvo type="percent" val="67"/>
      </iconSet>
    </cfRule>
  </conditionalFormatting>
  <pageMargins left="0.23622047244094491" right="0.27559055118110237" top="0.27559055118110237" bottom="0.15748031496062992" header="0.23622047244094491" footer="0.27559055118110237"/>
  <pageSetup paperSize="9" scale="15" orientation="landscape" horizontalDpi="4294967295" verticalDpi="4294967295" r:id="rId1"/>
  <headerFooter alignWithMargins="0">
    <oddFooter>&amp;C&amp;"Times New Roman Cyr,курсив"Сторінка &amp;P 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55"/>
  <sheetViews>
    <sheetView view="pageBreakPreview" zoomScale="115" zoomScaleSheetLayoutView="115" workbookViewId="0">
      <selection activeCell="D45" sqref="D45"/>
    </sheetView>
  </sheetViews>
  <sheetFormatPr defaultColWidth="9.140625" defaultRowHeight="12.75" x14ac:dyDescent="0.2"/>
  <cols>
    <col min="1" max="1" width="9.7109375" style="51" customWidth="1"/>
    <col min="2" max="3" width="22.140625" style="51" customWidth="1"/>
    <col min="4" max="4" width="14.140625" style="51" customWidth="1"/>
    <col min="5" max="5" width="14" style="51" customWidth="1"/>
    <col min="6" max="6" width="15.42578125" style="51" customWidth="1"/>
    <col min="7" max="7" width="15.140625" style="51" customWidth="1"/>
    <col min="8" max="8" width="16.42578125" style="51" customWidth="1"/>
    <col min="9" max="9" width="8.28515625" style="51" customWidth="1"/>
    <col min="10" max="10" width="9.140625" style="51"/>
    <col min="11" max="11" width="9.7109375" style="51" customWidth="1"/>
    <col min="12" max="12" width="9.140625" style="51"/>
    <col min="13" max="13" width="8.140625" style="51" customWidth="1"/>
    <col min="14" max="16384" width="9.140625" style="51"/>
  </cols>
  <sheetData>
    <row r="1" spans="1:17" x14ac:dyDescent="0.2">
      <c r="F1" s="13" t="s">
        <v>121</v>
      </c>
    </row>
    <row r="2" spans="1:17" x14ac:dyDescent="0.2">
      <c r="F2" s="13" t="s">
        <v>1034</v>
      </c>
    </row>
    <row r="3" spans="1:17" x14ac:dyDescent="0.2">
      <c r="F3" s="13" t="s">
        <v>1348</v>
      </c>
    </row>
    <row r="5" spans="1:17" ht="18.75" x14ac:dyDescent="0.2">
      <c r="A5" s="894" t="s">
        <v>599</v>
      </c>
      <c r="B5" s="894"/>
      <c r="C5" s="894"/>
      <c r="D5" s="894"/>
      <c r="E5" s="894"/>
      <c r="F5" s="894"/>
    </row>
    <row r="6" spans="1:17" ht="18.75" x14ac:dyDescent="0.2">
      <c r="A6" s="894" t="s">
        <v>1219</v>
      </c>
      <c r="B6" s="894"/>
      <c r="C6" s="894"/>
      <c r="D6" s="894"/>
      <c r="E6" s="894"/>
      <c r="F6" s="894"/>
    </row>
    <row r="7" spans="1:17" ht="18.75" x14ac:dyDescent="0.2">
      <c r="A7" s="380"/>
      <c r="B7" s="380"/>
      <c r="C7" s="380"/>
      <c r="D7" s="380"/>
      <c r="E7" s="380"/>
      <c r="F7" s="380"/>
    </row>
    <row r="8" spans="1:17" x14ac:dyDescent="0.2">
      <c r="A8" s="895">
        <v>22564000000</v>
      </c>
      <c r="B8" s="896"/>
      <c r="C8" s="880"/>
      <c r="D8" s="880"/>
      <c r="E8" s="880"/>
      <c r="F8" s="880"/>
      <c r="G8" s="234"/>
    </row>
    <row r="9" spans="1:17" ht="15" customHeight="1" x14ac:dyDescent="0.2">
      <c r="A9" s="897" t="s">
        <v>508</v>
      </c>
      <c r="B9" s="898"/>
      <c r="C9" s="880"/>
      <c r="D9" s="880"/>
      <c r="E9" s="880"/>
      <c r="F9" s="880"/>
      <c r="G9" s="234"/>
    </row>
    <row r="10" spans="1:17" ht="13.5" thickBot="1" x14ac:dyDescent="0.25">
      <c r="A10" s="381"/>
      <c r="B10" s="381"/>
      <c r="C10" s="382"/>
      <c r="D10" s="382"/>
      <c r="E10" s="382"/>
      <c r="F10" s="383" t="s">
        <v>419</v>
      </c>
      <c r="G10" s="234"/>
    </row>
    <row r="11" spans="1:17" ht="14.25" thickTop="1" thickBot="1" x14ac:dyDescent="0.25">
      <c r="A11" s="899" t="s">
        <v>60</v>
      </c>
      <c r="B11" s="899" t="s">
        <v>393</v>
      </c>
      <c r="C11" s="899" t="s">
        <v>398</v>
      </c>
      <c r="D11" s="899" t="s">
        <v>12</v>
      </c>
      <c r="E11" s="899" t="s">
        <v>54</v>
      </c>
      <c r="F11" s="899"/>
      <c r="G11" s="234"/>
    </row>
    <row r="12" spans="1:17" ht="35.450000000000003" customHeight="1" thickTop="1" thickBot="1" x14ac:dyDescent="0.25">
      <c r="A12" s="899"/>
      <c r="B12" s="899"/>
      <c r="C12" s="899"/>
      <c r="D12" s="900"/>
      <c r="E12" s="384" t="s">
        <v>399</v>
      </c>
      <c r="F12" s="384" t="s">
        <v>400</v>
      </c>
      <c r="G12" s="234"/>
    </row>
    <row r="13" spans="1:17" ht="14.25" thickTop="1" thickBot="1" x14ac:dyDescent="0.25">
      <c r="A13" s="385">
        <v>1</v>
      </c>
      <c r="B13" s="385">
        <v>2</v>
      </c>
      <c r="C13" s="385">
        <v>3</v>
      </c>
      <c r="D13" s="385">
        <v>4</v>
      </c>
      <c r="E13" s="385">
        <v>5</v>
      </c>
      <c r="F13" s="385">
        <v>6</v>
      </c>
      <c r="G13" s="234"/>
    </row>
    <row r="14" spans="1:17" ht="30.75" customHeight="1" thickTop="1" thickBot="1" x14ac:dyDescent="0.25">
      <c r="A14" s="901" t="s">
        <v>394</v>
      </c>
      <c r="B14" s="901"/>
      <c r="C14" s="902"/>
      <c r="D14" s="902"/>
      <c r="E14" s="902"/>
      <c r="F14" s="902"/>
      <c r="G14" s="234"/>
    </row>
    <row r="15" spans="1:17" ht="14.25" thickTop="1" thickBot="1" x14ac:dyDescent="0.25">
      <c r="A15" s="595" t="s">
        <v>122</v>
      </c>
      <c r="B15" s="605" t="s">
        <v>123</v>
      </c>
      <c r="C15" s="595">
        <f>C16+C20</f>
        <v>63021349.629999995</v>
      </c>
      <c r="D15" s="595">
        <f>D16+D20</f>
        <v>-93580110.329999924</v>
      </c>
      <c r="E15" s="595">
        <f>E16+E20</f>
        <v>156601459.95999992</v>
      </c>
      <c r="F15" s="595">
        <f>F16+F20</f>
        <v>153938117.58999991</v>
      </c>
      <c r="G15" s="236">
        <f>E15-F15</f>
        <v>2663342.3700000048</v>
      </c>
      <c r="H15" s="52"/>
      <c r="I15" s="52"/>
      <c r="J15" s="52"/>
      <c r="K15" s="52"/>
      <c r="L15" s="52"/>
      <c r="M15" s="52"/>
      <c r="N15" s="52"/>
      <c r="O15" s="52"/>
      <c r="P15" s="52"/>
      <c r="Q15" s="52"/>
    </row>
    <row r="16" spans="1:17" ht="42" thickTop="1" thickBot="1" x14ac:dyDescent="0.25">
      <c r="A16" s="602">
        <v>202000</v>
      </c>
      <c r="B16" s="603" t="s">
        <v>1040</v>
      </c>
      <c r="C16" s="604">
        <f t="shared" ref="C16:C17" si="0">SUM(D16,E16)</f>
        <v>-36107010</v>
      </c>
      <c r="D16" s="604">
        <f t="shared" ref="D16" si="1">D17</f>
        <v>0</v>
      </c>
      <c r="E16" s="604">
        <f>E17</f>
        <v>-36107010</v>
      </c>
      <c r="F16" s="604">
        <f t="shared" ref="F16" si="2">F17</f>
        <v>-36107010</v>
      </c>
      <c r="G16" s="236"/>
      <c r="H16" s="52"/>
      <c r="I16" s="52"/>
      <c r="J16" s="52"/>
      <c r="K16" s="52"/>
      <c r="L16" s="52"/>
      <c r="M16" s="52"/>
      <c r="N16" s="52"/>
      <c r="O16" s="52"/>
      <c r="P16" s="52"/>
      <c r="Q16" s="52"/>
    </row>
    <row r="17" spans="1:17" ht="27" thickTop="1" thickBot="1" x14ac:dyDescent="0.25">
      <c r="A17" s="594">
        <v>202200</v>
      </c>
      <c r="B17" s="527" t="s">
        <v>1042</v>
      </c>
      <c r="C17" s="595">
        <f t="shared" si="0"/>
        <v>-36107010</v>
      </c>
      <c r="D17" s="595">
        <f>SUM(D18:D19)</f>
        <v>0</v>
      </c>
      <c r="E17" s="595">
        <f>SUM(E18:E19)</f>
        <v>-36107010</v>
      </c>
      <c r="F17" s="595">
        <f>SUM(F18:F19)</f>
        <v>-36107010</v>
      </c>
      <c r="G17" s="236"/>
      <c r="H17" s="52"/>
      <c r="I17" s="52"/>
      <c r="J17" s="52"/>
      <c r="K17" s="52"/>
      <c r="L17" s="52"/>
      <c r="M17" s="52"/>
      <c r="N17" s="52"/>
      <c r="O17" s="52"/>
      <c r="P17" s="52"/>
      <c r="Q17" s="52"/>
    </row>
    <row r="18" spans="1:17" ht="14.25" hidden="1" thickTop="1" thickBot="1" x14ac:dyDescent="0.25">
      <c r="A18" s="596">
        <v>202210</v>
      </c>
      <c r="B18" s="597" t="s">
        <v>1041</v>
      </c>
      <c r="C18" s="598">
        <f>SUM(D18,E18)</f>
        <v>0</v>
      </c>
      <c r="D18" s="595"/>
      <c r="E18" s="598">
        <v>0</v>
      </c>
      <c r="F18" s="598">
        <v>0</v>
      </c>
      <c r="G18" s="236"/>
      <c r="H18" s="52"/>
      <c r="I18" s="52"/>
      <c r="J18" s="52"/>
      <c r="K18" s="52"/>
      <c r="L18" s="52"/>
      <c r="M18" s="52"/>
      <c r="N18" s="52"/>
      <c r="O18" s="52"/>
      <c r="P18" s="52"/>
      <c r="Q18" s="52"/>
    </row>
    <row r="19" spans="1:17" ht="14.25" thickTop="1" thickBot="1" x14ac:dyDescent="0.25">
      <c r="A19" s="596">
        <v>202220</v>
      </c>
      <c r="B19" s="597" t="s">
        <v>373</v>
      </c>
      <c r="C19" s="598">
        <f>SUM(D19,E19)</f>
        <v>-36107010</v>
      </c>
      <c r="D19" s="595"/>
      <c r="E19" s="598">
        <f>(-13333400)-22773610</f>
        <v>-36107010</v>
      </c>
      <c r="F19" s="598">
        <f>(-13333400)-22773610</f>
        <v>-36107010</v>
      </c>
      <c r="G19" s="236"/>
      <c r="H19" s="52"/>
      <c r="I19" s="52"/>
      <c r="J19" s="52"/>
      <c r="K19" s="52"/>
      <c r="L19" s="52"/>
      <c r="M19" s="52"/>
      <c r="N19" s="52"/>
      <c r="O19" s="52"/>
      <c r="P19" s="52"/>
      <c r="Q19" s="52"/>
    </row>
    <row r="20" spans="1:17" ht="42" thickTop="1" thickBot="1" x14ac:dyDescent="0.25">
      <c r="A20" s="602">
        <v>208000</v>
      </c>
      <c r="B20" s="606" t="s">
        <v>1044</v>
      </c>
      <c r="C20" s="604">
        <f>C21+C24+C22</f>
        <v>99128359.629999995</v>
      </c>
      <c r="D20" s="604">
        <f>D21+D24+D22</f>
        <v>-93580110.329999924</v>
      </c>
      <c r="E20" s="604">
        <f>E21+E24+E22</f>
        <v>192708469.95999992</v>
      </c>
      <c r="F20" s="604">
        <f>F21+F24+F22</f>
        <v>190045127.58999991</v>
      </c>
      <c r="G20" s="243">
        <f>E20-F20</f>
        <v>2663342.3700000048</v>
      </c>
      <c r="H20" s="52"/>
      <c r="I20" s="52"/>
      <c r="J20" s="52"/>
      <c r="K20" s="52"/>
      <c r="L20" s="52"/>
      <c r="M20" s="52"/>
      <c r="N20" s="52"/>
      <c r="O20" s="52"/>
      <c r="P20" s="52"/>
      <c r="Q20" s="52"/>
    </row>
    <row r="21" spans="1:17" ht="15" thickTop="1" thickBot="1" x14ac:dyDescent="0.25">
      <c r="A21" s="602" t="s">
        <v>124</v>
      </c>
      <c r="B21" s="603" t="s">
        <v>125</v>
      </c>
      <c r="C21" s="604">
        <f>SUM(D21,E21)</f>
        <v>99128359.629999995</v>
      </c>
      <c r="D21" s="604">
        <f>((87999302.72)+4887848.69)+1586315</f>
        <v>94473466.409999996</v>
      </c>
      <c r="E21" s="604">
        <f>(1254557.26+2663342.37)+736993.59</f>
        <v>4654893.22</v>
      </c>
      <c r="F21" s="604">
        <f>(1254557.26)+736993.59</f>
        <v>1991550.85</v>
      </c>
      <c r="G21" s="243"/>
      <c r="H21" s="52"/>
      <c r="I21" s="52"/>
      <c r="J21" s="52"/>
      <c r="K21" s="52"/>
      <c r="L21" s="52"/>
      <c r="M21" s="52"/>
      <c r="N21" s="52"/>
      <c r="O21" s="52"/>
      <c r="P21" s="52"/>
      <c r="Q21" s="52"/>
    </row>
    <row r="22" spans="1:17" ht="15" hidden="1" thickTop="1" thickBot="1" x14ac:dyDescent="0.25">
      <c r="A22" s="237">
        <v>208300</v>
      </c>
      <c r="B22" s="238" t="s">
        <v>1047</v>
      </c>
      <c r="C22" s="239">
        <f>SUM(D22,E22)</f>
        <v>0</v>
      </c>
      <c r="D22" s="239">
        <f>D23</f>
        <v>0</v>
      </c>
      <c r="E22" s="239">
        <f>E23</f>
        <v>0</v>
      </c>
      <c r="F22" s="239">
        <f>F23</f>
        <v>0</v>
      </c>
      <c r="G22" s="236"/>
      <c r="H22" s="52"/>
      <c r="I22" s="52"/>
      <c r="J22" s="52"/>
      <c r="K22" s="52"/>
      <c r="L22" s="52"/>
      <c r="M22" s="52"/>
      <c r="N22" s="52"/>
      <c r="O22" s="52"/>
      <c r="P22" s="52"/>
      <c r="Q22" s="52"/>
    </row>
    <row r="23" spans="1:17" ht="52.5" hidden="1" thickTop="1" thickBot="1" x14ac:dyDescent="0.25">
      <c r="A23" s="240">
        <v>208330</v>
      </c>
      <c r="B23" s="241" t="s">
        <v>1048</v>
      </c>
      <c r="C23" s="239">
        <f>SUM(D23,E23)</f>
        <v>0</v>
      </c>
      <c r="D23" s="242"/>
      <c r="E23" s="242">
        <f>-D23</f>
        <v>0</v>
      </c>
      <c r="F23" s="242">
        <f>E23</f>
        <v>0</v>
      </c>
      <c r="G23" s="236"/>
      <c r="H23" s="52"/>
      <c r="I23" s="52"/>
      <c r="J23" s="52"/>
      <c r="K23" s="52"/>
      <c r="L23" s="52"/>
      <c r="M23" s="52"/>
      <c r="N23" s="52"/>
      <c r="O23" s="52"/>
      <c r="P23" s="52"/>
      <c r="Q23" s="52"/>
    </row>
    <row r="24" spans="1:17" ht="55.5" thickTop="1" thickBot="1" x14ac:dyDescent="0.25">
      <c r="A24" s="602">
        <v>208400</v>
      </c>
      <c r="B24" s="603" t="s">
        <v>126</v>
      </c>
      <c r="C24" s="604">
        <f>SUM(D24,E24)</f>
        <v>0</v>
      </c>
      <c r="D24" s="604">
        <f>'d3'!E377-'d1'!D137+'d4'!N17-D21</f>
        <v>-188053576.73999992</v>
      </c>
      <c r="E24" s="604">
        <f>-D24</f>
        <v>188053576.73999992</v>
      </c>
      <c r="F24" s="604">
        <f>E24</f>
        <v>188053576.73999992</v>
      </c>
      <c r="G24" s="236"/>
      <c r="H24" s="52"/>
      <c r="I24" s="52"/>
      <c r="J24" s="52"/>
      <c r="K24" s="52"/>
      <c r="L24" s="52"/>
      <c r="M24" s="52"/>
      <c r="N24" s="52"/>
      <c r="O24" s="52"/>
      <c r="P24" s="52"/>
      <c r="Q24" s="52"/>
    </row>
    <row r="25" spans="1:17" ht="14.25" thickTop="1" thickBot="1" x14ac:dyDescent="0.25">
      <c r="A25" s="594">
        <v>300000</v>
      </c>
      <c r="B25" s="527" t="s">
        <v>370</v>
      </c>
      <c r="C25" s="595">
        <f>C26</f>
        <v>58670000</v>
      </c>
      <c r="D25" s="595">
        <f>D26</f>
        <v>0</v>
      </c>
      <c r="E25" s="595">
        <f>E26</f>
        <v>58670000</v>
      </c>
      <c r="F25" s="595">
        <f>F26</f>
        <v>58670000</v>
      </c>
      <c r="G25" s="236"/>
      <c r="H25" s="52"/>
      <c r="I25" s="52"/>
      <c r="J25" s="52"/>
      <c r="K25" s="52"/>
      <c r="L25" s="52"/>
      <c r="M25" s="52"/>
      <c r="N25" s="52"/>
      <c r="O25" s="52"/>
      <c r="P25" s="52"/>
      <c r="Q25" s="52"/>
    </row>
    <row r="26" spans="1:17" ht="42" thickTop="1" thickBot="1" x14ac:dyDescent="0.25">
      <c r="A26" s="602">
        <v>301000</v>
      </c>
      <c r="B26" s="603" t="s">
        <v>371</v>
      </c>
      <c r="C26" s="604">
        <f>C27+C28</f>
        <v>58670000</v>
      </c>
      <c r="D26" s="604">
        <f>D27+D28</f>
        <v>0</v>
      </c>
      <c r="E26" s="604">
        <f>E27+E28</f>
        <v>58670000</v>
      </c>
      <c r="F26" s="604">
        <f>F27+F28</f>
        <v>58670000</v>
      </c>
      <c r="G26" s="236"/>
      <c r="H26" s="52"/>
      <c r="I26" s="52"/>
      <c r="J26" s="52"/>
      <c r="K26" s="52"/>
      <c r="L26" s="52"/>
      <c r="M26" s="52"/>
      <c r="N26" s="52"/>
      <c r="O26" s="52"/>
      <c r="P26" s="52"/>
      <c r="Q26" s="52"/>
    </row>
    <row r="27" spans="1:17" ht="14.25" thickTop="1" thickBot="1" x14ac:dyDescent="0.25">
      <c r="A27" s="596">
        <v>301100</v>
      </c>
      <c r="B27" s="597" t="s">
        <v>372</v>
      </c>
      <c r="C27" s="598">
        <f>SUM(D27,E27)</f>
        <v>62390000</v>
      </c>
      <c r="D27" s="598"/>
      <c r="E27" s="598">
        <f>50830000+11560000</f>
        <v>62390000</v>
      </c>
      <c r="F27" s="598">
        <f>50830000+11560000</f>
        <v>62390000</v>
      </c>
      <c r="G27" s="236"/>
      <c r="H27" s="52"/>
      <c r="I27" s="52"/>
      <c r="J27" s="52"/>
      <c r="K27" s="52"/>
      <c r="L27" s="52"/>
      <c r="M27" s="52"/>
      <c r="N27" s="52"/>
      <c r="O27" s="52"/>
      <c r="P27" s="52"/>
      <c r="Q27" s="52"/>
    </row>
    <row r="28" spans="1:17" ht="14.25" thickTop="1" thickBot="1" x14ac:dyDescent="0.25">
      <c r="A28" s="596">
        <v>301200</v>
      </c>
      <c r="B28" s="597" t="s">
        <v>373</v>
      </c>
      <c r="C28" s="598">
        <f>SUM(D28,E28)</f>
        <v>-3720000</v>
      </c>
      <c r="D28" s="598"/>
      <c r="E28" s="598">
        <v>-3720000</v>
      </c>
      <c r="F28" s="598">
        <v>-3720000</v>
      </c>
      <c r="G28" s="236"/>
      <c r="H28" s="52"/>
      <c r="I28" s="52"/>
      <c r="J28" s="52"/>
      <c r="K28" s="52"/>
      <c r="L28" s="52"/>
      <c r="M28" s="52"/>
      <c r="N28" s="52"/>
      <c r="O28" s="52"/>
      <c r="P28" s="52"/>
      <c r="Q28" s="52"/>
    </row>
    <row r="29" spans="1:17" ht="24" customHeight="1" thickTop="1" thickBot="1" x14ac:dyDescent="0.25">
      <c r="A29" s="607" t="s">
        <v>396</v>
      </c>
      <c r="B29" s="608" t="s">
        <v>395</v>
      </c>
      <c r="C29" s="609">
        <f>C15+C25</f>
        <v>121691349.63</v>
      </c>
      <c r="D29" s="609">
        <f>D15+D25</f>
        <v>-93580110.329999924</v>
      </c>
      <c r="E29" s="609">
        <f>E15+E25</f>
        <v>215271459.95999992</v>
      </c>
      <c r="F29" s="609">
        <f>F15+F25</f>
        <v>212608117.58999991</v>
      </c>
      <c r="G29" s="236"/>
      <c r="H29" s="52"/>
      <c r="I29" s="52"/>
      <c r="J29" s="52"/>
      <c r="K29" s="52"/>
      <c r="L29" s="52"/>
      <c r="M29" s="52"/>
      <c r="N29" s="52"/>
      <c r="O29" s="52"/>
      <c r="P29" s="52"/>
      <c r="Q29" s="52"/>
    </row>
    <row r="30" spans="1:17" ht="35.450000000000003" customHeight="1" thickTop="1" thickBot="1" x14ac:dyDescent="0.25">
      <c r="A30" s="901" t="s">
        <v>397</v>
      </c>
      <c r="B30" s="901"/>
      <c r="C30" s="902"/>
      <c r="D30" s="902"/>
      <c r="E30" s="902"/>
      <c r="F30" s="902"/>
      <c r="G30" s="236"/>
      <c r="H30" s="52"/>
      <c r="I30" s="52"/>
      <c r="J30" s="52"/>
      <c r="K30" s="52"/>
      <c r="L30" s="52"/>
      <c r="M30" s="52"/>
      <c r="N30" s="52"/>
      <c r="O30" s="52"/>
      <c r="P30" s="52"/>
      <c r="Q30" s="52"/>
    </row>
    <row r="31" spans="1:17" ht="27" thickTop="1" thickBot="1" x14ac:dyDescent="0.25">
      <c r="A31" s="594">
        <v>400000</v>
      </c>
      <c r="B31" s="527" t="s">
        <v>127</v>
      </c>
      <c r="C31" s="595">
        <f>C32+C37</f>
        <v>22562990</v>
      </c>
      <c r="D31" s="595">
        <f>D32+D37</f>
        <v>0</v>
      </c>
      <c r="E31" s="595">
        <f>E32+E37</f>
        <v>22562990</v>
      </c>
      <c r="F31" s="595">
        <f>F32+F37</f>
        <v>22562990</v>
      </c>
      <c r="G31" s="236"/>
      <c r="H31" s="52"/>
      <c r="I31" s="52"/>
      <c r="J31" s="52"/>
      <c r="K31" s="52"/>
      <c r="L31" s="52"/>
      <c r="M31" s="52"/>
      <c r="N31" s="52"/>
      <c r="O31" s="52"/>
      <c r="P31" s="52"/>
      <c r="Q31" s="52"/>
    </row>
    <row r="32" spans="1:17" ht="15" thickTop="1" thickBot="1" x14ac:dyDescent="0.25">
      <c r="A32" s="602">
        <v>401000</v>
      </c>
      <c r="B32" s="603" t="s">
        <v>128</v>
      </c>
      <c r="C32" s="604">
        <f>C33+C35</f>
        <v>62390000</v>
      </c>
      <c r="D32" s="604">
        <f>D33+D35</f>
        <v>0</v>
      </c>
      <c r="E32" s="604">
        <f>E33+E35</f>
        <v>62390000</v>
      </c>
      <c r="F32" s="604">
        <f>F33+F35</f>
        <v>62390000</v>
      </c>
      <c r="G32" s="236"/>
      <c r="H32" s="52"/>
      <c r="I32" s="52"/>
      <c r="J32" s="52"/>
      <c r="K32" s="52"/>
      <c r="L32" s="52"/>
      <c r="M32" s="52"/>
      <c r="N32" s="52"/>
      <c r="O32" s="52"/>
      <c r="P32" s="52"/>
      <c r="Q32" s="52"/>
    </row>
    <row r="33" spans="1:17" ht="14.25" hidden="1" thickTop="1" thickBot="1" x14ac:dyDescent="0.25">
      <c r="A33" s="599">
        <v>401100</v>
      </c>
      <c r="B33" s="600" t="s">
        <v>1043</v>
      </c>
      <c r="C33" s="601">
        <f>C34</f>
        <v>0</v>
      </c>
      <c r="D33" s="601">
        <f>D34</f>
        <v>0</v>
      </c>
      <c r="E33" s="601">
        <f>E34</f>
        <v>0</v>
      </c>
      <c r="F33" s="601">
        <f>F34</f>
        <v>0</v>
      </c>
      <c r="G33" s="236"/>
      <c r="H33" s="52"/>
      <c r="I33" s="52"/>
      <c r="J33" s="52"/>
      <c r="K33" s="52"/>
      <c r="L33" s="52"/>
      <c r="M33" s="52"/>
      <c r="N33" s="52"/>
      <c r="O33" s="52"/>
      <c r="P33" s="52"/>
      <c r="Q33" s="52"/>
    </row>
    <row r="34" spans="1:17" ht="27" hidden="1" thickTop="1" thickBot="1" x14ac:dyDescent="0.25">
      <c r="A34" s="596">
        <v>401101</v>
      </c>
      <c r="B34" s="597" t="s">
        <v>1038</v>
      </c>
      <c r="C34" s="598">
        <f>SUM(D34,E34)</f>
        <v>0</v>
      </c>
      <c r="D34" s="595"/>
      <c r="E34" s="598">
        <v>0</v>
      </c>
      <c r="F34" s="598">
        <v>0</v>
      </c>
      <c r="G34" s="236"/>
      <c r="H34" s="52"/>
      <c r="I34" s="52"/>
      <c r="J34" s="52"/>
      <c r="K34" s="52"/>
      <c r="L34" s="52"/>
      <c r="M34" s="52"/>
      <c r="N34" s="52"/>
      <c r="O34" s="52"/>
      <c r="P34" s="52"/>
      <c r="Q34" s="52"/>
    </row>
    <row r="35" spans="1:17" s="2" customFormat="1" ht="14.25" thickTop="1" thickBot="1" x14ac:dyDescent="0.25">
      <c r="A35" s="599">
        <v>401200</v>
      </c>
      <c r="B35" s="600" t="s">
        <v>374</v>
      </c>
      <c r="C35" s="601">
        <f>SUM(D35,E35)</f>
        <v>62390000</v>
      </c>
      <c r="D35" s="601"/>
      <c r="E35" s="601">
        <f>E36</f>
        <v>62390000</v>
      </c>
      <c r="F35" s="601">
        <f>F36</f>
        <v>62390000</v>
      </c>
      <c r="G35" s="244"/>
      <c r="H35" s="31"/>
      <c r="I35" s="31"/>
      <c r="J35" s="31"/>
      <c r="K35" s="31"/>
      <c r="L35" s="31"/>
      <c r="M35" s="31"/>
      <c r="N35" s="31"/>
      <c r="O35" s="31"/>
      <c r="P35" s="31"/>
      <c r="Q35" s="31"/>
    </row>
    <row r="36" spans="1:17" ht="27" thickTop="1" thickBot="1" x14ac:dyDescent="0.25">
      <c r="A36" s="596">
        <v>401201</v>
      </c>
      <c r="B36" s="597" t="s">
        <v>1038</v>
      </c>
      <c r="C36" s="598">
        <f>SUM(D36,E36)</f>
        <v>62390000</v>
      </c>
      <c r="D36" s="595"/>
      <c r="E36" s="598">
        <f>50830000+11560000</f>
        <v>62390000</v>
      </c>
      <c r="F36" s="598">
        <f>50830000+11560000</f>
        <v>62390000</v>
      </c>
      <c r="G36" s="236"/>
      <c r="H36" s="52"/>
      <c r="I36" s="52"/>
      <c r="J36" s="52"/>
      <c r="K36" s="52"/>
      <c r="L36" s="52"/>
      <c r="M36" s="52"/>
      <c r="N36" s="52"/>
      <c r="O36" s="52"/>
      <c r="P36" s="52"/>
      <c r="Q36" s="52"/>
    </row>
    <row r="37" spans="1:17" s="2" customFormat="1" ht="15" thickTop="1" thickBot="1" x14ac:dyDescent="0.25">
      <c r="A37" s="602">
        <v>402000</v>
      </c>
      <c r="B37" s="603" t="s">
        <v>375</v>
      </c>
      <c r="C37" s="604">
        <f>C40+C38</f>
        <v>-39827010</v>
      </c>
      <c r="D37" s="604">
        <f>D40+D38</f>
        <v>0</v>
      </c>
      <c r="E37" s="604">
        <f>E40+E38</f>
        <v>-39827010</v>
      </c>
      <c r="F37" s="604">
        <f>F40+F38</f>
        <v>-39827010</v>
      </c>
      <c r="G37" s="244"/>
      <c r="H37" s="31"/>
      <c r="I37" s="31"/>
      <c r="J37" s="31"/>
      <c r="K37" s="31"/>
      <c r="L37" s="31"/>
      <c r="M37" s="31"/>
      <c r="N37" s="31"/>
      <c r="O37" s="31"/>
      <c r="P37" s="31"/>
      <c r="Q37" s="31"/>
    </row>
    <row r="38" spans="1:17" s="2" customFormat="1" ht="14.25" thickTop="1" thickBot="1" x14ac:dyDescent="0.25">
      <c r="A38" s="599">
        <v>402100</v>
      </c>
      <c r="B38" s="600" t="s">
        <v>1104</v>
      </c>
      <c r="C38" s="601">
        <f>C39</f>
        <v>-36107010</v>
      </c>
      <c r="D38" s="601">
        <f>D39</f>
        <v>0</v>
      </c>
      <c r="E38" s="601">
        <f>E39</f>
        <v>-36107010</v>
      </c>
      <c r="F38" s="601">
        <f>F39</f>
        <v>-36107010</v>
      </c>
      <c r="G38" s="244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s="2" customFormat="1" ht="27" thickTop="1" thickBot="1" x14ac:dyDescent="0.25">
      <c r="A39" s="596">
        <v>402101</v>
      </c>
      <c r="B39" s="597" t="s">
        <v>1038</v>
      </c>
      <c r="C39" s="598">
        <f>SUM(D39,E39)</f>
        <v>-36107010</v>
      </c>
      <c r="D39" s="595"/>
      <c r="E39" s="598">
        <f>(-13333400)-22773610</f>
        <v>-36107010</v>
      </c>
      <c r="F39" s="598">
        <f>(-13333400)-22773610</f>
        <v>-36107010</v>
      </c>
      <c r="G39" s="244"/>
      <c r="H39" s="31"/>
      <c r="I39" s="31"/>
      <c r="J39" s="31"/>
      <c r="K39" s="31"/>
      <c r="L39" s="31"/>
      <c r="M39" s="31"/>
      <c r="N39" s="31"/>
      <c r="O39" s="31"/>
      <c r="P39" s="31"/>
      <c r="Q39" s="31"/>
    </row>
    <row r="40" spans="1:17" s="2" customFormat="1" ht="14.25" thickTop="1" thickBot="1" x14ac:dyDescent="0.25">
      <c r="A40" s="599">
        <v>402200</v>
      </c>
      <c r="B40" s="600" t="s">
        <v>1037</v>
      </c>
      <c r="C40" s="601">
        <f>SUM(C41,C42)</f>
        <v>-3720000</v>
      </c>
      <c r="D40" s="601"/>
      <c r="E40" s="601">
        <f>SUM(E41,E42)</f>
        <v>-3720000</v>
      </c>
      <c r="F40" s="601">
        <f>SUM(F41,F42)</f>
        <v>-3720000</v>
      </c>
      <c r="G40" s="244"/>
      <c r="H40" s="31"/>
      <c r="I40" s="31"/>
      <c r="J40" s="31"/>
      <c r="K40" s="31"/>
      <c r="L40" s="31"/>
      <c r="M40" s="31"/>
      <c r="N40" s="31"/>
      <c r="O40" s="31"/>
      <c r="P40" s="31"/>
      <c r="Q40" s="31"/>
    </row>
    <row r="41" spans="1:17" s="2" customFormat="1" ht="27" thickTop="1" thickBot="1" x14ac:dyDescent="0.25">
      <c r="A41" s="596">
        <v>402201</v>
      </c>
      <c r="B41" s="597" t="s">
        <v>1038</v>
      </c>
      <c r="C41" s="598">
        <f>SUM(D41,E41)</f>
        <v>-3720000</v>
      </c>
      <c r="D41" s="595"/>
      <c r="E41" s="598">
        <v>-3720000</v>
      </c>
      <c r="F41" s="598">
        <v>-3720000</v>
      </c>
      <c r="G41" s="244"/>
      <c r="H41" s="31"/>
      <c r="I41" s="31"/>
      <c r="J41" s="31"/>
      <c r="K41" s="31"/>
      <c r="L41" s="31"/>
      <c r="M41" s="31"/>
      <c r="N41" s="31"/>
      <c r="O41" s="31"/>
      <c r="P41" s="31"/>
      <c r="Q41" s="31"/>
    </row>
    <row r="42" spans="1:17" ht="27" hidden="1" thickTop="1" thickBot="1" x14ac:dyDescent="0.25">
      <c r="A42" s="240">
        <v>402202</v>
      </c>
      <c r="B42" s="241" t="s">
        <v>1039</v>
      </c>
      <c r="C42" s="242">
        <f>SUM(D42,E42)</f>
        <v>0</v>
      </c>
      <c r="D42" s="235"/>
      <c r="E42" s="242">
        <v>0</v>
      </c>
      <c r="F42" s="242">
        <v>0</v>
      </c>
      <c r="G42" s="236"/>
      <c r="H42" s="52"/>
      <c r="I42" s="52"/>
      <c r="J42" s="52"/>
      <c r="K42" s="52"/>
      <c r="L42" s="52"/>
      <c r="M42" s="52"/>
      <c r="N42" s="52"/>
      <c r="O42" s="52"/>
      <c r="P42" s="52"/>
      <c r="Q42" s="52"/>
    </row>
    <row r="43" spans="1:17" ht="27" thickTop="1" thickBot="1" x14ac:dyDescent="0.25">
      <c r="A43" s="594" t="s">
        <v>129</v>
      </c>
      <c r="B43" s="527" t="s">
        <v>130</v>
      </c>
      <c r="C43" s="595">
        <f>C44</f>
        <v>99128359.629999995</v>
      </c>
      <c r="D43" s="595">
        <f>D44</f>
        <v>-93580110.329999924</v>
      </c>
      <c r="E43" s="595">
        <f t="shared" ref="E43:F43" si="3">E44</f>
        <v>192708469.95999992</v>
      </c>
      <c r="F43" s="595">
        <f t="shared" si="3"/>
        <v>190045127.58999991</v>
      </c>
      <c r="G43" s="236"/>
      <c r="H43" s="52"/>
      <c r="I43" s="52"/>
      <c r="J43" s="52"/>
      <c r="K43" s="52"/>
      <c r="L43" s="52"/>
      <c r="M43" s="52"/>
      <c r="N43" s="52"/>
      <c r="O43" s="52"/>
      <c r="P43" s="52"/>
      <c r="Q43" s="52"/>
    </row>
    <row r="44" spans="1:17" ht="36" customHeight="1" thickTop="1" thickBot="1" x14ac:dyDescent="0.25">
      <c r="A44" s="602">
        <v>602000</v>
      </c>
      <c r="B44" s="603" t="s">
        <v>1045</v>
      </c>
      <c r="C44" s="604">
        <f>C45+C48+C46</f>
        <v>99128359.629999995</v>
      </c>
      <c r="D44" s="604">
        <f>D45+D48+D46</f>
        <v>-93580110.329999924</v>
      </c>
      <c r="E44" s="604">
        <f>E45+E48+E46</f>
        <v>192708469.95999992</v>
      </c>
      <c r="F44" s="604">
        <f>F45+F48+F46</f>
        <v>190045127.58999991</v>
      </c>
      <c r="G44" s="236"/>
      <c r="H44" s="52"/>
      <c r="I44" s="52"/>
      <c r="J44" s="52"/>
      <c r="K44" s="52"/>
      <c r="L44" s="52"/>
      <c r="M44" s="52"/>
      <c r="N44" s="52"/>
      <c r="O44" s="52"/>
      <c r="P44" s="52"/>
      <c r="Q44" s="52"/>
    </row>
    <row r="45" spans="1:17" ht="14.25" thickTop="1" thickBot="1" x14ac:dyDescent="0.25">
      <c r="A45" s="599">
        <v>602100</v>
      </c>
      <c r="B45" s="600" t="s">
        <v>1046</v>
      </c>
      <c r="C45" s="601">
        <f>SUM(D45,E45)</f>
        <v>99128359.629999995</v>
      </c>
      <c r="D45" s="601">
        <f>D21</f>
        <v>94473466.409999996</v>
      </c>
      <c r="E45" s="601">
        <f>E21</f>
        <v>4654893.22</v>
      </c>
      <c r="F45" s="601">
        <f>F21</f>
        <v>1991550.85</v>
      </c>
      <c r="G45" s="236"/>
      <c r="H45" s="52"/>
      <c r="I45" s="52"/>
      <c r="J45" s="52"/>
      <c r="K45" s="52"/>
      <c r="L45" s="52"/>
      <c r="M45" s="52"/>
      <c r="N45" s="52"/>
      <c r="O45" s="52"/>
      <c r="P45" s="52"/>
      <c r="Q45" s="52"/>
    </row>
    <row r="46" spans="1:17" ht="14.25" hidden="1" thickTop="1" thickBot="1" x14ac:dyDescent="0.25">
      <c r="A46" s="599">
        <v>602300</v>
      </c>
      <c r="B46" s="600" t="s">
        <v>1047</v>
      </c>
      <c r="C46" s="601">
        <f>SUM(D46,E46)</f>
        <v>0</v>
      </c>
      <c r="D46" s="601">
        <f>D47</f>
        <v>0</v>
      </c>
      <c r="E46" s="601">
        <f>E47</f>
        <v>0</v>
      </c>
      <c r="F46" s="601">
        <f>E46</f>
        <v>0</v>
      </c>
      <c r="G46" s="236"/>
      <c r="H46" s="52"/>
      <c r="I46" s="52"/>
      <c r="J46" s="52"/>
      <c r="K46" s="52"/>
      <c r="L46" s="52"/>
      <c r="M46" s="52"/>
      <c r="N46" s="52"/>
      <c r="O46" s="52"/>
      <c r="P46" s="52"/>
      <c r="Q46" s="52"/>
    </row>
    <row r="47" spans="1:17" ht="52.5" hidden="1" thickTop="1" thickBot="1" x14ac:dyDescent="0.25">
      <c r="A47" s="596">
        <v>602303</v>
      </c>
      <c r="B47" s="597" t="s">
        <v>1048</v>
      </c>
      <c r="C47" s="598">
        <f>SUM(D47,E47)</f>
        <v>0</v>
      </c>
      <c r="D47" s="598"/>
      <c r="E47" s="598">
        <f>-D47</f>
        <v>0</v>
      </c>
      <c r="F47" s="598">
        <f>E47</f>
        <v>0</v>
      </c>
      <c r="G47" s="236"/>
      <c r="H47" s="52"/>
      <c r="I47" s="52"/>
      <c r="J47" s="52"/>
      <c r="K47" s="52"/>
      <c r="L47" s="52"/>
      <c r="M47" s="52"/>
      <c r="N47" s="52"/>
      <c r="O47" s="52"/>
      <c r="P47" s="52"/>
      <c r="Q47" s="52"/>
    </row>
    <row r="48" spans="1:17" ht="52.5" customHeight="1" thickTop="1" thickBot="1" x14ac:dyDescent="0.25">
      <c r="A48" s="599">
        <v>602400</v>
      </c>
      <c r="B48" s="600" t="s">
        <v>126</v>
      </c>
      <c r="C48" s="601">
        <f>SUM(D48,E48)</f>
        <v>0</v>
      </c>
      <c r="D48" s="601">
        <f>D24</f>
        <v>-188053576.73999992</v>
      </c>
      <c r="E48" s="601">
        <f>E24</f>
        <v>188053576.73999992</v>
      </c>
      <c r="F48" s="601">
        <f>F24</f>
        <v>188053576.73999992</v>
      </c>
      <c r="G48" s="236"/>
      <c r="H48" s="52"/>
      <c r="I48" s="52"/>
      <c r="J48" s="52"/>
      <c r="K48" s="52"/>
      <c r="L48" s="52"/>
      <c r="M48" s="52"/>
      <c r="N48" s="52"/>
      <c r="O48" s="52"/>
      <c r="P48" s="52"/>
      <c r="Q48" s="52"/>
    </row>
    <row r="49" spans="1:17" ht="30" customHeight="1" thickTop="1" thickBot="1" x14ac:dyDescent="0.25">
      <c r="A49" s="607" t="s">
        <v>396</v>
      </c>
      <c r="B49" s="608" t="s">
        <v>395</v>
      </c>
      <c r="C49" s="609">
        <f>C31+C43</f>
        <v>121691349.63</v>
      </c>
      <c r="D49" s="609">
        <f>D31+D43</f>
        <v>-93580110.329999924</v>
      </c>
      <c r="E49" s="609">
        <f>E31+E43</f>
        <v>215271459.95999992</v>
      </c>
      <c r="F49" s="609">
        <f>F31+F43</f>
        <v>212608117.58999991</v>
      </c>
      <c r="G49" s="236"/>
      <c r="H49" s="52"/>
      <c r="I49" s="52"/>
      <c r="J49" s="52"/>
      <c r="K49" s="52"/>
      <c r="L49" s="52"/>
      <c r="M49" s="52"/>
      <c r="N49" s="52"/>
      <c r="O49" s="52"/>
      <c r="P49" s="52"/>
      <c r="Q49" s="52"/>
    </row>
    <row r="50" spans="1:17" ht="13.5" thickTop="1" x14ac:dyDescent="0.2">
      <c r="A50" s="25"/>
      <c r="B50" s="25"/>
      <c r="C50" s="25"/>
      <c r="D50" s="25"/>
      <c r="E50" s="25"/>
      <c r="F50" s="25"/>
      <c r="G50" s="25"/>
      <c r="H50" s="25"/>
      <c r="I50" s="25"/>
    </row>
    <row r="51" spans="1:17" ht="45.75" hidden="1" x14ac:dyDescent="0.65">
      <c r="A51" s="25"/>
      <c r="B51" s="891"/>
      <c r="C51" s="891"/>
      <c r="D51" s="891"/>
      <c r="E51" s="891"/>
      <c r="F51" s="891"/>
      <c r="G51" s="891"/>
      <c r="H51" s="891"/>
      <c r="I51" s="891"/>
      <c r="J51" s="891"/>
      <c r="K51" s="891"/>
      <c r="L51" s="891"/>
      <c r="M51" s="891"/>
      <c r="N51" s="891"/>
      <c r="O51" s="891"/>
    </row>
    <row r="52" spans="1:17" ht="16.5" customHeight="1" x14ac:dyDescent="0.65">
      <c r="A52" s="25"/>
      <c r="B52" s="783" t="s">
        <v>1363</v>
      </c>
      <c r="C52" s="782"/>
      <c r="D52" s="782"/>
      <c r="E52" s="183"/>
      <c r="F52" s="183" t="s">
        <v>1364</v>
      </c>
      <c r="G52" s="136"/>
      <c r="H52" s="136"/>
      <c r="I52" s="136"/>
      <c r="J52" s="136"/>
      <c r="K52" s="136"/>
      <c r="L52" s="136"/>
      <c r="M52" s="136"/>
      <c r="N52" s="136"/>
      <c r="O52" s="136"/>
    </row>
    <row r="53" spans="1:17" ht="15.75" hidden="1" x14ac:dyDescent="0.25">
      <c r="A53" s="25"/>
      <c r="B53" s="892" t="s">
        <v>544</v>
      </c>
      <c r="C53" s="892"/>
      <c r="D53" s="893"/>
      <c r="E53" s="25"/>
      <c r="F53" s="26" t="s">
        <v>545</v>
      </c>
      <c r="G53" s="25"/>
      <c r="H53" s="25"/>
      <c r="I53" s="25"/>
    </row>
    <row r="54" spans="1:17" ht="15.75" x14ac:dyDescent="0.25">
      <c r="A54" s="25"/>
      <c r="B54" s="191"/>
      <c r="C54" s="191"/>
      <c r="D54" s="192"/>
      <c r="E54" s="25"/>
      <c r="F54" s="26"/>
      <c r="G54" s="25"/>
      <c r="H54" s="25"/>
      <c r="I54" s="25"/>
    </row>
    <row r="55" spans="1:17" ht="15.75" x14ac:dyDescent="0.25">
      <c r="B55" s="49" t="s">
        <v>544</v>
      </c>
      <c r="F55" s="49" t="s">
        <v>545</v>
      </c>
    </row>
  </sheetData>
  <mergeCells count="13">
    <mergeCell ref="B51:O51"/>
    <mergeCell ref="B53:D53"/>
    <mergeCell ref="A5:F5"/>
    <mergeCell ref="A6:F6"/>
    <mergeCell ref="A8:F8"/>
    <mergeCell ref="A9:F9"/>
    <mergeCell ref="A11:A12"/>
    <mergeCell ref="B11:B12"/>
    <mergeCell ref="C11:C12"/>
    <mergeCell ref="D11:D12"/>
    <mergeCell ref="E11:F11"/>
    <mergeCell ref="A14:F14"/>
    <mergeCell ref="A30:F30"/>
  </mergeCells>
  <pageMargins left="1.1811023622047245" right="0.44" top="0.39370078740157483" bottom="0.19685039370078741" header="0.39370078740157483" footer="0.15748031496062992"/>
  <pageSetup paperSize="9" scale="8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06"/>
  <sheetViews>
    <sheetView tabSelected="1" view="pageBreakPreview" zoomScale="27" zoomScaleNormal="25" zoomScaleSheetLayoutView="27" zoomScalePageLayoutView="10" workbookViewId="0">
      <pane ySplit="14" topLeftCell="A367" activePane="bottomLeft" state="frozen"/>
      <selection activeCell="F35" sqref="F35"/>
      <selection pane="bottomLeft" activeCell="F391" sqref="F391"/>
    </sheetView>
  </sheetViews>
  <sheetFormatPr defaultColWidth="9.140625" defaultRowHeight="12.75" x14ac:dyDescent="0.2"/>
  <cols>
    <col min="1" max="1" width="48" style="245" customWidth="1"/>
    <col min="2" max="2" width="52.5703125" style="245" customWidth="1"/>
    <col min="3" max="3" width="65.7109375" style="245" customWidth="1"/>
    <col min="4" max="4" width="106.28515625" style="245" customWidth="1"/>
    <col min="5" max="5" width="66.42578125" style="310" customWidth="1"/>
    <col min="6" max="6" width="62.5703125" style="245" customWidth="1"/>
    <col min="7" max="7" width="59.7109375" style="245" customWidth="1"/>
    <col min="8" max="8" width="53.140625" style="245" customWidth="1"/>
    <col min="9" max="9" width="41.85546875" style="245" customWidth="1"/>
    <col min="10" max="10" width="50.5703125" style="310" customWidth="1"/>
    <col min="11" max="11" width="52.5703125" style="310" customWidth="1"/>
    <col min="12" max="12" width="56.140625" style="245" customWidth="1"/>
    <col min="13" max="13" width="54.85546875" style="245" customWidth="1"/>
    <col min="14" max="14" width="51" style="245" customWidth="1"/>
    <col min="15" max="15" width="56.140625" style="245" bestFit="1" customWidth="1"/>
    <col min="16" max="16" width="86.28515625" style="310" customWidth="1"/>
    <col min="17" max="17" width="52.140625" style="614" customWidth="1"/>
    <col min="18" max="18" width="33.85546875" style="247" customWidth="1"/>
    <col min="19" max="19" width="40.140625" style="248" bestFit="1" customWidth="1"/>
    <col min="20" max="20" width="43.5703125" style="248" bestFit="1" customWidth="1"/>
    <col min="21" max="16384" width="9.140625" style="248"/>
  </cols>
  <sheetData>
    <row r="1" spans="1:18" ht="45.75" x14ac:dyDescent="0.2">
      <c r="A1" s="386"/>
      <c r="B1" s="386"/>
      <c r="C1" s="386"/>
      <c r="D1" s="387"/>
      <c r="E1" s="388"/>
      <c r="F1" s="389"/>
      <c r="G1" s="388"/>
      <c r="H1" s="388"/>
      <c r="I1" s="388"/>
      <c r="J1" s="388"/>
      <c r="K1" s="388"/>
      <c r="L1" s="388"/>
      <c r="M1" s="388"/>
      <c r="N1" s="939" t="s">
        <v>511</v>
      </c>
      <c r="O1" s="890"/>
      <c r="P1" s="890"/>
      <c r="Q1" s="890"/>
    </row>
    <row r="2" spans="1:18" ht="45.75" x14ac:dyDescent="0.2">
      <c r="A2" s="387"/>
      <c r="B2" s="387"/>
      <c r="C2" s="387"/>
      <c r="D2" s="387"/>
      <c r="E2" s="388"/>
      <c r="F2" s="389"/>
      <c r="G2" s="388"/>
      <c r="H2" s="388"/>
      <c r="I2" s="388"/>
      <c r="J2" s="388"/>
      <c r="K2" s="388"/>
      <c r="L2" s="388"/>
      <c r="M2" s="388"/>
      <c r="N2" s="939" t="s">
        <v>1350</v>
      </c>
      <c r="O2" s="940"/>
      <c r="P2" s="940"/>
      <c r="Q2" s="940"/>
    </row>
    <row r="3" spans="1:18" ht="40.700000000000003" customHeight="1" x14ac:dyDescent="0.2">
      <c r="A3" s="387"/>
      <c r="B3" s="387"/>
      <c r="C3" s="387"/>
      <c r="D3" s="387"/>
      <c r="E3" s="388"/>
      <c r="F3" s="389"/>
      <c r="G3" s="388"/>
      <c r="H3" s="388"/>
      <c r="I3" s="388"/>
      <c r="J3" s="388"/>
      <c r="K3" s="388"/>
      <c r="L3" s="388"/>
      <c r="M3" s="388"/>
      <c r="N3" s="388"/>
      <c r="O3" s="939"/>
      <c r="P3" s="941"/>
      <c r="Q3" s="613"/>
    </row>
    <row r="4" spans="1:18" ht="45.75" hidden="1" x14ac:dyDescent="0.2">
      <c r="A4" s="387"/>
      <c r="B4" s="387"/>
      <c r="C4" s="387"/>
      <c r="D4" s="387"/>
      <c r="E4" s="388"/>
      <c r="F4" s="389"/>
      <c r="G4" s="388"/>
      <c r="H4" s="388"/>
      <c r="I4" s="388"/>
      <c r="J4" s="388"/>
      <c r="K4" s="388"/>
      <c r="L4" s="388"/>
      <c r="M4" s="388"/>
      <c r="N4" s="388"/>
      <c r="O4" s="387"/>
      <c r="P4" s="389"/>
      <c r="Q4" s="613"/>
    </row>
    <row r="5" spans="1:18" ht="45" x14ac:dyDescent="0.2">
      <c r="A5" s="942" t="s">
        <v>592</v>
      </c>
      <c r="B5" s="942"/>
      <c r="C5" s="942"/>
      <c r="D5" s="942"/>
      <c r="E5" s="942"/>
      <c r="F5" s="942"/>
      <c r="G5" s="942"/>
      <c r="H5" s="942"/>
      <c r="I5" s="942"/>
      <c r="J5" s="942"/>
      <c r="K5" s="942"/>
      <c r="L5" s="942"/>
      <c r="M5" s="942"/>
      <c r="N5" s="942"/>
      <c r="O5" s="942"/>
      <c r="P5" s="942"/>
      <c r="Q5" s="613"/>
    </row>
    <row r="6" spans="1:18" ht="45" x14ac:dyDescent="0.2">
      <c r="A6" s="942" t="s">
        <v>1220</v>
      </c>
      <c r="B6" s="942"/>
      <c r="C6" s="942"/>
      <c r="D6" s="942"/>
      <c r="E6" s="942"/>
      <c r="F6" s="942"/>
      <c r="G6" s="942"/>
      <c r="H6" s="942"/>
      <c r="I6" s="942"/>
      <c r="J6" s="942"/>
      <c r="K6" s="942"/>
      <c r="L6" s="942"/>
      <c r="M6" s="942"/>
      <c r="N6" s="942"/>
      <c r="O6" s="942"/>
      <c r="P6" s="942"/>
      <c r="Q6" s="613"/>
    </row>
    <row r="7" spans="1:18" ht="45" x14ac:dyDescent="0.2">
      <c r="A7" s="388"/>
      <c r="B7" s="388"/>
      <c r="C7" s="388"/>
      <c r="D7" s="388"/>
      <c r="E7" s="388"/>
      <c r="F7" s="388"/>
      <c r="G7" s="388"/>
      <c r="H7" s="388"/>
      <c r="I7" s="388"/>
      <c r="J7" s="388"/>
      <c r="K7" s="388"/>
      <c r="L7" s="388"/>
      <c r="M7" s="388"/>
      <c r="N7" s="388"/>
      <c r="O7" s="388"/>
      <c r="P7" s="388"/>
      <c r="Q7" s="613"/>
    </row>
    <row r="8" spans="1:18" ht="45.75" x14ac:dyDescent="0.65">
      <c r="A8" s="943">
        <v>22564000000</v>
      </c>
      <c r="B8" s="944"/>
      <c r="C8" s="388"/>
      <c r="D8" s="388"/>
      <c r="E8" s="388"/>
      <c r="F8" s="388"/>
      <c r="G8" s="388"/>
      <c r="H8" s="388"/>
      <c r="I8" s="388"/>
      <c r="J8" s="388"/>
      <c r="K8" s="388"/>
      <c r="L8" s="388"/>
      <c r="M8" s="388"/>
      <c r="N8" s="388"/>
      <c r="O8" s="388"/>
      <c r="P8" s="388"/>
      <c r="Q8" s="613"/>
    </row>
    <row r="9" spans="1:18" ht="45.75" x14ac:dyDescent="0.2">
      <c r="A9" s="948" t="s">
        <v>508</v>
      </c>
      <c r="B9" s="949"/>
      <c r="C9" s="388"/>
      <c r="D9" s="388"/>
      <c r="E9" s="388"/>
      <c r="F9" s="388"/>
      <c r="G9" s="388"/>
      <c r="H9" s="388"/>
      <c r="I9" s="388"/>
      <c r="J9" s="388"/>
      <c r="K9" s="388"/>
      <c r="L9" s="388"/>
      <c r="M9" s="388"/>
      <c r="N9" s="388"/>
      <c r="O9" s="388"/>
      <c r="P9" s="388"/>
      <c r="Q9" s="613"/>
    </row>
    <row r="10" spans="1:18" ht="53.45" customHeight="1" thickBot="1" x14ac:dyDescent="0.25">
      <c r="A10" s="388"/>
      <c r="B10" s="388"/>
      <c r="C10" s="388"/>
      <c r="D10" s="388"/>
      <c r="E10" s="388"/>
      <c r="F10" s="389"/>
      <c r="G10" s="388"/>
      <c r="H10" s="388"/>
      <c r="I10" s="388"/>
      <c r="J10" s="388"/>
      <c r="K10" s="388"/>
      <c r="L10" s="388"/>
      <c r="M10" s="388"/>
      <c r="N10" s="388"/>
      <c r="O10" s="388"/>
      <c r="P10" s="390" t="s">
        <v>419</v>
      </c>
      <c r="Q10" s="613"/>
    </row>
    <row r="11" spans="1:18" ht="62.45" customHeight="1" thickTop="1" thickBot="1" x14ac:dyDescent="0.25">
      <c r="A11" s="947" t="s">
        <v>509</v>
      </c>
      <c r="B11" s="947" t="s">
        <v>510</v>
      </c>
      <c r="C11" s="947" t="s">
        <v>405</v>
      </c>
      <c r="D11" s="947" t="s">
        <v>600</v>
      </c>
      <c r="E11" s="945" t="s">
        <v>12</v>
      </c>
      <c r="F11" s="945"/>
      <c r="G11" s="945"/>
      <c r="H11" s="945"/>
      <c r="I11" s="945"/>
      <c r="J11" s="945" t="s">
        <v>54</v>
      </c>
      <c r="K11" s="945"/>
      <c r="L11" s="945"/>
      <c r="M11" s="945"/>
      <c r="N11" s="945"/>
      <c r="O11" s="946"/>
      <c r="P11" s="945" t="s">
        <v>11</v>
      </c>
    </row>
    <row r="12" spans="1:18" ht="96" customHeight="1" thickTop="1" thickBot="1" x14ac:dyDescent="0.25">
      <c r="A12" s="945"/>
      <c r="B12" s="950"/>
      <c r="C12" s="950"/>
      <c r="D12" s="945"/>
      <c r="E12" s="947" t="s">
        <v>399</v>
      </c>
      <c r="F12" s="947" t="s">
        <v>55</v>
      </c>
      <c r="G12" s="947" t="s">
        <v>13</v>
      </c>
      <c r="H12" s="947"/>
      <c r="I12" s="947" t="s">
        <v>57</v>
      </c>
      <c r="J12" s="947" t="s">
        <v>399</v>
      </c>
      <c r="K12" s="947" t="s">
        <v>400</v>
      </c>
      <c r="L12" s="947" t="s">
        <v>55</v>
      </c>
      <c r="M12" s="947" t="s">
        <v>13</v>
      </c>
      <c r="N12" s="947"/>
      <c r="O12" s="947" t="s">
        <v>57</v>
      </c>
      <c r="P12" s="945"/>
    </row>
    <row r="13" spans="1:18" ht="328.7" customHeight="1" thickTop="1" thickBot="1" x14ac:dyDescent="0.25">
      <c r="A13" s="950"/>
      <c r="B13" s="950"/>
      <c r="C13" s="950"/>
      <c r="D13" s="950"/>
      <c r="E13" s="947"/>
      <c r="F13" s="947"/>
      <c r="G13" s="391" t="s">
        <v>56</v>
      </c>
      <c r="H13" s="391" t="s">
        <v>15</v>
      </c>
      <c r="I13" s="947"/>
      <c r="J13" s="947"/>
      <c r="K13" s="947"/>
      <c r="L13" s="947"/>
      <c r="M13" s="391" t="s">
        <v>56</v>
      </c>
      <c r="N13" s="391" t="s">
        <v>15</v>
      </c>
      <c r="O13" s="947"/>
      <c r="P13" s="945"/>
    </row>
    <row r="14" spans="1:18" s="252" customFormat="1" ht="47.25" thickTop="1" thickBot="1" x14ac:dyDescent="0.25">
      <c r="A14" s="151" t="s">
        <v>2</v>
      </c>
      <c r="B14" s="151" t="s">
        <v>3</v>
      </c>
      <c r="C14" s="151" t="s">
        <v>14</v>
      </c>
      <c r="D14" s="151" t="s">
        <v>5</v>
      </c>
      <c r="E14" s="151" t="s">
        <v>407</v>
      </c>
      <c r="F14" s="151" t="s">
        <v>408</v>
      </c>
      <c r="G14" s="151" t="s">
        <v>409</v>
      </c>
      <c r="H14" s="151" t="s">
        <v>410</v>
      </c>
      <c r="I14" s="151" t="s">
        <v>411</v>
      </c>
      <c r="J14" s="151" t="s">
        <v>412</v>
      </c>
      <c r="K14" s="151" t="s">
        <v>413</v>
      </c>
      <c r="L14" s="151" t="s">
        <v>414</v>
      </c>
      <c r="M14" s="151" t="s">
        <v>415</v>
      </c>
      <c r="N14" s="151" t="s">
        <v>416</v>
      </c>
      <c r="O14" s="151" t="s">
        <v>417</v>
      </c>
      <c r="P14" s="151" t="s">
        <v>418</v>
      </c>
      <c r="Q14" s="615"/>
      <c r="R14" s="251"/>
    </row>
    <row r="15" spans="1:18" s="252" customFormat="1" ht="136.5" thickTop="1" thickBot="1" x14ac:dyDescent="0.25">
      <c r="A15" s="828" t="s">
        <v>156</v>
      </c>
      <c r="B15" s="828"/>
      <c r="C15" s="828"/>
      <c r="D15" s="829" t="s">
        <v>158</v>
      </c>
      <c r="E15" s="830">
        <f>E16</f>
        <v>173845415</v>
      </c>
      <c r="F15" s="831">
        <f t="shared" ref="F15:N15" si="0">F16</f>
        <v>173845415</v>
      </c>
      <c r="G15" s="831">
        <f t="shared" si="0"/>
        <v>97388110</v>
      </c>
      <c r="H15" s="831">
        <f t="shared" si="0"/>
        <v>5754505</v>
      </c>
      <c r="I15" s="831">
        <f t="shared" si="0"/>
        <v>0</v>
      </c>
      <c r="J15" s="830">
        <f t="shared" si="0"/>
        <v>11011653.369999997</v>
      </c>
      <c r="K15" s="831">
        <f t="shared" si="0"/>
        <v>4997311</v>
      </c>
      <c r="L15" s="831">
        <f t="shared" si="0"/>
        <v>5814342.3699999982</v>
      </c>
      <c r="M15" s="831">
        <f t="shared" si="0"/>
        <v>0</v>
      </c>
      <c r="N15" s="831">
        <f t="shared" si="0"/>
        <v>0</v>
      </c>
      <c r="O15" s="830">
        <f>O16</f>
        <v>5197311</v>
      </c>
      <c r="P15" s="831">
        <f t="shared" ref="P15" si="1">P16</f>
        <v>184857068.37</v>
      </c>
      <c r="Q15" s="616"/>
      <c r="R15" s="254"/>
    </row>
    <row r="16" spans="1:18" s="252" customFormat="1" ht="136.5" thickTop="1" thickBot="1" x14ac:dyDescent="0.25">
      <c r="A16" s="832" t="s">
        <v>157</v>
      </c>
      <c r="B16" s="832"/>
      <c r="C16" s="832"/>
      <c r="D16" s="833" t="s">
        <v>159</v>
      </c>
      <c r="E16" s="834">
        <f>E17+E22+E32+E38</f>
        <v>173845415</v>
      </c>
      <c r="F16" s="834">
        <f>F17+F22+F32+F38</f>
        <v>173845415</v>
      </c>
      <c r="G16" s="834">
        <f>G17+G22+G32+G38</f>
        <v>97388110</v>
      </c>
      <c r="H16" s="834">
        <f>H17+H22+H32+H38</f>
        <v>5754505</v>
      </c>
      <c r="I16" s="834">
        <f>I17+I22+I32+I38</f>
        <v>0</v>
      </c>
      <c r="J16" s="834">
        <f>L16+O16</f>
        <v>11011653.369999997</v>
      </c>
      <c r="K16" s="834">
        <f>K17+K22+K32+K38</f>
        <v>4997311</v>
      </c>
      <c r="L16" s="834">
        <f>L17+L22+L32+L38</f>
        <v>5814342.3699999982</v>
      </c>
      <c r="M16" s="834">
        <f>M17+M22+M32+M38</f>
        <v>0</v>
      </c>
      <c r="N16" s="834">
        <f>N17+N22+N32+N38</f>
        <v>0</v>
      </c>
      <c r="O16" s="834">
        <f>O17+O22+O32+O38</f>
        <v>5197311</v>
      </c>
      <c r="P16" s="834">
        <f>E16+J16</f>
        <v>184857068.37</v>
      </c>
      <c r="Q16" s="617" t="b">
        <f>P16=P18+P19+P20+P21+P24+P27+P29+P37+P40+P41+P31+P42+P25+P35+P34</f>
        <v>1</v>
      </c>
      <c r="R16" s="255"/>
    </row>
    <row r="17" spans="1:18" s="258" customFormat="1" ht="47.25" thickTop="1" thickBot="1" x14ac:dyDescent="0.25">
      <c r="A17" s="151" t="s">
        <v>726</v>
      </c>
      <c r="B17" s="151" t="s">
        <v>727</v>
      </c>
      <c r="C17" s="151"/>
      <c r="D17" s="151" t="s">
        <v>728</v>
      </c>
      <c r="E17" s="443">
        <f>SUM(E18:E21)</f>
        <v>134439015</v>
      </c>
      <c r="F17" s="443">
        <f>SUM(F18:F21)</f>
        <v>134439015</v>
      </c>
      <c r="G17" s="443">
        <f t="shared" ref="G17:P17" si="2">SUM(G18:G21)</f>
        <v>97388110</v>
      </c>
      <c r="H17" s="443">
        <f t="shared" si="2"/>
        <v>5754505</v>
      </c>
      <c r="I17" s="443">
        <f t="shared" si="2"/>
        <v>0</v>
      </c>
      <c r="J17" s="443">
        <f t="shared" si="2"/>
        <v>500000</v>
      </c>
      <c r="K17" s="443">
        <f t="shared" si="2"/>
        <v>500000</v>
      </c>
      <c r="L17" s="443">
        <f t="shared" si="2"/>
        <v>0</v>
      </c>
      <c r="M17" s="443">
        <f t="shared" si="2"/>
        <v>0</v>
      </c>
      <c r="N17" s="443">
        <f t="shared" si="2"/>
        <v>0</v>
      </c>
      <c r="O17" s="443">
        <f t="shared" si="2"/>
        <v>500000</v>
      </c>
      <c r="P17" s="443">
        <f t="shared" si="2"/>
        <v>134939015</v>
      </c>
      <c r="Q17" s="618"/>
      <c r="R17" s="257"/>
    </row>
    <row r="18" spans="1:18" ht="321.75" thickTop="1" thickBot="1" x14ac:dyDescent="0.25">
      <c r="A18" s="224" t="s">
        <v>244</v>
      </c>
      <c r="B18" s="224" t="s">
        <v>245</v>
      </c>
      <c r="C18" s="224" t="s">
        <v>246</v>
      </c>
      <c r="D18" s="224" t="s">
        <v>243</v>
      </c>
      <c r="E18" s="443">
        <f t="shared" ref="E18:E40" si="3">F18</f>
        <v>131090735</v>
      </c>
      <c r="F18" s="447">
        <v>131090735</v>
      </c>
      <c r="G18" s="447">
        <v>97388110</v>
      </c>
      <c r="H18" s="447">
        <f>3475400+120000+1745920+348985+64200</f>
        <v>5754505</v>
      </c>
      <c r="I18" s="447"/>
      <c r="J18" s="443">
        <f t="shared" ref="J18:J27" si="4">L18+O18</f>
        <v>500000</v>
      </c>
      <c r="K18" s="447">
        <v>500000</v>
      </c>
      <c r="L18" s="459"/>
      <c r="M18" s="481"/>
      <c r="N18" s="481"/>
      <c r="O18" s="445">
        <f t="shared" ref="O18:O27" si="5">K18</f>
        <v>500000</v>
      </c>
      <c r="P18" s="443">
        <f>+J18+E18</f>
        <v>131590735</v>
      </c>
      <c r="Q18" s="619"/>
      <c r="R18" s="263"/>
    </row>
    <row r="19" spans="1:18" ht="230.25" hidden="1" thickTop="1" thickBot="1" x14ac:dyDescent="0.25">
      <c r="A19" s="224" t="s">
        <v>613</v>
      </c>
      <c r="B19" s="224" t="s">
        <v>248</v>
      </c>
      <c r="C19" s="224" t="s">
        <v>246</v>
      </c>
      <c r="D19" s="224" t="s">
        <v>247</v>
      </c>
      <c r="E19" s="443">
        <f t="shared" ref="E19" si="6">F19</f>
        <v>0</v>
      </c>
      <c r="F19" s="447"/>
      <c r="G19" s="447"/>
      <c r="H19" s="447"/>
      <c r="I19" s="447"/>
      <c r="J19" s="443">
        <f t="shared" ref="J19" si="7">L19+O19</f>
        <v>0</v>
      </c>
      <c r="K19" s="447"/>
      <c r="L19" s="459"/>
      <c r="M19" s="481"/>
      <c r="N19" s="481"/>
      <c r="O19" s="445">
        <f t="shared" si="5"/>
        <v>0</v>
      </c>
      <c r="P19" s="443">
        <f>+J19+E19</f>
        <v>0</v>
      </c>
      <c r="Q19" s="619"/>
      <c r="R19" s="263"/>
    </row>
    <row r="20" spans="1:18" ht="184.5" thickTop="1" thickBot="1" x14ac:dyDescent="0.25">
      <c r="A20" s="448" t="s">
        <v>661</v>
      </c>
      <c r="B20" s="448" t="s">
        <v>376</v>
      </c>
      <c r="C20" s="448" t="s">
        <v>662</v>
      </c>
      <c r="D20" s="448" t="s">
        <v>663</v>
      </c>
      <c r="E20" s="449">
        <f t="shared" ref="E20" si="8">F20</f>
        <v>49000</v>
      </c>
      <c r="F20" s="450">
        <v>49000</v>
      </c>
      <c r="G20" s="450"/>
      <c r="H20" s="450"/>
      <c r="I20" s="450"/>
      <c r="J20" s="449">
        <f t="shared" ref="J20" si="9">L20+O20</f>
        <v>0</v>
      </c>
      <c r="K20" s="450"/>
      <c r="L20" s="460"/>
      <c r="M20" s="461"/>
      <c r="N20" s="461"/>
      <c r="O20" s="462">
        <f t="shared" si="5"/>
        <v>0</v>
      </c>
      <c r="P20" s="449">
        <f>+J20+E20</f>
        <v>49000</v>
      </c>
      <c r="Q20" s="619"/>
      <c r="R20" s="267"/>
    </row>
    <row r="21" spans="1:18" ht="93" thickTop="1" thickBot="1" x14ac:dyDescent="0.25">
      <c r="A21" s="448" t="s">
        <v>259</v>
      </c>
      <c r="B21" s="448" t="s">
        <v>45</v>
      </c>
      <c r="C21" s="448" t="s">
        <v>44</v>
      </c>
      <c r="D21" s="448" t="s">
        <v>260</v>
      </c>
      <c r="E21" s="449">
        <f t="shared" si="3"/>
        <v>3299280</v>
      </c>
      <c r="F21" s="465">
        <v>3299280</v>
      </c>
      <c r="G21" s="465"/>
      <c r="H21" s="465"/>
      <c r="I21" s="465"/>
      <c r="J21" s="449">
        <f t="shared" si="4"/>
        <v>0</v>
      </c>
      <c r="K21" s="465"/>
      <c r="L21" s="465"/>
      <c r="M21" s="465"/>
      <c r="N21" s="465"/>
      <c r="O21" s="462">
        <f t="shared" si="5"/>
        <v>0</v>
      </c>
      <c r="P21" s="449">
        <f>E21+J21</f>
        <v>3299280</v>
      </c>
      <c r="Q21" s="619"/>
      <c r="R21" s="267"/>
    </row>
    <row r="22" spans="1:18" s="258" customFormat="1" ht="47.25" thickTop="1" thickBot="1" x14ac:dyDescent="0.3">
      <c r="A22" s="151" t="s">
        <v>791</v>
      </c>
      <c r="B22" s="466" t="s">
        <v>792</v>
      </c>
      <c r="C22" s="466"/>
      <c r="D22" s="466" t="s">
        <v>793</v>
      </c>
      <c r="E22" s="449">
        <f t="shared" ref="E22:P22" si="10">SUM(E23:E31)-E23-E26-E28</f>
        <v>7171190</v>
      </c>
      <c r="F22" s="449">
        <f t="shared" si="10"/>
        <v>7171190</v>
      </c>
      <c r="G22" s="449">
        <f t="shared" si="10"/>
        <v>0</v>
      </c>
      <c r="H22" s="449">
        <f t="shared" si="10"/>
        <v>0</v>
      </c>
      <c r="I22" s="449">
        <f t="shared" si="10"/>
        <v>0</v>
      </c>
      <c r="J22" s="449">
        <f t="shared" si="10"/>
        <v>7014342.3699999982</v>
      </c>
      <c r="K22" s="449">
        <f t="shared" si="10"/>
        <v>1000000</v>
      </c>
      <c r="L22" s="449">
        <f t="shared" si="10"/>
        <v>5814342.3699999982</v>
      </c>
      <c r="M22" s="449">
        <f t="shared" si="10"/>
        <v>0</v>
      </c>
      <c r="N22" s="449">
        <f t="shared" si="10"/>
        <v>0</v>
      </c>
      <c r="O22" s="449">
        <f t="shared" si="10"/>
        <v>1200000</v>
      </c>
      <c r="P22" s="449">
        <f t="shared" si="10"/>
        <v>14185532.369999997</v>
      </c>
      <c r="Q22" s="620"/>
      <c r="R22" s="269"/>
    </row>
    <row r="23" spans="1:18" s="272" customFormat="1" ht="91.5" thickTop="1" thickBot="1" x14ac:dyDescent="0.25">
      <c r="A23" s="467" t="s">
        <v>729</v>
      </c>
      <c r="B23" s="467" t="s">
        <v>730</v>
      </c>
      <c r="C23" s="467"/>
      <c r="D23" s="467" t="s">
        <v>731</v>
      </c>
      <c r="E23" s="468">
        <f t="shared" ref="E23:P23" si="11">SUM(E24:E25)</f>
        <v>4612300</v>
      </c>
      <c r="F23" s="468">
        <f t="shared" si="11"/>
        <v>4612300</v>
      </c>
      <c r="G23" s="468">
        <f t="shared" si="11"/>
        <v>0</v>
      </c>
      <c r="H23" s="468">
        <f t="shared" si="11"/>
        <v>0</v>
      </c>
      <c r="I23" s="468">
        <f t="shared" si="11"/>
        <v>0</v>
      </c>
      <c r="J23" s="468">
        <f t="shared" si="11"/>
        <v>1000000</v>
      </c>
      <c r="K23" s="468">
        <f t="shared" si="11"/>
        <v>1000000</v>
      </c>
      <c r="L23" s="468">
        <f t="shared" si="11"/>
        <v>0</v>
      </c>
      <c r="M23" s="468">
        <f t="shared" si="11"/>
        <v>0</v>
      </c>
      <c r="N23" s="468">
        <f t="shared" si="11"/>
        <v>0</v>
      </c>
      <c r="O23" s="468">
        <f t="shared" si="11"/>
        <v>1000000</v>
      </c>
      <c r="P23" s="468">
        <f t="shared" si="11"/>
        <v>5612300</v>
      </c>
      <c r="Q23" s="621"/>
      <c r="R23" s="271"/>
    </row>
    <row r="24" spans="1:18" ht="93" thickTop="1" thickBot="1" x14ac:dyDescent="0.25">
      <c r="A24" s="448" t="s">
        <v>250</v>
      </c>
      <c r="B24" s="448" t="s">
        <v>251</v>
      </c>
      <c r="C24" s="448" t="s">
        <v>252</v>
      </c>
      <c r="D24" s="448" t="s">
        <v>249</v>
      </c>
      <c r="E24" s="449">
        <f t="shared" si="3"/>
        <v>4612300</v>
      </c>
      <c r="F24" s="465">
        <v>4612300</v>
      </c>
      <c r="G24" s="465"/>
      <c r="H24" s="465"/>
      <c r="I24" s="465"/>
      <c r="J24" s="449">
        <f t="shared" si="4"/>
        <v>1000000</v>
      </c>
      <c r="K24" s="465">
        <v>1000000</v>
      </c>
      <c r="L24" s="465"/>
      <c r="M24" s="465"/>
      <c r="N24" s="465"/>
      <c r="O24" s="462">
        <f t="shared" si="5"/>
        <v>1000000</v>
      </c>
      <c r="P24" s="449">
        <f>+J24+E24</f>
        <v>5612300</v>
      </c>
      <c r="Q24" s="619"/>
      <c r="R24" s="263"/>
    </row>
    <row r="25" spans="1:18" ht="230.25" hidden="1" thickTop="1" thickBot="1" x14ac:dyDescent="0.25">
      <c r="A25" s="264" t="s">
        <v>1052</v>
      </c>
      <c r="B25" s="264" t="s">
        <v>1053</v>
      </c>
      <c r="C25" s="264" t="s">
        <v>252</v>
      </c>
      <c r="D25" s="264" t="s">
        <v>1054</v>
      </c>
      <c r="E25" s="265">
        <f t="shared" si="3"/>
        <v>0</v>
      </c>
      <c r="F25" s="268">
        <v>0</v>
      </c>
      <c r="G25" s="268"/>
      <c r="H25" s="268"/>
      <c r="I25" s="268"/>
      <c r="J25" s="265">
        <f t="shared" si="4"/>
        <v>0</v>
      </c>
      <c r="K25" s="268"/>
      <c r="L25" s="268"/>
      <c r="M25" s="268"/>
      <c r="N25" s="268"/>
      <c r="O25" s="266"/>
      <c r="P25" s="265">
        <f>+J25+E25</f>
        <v>0</v>
      </c>
      <c r="Q25" s="619"/>
      <c r="R25" s="263"/>
    </row>
    <row r="26" spans="1:18" s="274" customFormat="1" ht="136.5" thickTop="1" thickBot="1" x14ac:dyDescent="0.25">
      <c r="A26" s="469" t="s">
        <v>733</v>
      </c>
      <c r="B26" s="469" t="s">
        <v>734</v>
      </c>
      <c r="C26" s="469"/>
      <c r="D26" s="469" t="s">
        <v>732</v>
      </c>
      <c r="E26" s="468">
        <f>SUM(E27)+E28</f>
        <v>2558890</v>
      </c>
      <c r="F26" s="468">
        <f t="shared" ref="F26:P26" si="12">SUM(F27)+F28</f>
        <v>2558890</v>
      </c>
      <c r="G26" s="468">
        <f t="shared" si="12"/>
        <v>0</v>
      </c>
      <c r="H26" s="468">
        <f t="shared" si="12"/>
        <v>0</v>
      </c>
      <c r="I26" s="468">
        <f t="shared" si="12"/>
        <v>0</v>
      </c>
      <c r="J26" s="468">
        <f t="shared" si="12"/>
        <v>6014342.3700000001</v>
      </c>
      <c r="K26" s="468">
        <f t="shared" si="12"/>
        <v>0</v>
      </c>
      <c r="L26" s="468">
        <f t="shared" si="12"/>
        <v>5814342.3700000001</v>
      </c>
      <c r="M26" s="468">
        <f t="shared" si="12"/>
        <v>0</v>
      </c>
      <c r="N26" s="468">
        <f t="shared" si="12"/>
        <v>0</v>
      </c>
      <c r="O26" s="468">
        <f t="shared" si="12"/>
        <v>200000</v>
      </c>
      <c r="P26" s="468">
        <f t="shared" si="12"/>
        <v>8573232.370000001</v>
      </c>
      <c r="Q26" s="622"/>
      <c r="R26" s="273"/>
    </row>
    <row r="27" spans="1:18" ht="138.75" thickTop="1" thickBot="1" x14ac:dyDescent="0.25">
      <c r="A27" s="448" t="s">
        <v>312</v>
      </c>
      <c r="B27" s="448" t="s">
        <v>313</v>
      </c>
      <c r="C27" s="448" t="s">
        <v>178</v>
      </c>
      <c r="D27" s="448" t="s">
        <v>459</v>
      </c>
      <c r="E27" s="449">
        <f t="shared" si="3"/>
        <v>380000</v>
      </c>
      <c r="F27" s="465">
        <v>380000</v>
      </c>
      <c r="G27" s="465"/>
      <c r="H27" s="465"/>
      <c r="I27" s="465"/>
      <c r="J27" s="449">
        <f t="shared" si="4"/>
        <v>0</v>
      </c>
      <c r="K27" s="465"/>
      <c r="L27" s="465"/>
      <c r="M27" s="465"/>
      <c r="N27" s="465"/>
      <c r="O27" s="462">
        <f t="shared" si="5"/>
        <v>0</v>
      </c>
      <c r="P27" s="449">
        <f>+J27+E27</f>
        <v>380000</v>
      </c>
      <c r="Q27" s="619"/>
      <c r="R27" s="267"/>
    </row>
    <row r="28" spans="1:18" s="274" customFormat="1" ht="48" thickTop="1" thickBot="1" x14ac:dyDescent="0.25">
      <c r="A28" s="470" t="s">
        <v>736</v>
      </c>
      <c r="B28" s="470" t="s">
        <v>737</v>
      </c>
      <c r="C28" s="470"/>
      <c r="D28" s="471" t="s">
        <v>735</v>
      </c>
      <c r="E28" s="472">
        <f>SUM(E29:E31)</f>
        <v>2178890</v>
      </c>
      <c r="F28" s="472">
        <f t="shared" ref="F28:O28" si="13">SUM(F29:F31)</f>
        <v>2178890</v>
      </c>
      <c r="G28" s="472">
        <f t="shared" si="13"/>
        <v>0</v>
      </c>
      <c r="H28" s="472">
        <f t="shared" si="13"/>
        <v>0</v>
      </c>
      <c r="I28" s="472">
        <f t="shared" si="13"/>
        <v>0</v>
      </c>
      <c r="J28" s="472">
        <f t="shared" si="13"/>
        <v>6014342.3700000001</v>
      </c>
      <c r="K28" s="472">
        <f t="shared" si="13"/>
        <v>0</v>
      </c>
      <c r="L28" s="472">
        <f t="shared" si="13"/>
        <v>5814342.3700000001</v>
      </c>
      <c r="M28" s="472">
        <f t="shared" si="13"/>
        <v>0</v>
      </c>
      <c r="N28" s="472">
        <f t="shared" si="13"/>
        <v>0</v>
      </c>
      <c r="O28" s="472">
        <f t="shared" si="13"/>
        <v>200000</v>
      </c>
      <c r="P28" s="472">
        <f>E28+J28</f>
        <v>8193232.3700000001</v>
      </c>
      <c r="Q28" s="622"/>
      <c r="R28" s="276"/>
    </row>
    <row r="29" spans="1:18" s="272" customFormat="1" ht="361.5" customHeight="1" thickTop="1" thickBot="1" x14ac:dyDescent="0.7">
      <c r="A29" s="930" t="s">
        <v>353</v>
      </c>
      <c r="B29" s="930" t="s">
        <v>352</v>
      </c>
      <c r="C29" s="930" t="s">
        <v>178</v>
      </c>
      <c r="D29" s="474" t="s">
        <v>457</v>
      </c>
      <c r="E29" s="958">
        <f t="shared" si="3"/>
        <v>0</v>
      </c>
      <c r="F29" s="928"/>
      <c r="G29" s="928"/>
      <c r="H29" s="928"/>
      <c r="I29" s="928"/>
      <c r="J29" s="959">
        <f>L29+O29</f>
        <v>6014342.3700000001</v>
      </c>
      <c r="K29" s="928"/>
      <c r="L29" s="928">
        <f>(3151000)+2663342.37</f>
        <v>5814342.3700000001</v>
      </c>
      <c r="M29" s="928"/>
      <c r="N29" s="928"/>
      <c r="O29" s="954">
        <v>200000</v>
      </c>
      <c r="P29" s="956">
        <f>E29+J29</f>
        <v>6014342.3700000001</v>
      </c>
      <c r="Q29" s="623"/>
      <c r="R29" s="277"/>
    </row>
    <row r="30" spans="1:18" s="272" customFormat="1" ht="184.5" thickTop="1" thickBot="1" x14ac:dyDescent="0.25">
      <c r="A30" s="932"/>
      <c r="B30" s="931"/>
      <c r="C30" s="932"/>
      <c r="D30" s="476" t="s">
        <v>458</v>
      </c>
      <c r="E30" s="932"/>
      <c r="F30" s="929"/>
      <c r="G30" s="929"/>
      <c r="H30" s="929"/>
      <c r="I30" s="929"/>
      <c r="J30" s="960"/>
      <c r="K30" s="929"/>
      <c r="L30" s="929"/>
      <c r="M30" s="929"/>
      <c r="N30" s="929"/>
      <c r="O30" s="955"/>
      <c r="P30" s="957"/>
      <c r="Q30" s="624"/>
      <c r="R30" s="277"/>
    </row>
    <row r="31" spans="1:18" s="272" customFormat="1" ht="93" thickTop="1" thickBot="1" x14ac:dyDescent="0.25">
      <c r="A31" s="224" t="s">
        <v>972</v>
      </c>
      <c r="B31" s="224" t="s">
        <v>269</v>
      </c>
      <c r="C31" s="224" t="s">
        <v>178</v>
      </c>
      <c r="D31" s="224" t="s">
        <v>267</v>
      </c>
      <c r="E31" s="449">
        <f>F31</f>
        <v>2178890</v>
      </c>
      <c r="F31" s="465">
        <v>2178890</v>
      </c>
      <c r="G31" s="465"/>
      <c r="H31" s="465"/>
      <c r="I31" s="465"/>
      <c r="J31" s="449">
        <f>L31+O31</f>
        <v>0</v>
      </c>
      <c r="K31" s="465"/>
      <c r="L31" s="465"/>
      <c r="M31" s="465"/>
      <c r="N31" s="465"/>
      <c r="O31" s="462"/>
      <c r="P31" s="449">
        <f>E31+J31</f>
        <v>2178890</v>
      </c>
      <c r="Q31" s="624"/>
      <c r="R31" s="277"/>
    </row>
    <row r="32" spans="1:18" s="272" customFormat="1" ht="46.5" customHeight="1" thickTop="1" thickBot="1" x14ac:dyDescent="0.25">
      <c r="A32" s="151" t="s">
        <v>738</v>
      </c>
      <c r="B32" s="151" t="s">
        <v>739</v>
      </c>
      <c r="C32" s="151"/>
      <c r="D32" s="151" t="s">
        <v>740</v>
      </c>
      <c r="E32" s="443">
        <f t="shared" ref="E32:P32" si="14">E36+E33</f>
        <v>18781510</v>
      </c>
      <c r="F32" s="758">
        <f t="shared" si="14"/>
        <v>18781510</v>
      </c>
      <c r="G32" s="758">
        <f t="shared" si="14"/>
        <v>0</v>
      </c>
      <c r="H32" s="758">
        <f t="shared" si="14"/>
        <v>0</v>
      </c>
      <c r="I32" s="758">
        <f t="shared" si="14"/>
        <v>0</v>
      </c>
      <c r="J32" s="758">
        <f t="shared" si="14"/>
        <v>695600</v>
      </c>
      <c r="K32" s="758">
        <f t="shared" si="14"/>
        <v>695600</v>
      </c>
      <c r="L32" s="758">
        <f t="shared" si="14"/>
        <v>0</v>
      </c>
      <c r="M32" s="758">
        <f t="shared" si="14"/>
        <v>0</v>
      </c>
      <c r="N32" s="758">
        <f t="shared" si="14"/>
        <v>0</v>
      </c>
      <c r="O32" s="758">
        <f t="shared" si="14"/>
        <v>695600</v>
      </c>
      <c r="P32" s="758">
        <f t="shared" si="14"/>
        <v>19477110</v>
      </c>
      <c r="Q32" s="624"/>
      <c r="R32" s="277"/>
    </row>
    <row r="33" spans="1:20" s="272" customFormat="1" ht="103.5" customHeight="1" thickTop="1" thickBot="1" x14ac:dyDescent="0.25">
      <c r="A33" s="467" t="s">
        <v>1340</v>
      </c>
      <c r="B33" s="467" t="s">
        <v>1341</v>
      </c>
      <c r="C33" s="467"/>
      <c r="D33" s="467" t="s">
        <v>1339</v>
      </c>
      <c r="E33" s="468">
        <f>SUM(E34:E35)</f>
        <v>11468315</v>
      </c>
      <c r="F33" s="468">
        <f>SUM(F34:F35)</f>
        <v>11468315</v>
      </c>
      <c r="G33" s="468">
        <f>SUM(G34:G35)</f>
        <v>0</v>
      </c>
      <c r="H33" s="468">
        <f>SUM(H34:H35)</f>
        <v>0</v>
      </c>
      <c r="I33" s="468">
        <f>SUM(I34:I35)</f>
        <v>0</v>
      </c>
      <c r="J33" s="468">
        <f>SUM(J34:J35)</f>
        <v>695600</v>
      </c>
      <c r="K33" s="468">
        <f>SUM(K34:K35)</f>
        <v>695600</v>
      </c>
      <c r="L33" s="468">
        <f>SUM(L34:L35)</f>
        <v>0</v>
      </c>
      <c r="M33" s="468">
        <f>SUM(M34:M35)</f>
        <v>0</v>
      </c>
      <c r="N33" s="468">
        <f>SUM(N34:N35)</f>
        <v>0</v>
      </c>
      <c r="O33" s="468">
        <f>SUM(O34:O35)</f>
        <v>695600</v>
      </c>
      <c r="P33" s="468">
        <f>SUM(P34:P35)</f>
        <v>12163915</v>
      </c>
      <c r="Q33" s="624"/>
      <c r="R33" s="277"/>
    </row>
    <row r="34" spans="1:20" s="272" customFormat="1" ht="103.5" customHeight="1" thickTop="1" thickBot="1" x14ac:dyDescent="0.25">
      <c r="A34" s="862" t="s">
        <v>1386</v>
      </c>
      <c r="B34" s="862" t="s">
        <v>1387</v>
      </c>
      <c r="C34" s="862" t="s">
        <v>1343</v>
      </c>
      <c r="D34" s="862" t="s">
        <v>1388</v>
      </c>
      <c r="E34" s="863">
        <f>F34</f>
        <v>600000</v>
      </c>
      <c r="F34" s="465">
        <v>600000</v>
      </c>
      <c r="G34" s="465"/>
      <c r="H34" s="465"/>
      <c r="I34" s="465"/>
      <c r="J34" s="863">
        <f>L34+O34</f>
        <v>0</v>
      </c>
      <c r="K34" s="465"/>
      <c r="L34" s="465"/>
      <c r="M34" s="465"/>
      <c r="N34" s="465"/>
      <c r="O34" s="462">
        <f>K34</f>
        <v>0</v>
      </c>
      <c r="P34" s="863">
        <f>E34+J34</f>
        <v>600000</v>
      </c>
      <c r="Q34" s="624"/>
      <c r="R34" s="277"/>
    </row>
    <row r="35" spans="1:20" s="272" customFormat="1" ht="93" thickTop="1" thickBot="1" x14ac:dyDescent="0.25">
      <c r="A35" s="759" t="s">
        <v>1344</v>
      </c>
      <c r="B35" s="759" t="s">
        <v>1345</v>
      </c>
      <c r="C35" s="759" t="s">
        <v>1343</v>
      </c>
      <c r="D35" s="759" t="s">
        <v>1342</v>
      </c>
      <c r="E35" s="760">
        <f>F35</f>
        <v>10868315</v>
      </c>
      <c r="F35" s="465">
        <f>(((((14000000+3750000)+432000)-8450000-450000)+608000)+688315)+290000</f>
        <v>10868315</v>
      </c>
      <c r="G35" s="465"/>
      <c r="H35" s="465"/>
      <c r="I35" s="465"/>
      <c r="J35" s="760">
        <f>L35+O35</f>
        <v>695600</v>
      </c>
      <c r="K35" s="465">
        <v>695600</v>
      </c>
      <c r="L35" s="465"/>
      <c r="M35" s="465"/>
      <c r="N35" s="465"/>
      <c r="O35" s="462">
        <f>K35</f>
        <v>695600</v>
      </c>
      <c r="P35" s="760">
        <f>E35+J35</f>
        <v>11563915</v>
      </c>
      <c r="Q35" s="624"/>
      <c r="R35" s="277"/>
    </row>
    <row r="36" spans="1:20" s="272" customFormat="1" ht="47.25" thickTop="1" thickBot="1" x14ac:dyDescent="0.25">
      <c r="A36" s="467" t="s">
        <v>741</v>
      </c>
      <c r="B36" s="467" t="s">
        <v>742</v>
      </c>
      <c r="C36" s="467"/>
      <c r="D36" s="467" t="s">
        <v>743</v>
      </c>
      <c r="E36" s="468">
        <f>SUM(E37)</f>
        <v>7313195</v>
      </c>
      <c r="F36" s="468">
        <f t="shared" ref="F36:P36" si="15">SUM(F37)</f>
        <v>7313195</v>
      </c>
      <c r="G36" s="468">
        <f t="shared" si="15"/>
        <v>0</v>
      </c>
      <c r="H36" s="468">
        <f t="shared" si="15"/>
        <v>0</v>
      </c>
      <c r="I36" s="468">
        <f t="shared" si="15"/>
        <v>0</v>
      </c>
      <c r="J36" s="468">
        <f t="shared" si="15"/>
        <v>0</v>
      </c>
      <c r="K36" s="468">
        <f t="shared" si="15"/>
        <v>0</v>
      </c>
      <c r="L36" s="468">
        <f t="shared" si="15"/>
        <v>0</v>
      </c>
      <c r="M36" s="468">
        <f t="shared" si="15"/>
        <v>0</v>
      </c>
      <c r="N36" s="468">
        <f t="shared" si="15"/>
        <v>0</v>
      </c>
      <c r="O36" s="468">
        <f t="shared" si="15"/>
        <v>0</v>
      </c>
      <c r="P36" s="468">
        <f t="shared" si="15"/>
        <v>7313195</v>
      </c>
      <c r="Q36" s="624"/>
    </row>
    <row r="37" spans="1:20" ht="93" thickTop="1" thickBot="1" x14ac:dyDescent="0.25">
      <c r="A37" s="448" t="s">
        <v>253</v>
      </c>
      <c r="B37" s="448" t="s">
        <v>254</v>
      </c>
      <c r="C37" s="448" t="s">
        <v>255</v>
      </c>
      <c r="D37" s="448" t="s">
        <v>256</v>
      </c>
      <c r="E37" s="449">
        <f>F37</f>
        <v>7313195</v>
      </c>
      <c r="F37" s="465">
        <v>7313195</v>
      </c>
      <c r="G37" s="465"/>
      <c r="H37" s="465"/>
      <c r="I37" s="465"/>
      <c r="J37" s="449">
        <f>L37+O37</f>
        <v>0</v>
      </c>
      <c r="K37" s="465"/>
      <c r="L37" s="465"/>
      <c r="M37" s="465"/>
      <c r="N37" s="465"/>
      <c r="O37" s="462">
        <f>K37</f>
        <v>0</v>
      </c>
      <c r="P37" s="449">
        <f>E37+J37</f>
        <v>7313195</v>
      </c>
    </row>
    <row r="38" spans="1:20" ht="47.25" thickTop="1" thickBot="1" x14ac:dyDescent="0.25">
      <c r="A38" s="151" t="s">
        <v>744</v>
      </c>
      <c r="B38" s="151" t="s">
        <v>745</v>
      </c>
      <c r="C38" s="151"/>
      <c r="D38" s="151" t="s">
        <v>746</v>
      </c>
      <c r="E38" s="443">
        <f t="shared" ref="E38:P38" si="16">E39+E42</f>
        <v>13453700</v>
      </c>
      <c r="F38" s="443">
        <f t="shared" si="16"/>
        <v>13453700</v>
      </c>
      <c r="G38" s="443">
        <f t="shared" si="16"/>
        <v>0</v>
      </c>
      <c r="H38" s="443">
        <f t="shared" si="16"/>
        <v>0</v>
      </c>
      <c r="I38" s="443">
        <f t="shared" si="16"/>
        <v>0</v>
      </c>
      <c r="J38" s="443">
        <f t="shared" si="16"/>
        <v>2801711</v>
      </c>
      <c r="K38" s="443">
        <f t="shared" si="16"/>
        <v>2801711</v>
      </c>
      <c r="L38" s="443">
        <f t="shared" si="16"/>
        <v>0</v>
      </c>
      <c r="M38" s="443">
        <f t="shared" si="16"/>
        <v>0</v>
      </c>
      <c r="N38" s="443">
        <f t="shared" si="16"/>
        <v>0</v>
      </c>
      <c r="O38" s="443">
        <f t="shared" si="16"/>
        <v>2801711</v>
      </c>
      <c r="P38" s="443">
        <f t="shared" si="16"/>
        <v>16255411</v>
      </c>
    </row>
    <row r="39" spans="1:20" s="272" customFormat="1" ht="271.5" thickTop="1" thickBot="1" x14ac:dyDescent="0.25">
      <c r="A39" s="467" t="s">
        <v>747</v>
      </c>
      <c r="B39" s="467" t="s">
        <v>748</v>
      </c>
      <c r="C39" s="467"/>
      <c r="D39" s="467" t="s">
        <v>749</v>
      </c>
      <c r="E39" s="468">
        <f>SUM(E40:E41)</f>
        <v>732700</v>
      </c>
      <c r="F39" s="468">
        <f t="shared" ref="F39:P39" si="17">SUM(F40:F41)</f>
        <v>732700</v>
      </c>
      <c r="G39" s="468">
        <f t="shared" si="17"/>
        <v>0</v>
      </c>
      <c r="H39" s="468">
        <f t="shared" si="17"/>
        <v>0</v>
      </c>
      <c r="I39" s="468">
        <f t="shared" si="17"/>
        <v>0</v>
      </c>
      <c r="J39" s="468">
        <f t="shared" si="17"/>
        <v>0</v>
      </c>
      <c r="K39" s="468">
        <f t="shared" si="17"/>
        <v>0</v>
      </c>
      <c r="L39" s="468">
        <f t="shared" si="17"/>
        <v>0</v>
      </c>
      <c r="M39" s="468">
        <f t="shared" si="17"/>
        <v>0</v>
      </c>
      <c r="N39" s="468">
        <f t="shared" si="17"/>
        <v>0</v>
      </c>
      <c r="O39" s="468">
        <f t="shared" si="17"/>
        <v>0</v>
      </c>
      <c r="P39" s="468">
        <f t="shared" si="17"/>
        <v>732700</v>
      </c>
      <c r="Q39" s="624"/>
      <c r="R39" s="277"/>
    </row>
    <row r="40" spans="1:20" ht="276" thickTop="1" thickBot="1" x14ac:dyDescent="0.25">
      <c r="A40" s="224" t="s">
        <v>257</v>
      </c>
      <c r="B40" s="224" t="s">
        <v>258</v>
      </c>
      <c r="C40" s="224" t="s">
        <v>45</v>
      </c>
      <c r="D40" s="224" t="s">
        <v>460</v>
      </c>
      <c r="E40" s="443">
        <f t="shared" si="3"/>
        <v>600600</v>
      </c>
      <c r="F40" s="444">
        <v>600600</v>
      </c>
      <c r="G40" s="444"/>
      <c r="H40" s="444"/>
      <c r="I40" s="444"/>
      <c r="J40" s="443">
        <f>L40+O40</f>
        <v>0</v>
      </c>
      <c r="K40" s="444"/>
      <c r="L40" s="444"/>
      <c r="M40" s="444"/>
      <c r="N40" s="444"/>
      <c r="O40" s="445">
        <f>K40</f>
        <v>0</v>
      </c>
      <c r="P40" s="443">
        <f>E40+J40</f>
        <v>600600</v>
      </c>
    </row>
    <row r="41" spans="1:20" ht="93" thickTop="1" thickBot="1" x14ac:dyDescent="0.25">
      <c r="A41" s="224" t="s">
        <v>603</v>
      </c>
      <c r="B41" s="224" t="s">
        <v>377</v>
      </c>
      <c r="C41" s="224" t="s">
        <v>45</v>
      </c>
      <c r="D41" s="224" t="s">
        <v>378</v>
      </c>
      <c r="E41" s="443">
        <f t="shared" ref="E41:E42" si="18">F41</f>
        <v>132100</v>
      </c>
      <c r="F41" s="444">
        <v>132100</v>
      </c>
      <c r="G41" s="444"/>
      <c r="H41" s="444"/>
      <c r="I41" s="444"/>
      <c r="J41" s="443">
        <f>L41+O41</f>
        <v>0</v>
      </c>
      <c r="K41" s="444">
        <f>(1000000)-1000000</f>
        <v>0</v>
      </c>
      <c r="L41" s="444"/>
      <c r="M41" s="444"/>
      <c r="N41" s="444"/>
      <c r="O41" s="445">
        <f>K41</f>
        <v>0</v>
      </c>
      <c r="P41" s="443">
        <f>E41+J41</f>
        <v>132100</v>
      </c>
    </row>
    <row r="42" spans="1:20" ht="271.5" thickTop="1" thickBot="1" x14ac:dyDescent="0.25">
      <c r="A42" s="467" t="s">
        <v>531</v>
      </c>
      <c r="B42" s="467" t="s">
        <v>532</v>
      </c>
      <c r="C42" s="467" t="s">
        <v>45</v>
      </c>
      <c r="D42" s="467" t="s">
        <v>533</v>
      </c>
      <c r="E42" s="468">
        <f t="shared" si="18"/>
        <v>12721000</v>
      </c>
      <c r="F42" s="468">
        <f>((((((0)+1906000)+1800000)+6065000+450000)+870000)+970000)+500000+160000</f>
        <v>12721000</v>
      </c>
      <c r="G42" s="468"/>
      <c r="H42" s="468"/>
      <c r="I42" s="468"/>
      <c r="J42" s="468">
        <f>L42+O42</f>
        <v>2801711</v>
      </c>
      <c r="K42" s="465">
        <f>(((1000000)+74000)+80000)+700000+947711</f>
        <v>2801711</v>
      </c>
      <c r="L42" s="468"/>
      <c r="M42" s="468"/>
      <c r="N42" s="468"/>
      <c r="O42" s="468">
        <f>K42</f>
        <v>2801711</v>
      </c>
      <c r="P42" s="468">
        <f>E42+J42</f>
        <v>15522711</v>
      </c>
      <c r="R42" s="255"/>
    </row>
    <row r="43" spans="1:20" ht="177.75" customHeight="1" thickTop="1" thickBot="1" x14ac:dyDescent="0.25">
      <c r="A43" s="828" t="s">
        <v>160</v>
      </c>
      <c r="B43" s="828"/>
      <c r="C43" s="828"/>
      <c r="D43" s="829" t="s">
        <v>0</v>
      </c>
      <c r="E43" s="830">
        <f>E44</f>
        <v>1801832661.3</v>
      </c>
      <c r="F43" s="831">
        <f t="shared" ref="F43" si="19">F44</f>
        <v>1801832661.3</v>
      </c>
      <c r="G43" s="831">
        <f>G44</f>
        <v>1185247474</v>
      </c>
      <c r="H43" s="831">
        <f>H44</f>
        <v>198577892</v>
      </c>
      <c r="I43" s="831">
        <f t="shared" ref="I43" si="20">I44</f>
        <v>0</v>
      </c>
      <c r="J43" s="830">
        <f>J44</f>
        <v>235623870</v>
      </c>
      <c r="K43" s="831">
        <f>K44</f>
        <v>72278320</v>
      </c>
      <c r="L43" s="831">
        <f>L44</f>
        <v>160069640</v>
      </c>
      <c r="M43" s="831">
        <f t="shared" ref="M43" si="21">M44</f>
        <v>45127299</v>
      </c>
      <c r="N43" s="831">
        <f>N44</f>
        <v>14370056</v>
      </c>
      <c r="O43" s="830">
        <f>O44</f>
        <v>75554230</v>
      </c>
      <c r="P43" s="831">
        <f t="shared" ref="P43" si="22">P44</f>
        <v>2037456531.3</v>
      </c>
    </row>
    <row r="44" spans="1:20" ht="159" customHeight="1" thickTop="1" thickBot="1" x14ac:dyDescent="0.25">
      <c r="A44" s="832" t="s">
        <v>161</v>
      </c>
      <c r="B44" s="832"/>
      <c r="C44" s="832"/>
      <c r="D44" s="833" t="s">
        <v>1</v>
      </c>
      <c r="E44" s="834">
        <f>E45+E77+E88+E82</f>
        <v>1801832661.3</v>
      </c>
      <c r="F44" s="834">
        <f>F45+F77+F88+F82</f>
        <v>1801832661.3</v>
      </c>
      <c r="G44" s="834">
        <f>G45+G77+G88+G82</f>
        <v>1185247474</v>
      </c>
      <c r="H44" s="834">
        <f>H45+H77+H88+H82</f>
        <v>198577892</v>
      </c>
      <c r="I44" s="834">
        <f>I45+I77+I88+I82</f>
        <v>0</v>
      </c>
      <c r="J44" s="834">
        <f>L44+O44</f>
        <v>235623870</v>
      </c>
      <c r="K44" s="834">
        <f>K45+K77+K88+K82</f>
        <v>72278320</v>
      </c>
      <c r="L44" s="834">
        <f>L45+L77+L88+L82</f>
        <v>160069640</v>
      </c>
      <c r="M44" s="834">
        <f>M45+M77+M88+M82</f>
        <v>45127299</v>
      </c>
      <c r="N44" s="834">
        <f>N45+N77+N88+N82</f>
        <v>14370056</v>
      </c>
      <c r="O44" s="834">
        <f>O45+O77+O88+O82</f>
        <v>75554230</v>
      </c>
      <c r="P44" s="834">
        <f>E44+J44</f>
        <v>2037456531.3</v>
      </c>
      <c r="Q44" s="617" t="b">
        <f>P44=P46+P48+P49+P52+P57+P59+P60+P62+P63+P65+P66+P67+P69+P75+P78+P56+P76+P50+P70+P72+P80+P73+P90+P81+P85+P87+P53</f>
        <v>1</v>
      </c>
      <c r="R44" s="255"/>
    </row>
    <row r="45" spans="1:20" ht="47.25" thickTop="1" thickBot="1" x14ac:dyDescent="0.25">
      <c r="A45" s="151" t="s">
        <v>750</v>
      </c>
      <c r="B45" s="151" t="s">
        <v>751</v>
      </c>
      <c r="C45" s="151"/>
      <c r="D45" s="151" t="s">
        <v>752</v>
      </c>
      <c r="E45" s="443">
        <f>E46+E47+E51+E57+E58+E61+E64+E67+E68+E75+E54+E76+E71+E79</f>
        <v>1801832661.3</v>
      </c>
      <c r="F45" s="443">
        <f t="shared" ref="F45:P45" si="23">F46+F47+F51+F57+F58+F61+F64+F67+F68+F75+F54+F76+F71+F79</f>
        <v>1801832661.3</v>
      </c>
      <c r="G45" s="443">
        <f>G46+G47+G51+G57+G58+G61+G64+G67+G68+G75+G54+G76+G71+G79</f>
        <v>1185247474</v>
      </c>
      <c r="H45" s="485">
        <f t="shared" si="23"/>
        <v>198577892</v>
      </c>
      <c r="I45" s="485">
        <f t="shared" si="23"/>
        <v>0</v>
      </c>
      <c r="J45" s="485">
        <f t="shared" si="23"/>
        <v>181725870</v>
      </c>
      <c r="K45" s="485">
        <f t="shared" si="23"/>
        <v>18380320</v>
      </c>
      <c r="L45" s="485">
        <f t="shared" si="23"/>
        <v>160069640</v>
      </c>
      <c r="M45" s="485">
        <f t="shared" si="23"/>
        <v>45127299</v>
      </c>
      <c r="N45" s="485">
        <f t="shared" si="23"/>
        <v>14370056</v>
      </c>
      <c r="O45" s="485">
        <f t="shared" si="23"/>
        <v>21656230</v>
      </c>
      <c r="P45" s="485">
        <f t="shared" si="23"/>
        <v>1983558531.3</v>
      </c>
      <c r="Q45" s="617"/>
      <c r="R45" s="255"/>
    </row>
    <row r="46" spans="1:20" ht="99" customHeight="1" thickTop="1" thickBot="1" x14ac:dyDescent="0.6">
      <c r="A46" s="224" t="s">
        <v>210</v>
      </c>
      <c r="B46" s="224" t="s">
        <v>211</v>
      </c>
      <c r="C46" s="224" t="s">
        <v>213</v>
      </c>
      <c r="D46" s="224" t="s">
        <v>214</v>
      </c>
      <c r="E46" s="443">
        <f>F46</f>
        <v>535792955</v>
      </c>
      <c r="F46" s="444">
        <f>(-11500+422682850+7381300+130780+36208005+3386900+43721850+1999020+17450750+1519605+996875+44000+69100+59660+177600-23840)</f>
        <v>535792955</v>
      </c>
      <c r="G46" s="444">
        <v>346461350</v>
      </c>
      <c r="H46" s="444">
        <f>43721850+1999020+17450750+1519605+996875+44000</f>
        <v>65732100</v>
      </c>
      <c r="I46" s="444"/>
      <c r="J46" s="485">
        <f t="shared" ref="J46:J70" si="24">L46+O46</f>
        <v>72355014</v>
      </c>
      <c r="K46" s="444">
        <f>(288164+1000000+150000+49000+30000)</f>
        <v>1517164</v>
      </c>
      <c r="L46" s="444">
        <v>68943250</v>
      </c>
      <c r="M46" s="444">
        <v>14090070</v>
      </c>
      <c r="N46" s="444">
        <f>(569230+232500+725400+16500+9790+2000000)</f>
        <v>3553420</v>
      </c>
      <c r="O46" s="487">
        <f>(K46+1725960+168640)</f>
        <v>3411764</v>
      </c>
      <c r="P46" s="485">
        <f t="shared" ref="P46:P59" si="25">E46+J46</f>
        <v>608147969</v>
      </c>
      <c r="Q46" s="625"/>
      <c r="R46" s="255"/>
    </row>
    <row r="47" spans="1:20" s="274" customFormat="1" ht="138.75" thickTop="1" thickBot="1" x14ac:dyDescent="0.6">
      <c r="A47" s="489" t="s">
        <v>215</v>
      </c>
      <c r="B47" s="489" t="s">
        <v>212</v>
      </c>
      <c r="C47" s="489"/>
      <c r="D47" s="489" t="s">
        <v>686</v>
      </c>
      <c r="E47" s="472">
        <f>E48+E49+E50</f>
        <v>401459501.30000001</v>
      </c>
      <c r="F47" s="472">
        <f t="shared" ref="F47:I47" si="26">F48+F49+F50</f>
        <v>401459501.30000001</v>
      </c>
      <c r="G47" s="472">
        <f t="shared" si="26"/>
        <v>183343785</v>
      </c>
      <c r="H47" s="472">
        <f t="shared" si="26"/>
        <v>104013192</v>
      </c>
      <c r="I47" s="472">
        <f t="shared" si="26"/>
        <v>0</v>
      </c>
      <c r="J47" s="472">
        <f t="shared" ref="J47" si="27">J48+J49+J50</f>
        <v>74942115</v>
      </c>
      <c r="K47" s="472">
        <f t="shared" ref="K47" si="28">K48+K49+K50</f>
        <v>11189615</v>
      </c>
      <c r="L47" s="472">
        <f t="shared" ref="L47" si="29">L48+L49+L50</f>
        <v>62632190</v>
      </c>
      <c r="M47" s="472">
        <f t="shared" ref="M47" si="30">M48+M49+M50</f>
        <v>22917540</v>
      </c>
      <c r="N47" s="472">
        <f t="shared" ref="N47" si="31">N48+N49+N50</f>
        <v>1547450</v>
      </c>
      <c r="O47" s="472">
        <f t="shared" ref="O47" si="32">O48+O49+O50</f>
        <v>12309925</v>
      </c>
      <c r="P47" s="472">
        <f>E47+J47</f>
        <v>476401616.30000001</v>
      </c>
      <c r="Q47" s="625"/>
      <c r="R47" s="280"/>
    </row>
    <row r="48" spans="1:20" ht="138.75" thickTop="1" thickBot="1" x14ac:dyDescent="0.6">
      <c r="A48" s="224" t="s">
        <v>683</v>
      </c>
      <c r="B48" s="224" t="s">
        <v>684</v>
      </c>
      <c r="C48" s="224" t="s">
        <v>216</v>
      </c>
      <c r="D48" s="224" t="s">
        <v>685</v>
      </c>
      <c r="E48" s="443">
        <f t="shared" ref="E48:E59" si="33">F48</f>
        <v>358143446.30000001</v>
      </c>
      <c r="F48" s="444">
        <f>((191140505+15177100+231270+46955765+4320380+74473080+1267990+18069250+3616430+838950+452340+167550+8440+489345+150000+173840-5980497)+6628199)-36490.7</f>
        <v>358143446.30000001</v>
      </c>
      <c r="G48" s="444">
        <v>156967625</v>
      </c>
      <c r="H48" s="444">
        <f>((74473080+1267990+18069250+3616430+838950+452340-5980497)+6628199)-300000</f>
        <v>99065742</v>
      </c>
      <c r="I48" s="444"/>
      <c r="J48" s="485">
        <f t="shared" si="24"/>
        <v>74851615</v>
      </c>
      <c r="K48" s="444">
        <f>(269475+2000000+2283979+1000000+250161+500000+49000+49000+49000+500000+510000+250000+300000+300000+49000+1000000+1000000+230000+600000)</f>
        <v>11189615</v>
      </c>
      <c r="L48" s="444">
        <v>62541690</v>
      </c>
      <c r="M48" s="444">
        <v>22917540</v>
      </c>
      <c r="N48" s="444">
        <f>(708460+204510+508570+24930+58380)</f>
        <v>1504850</v>
      </c>
      <c r="O48" s="487">
        <f>(K48+1120310)</f>
        <v>12309925</v>
      </c>
      <c r="P48" s="485">
        <f t="shared" si="25"/>
        <v>432995061.30000001</v>
      </c>
      <c r="Q48" s="625"/>
      <c r="R48" s="255"/>
      <c r="T48" s="281"/>
    </row>
    <row r="49" spans="1:18" ht="276" thickTop="1" thickBot="1" x14ac:dyDescent="0.25">
      <c r="A49" s="224" t="s">
        <v>693</v>
      </c>
      <c r="B49" s="224" t="s">
        <v>694</v>
      </c>
      <c r="C49" s="224" t="s">
        <v>219</v>
      </c>
      <c r="D49" s="224" t="s">
        <v>515</v>
      </c>
      <c r="E49" s="443">
        <f t="shared" si="33"/>
        <v>24772605</v>
      </c>
      <c r="F49" s="444">
        <f>(22151850+194260+5650+772470+139445+1279695+25490+179490+10555+8300+5400)</f>
        <v>24772605</v>
      </c>
      <c r="G49" s="444">
        <v>18307315</v>
      </c>
      <c r="H49" s="444">
        <f>1495230</f>
        <v>1495230</v>
      </c>
      <c r="I49" s="444"/>
      <c r="J49" s="485">
        <f t="shared" si="24"/>
        <v>90500</v>
      </c>
      <c r="K49" s="444"/>
      <c r="L49" s="444">
        <v>90500</v>
      </c>
      <c r="M49" s="444"/>
      <c r="N49" s="444">
        <f>(25800+1000+15800)</f>
        <v>42600</v>
      </c>
      <c r="O49" s="487">
        <f>K49</f>
        <v>0</v>
      </c>
      <c r="P49" s="485">
        <f t="shared" si="25"/>
        <v>24863105</v>
      </c>
      <c r="R49" s="257"/>
    </row>
    <row r="50" spans="1:18" ht="184.5" thickTop="1" thickBot="1" x14ac:dyDescent="0.25">
      <c r="A50" s="224" t="s">
        <v>1073</v>
      </c>
      <c r="B50" s="224" t="s">
        <v>1074</v>
      </c>
      <c r="C50" s="224" t="s">
        <v>219</v>
      </c>
      <c r="D50" s="224" t="s">
        <v>1075</v>
      </c>
      <c r="E50" s="443">
        <f t="shared" ref="E50" si="34">F50</f>
        <v>18543450</v>
      </c>
      <c r="F50" s="444">
        <f>(9843990+289835+15600+4104440+530965+300000+2737110+106620+592800+15690+3700+2700)</f>
        <v>18543450</v>
      </c>
      <c r="G50" s="444">
        <v>8068845</v>
      </c>
      <c r="H50" s="444">
        <v>3452220</v>
      </c>
      <c r="I50" s="444"/>
      <c r="J50" s="485">
        <f t="shared" ref="J50" si="35">L50+O50</f>
        <v>0</v>
      </c>
      <c r="K50" s="444"/>
      <c r="L50" s="444"/>
      <c r="M50" s="444"/>
      <c r="N50" s="444"/>
      <c r="O50" s="487">
        <f>K50</f>
        <v>0</v>
      </c>
      <c r="P50" s="485">
        <f t="shared" ref="P50" si="36">E50+J50</f>
        <v>18543450</v>
      </c>
      <c r="R50" s="257"/>
    </row>
    <row r="51" spans="1:18" s="274" customFormat="1" ht="138.75" thickTop="1" thickBot="1" x14ac:dyDescent="0.25">
      <c r="A51" s="489" t="s">
        <v>516</v>
      </c>
      <c r="B51" s="489" t="s">
        <v>217</v>
      </c>
      <c r="C51" s="489"/>
      <c r="D51" s="489" t="s">
        <v>701</v>
      </c>
      <c r="E51" s="472">
        <f>SUM(E52:E53)</f>
        <v>632703833</v>
      </c>
      <c r="F51" s="472">
        <f>SUM(F52:F53)</f>
        <v>632703833</v>
      </c>
      <c r="G51" s="472">
        <f>SUM(G52:G53)</f>
        <v>515521239</v>
      </c>
      <c r="H51" s="472">
        <f>SUM(H52:H53)</f>
        <v>0</v>
      </c>
      <c r="I51" s="472">
        <f>SUM(I52:I53)</f>
        <v>0</v>
      </c>
      <c r="J51" s="472">
        <f t="shared" ref="J51:P51" si="37">SUM(J52:J53)</f>
        <v>0</v>
      </c>
      <c r="K51" s="472">
        <f t="shared" si="37"/>
        <v>0</v>
      </c>
      <c r="L51" s="472">
        <f t="shared" si="37"/>
        <v>0</v>
      </c>
      <c r="M51" s="472">
        <f t="shared" si="37"/>
        <v>0</v>
      </c>
      <c r="N51" s="472">
        <f t="shared" si="37"/>
        <v>0</v>
      </c>
      <c r="O51" s="472">
        <f t="shared" si="37"/>
        <v>0</v>
      </c>
      <c r="P51" s="472">
        <f t="shared" si="37"/>
        <v>632703833</v>
      </c>
      <c r="Q51" s="614"/>
      <c r="R51" s="276"/>
    </row>
    <row r="52" spans="1:18" ht="138.75" thickTop="1" thickBot="1" x14ac:dyDescent="0.25">
      <c r="A52" s="224" t="s">
        <v>702</v>
      </c>
      <c r="B52" s="224" t="s">
        <v>703</v>
      </c>
      <c r="C52" s="224" t="s">
        <v>216</v>
      </c>
      <c r="D52" s="224" t="s">
        <v>685</v>
      </c>
      <c r="E52" s="443">
        <f t="shared" ref="E52:E53" si="38">F52</f>
        <v>628868833</v>
      </c>
      <c r="F52" s="444">
        <f>(679974570+4189832+15013800)-70309369</f>
        <v>628868833</v>
      </c>
      <c r="G52" s="444">
        <f>(557358050+12306400)-57287211</f>
        <v>512377239</v>
      </c>
      <c r="H52" s="444"/>
      <c r="I52" s="444"/>
      <c r="J52" s="485">
        <f t="shared" ref="J52:J53" si="39">L52+O52</f>
        <v>0</v>
      </c>
      <c r="K52" s="444"/>
      <c r="L52" s="444"/>
      <c r="M52" s="444"/>
      <c r="N52" s="444"/>
      <c r="O52" s="487">
        <f>K52</f>
        <v>0</v>
      </c>
      <c r="P52" s="485">
        <f t="shared" ref="P52:P56" si="40">E52+J52</f>
        <v>628868833</v>
      </c>
      <c r="R52" s="267"/>
    </row>
    <row r="53" spans="1:18" ht="184.5" thickTop="1" thickBot="1" x14ac:dyDescent="0.25">
      <c r="A53" s="224" t="s">
        <v>1263</v>
      </c>
      <c r="B53" s="525" t="s">
        <v>1264</v>
      </c>
      <c r="C53" s="224" t="s">
        <v>219</v>
      </c>
      <c r="D53" s="224" t="s">
        <v>1265</v>
      </c>
      <c r="E53" s="443">
        <f t="shared" si="38"/>
        <v>3835000</v>
      </c>
      <c r="F53" s="526">
        <v>3835000</v>
      </c>
      <c r="G53" s="526">
        <v>3144000</v>
      </c>
      <c r="H53" s="526"/>
      <c r="I53" s="526"/>
      <c r="J53" s="485">
        <f t="shared" si="39"/>
        <v>0</v>
      </c>
      <c r="K53" s="526"/>
      <c r="L53" s="526"/>
      <c r="M53" s="526"/>
      <c r="N53" s="526"/>
      <c r="O53" s="545"/>
      <c r="P53" s="485">
        <f t="shared" si="40"/>
        <v>3835000</v>
      </c>
      <c r="R53" s="267"/>
    </row>
    <row r="54" spans="1:18" ht="409.6" hidden="1" thickTop="1" x14ac:dyDescent="0.65">
      <c r="A54" s="938" t="s">
        <v>990</v>
      </c>
      <c r="B54" s="938" t="s">
        <v>52</v>
      </c>
      <c r="C54" s="938"/>
      <c r="D54" s="282" t="s">
        <v>993</v>
      </c>
      <c r="E54" s="922">
        <f t="shared" ref="E54:O54" si="41">E56</f>
        <v>0</v>
      </c>
      <c r="F54" s="922">
        <f t="shared" si="41"/>
        <v>0</v>
      </c>
      <c r="G54" s="922">
        <f t="shared" si="41"/>
        <v>0</v>
      </c>
      <c r="H54" s="922">
        <f t="shared" si="41"/>
        <v>0</v>
      </c>
      <c r="I54" s="922">
        <f t="shared" si="41"/>
        <v>0</v>
      </c>
      <c r="J54" s="922">
        <f t="shared" si="41"/>
        <v>0</v>
      </c>
      <c r="K54" s="922">
        <f t="shared" si="41"/>
        <v>0</v>
      </c>
      <c r="L54" s="922">
        <f t="shared" si="41"/>
        <v>0</v>
      </c>
      <c r="M54" s="922">
        <f t="shared" si="41"/>
        <v>0</v>
      </c>
      <c r="N54" s="922">
        <f t="shared" si="41"/>
        <v>0</v>
      </c>
      <c r="O54" s="922">
        <f t="shared" si="41"/>
        <v>0</v>
      </c>
      <c r="P54" s="922">
        <f>E54+J54</f>
        <v>0</v>
      </c>
      <c r="R54" s="267"/>
    </row>
    <row r="55" spans="1:18" ht="183.75" hidden="1" thickBot="1" x14ac:dyDescent="0.25">
      <c r="A55" s="905"/>
      <c r="B55" s="905"/>
      <c r="C55" s="905"/>
      <c r="D55" s="283" t="s">
        <v>994</v>
      </c>
      <c r="E55" s="905"/>
      <c r="F55" s="905"/>
      <c r="G55" s="905"/>
      <c r="H55" s="905"/>
      <c r="I55" s="905"/>
      <c r="J55" s="905"/>
      <c r="K55" s="905"/>
      <c r="L55" s="905"/>
      <c r="M55" s="905"/>
      <c r="N55" s="905"/>
      <c r="O55" s="905"/>
      <c r="P55" s="905"/>
      <c r="R55" s="267"/>
    </row>
    <row r="56" spans="1:18" ht="138.75" hidden="1" thickTop="1" thickBot="1" x14ac:dyDescent="0.25">
      <c r="A56" s="259" t="s">
        <v>991</v>
      </c>
      <c r="B56" s="259" t="s">
        <v>992</v>
      </c>
      <c r="C56" s="259" t="s">
        <v>216</v>
      </c>
      <c r="D56" s="259" t="s">
        <v>995</v>
      </c>
      <c r="E56" s="256">
        <f t="shared" ref="E56" si="42">F56</f>
        <v>0</v>
      </c>
      <c r="F56" s="278"/>
      <c r="G56" s="278"/>
      <c r="H56" s="278"/>
      <c r="I56" s="278"/>
      <c r="J56" s="256">
        <f t="shared" ref="J56" si="43">L56+O56</f>
        <v>0</v>
      </c>
      <c r="K56" s="278"/>
      <c r="L56" s="278"/>
      <c r="M56" s="278"/>
      <c r="N56" s="278"/>
      <c r="O56" s="262">
        <f>K56</f>
        <v>0</v>
      </c>
      <c r="P56" s="256">
        <f t="shared" si="40"/>
        <v>0</v>
      </c>
      <c r="R56" s="255"/>
    </row>
    <row r="57" spans="1:18" ht="184.5" thickTop="1" thickBot="1" x14ac:dyDescent="0.25">
      <c r="A57" s="224" t="s">
        <v>704</v>
      </c>
      <c r="B57" s="224" t="s">
        <v>218</v>
      </c>
      <c r="C57" s="224" t="s">
        <v>193</v>
      </c>
      <c r="D57" s="224" t="s">
        <v>517</v>
      </c>
      <c r="E57" s="443">
        <f t="shared" si="33"/>
        <v>33399580</v>
      </c>
      <c r="F57" s="444">
        <f>(28529700+335975+12000+258940+128820+3176810+64080+596770+79855+30105+1700+184825)</f>
        <v>33399580</v>
      </c>
      <c r="G57" s="444">
        <v>23385000</v>
      </c>
      <c r="H57" s="444">
        <v>3947620</v>
      </c>
      <c r="I57" s="444"/>
      <c r="J57" s="485">
        <f t="shared" si="24"/>
        <v>1858370</v>
      </c>
      <c r="K57" s="444">
        <v>1000000</v>
      </c>
      <c r="L57" s="444">
        <v>757370</v>
      </c>
      <c r="M57" s="444">
        <v>34330</v>
      </c>
      <c r="N57" s="444">
        <f>(50190+3780+46410+1820)</f>
        <v>102200</v>
      </c>
      <c r="O57" s="487">
        <f>(K57+101000)</f>
        <v>1101000</v>
      </c>
      <c r="P57" s="485">
        <f t="shared" si="25"/>
        <v>35257950</v>
      </c>
      <c r="R57" s="255"/>
    </row>
    <row r="58" spans="1:18" s="274" customFormat="1" ht="184.5" thickTop="1" thickBot="1" x14ac:dyDescent="0.25">
      <c r="A58" s="489" t="s">
        <v>220</v>
      </c>
      <c r="B58" s="489" t="s">
        <v>203</v>
      </c>
      <c r="C58" s="489"/>
      <c r="D58" s="489" t="s">
        <v>518</v>
      </c>
      <c r="E58" s="472">
        <f>E59+E60</f>
        <v>154885211</v>
      </c>
      <c r="F58" s="472">
        <f t="shared" ref="F58:O58" si="44">F59+F60</f>
        <v>154885211</v>
      </c>
      <c r="G58" s="472">
        <f t="shared" si="44"/>
        <v>84181704</v>
      </c>
      <c r="H58" s="472">
        <f t="shared" si="44"/>
        <v>22763530</v>
      </c>
      <c r="I58" s="472">
        <f t="shared" si="44"/>
        <v>0</v>
      </c>
      <c r="J58" s="472">
        <f t="shared" si="44"/>
        <v>29703565</v>
      </c>
      <c r="K58" s="472">
        <f t="shared" si="44"/>
        <v>2182625</v>
      </c>
      <c r="L58" s="472">
        <f t="shared" si="44"/>
        <v>27360940</v>
      </c>
      <c r="M58" s="472">
        <f t="shared" si="44"/>
        <v>7971559</v>
      </c>
      <c r="N58" s="472">
        <f t="shared" si="44"/>
        <v>9049476</v>
      </c>
      <c r="O58" s="472">
        <f t="shared" si="44"/>
        <v>2342625</v>
      </c>
      <c r="P58" s="472">
        <f t="shared" si="25"/>
        <v>184588776</v>
      </c>
      <c r="Q58" s="614"/>
      <c r="R58" s="276"/>
    </row>
    <row r="59" spans="1:18" ht="230.25" thickTop="1" thickBot="1" x14ac:dyDescent="0.25">
      <c r="A59" s="224" t="s">
        <v>705</v>
      </c>
      <c r="B59" s="224" t="s">
        <v>706</v>
      </c>
      <c r="C59" s="224" t="s">
        <v>221</v>
      </c>
      <c r="D59" s="224" t="s">
        <v>707</v>
      </c>
      <c r="E59" s="443">
        <f t="shared" si="33"/>
        <v>137467895</v>
      </c>
      <c r="F59" s="444">
        <f>(85213670+68800+17400+2950600+222250+14115125+811860+7670580+20050+145915+13200+25000000+1218445)</f>
        <v>137467895</v>
      </c>
      <c r="G59" s="444">
        <v>69847270</v>
      </c>
      <c r="H59" s="444">
        <v>22763530</v>
      </c>
      <c r="I59" s="444"/>
      <c r="J59" s="485">
        <f>L59+O59</f>
        <v>29703565</v>
      </c>
      <c r="K59" s="444">
        <f>(1281537+82825+818263)</f>
        <v>2182625</v>
      </c>
      <c r="L59" s="444">
        <v>27360940</v>
      </c>
      <c r="M59" s="444">
        <v>7971559</v>
      </c>
      <c r="N59" s="444">
        <f>(5079580+1005981+2722350+64500+177065)</f>
        <v>9049476</v>
      </c>
      <c r="O59" s="487">
        <f>(K59+160000)</f>
        <v>2342625</v>
      </c>
      <c r="P59" s="485">
        <f t="shared" si="25"/>
        <v>167171460</v>
      </c>
      <c r="R59" s="255"/>
    </row>
    <row r="60" spans="1:18" ht="230.25" thickTop="1" thickBot="1" x14ac:dyDescent="0.25">
      <c r="A60" s="224" t="s">
        <v>709</v>
      </c>
      <c r="B60" s="224" t="s">
        <v>708</v>
      </c>
      <c r="C60" s="224" t="s">
        <v>221</v>
      </c>
      <c r="D60" s="224" t="s">
        <v>710</v>
      </c>
      <c r="E60" s="443">
        <f t="shared" ref="E60" si="45">F60</f>
        <v>17417316</v>
      </c>
      <c r="F60" s="444">
        <f>(19343530)-1926214</f>
        <v>17417316</v>
      </c>
      <c r="G60" s="444">
        <f>(15920600)-1586166</f>
        <v>14334434</v>
      </c>
      <c r="H60" s="444"/>
      <c r="I60" s="444"/>
      <c r="J60" s="485">
        <f>L60+O60</f>
        <v>0</v>
      </c>
      <c r="K60" s="444"/>
      <c r="L60" s="444"/>
      <c r="M60" s="444"/>
      <c r="N60" s="444"/>
      <c r="O60" s="487"/>
      <c r="P60" s="485">
        <f t="shared" ref="P60" si="46">E60+J60</f>
        <v>17417316</v>
      </c>
      <c r="R60" s="267"/>
    </row>
    <row r="61" spans="1:18" s="274" customFormat="1" ht="93" thickTop="1" thickBot="1" x14ac:dyDescent="0.25">
      <c r="A61" s="489" t="s">
        <v>712</v>
      </c>
      <c r="B61" s="489" t="s">
        <v>711</v>
      </c>
      <c r="C61" s="489"/>
      <c r="D61" s="489" t="s">
        <v>713</v>
      </c>
      <c r="E61" s="472">
        <f>E62+E63</f>
        <v>30502885</v>
      </c>
      <c r="F61" s="472">
        <f t="shared" ref="F61:O61" si="47">F62+F63</f>
        <v>30502885</v>
      </c>
      <c r="G61" s="472">
        <f t="shared" si="47"/>
        <v>22155905</v>
      </c>
      <c r="H61" s="472">
        <f t="shared" si="47"/>
        <v>1871875</v>
      </c>
      <c r="I61" s="472">
        <f t="shared" si="47"/>
        <v>0</v>
      </c>
      <c r="J61" s="472">
        <f t="shared" si="47"/>
        <v>1335890</v>
      </c>
      <c r="K61" s="472">
        <f t="shared" si="47"/>
        <v>960000</v>
      </c>
      <c r="L61" s="472">
        <f t="shared" si="47"/>
        <v>375890</v>
      </c>
      <c r="M61" s="472">
        <f t="shared" si="47"/>
        <v>113800</v>
      </c>
      <c r="N61" s="472">
        <f t="shared" si="47"/>
        <v>117510</v>
      </c>
      <c r="O61" s="472">
        <f t="shared" si="47"/>
        <v>960000</v>
      </c>
      <c r="P61" s="472">
        <f>E61+J61</f>
        <v>31838775</v>
      </c>
      <c r="Q61" s="614"/>
      <c r="R61" s="276"/>
    </row>
    <row r="62" spans="1:18" ht="93" thickTop="1" thickBot="1" x14ac:dyDescent="0.25">
      <c r="A62" s="224" t="s">
        <v>714</v>
      </c>
      <c r="B62" s="224" t="s">
        <v>715</v>
      </c>
      <c r="C62" s="224" t="s">
        <v>222</v>
      </c>
      <c r="D62" s="224" t="s">
        <v>519</v>
      </c>
      <c r="E62" s="443">
        <f>F62</f>
        <v>30284875</v>
      </c>
      <c r="F62" s="444">
        <f>(27030205+635950+1450+735695+3300+1239640+16940+591895+8520+14880+3700+2700)</f>
        <v>30284875</v>
      </c>
      <c r="G62" s="444">
        <v>22155905</v>
      </c>
      <c r="H62" s="444">
        <v>1871875</v>
      </c>
      <c r="I62" s="444"/>
      <c r="J62" s="485">
        <f>L62+O62</f>
        <v>1335890</v>
      </c>
      <c r="K62" s="444">
        <f>(460000+500000)</f>
        <v>960000</v>
      </c>
      <c r="L62" s="444">
        <v>375890</v>
      </c>
      <c r="M62" s="444">
        <v>113800</v>
      </c>
      <c r="N62" s="444">
        <f>(104000+830+11730+950)</f>
        <v>117510</v>
      </c>
      <c r="O62" s="487">
        <f>K62</f>
        <v>960000</v>
      </c>
      <c r="P62" s="485">
        <f>E62+J62</f>
        <v>31620765</v>
      </c>
      <c r="R62" s="267"/>
    </row>
    <row r="63" spans="1:18" ht="93" thickTop="1" thickBot="1" x14ac:dyDescent="0.25">
      <c r="A63" s="224" t="s">
        <v>716</v>
      </c>
      <c r="B63" s="224" t="s">
        <v>717</v>
      </c>
      <c r="C63" s="224" t="s">
        <v>222</v>
      </c>
      <c r="D63" s="224" t="s">
        <v>351</v>
      </c>
      <c r="E63" s="443">
        <f>F63</f>
        <v>218010</v>
      </c>
      <c r="F63" s="444">
        <v>218010</v>
      </c>
      <c r="G63" s="444"/>
      <c r="H63" s="444"/>
      <c r="I63" s="444"/>
      <c r="J63" s="485">
        <f>L63+O63</f>
        <v>0</v>
      </c>
      <c r="K63" s="444"/>
      <c r="L63" s="444"/>
      <c r="M63" s="444"/>
      <c r="N63" s="444"/>
      <c r="O63" s="487">
        <f>K63</f>
        <v>0</v>
      </c>
      <c r="P63" s="485">
        <f>E63+J63</f>
        <v>218010</v>
      </c>
      <c r="R63" s="267"/>
    </row>
    <row r="64" spans="1:18" s="274" customFormat="1" ht="93" thickTop="1" thickBot="1" x14ac:dyDescent="0.25">
      <c r="A64" s="489" t="s">
        <v>718</v>
      </c>
      <c r="B64" s="489" t="s">
        <v>719</v>
      </c>
      <c r="C64" s="489"/>
      <c r="D64" s="489" t="s">
        <v>445</v>
      </c>
      <c r="E64" s="472">
        <f>E65+E66</f>
        <v>5722975</v>
      </c>
      <c r="F64" s="472">
        <f>F65+F66</f>
        <v>5722975</v>
      </c>
      <c r="G64" s="472">
        <f t="shared" ref="G64:O64" si="48">G65+G66</f>
        <v>4406061</v>
      </c>
      <c r="H64" s="472">
        <f t="shared" si="48"/>
        <v>161440</v>
      </c>
      <c r="I64" s="472">
        <f t="shared" si="48"/>
        <v>0</v>
      </c>
      <c r="J64" s="472">
        <f t="shared" si="48"/>
        <v>0</v>
      </c>
      <c r="K64" s="472">
        <f t="shared" si="48"/>
        <v>0</v>
      </c>
      <c r="L64" s="472">
        <f t="shared" si="48"/>
        <v>0</v>
      </c>
      <c r="M64" s="472">
        <f t="shared" si="48"/>
        <v>0</v>
      </c>
      <c r="N64" s="472">
        <f t="shared" si="48"/>
        <v>0</v>
      </c>
      <c r="O64" s="472">
        <f t="shared" si="48"/>
        <v>0</v>
      </c>
      <c r="P64" s="472">
        <f>E64+J64</f>
        <v>5722975</v>
      </c>
      <c r="Q64" s="614"/>
      <c r="R64" s="276"/>
    </row>
    <row r="65" spans="1:18" ht="184.5" thickTop="1" thickBot="1" x14ac:dyDescent="0.25">
      <c r="A65" s="224" t="s">
        <v>720</v>
      </c>
      <c r="B65" s="224" t="s">
        <v>721</v>
      </c>
      <c r="C65" s="224" t="s">
        <v>222</v>
      </c>
      <c r="D65" s="224" t="s">
        <v>722</v>
      </c>
      <c r="E65" s="443">
        <f>F65</f>
        <v>1120505</v>
      </c>
      <c r="F65" s="444">
        <f>(767530+131100+42455+13580+131295+7180+20985+1980+4400)</f>
        <v>1120505</v>
      </c>
      <c r="G65" s="444">
        <v>629125</v>
      </c>
      <c r="H65" s="444">
        <v>161440</v>
      </c>
      <c r="I65" s="444"/>
      <c r="J65" s="485">
        <f>L65+O65</f>
        <v>0</v>
      </c>
      <c r="K65" s="444"/>
      <c r="L65" s="444"/>
      <c r="M65" s="444"/>
      <c r="N65" s="444"/>
      <c r="O65" s="487">
        <f>K65</f>
        <v>0</v>
      </c>
      <c r="P65" s="485">
        <f>E65+J65</f>
        <v>1120505</v>
      </c>
      <c r="R65" s="255"/>
    </row>
    <row r="66" spans="1:18" ht="138.75" thickTop="1" thickBot="1" x14ac:dyDescent="0.25">
      <c r="A66" s="688" t="s">
        <v>723</v>
      </c>
      <c r="B66" s="688" t="s">
        <v>724</v>
      </c>
      <c r="C66" s="688" t="s">
        <v>222</v>
      </c>
      <c r="D66" s="688" t="s">
        <v>725</v>
      </c>
      <c r="E66" s="691">
        <f>F66</f>
        <v>4602470</v>
      </c>
      <c r="F66" s="444">
        <f>(5189600+24500)-611630</f>
        <v>4602470</v>
      </c>
      <c r="G66" s="444">
        <f>(4253770+24500)-501334</f>
        <v>3776936</v>
      </c>
      <c r="H66" s="444"/>
      <c r="I66" s="444"/>
      <c r="J66" s="691">
        <f t="shared" ref="J66" si="49">L66+O66</f>
        <v>0</v>
      </c>
      <c r="K66" s="444"/>
      <c r="L66" s="444"/>
      <c r="M66" s="444"/>
      <c r="N66" s="444"/>
      <c r="O66" s="689">
        <f t="shared" ref="O66" si="50">K66</f>
        <v>0</v>
      </c>
      <c r="P66" s="691">
        <f t="shared" ref="P66" si="51">E66+J66</f>
        <v>4602470</v>
      </c>
      <c r="R66" s="267"/>
    </row>
    <row r="67" spans="1:18" ht="138.75" thickTop="1" thickBot="1" x14ac:dyDescent="0.25">
      <c r="A67" s="224" t="s">
        <v>690</v>
      </c>
      <c r="B67" s="224" t="s">
        <v>691</v>
      </c>
      <c r="C67" s="224" t="s">
        <v>222</v>
      </c>
      <c r="D67" s="224" t="s">
        <v>692</v>
      </c>
      <c r="E67" s="443">
        <f t="shared" ref="E67" si="52">F67</f>
        <v>3056165</v>
      </c>
      <c r="F67" s="444">
        <f>(2757200+90130+98500+20000+60965+4155+18515+4500+2200)</f>
        <v>3056165</v>
      </c>
      <c r="G67" s="444">
        <v>2260000</v>
      </c>
      <c r="H67" s="444">
        <v>88135</v>
      </c>
      <c r="I67" s="444"/>
      <c r="J67" s="485">
        <f t="shared" ref="J67" si="53">L67+O67</f>
        <v>0</v>
      </c>
      <c r="K67" s="444"/>
      <c r="L67" s="444"/>
      <c r="M67" s="444"/>
      <c r="N67" s="444"/>
      <c r="O67" s="487">
        <f t="shared" ref="O67" si="54">K67</f>
        <v>0</v>
      </c>
      <c r="P67" s="485">
        <f t="shared" ref="P67" si="55">E67+J67</f>
        <v>3056165</v>
      </c>
      <c r="R67" s="255"/>
    </row>
    <row r="68" spans="1:18" s="272" customFormat="1" ht="230.25" hidden="1" thickTop="1" thickBot="1" x14ac:dyDescent="0.25">
      <c r="A68" s="279" t="s">
        <v>695</v>
      </c>
      <c r="B68" s="279" t="s">
        <v>696</v>
      </c>
      <c r="C68" s="279"/>
      <c r="D68" s="279" t="s">
        <v>697</v>
      </c>
      <c r="E68" s="275">
        <f t="shared" ref="E68:E81" si="56">F68</f>
        <v>0</v>
      </c>
      <c r="F68" s="275">
        <f>SUM(F69:F70)</f>
        <v>0</v>
      </c>
      <c r="G68" s="275">
        <f t="shared" ref="G68:I68" si="57">SUM(G69:G70)</f>
        <v>0</v>
      </c>
      <c r="H68" s="275">
        <f t="shared" si="57"/>
        <v>0</v>
      </c>
      <c r="I68" s="275">
        <f t="shared" si="57"/>
        <v>0</v>
      </c>
      <c r="J68" s="275">
        <f t="shared" si="24"/>
        <v>0</v>
      </c>
      <c r="K68" s="472">
        <f>SUM(K69:K70)</f>
        <v>0</v>
      </c>
      <c r="L68" s="275">
        <f t="shared" ref="L68:N68" si="58">SUM(L69:L70)</f>
        <v>0</v>
      </c>
      <c r="M68" s="275">
        <f t="shared" si="58"/>
        <v>0</v>
      </c>
      <c r="N68" s="275">
        <f t="shared" si="58"/>
        <v>0</v>
      </c>
      <c r="O68" s="275">
        <f>SUM(O69:O70)</f>
        <v>0</v>
      </c>
      <c r="P68" s="275">
        <f t="shared" ref="P68:P73" si="59">E68+J68</f>
        <v>0</v>
      </c>
      <c r="Q68" s="624"/>
      <c r="R68" s="280"/>
    </row>
    <row r="69" spans="1:18" s="272" customFormat="1" ht="367.5" hidden="1" thickTop="1" thickBot="1" x14ac:dyDescent="0.25">
      <c r="A69" s="259" t="s">
        <v>698</v>
      </c>
      <c r="B69" s="259" t="s">
        <v>699</v>
      </c>
      <c r="C69" s="259" t="s">
        <v>222</v>
      </c>
      <c r="D69" s="259" t="s">
        <v>700</v>
      </c>
      <c r="E69" s="256">
        <f t="shared" si="56"/>
        <v>0</v>
      </c>
      <c r="F69" s="278"/>
      <c r="G69" s="278"/>
      <c r="H69" s="278"/>
      <c r="I69" s="278"/>
      <c r="J69" s="256">
        <f t="shared" si="24"/>
        <v>0</v>
      </c>
      <c r="K69" s="444"/>
      <c r="L69" s="278"/>
      <c r="M69" s="278"/>
      <c r="N69" s="278"/>
      <c r="O69" s="262">
        <f t="shared" ref="O69:O70" si="60">K69</f>
        <v>0</v>
      </c>
      <c r="P69" s="256">
        <f t="shared" si="59"/>
        <v>0</v>
      </c>
      <c r="Q69" s="624"/>
      <c r="R69" s="255"/>
    </row>
    <row r="70" spans="1:18" s="272" customFormat="1" ht="321.75" hidden="1" thickTop="1" thickBot="1" x14ac:dyDescent="0.25">
      <c r="A70" s="259" t="s">
        <v>1055</v>
      </c>
      <c r="B70" s="259" t="s">
        <v>1056</v>
      </c>
      <c r="C70" s="259" t="s">
        <v>222</v>
      </c>
      <c r="D70" s="259" t="s">
        <v>1057</v>
      </c>
      <c r="E70" s="256">
        <f t="shared" si="56"/>
        <v>0</v>
      </c>
      <c r="F70" s="278"/>
      <c r="G70" s="278"/>
      <c r="H70" s="278"/>
      <c r="I70" s="278"/>
      <c r="J70" s="256">
        <f t="shared" si="24"/>
        <v>0</v>
      </c>
      <c r="K70" s="444"/>
      <c r="L70" s="278"/>
      <c r="M70" s="278"/>
      <c r="N70" s="278"/>
      <c r="O70" s="262">
        <f t="shared" si="60"/>
        <v>0</v>
      </c>
      <c r="P70" s="256">
        <f t="shared" si="59"/>
        <v>0</v>
      </c>
      <c r="Q70" s="624"/>
      <c r="R70" s="255"/>
    </row>
    <row r="71" spans="1:18" s="272" customFormat="1" ht="409.6" hidden="1" thickTop="1" thickBot="1" x14ac:dyDescent="0.25">
      <c r="A71" s="279" t="s">
        <v>1076</v>
      </c>
      <c r="B71" s="279" t="s">
        <v>1078</v>
      </c>
      <c r="C71" s="279"/>
      <c r="D71" s="279" t="s">
        <v>1080</v>
      </c>
      <c r="E71" s="275">
        <f>E72+E73</f>
        <v>0</v>
      </c>
      <c r="F71" s="275">
        <f>F72+F73</f>
        <v>0</v>
      </c>
      <c r="G71" s="275">
        <f t="shared" ref="G71:I71" si="61">G72+G73</f>
        <v>0</v>
      </c>
      <c r="H71" s="275">
        <f t="shared" si="61"/>
        <v>0</v>
      </c>
      <c r="I71" s="275">
        <f t="shared" si="61"/>
        <v>0</v>
      </c>
      <c r="J71" s="275">
        <f>L71+O71</f>
        <v>0</v>
      </c>
      <c r="K71" s="472">
        <f t="shared" ref="K71:O71" si="62">K72+K73</f>
        <v>0</v>
      </c>
      <c r="L71" s="275">
        <f t="shared" si="62"/>
        <v>0</v>
      </c>
      <c r="M71" s="275">
        <f t="shared" si="62"/>
        <v>0</v>
      </c>
      <c r="N71" s="275">
        <f t="shared" si="62"/>
        <v>0</v>
      </c>
      <c r="O71" s="275">
        <f t="shared" si="62"/>
        <v>0</v>
      </c>
      <c r="P71" s="275">
        <f t="shared" si="59"/>
        <v>0</v>
      </c>
      <c r="Q71" s="624"/>
      <c r="R71" s="255"/>
    </row>
    <row r="72" spans="1:18" s="272" customFormat="1" ht="409.6" hidden="1" thickTop="1" thickBot="1" x14ac:dyDescent="0.25">
      <c r="A72" s="259" t="s">
        <v>1077</v>
      </c>
      <c r="B72" s="259" t="s">
        <v>1079</v>
      </c>
      <c r="C72" s="259" t="s">
        <v>222</v>
      </c>
      <c r="D72" s="259" t="s">
        <v>1081</v>
      </c>
      <c r="E72" s="256">
        <f t="shared" ref="E72" si="63">F72</f>
        <v>0</v>
      </c>
      <c r="F72" s="278"/>
      <c r="G72" s="278"/>
      <c r="H72" s="278"/>
      <c r="I72" s="278"/>
      <c r="J72" s="256">
        <f t="shared" ref="J72" si="64">L72+O72</f>
        <v>0</v>
      </c>
      <c r="K72" s="444">
        <f>4547046.18-4547046.18</f>
        <v>0</v>
      </c>
      <c r="L72" s="278"/>
      <c r="M72" s="278"/>
      <c r="N72" s="278"/>
      <c r="O72" s="262">
        <f t="shared" ref="O72" si="65">K72</f>
        <v>0</v>
      </c>
      <c r="P72" s="256">
        <f t="shared" si="59"/>
        <v>0</v>
      </c>
      <c r="Q72" s="624"/>
      <c r="R72" s="255"/>
    </row>
    <row r="73" spans="1:18" s="272" customFormat="1" ht="45.75" hidden="1" thickTop="1" x14ac:dyDescent="0.2">
      <c r="A73" s="911" t="s">
        <v>1097</v>
      </c>
      <c r="B73" s="911" t="s">
        <v>1098</v>
      </c>
      <c r="C73" s="911" t="s">
        <v>222</v>
      </c>
      <c r="D73" s="911" t="s">
        <v>1099</v>
      </c>
      <c r="E73" s="903">
        <f t="shared" ref="E73" si="66">F73</f>
        <v>0</v>
      </c>
      <c r="F73" s="903"/>
      <c r="G73" s="903"/>
      <c r="H73" s="903"/>
      <c r="I73" s="903"/>
      <c r="J73" s="903">
        <f t="shared" ref="J73" si="67">L73+O73</f>
        <v>0</v>
      </c>
      <c r="K73" s="915">
        <f>10623233.82-10623233.82</f>
        <v>0</v>
      </c>
      <c r="L73" s="903"/>
      <c r="M73" s="903"/>
      <c r="N73" s="903"/>
      <c r="O73" s="906">
        <f t="shared" ref="O73" si="68">K73</f>
        <v>0</v>
      </c>
      <c r="P73" s="903">
        <f t="shared" si="59"/>
        <v>0</v>
      </c>
      <c r="Q73" s="624"/>
      <c r="R73" s="255"/>
    </row>
    <row r="74" spans="1:18" s="272" customFormat="1" ht="45.75" hidden="1" thickBot="1" x14ac:dyDescent="0.25">
      <c r="A74" s="905"/>
      <c r="B74" s="905"/>
      <c r="C74" s="905"/>
      <c r="D74" s="905"/>
      <c r="E74" s="905"/>
      <c r="F74" s="905"/>
      <c r="G74" s="905"/>
      <c r="H74" s="905"/>
      <c r="I74" s="905"/>
      <c r="J74" s="905"/>
      <c r="K74" s="916"/>
      <c r="L74" s="905"/>
      <c r="M74" s="905"/>
      <c r="N74" s="905"/>
      <c r="O74" s="908"/>
      <c r="P74" s="905"/>
      <c r="Q74" s="624"/>
      <c r="R74" s="255"/>
    </row>
    <row r="75" spans="1:18" s="272" customFormat="1" ht="321.75" thickTop="1" thickBot="1" x14ac:dyDescent="0.25">
      <c r="A75" s="733" t="s">
        <v>687</v>
      </c>
      <c r="B75" s="733" t="s">
        <v>688</v>
      </c>
      <c r="C75" s="733" t="s">
        <v>222</v>
      </c>
      <c r="D75" s="733" t="s">
        <v>689</v>
      </c>
      <c r="E75" s="730">
        <f t="shared" si="56"/>
        <v>4309556</v>
      </c>
      <c r="F75" s="444">
        <f>(4788308)-478752</f>
        <v>4309556</v>
      </c>
      <c r="G75" s="444">
        <f>(3924850)-392420</f>
        <v>3532430</v>
      </c>
      <c r="H75" s="444"/>
      <c r="I75" s="444"/>
      <c r="J75" s="730">
        <f t="shared" ref="J75" si="69">L75+O75</f>
        <v>1530916</v>
      </c>
      <c r="K75" s="444">
        <f>(1701336)-170420</f>
        <v>1530916</v>
      </c>
      <c r="L75" s="444"/>
      <c r="M75" s="444"/>
      <c r="N75" s="444"/>
      <c r="O75" s="734">
        <f t="shared" ref="O75" si="70">K75</f>
        <v>1530916</v>
      </c>
      <c r="P75" s="730">
        <f t="shared" ref="P75" si="71">E75+J75</f>
        <v>5840472</v>
      </c>
      <c r="Q75" s="624"/>
      <c r="R75" s="255"/>
    </row>
    <row r="76" spans="1:18" s="272" customFormat="1" ht="321.75" hidden="1" thickTop="1" thickBot="1" x14ac:dyDescent="0.25">
      <c r="A76" s="259" t="s">
        <v>1006</v>
      </c>
      <c r="B76" s="259" t="s">
        <v>1007</v>
      </c>
      <c r="C76" s="259" t="s">
        <v>222</v>
      </c>
      <c r="D76" s="259" t="s">
        <v>1008</v>
      </c>
      <c r="E76" s="256">
        <f t="shared" ref="E76" si="72">F76</f>
        <v>0</v>
      </c>
      <c r="F76" s="278"/>
      <c r="G76" s="278"/>
      <c r="H76" s="278"/>
      <c r="I76" s="278"/>
      <c r="J76" s="256">
        <f t="shared" ref="J76" si="73">L76+O76</f>
        <v>0</v>
      </c>
      <c r="K76" s="444"/>
      <c r="L76" s="278"/>
      <c r="M76" s="278"/>
      <c r="N76" s="278"/>
      <c r="O76" s="262">
        <f t="shared" ref="O76" si="74">K76</f>
        <v>0</v>
      </c>
      <c r="P76" s="256">
        <f t="shared" ref="P76" si="75">E76+J76</f>
        <v>0</v>
      </c>
      <c r="Q76" s="624"/>
      <c r="R76" s="255"/>
    </row>
    <row r="77" spans="1:18" s="272" customFormat="1" ht="91.5" hidden="1" thickTop="1" thickBot="1" x14ac:dyDescent="0.25">
      <c r="A77" s="250" t="s">
        <v>753</v>
      </c>
      <c r="B77" s="250" t="s">
        <v>754</v>
      </c>
      <c r="C77" s="250"/>
      <c r="D77" s="250" t="s">
        <v>755</v>
      </c>
      <c r="E77" s="256">
        <f>SUM(E78)</f>
        <v>0</v>
      </c>
      <c r="F77" s="256">
        <f t="shared" ref="F77:O77" si="76">SUM(F78)</f>
        <v>0</v>
      </c>
      <c r="G77" s="256">
        <f t="shared" si="76"/>
        <v>0</v>
      </c>
      <c r="H77" s="256">
        <f t="shared" si="76"/>
        <v>0</v>
      </c>
      <c r="I77" s="256">
        <f t="shared" si="76"/>
        <v>0</v>
      </c>
      <c r="J77" s="256">
        <f t="shared" si="76"/>
        <v>0</v>
      </c>
      <c r="K77" s="485">
        <f t="shared" si="76"/>
        <v>0</v>
      </c>
      <c r="L77" s="256">
        <f t="shared" si="76"/>
        <v>0</v>
      </c>
      <c r="M77" s="256">
        <f t="shared" si="76"/>
        <v>0</v>
      </c>
      <c r="N77" s="256">
        <f t="shared" si="76"/>
        <v>0</v>
      </c>
      <c r="O77" s="256">
        <f t="shared" si="76"/>
        <v>0</v>
      </c>
      <c r="P77" s="256">
        <f>SUM(P78)</f>
        <v>0</v>
      </c>
      <c r="Q77" s="624"/>
      <c r="R77" s="255"/>
    </row>
    <row r="78" spans="1:18" s="272" customFormat="1" ht="367.5" hidden="1" thickTop="1" thickBot="1" x14ac:dyDescent="0.25">
      <c r="A78" s="259" t="s">
        <v>447</v>
      </c>
      <c r="B78" s="259" t="s">
        <v>448</v>
      </c>
      <c r="C78" s="259" t="s">
        <v>197</v>
      </c>
      <c r="D78" s="259" t="s">
        <v>446</v>
      </c>
      <c r="E78" s="256">
        <f t="shared" si="56"/>
        <v>0</v>
      </c>
      <c r="F78" s="278">
        <f>(2688000)-2688000</f>
        <v>0</v>
      </c>
      <c r="G78" s="278"/>
      <c r="H78" s="278"/>
      <c r="I78" s="278"/>
      <c r="J78" s="256">
        <f>L78+O78</f>
        <v>0</v>
      </c>
      <c r="K78" s="444"/>
      <c r="L78" s="278"/>
      <c r="M78" s="278"/>
      <c r="N78" s="278"/>
      <c r="O78" s="262">
        <f>K78</f>
        <v>0</v>
      </c>
      <c r="P78" s="256">
        <f>E78+J78</f>
        <v>0</v>
      </c>
      <c r="Q78" s="624"/>
      <c r="R78" s="284"/>
    </row>
    <row r="79" spans="1:18" s="272" customFormat="1" ht="230.25" hidden="1" thickTop="1" thickBot="1" x14ac:dyDescent="0.25">
      <c r="A79" s="279" t="s">
        <v>1082</v>
      </c>
      <c r="B79" s="279" t="s">
        <v>1084</v>
      </c>
      <c r="C79" s="279"/>
      <c r="D79" s="279" t="s">
        <v>1086</v>
      </c>
      <c r="E79" s="275">
        <f t="shared" si="56"/>
        <v>0</v>
      </c>
      <c r="F79" s="275">
        <f>SUM(F80:F81)</f>
        <v>0</v>
      </c>
      <c r="G79" s="275">
        <f>SUM(G80:G81)</f>
        <v>0</v>
      </c>
      <c r="H79" s="275">
        <f>SUM(H80:H81)</f>
        <v>0</v>
      </c>
      <c r="I79" s="275">
        <f>SUM(I80:I81)</f>
        <v>0</v>
      </c>
      <c r="J79" s="275">
        <f>L79+O79</f>
        <v>0</v>
      </c>
      <c r="K79" s="472">
        <f>SUM(K80:K81)</f>
        <v>0</v>
      </c>
      <c r="L79" s="275">
        <f>SUM(L80:L81)</f>
        <v>0</v>
      </c>
      <c r="M79" s="275">
        <f>SUM(M80:M81)</f>
        <v>0</v>
      </c>
      <c r="N79" s="275">
        <f>SUM(N80:N81)</f>
        <v>0</v>
      </c>
      <c r="O79" s="275">
        <f>SUM(O80:O81)</f>
        <v>0</v>
      </c>
      <c r="P79" s="275">
        <f>E79+J79</f>
        <v>0</v>
      </c>
      <c r="Q79" s="624"/>
      <c r="R79" s="284"/>
    </row>
    <row r="80" spans="1:18" s="272" customFormat="1" ht="367.5" hidden="1" thickTop="1" thickBot="1" x14ac:dyDescent="0.25">
      <c r="A80" s="259" t="s">
        <v>1083</v>
      </c>
      <c r="B80" s="259" t="s">
        <v>1085</v>
      </c>
      <c r="C80" s="259" t="s">
        <v>222</v>
      </c>
      <c r="D80" s="259" t="s">
        <v>1087</v>
      </c>
      <c r="E80" s="256">
        <f t="shared" si="56"/>
        <v>0</v>
      </c>
      <c r="F80" s="278"/>
      <c r="G80" s="278"/>
      <c r="H80" s="278"/>
      <c r="I80" s="278"/>
      <c r="J80" s="256">
        <f t="shared" ref="J80:J81" si="77">L80+O80</f>
        <v>0</v>
      </c>
      <c r="K80" s="444"/>
      <c r="L80" s="278"/>
      <c r="M80" s="278"/>
      <c r="N80" s="278"/>
      <c r="O80" s="262">
        <f t="shared" ref="O80:O81" si="78">K80</f>
        <v>0</v>
      </c>
      <c r="P80" s="256">
        <f>E80+J80</f>
        <v>0</v>
      </c>
      <c r="Q80" s="624"/>
      <c r="R80" s="255"/>
    </row>
    <row r="81" spans="1:18" s="272" customFormat="1" ht="321.75" hidden="1" thickTop="1" thickBot="1" x14ac:dyDescent="0.25">
      <c r="A81" s="259" t="s">
        <v>1138</v>
      </c>
      <c r="B81" s="259" t="s">
        <v>1139</v>
      </c>
      <c r="C81" s="259" t="s">
        <v>222</v>
      </c>
      <c r="D81" s="259" t="s">
        <v>1137</v>
      </c>
      <c r="E81" s="256">
        <f t="shared" si="56"/>
        <v>0</v>
      </c>
      <c r="F81" s="278">
        <f>(553900)-553900</f>
        <v>0</v>
      </c>
      <c r="G81" s="278"/>
      <c r="H81" s="278"/>
      <c r="I81" s="278"/>
      <c r="J81" s="256">
        <f t="shared" si="77"/>
        <v>0</v>
      </c>
      <c r="K81" s="444"/>
      <c r="L81" s="278"/>
      <c r="M81" s="278"/>
      <c r="N81" s="278"/>
      <c r="O81" s="262">
        <f t="shared" si="78"/>
        <v>0</v>
      </c>
      <c r="P81" s="256">
        <f>E81+J81</f>
        <v>0</v>
      </c>
      <c r="Q81" s="624"/>
      <c r="R81" s="255"/>
    </row>
    <row r="82" spans="1:18" s="272" customFormat="1" ht="47.25" thickTop="1" thickBot="1" x14ac:dyDescent="0.25">
      <c r="A82" s="151" t="s">
        <v>1192</v>
      </c>
      <c r="B82" s="151" t="s">
        <v>792</v>
      </c>
      <c r="C82" s="151"/>
      <c r="D82" s="151" t="s">
        <v>1191</v>
      </c>
      <c r="E82" s="485">
        <f>E83+E86</f>
        <v>0</v>
      </c>
      <c r="F82" s="485">
        <f t="shared" ref="F82:P82" si="79">F83+F86</f>
        <v>0</v>
      </c>
      <c r="G82" s="485">
        <f t="shared" si="79"/>
        <v>0</v>
      </c>
      <c r="H82" s="485">
        <f t="shared" si="79"/>
        <v>0</v>
      </c>
      <c r="I82" s="485">
        <f t="shared" si="79"/>
        <v>0</v>
      </c>
      <c r="J82" s="485">
        <f t="shared" si="79"/>
        <v>53898000</v>
      </c>
      <c r="K82" s="485">
        <f t="shared" si="79"/>
        <v>53898000</v>
      </c>
      <c r="L82" s="485">
        <f t="shared" si="79"/>
        <v>0</v>
      </c>
      <c r="M82" s="485">
        <f t="shared" si="79"/>
        <v>0</v>
      </c>
      <c r="N82" s="485">
        <f t="shared" si="79"/>
        <v>0</v>
      </c>
      <c r="O82" s="485">
        <f t="shared" si="79"/>
        <v>53898000</v>
      </c>
      <c r="P82" s="485">
        <f t="shared" si="79"/>
        <v>53898000</v>
      </c>
      <c r="Q82" s="624"/>
      <c r="R82" s="255"/>
    </row>
    <row r="83" spans="1:18" s="272" customFormat="1" ht="91.5" thickTop="1" thickBot="1" x14ac:dyDescent="0.25">
      <c r="A83" s="467" t="s">
        <v>1190</v>
      </c>
      <c r="B83" s="467" t="s">
        <v>848</v>
      </c>
      <c r="C83" s="467"/>
      <c r="D83" s="467" t="s">
        <v>849</v>
      </c>
      <c r="E83" s="468">
        <f>E84</f>
        <v>0</v>
      </c>
      <c r="F83" s="468">
        <f t="shared" ref="F83:P84" si="80">F84</f>
        <v>0</v>
      </c>
      <c r="G83" s="468">
        <f t="shared" si="80"/>
        <v>0</v>
      </c>
      <c r="H83" s="468">
        <f t="shared" si="80"/>
        <v>0</v>
      </c>
      <c r="I83" s="468">
        <f t="shared" si="80"/>
        <v>0</v>
      </c>
      <c r="J83" s="468">
        <f t="shared" si="80"/>
        <v>3068000</v>
      </c>
      <c r="K83" s="468">
        <f t="shared" si="80"/>
        <v>3068000</v>
      </c>
      <c r="L83" s="468">
        <f t="shared" si="80"/>
        <v>0</v>
      </c>
      <c r="M83" s="468">
        <f t="shared" si="80"/>
        <v>0</v>
      </c>
      <c r="N83" s="468">
        <f t="shared" si="80"/>
        <v>0</v>
      </c>
      <c r="O83" s="468">
        <f t="shared" si="80"/>
        <v>3068000</v>
      </c>
      <c r="P83" s="468">
        <f t="shared" si="80"/>
        <v>3068000</v>
      </c>
      <c r="Q83" s="624"/>
      <c r="R83" s="255"/>
    </row>
    <row r="84" spans="1:18" s="272" customFormat="1" ht="145.5" thickTop="1" thickBot="1" x14ac:dyDescent="0.25">
      <c r="A84" s="489" t="s">
        <v>1193</v>
      </c>
      <c r="B84" s="489" t="s">
        <v>867</v>
      </c>
      <c r="C84" s="489"/>
      <c r="D84" s="489" t="s">
        <v>1194</v>
      </c>
      <c r="E84" s="472">
        <f>E85</f>
        <v>0</v>
      </c>
      <c r="F84" s="472">
        <f t="shared" si="80"/>
        <v>0</v>
      </c>
      <c r="G84" s="472">
        <f t="shared" si="80"/>
        <v>0</v>
      </c>
      <c r="H84" s="472">
        <f t="shared" si="80"/>
        <v>0</v>
      </c>
      <c r="I84" s="472">
        <f t="shared" si="80"/>
        <v>0</v>
      </c>
      <c r="J84" s="472">
        <f t="shared" si="80"/>
        <v>3068000</v>
      </c>
      <c r="K84" s="472">
        <f t="shared" si="80"/>
        <v>3068000</v>
      </c>
      <c r="L84" s="472">
        <f t="shared" si="80"/>
        <v>0</v>
      </c>
      <c r="M84" s="472">
        <f t="shared" si="80"/>
        <v>0</v>
      </c>
      <c r="N84" s="472">
        <f t="shared" si="80"/>
        <v>0</v>
      </c>
      <c r="O84" s="472">
        <f t="shared" si="80"/>
        <v>3068000</v>
      </c>
      <c r="P84" s="472">
        <f t="shared" si="80"/>
        <v>3068000</v>
      </c>
      <c r="Q84" s="624"/>
      <c r="R84" s="255"/>
    </row>
    <row r="85" spans="1:18" s="272" customFormat="1" ht="99.75" thickTop="1" thickBot="1" x14ac:dyDescent="0.25">
      <c r="A85" s="483" t="s">
        <v>1206</v>
      </c>
      <c r="B85" s="489" t="s">
        <v>324</v>
      </c>
      <c r="C85" s="483" t="s">
        <v>317</v>
      </c>
      <c r="D85" s="483" t="s">
        <v>665</v>
      </c>
      <c r="E85" s="485">
        <f t="shared" ref="E85" si="81">F85</f>
        <v>0</v>
      </c>
      <c r="F85" s="444"/>
      <c r="G85" s="444"/>
      <c r="H85" s="444"/>
      <c r="I85" s="444"/>
      <c r="J85" s="485">
        <f t="shared" ref="J85" si="82">L85+O85</f>
        <v>3068000</v>
      </c>
      <c r="K85" s="444">
        <f>(700000+200000+1168000+300000+700000)</f>
        <v>3068000</v>
      </c>
      <c r="L85" s="444"/>
      <c r="M85" s="444"/>
      <c r="N85" s="444"/>
      <c r="O85" s="487">
        <f t="shared" ref="O85" si="83">K85</f>
        <v>3068000</v>
      </c>
      <c r="P85" s="485">
        <f>E85+J85</f>
        <v>3068000</v>
      </c>
      <c r="Q85" s="617"/>
      <c r="R85" s="255"/>
    </row>
    <row r="86" spans="1:18" s="272" customFormat="1" ht="136.5" thickTop="1" thickBot="1" x14ac:dyDescent="0.25">
      <c r="A86" s="467" t="s">
        <v>1195</v>
      </c>
      <c r="B86" s="467" t="s">
        <v>734</v>
      </c>
      <c r="C86" s="467"/>
      <c r="D86" s="467" t="s">
        <v>732</v>
      </c>
      <c r="E86" s="468">
        <f>E87</f>
        <v>0</v>
      </c>
      <c r="F86" s="468">
        <f t="shared" ref="F86:P86" si="84">F87</f>
        <v>0</v>
      </c>
      <c r="G86" s="468">
        <f t="shared" si="84"/>
        <v>0</v>
      </c>
      <c r="H86" s="468">
        <f t="shared" si="84"/>
        <v>0</v>
      </c>
      <c r="I86" s="468">
        <f t="shared" si="84"/>
        <v>0</v>
      </c>
      <c r="J86" s="468">
        <f t="shared" si="84"/>
        <v>50830000</v>
      </c>
      <c r="K86" s="468">
        <f t="shared" si="84"/>
        <v>50830000</v>
      </c>
      <c r="L86" s="468">
        <f t="shared" si="84"/>
        <v>0</v>
      </c>
      <c r="M86" s="468">
        <f t="shared" si="84"/>
        <v>0</v>
      </c>
      <c r="N86" s="468">
        <f t="shared" si="84"/>
        <v>0</v>
      </c>
      <c r="O86" s="468">
        <f t="shared" si="84"/>
        <v>50830000</v>
      </c>
      <c r="P86" s="468">
        <f t="shared" si="84"/>
        <v>50830000</v>
      </c>
      <c r="Q86" s="617"/>
      <c r="R86" s="255"/>
    </row>
    <row r="87" spans="1:18" s="272" customFormat="1" ht="48" thickTop="1" thickBot="1" x14ac:dyDescent="0.25">
      <c r="A87" s="483" t="s">
        <v>1196</v>
      </c>
      <c r="B87" s="489" t="s">
        <v>224</v>
      </c>
      <c r="C87" s="483" t="s">
        <v>225</v>
      </c>
      <c r="D87" s="483" t="s">
        <v>43</v>
      </c>
      <c r="E87" s="485">
        <f t="shared" ref="E87" si="85">F87</f>
        <v>0</v>
      </c>
      <c r="F87" s="444"/>
      <c r="G87" s="444"/>
      <c r="H87" s="444"/>
      <c r="I87" s="444"/>
      <c r="J87" s="485">
        <f t="shared" ref="J87" si="86">L87+O87</f>
        <v>50830000</v>
      </c>
      <c r="K87" s="444">
        <v>50830000</v>
      </c>
      <c r="L87" s="444"/>
      <c r="M87" s="444"/>
      <c r="N87" s="444"/>
      <c r="O87" s="487">
        <f t="shared" ref="O87" si="87">K87</f>
        <v>50830000</v>
      </c>
      <c r="P87" s="485">
        <f>E87+J87</f>
        <v>50830000</v>
      </c>
      <c r="Q87" s="617"/>
      <c r="R87" s="255"/>
    </row>
    <row r="88" spans="1:18" s="272" customFormat="1" ht="47.25" hidden="1" thickTop="1" thickBot="1" x14ac:dyDescent="0.25">
      <c r="A88" s="250" t="s">
        <v>1111</v>
      </c>
      <c r="B88" s="250" t="s">
        <v>745</v>
      </c>
      <c r="C88" s="250"/>
      <c r="D88" s="250" t="s">
        <v>746</v>
      </c>
      <c r="E88" s="256">
        <f>E89</f>
        <v>0</v>
      </c>
      <c r="F88" s="256">
        <f t="shared" ref="F88:P89" si="88">F89</f>
        <v>0</v>
      </c>
      <c r="G88" s="256">
        <f t="shared" si="88"/>
        <v>0</v>
      </c>
      <c r="H88" s="256">
        <f t="shared" si="88"/>
        <v>0</v>
      </c>
      <c r="I88" s="256">
        <f t="shared" si="88"/>
        <v>0</v>
      </c>
      <c r="J88" s="256">
        <f t="shared" si="88"/>
        <v>0</v>
      </c>
      <c r="K88" s="256">
        <f t="shared" si="88"/>
        <v>0</v>
      </c>
      <c r="L88" s="256">
        <f t="shared" si="88"/>
        <v>0</v>
      </c>
      <c r="M88" s="256">
        <f t="shared" si="88"/>
        <v>0</v>
      </c>
      <c r="N88" s="256">
        <f t="shared" si="88"/>
        <v>0</v>
      </c>
      <c r="O88" s="256">
        <f t="shared" si="88"/>
        <v>0</v>
      </c>
      <c r="P88" s="256">
        <f t="shared" si="88"/>
        <v>0</v>
      </c>
      <c r="Q88" s="624"/>
      <c r="R88" s="255"/>
    </row>
    <row r="89" spans="1:18" s="272" customFormat="1" ht="271.5" hidden="1" thickTop="1" thickBot="1" x14ac:dyDescent="0.25">
      <c r="A89" s="253" t="s">
        <v>1112</v>
      </c>
      <c r="B89" s="253" t="s">
        <v>748</v>
      </c>
      <c r="C89" s="253"/>
      <c r="D89" s="253" t="s">
        <v>749</v>
      </c>
      <c r="E89" s="270">
        <f>E90</f>
        <v>0</v>
      </c>
      <c r="F89" s="270">
        <f t="shared" si="88"/>
        <v>0</v>
      </c>
      <c r="G89" s="270">
        <f t="shared" si="88"/>
        <v>0</v>
      </c>
      <c r="H89" s="270">
        <f t="shared" si="88"/>
        <v>0</v>
      </c>
      <c r="I89" s="270">
        <f t="shared" si="88"/>
        <v>0</v>
      </c>
      <c r="J89" s="270">
        <f t="shared" si="88"/>
        <v>0</v>
      </c>
      <c r="K89" s="270">
        <f t="shared" si="88"/>
        <v>0</v>
      </c>
      <c r="L89" s="270">
        <f t="shared" si="88"/>
        <v>0</v>
      </c>
      <c r="M89" s="270">
        <f t="shared" si="88"/>
        <v>0</v>
      </c>
      <c r="N89" s="270">
        <f t="shared" si="88"/>
        <v>0</v>
      </c>
      <c r="O89" s="270">
        <f t="shared" si="88"/>
        <v>0</v>
      </c>
      <c r="P89" s="270">
        <f t="shared" si="88"/>
        <v>0</v>
      </c>
      <c r="Q89" s="624"/>
      <c r="R89" s="255"/>
    </row>
    <row r="90" spans="1:18" s="272" customFormat="1" ht="93" hidden="1" thickTop="1" thickBot="1" x14ac:dyDescent="0.25">
      <c r="A90" s="259" t="s">
        <v>1113</v>
      </c>
      <c r="B90" s="259" t="s">
        <v>377</v>
      </c>
      <c r="C90" s="259" t="s">
        <v>45</v>
      </c>
      <c r="D90" s="259" t="s">
        <v>378</v>
      </c>
      <c r="E90" s="256">
        <f t="shared" ref="E90" si="89">F90</f>
        <v>0</v>
      </c>
      <c r="F90" s="278"/>
      <c r="G90" s="278"/>
      <c r="H90" s="278"/>
      <c r="I90" s="278"/>
      <c r="J90" s="256">
        <f>L90+O90</f>
        <v>0</v>
      </c>
      <c r="K90" s="278"/>
      <c r="L90" s="278"/>
      <c r="M90" s="278"/>
      <c r="N90" s="278"/>
      <c r="O90" s="262">
        <f>K90</f>
        <v>0</v>
      </c>
      <c r="P90" s="256">
        <f>E90+J90</f>
        <v>0</v>
      </c>
      <c r="Q90" s="624"/>
      <c r="R90" s="255"/>
    </row>
    <row r="91" spans="1:18" ht="136.5" thickTop="1" thickBot="1" x14ac:dyDescent="0.25">
      <c r="A91" s="828" t="s">
        <v>162</v>
      </c>
      <c r="B91" s="828"/>
      <c r="C91" s="828"/>
      <c r="D91" s="829" t="s">
        <v>18</v>
      </c>
      <c r="E91" s="830">
        <f>E92</f>
        <v>103687691</v>
      </c>
      <c r="F91" s="831">
        <f t="shared" ref="F91:G91" si="90">F92</f>
        <v>103687691</v>
      </c>
      <c r="G91" s="831">
        <f t="shared" si="90"/>
        <v>4688000</v>
      </c>
      <c r="H91" s="831">
        <f>H92</f>
        <v>299231</v>
      </c>
      <c r="I91" s="831">
        <f t="shared" ref="I91" si="91">I92</f>
        <v>0</v>
      </c>
      <c r="J91" s="830">
        <f>J92</f>
        <v>10720856</v>
      </c>
      <c r="K91" s="831">
        <f>K92</f>
        <v>10720856</v>
      </c>
      <c r="L91" s="831">
        <f>L92</f>
        <v>0</v>
      </c>
      <c r="M91" s="831">
        <f t="shared" ref="M91" si="92">M92</f>
        <v>0</v>
      </c>
      <c r="N91" s="831">
        <f>N92</f>
        <v>0</v>
      </c>
      <c r="O91" s="830">
        <f>O92</f>
        <v>10720856</v>
      </c>
      <c r="P91" s="831">
        <f>P92</f>
        <v>114408547</v>
      </c>
    </row>
    <row r="92" spans="1:18" ht="136.5" thickTop="1" thickBot="1" x14ac:dyDescent="0.25">
      <c r="A92" s="832" t="s">
        <v>163</v>
      </c>
      <c r="B92" s="832"/>
      <c r="C92" s="832"/>
      <c r="D92" s="833" t="s">
        <v>38</v>
      </c>
      <c r="E92" s="834">
        <f>E93+E95+E110+E108</f>
        <v>103687691</v>
      </c>
      <c r="F92" s="834">
        <f t="shared" ref="F92:P92" si="93">F93+F95+F110+F108</f>
        <v>103687691</v>
      </c>
      <c r="G92" s="834">
        <f t="shared" si="93"/>
        <v>4688000</v>
      </c>
      <c r="H92" s="834">
        <f t="shared" si="93"/>
        <v>299231</v>
      </c>
      <c r="I92" s="834">
        <f t="shared" si="93"/>
        <v>0</v>
      </c>
      <c r="J92" s="834">
        <f t="shared" si="93"/>
        <v>10720856</v>
      </c>
      <c r="K92" s="834">
        <f t="shared" si="93"/>
        <v>10720856</v>
      </c>
      <c r="L92" s="834">
        <f t="shared" si="93"/>
        <v>0</v>
      </c>
      <c r="M92" s="834">
        <f t="shared" si="93"/>
        <v>0</v>
      </c>
      <c r="N92" s="834">
        <f t="shared" si="93"/>
        <v>0</v>
      </c>
      <c r="O92" s="834">
        <f t="shared" si="93"/>
        <v>10720856</v>
      </c>
      <c r="P92" s="834">
        <f t="shared" si="93"/>
        <v>114408547</v>
      </c>
      <c r="Q92" s="617" t="b">
        <f>P92=P94+P96+P97+P98+P99+P100+P102+P104+P106+P107+P117+P115+P113+P109</f>
        <v>1</v>
      </c>
      <c r="R92" s="255"/>
    </row>
    <row r="93" spans="1:18" ht="47.25" thickTop="1" thickBot="1" x14ac:dyDescent="0.25">
      <c r="A93" s="151" t="s">
        <v>756</v>
      </c>
      <c r="B93" s="151" t="s">
        <v>727</v>
      </c>
      <c r="C93" s="151"/>
      <c r="D93" s="151" t="s">
        <v>728</v>
      </c>
      <c r="E93" s="443">
        <f>SUM(E94)</f>
        <v>2867421</v>
      </c>
      <c r="F93" s="443">
        <f t="shared" ref="F93:O93" si="94">SUM(F94)</f>
        <v>2867421</v>
      </c>
      <c r="G93" s="443">
        <f t="shared" si="94"/>
        <v>2136700</v>
      </c>
      <c r="H93" s="443">
        <f t="shared" si="94"/>
        <v>147221</v>
      </c>
      <c r="I93" s="443">
        <f t="shared" si="94"/>
        <v>0</v>
      </c>
      <c r="J93" s="443">
        <f t="shared" si="94"/>
        <v>0</v>
      </c>
      <c r="K93" s="443">
        <f t="shared" si="94"/>
        <v>0</v>
      </c>
      <c r="L93" s="443">
        <f t="shared" si="94"/>
        <v>0</v>
      </c>
      <c r="M93" s="443">
        <f t="shared" si="94"/>
        <v>0</v>
      </c>
      <c r="N93" s="443">
        <f t="shared" si="94"/>
        <v>0</v>
      </c>
      <c r="O93" s="443">
        <f t="shared" si="94"/>
        <v>0</v>
      </c>
      <c r="P93" s="443">
        <f>SUM(P94)</f>
        <v>2867421</v>
      </c>
      <c r="Q93" s="617"/>
      <c r="R93" s="255"/>
    </row>
    <row r="94" spans="1:18" ht="230.25" thickTop="1" thickBot="1" x14ac:dyDescent="0.25">
      <c r="A94" s="224" t="s">
        <v>432</v>
      </c>
      <c r="B94" s="224" t="s">
        <v>248</v>
      </c>
      <c r="C94" s="224" t="s">
        <v>246</v>
      </c>
      <c r="D94" s="224" t="s">
        <v>247</v>
      </c>
      <c r="E94" s="443">
        <f>F94</f>
        <v>2867421</v>
      </c>
      <c r="F94" s="444">
        <v>2867421</v>
      </c>
      <c r="G94" s="444">
        <v>2136700</v>
      </c>
      <c r="H94" s="444">
        <f>2100+55721+89400</f>
        <v>147221</v>
      </c>
      <c r="I94" s="444"/>
      <c r="J94" s="443">
        <f t="shared" ref="J94:J118" si="95">L94+O94</f>
        <v>0</v>
      </c>
      <c r="K94" s="444">
        <f>100000-100000</f>
        <v>0</v>
      </c>
      <c r="L94" s="444"/>
      <c r="M94" s="444"/>
      <c r="N94" s="444"/>
      <c r="O94" s="445">
        <f>K94</f>
        <v>0</v>
      </c>
      <c r="P94" s="443">
        <f t="shared" ref="P94:P118" si="96">E94+J94</f>
        <v>2867421</v>
      </c>
      <c r="Q94" s="626"/>
      <c r="R94" s="255"/>
    </row>
    <row r="95" spans="1:18" ht="47.25" thickTop="1" thickBot="1" x14ac:dyDescent="0.25">
      <c r="A95" s="151" t="s">
        <v>757</v>
      </c>
      <c r="B95" s="151" t="s">
        <v>758</v>
      </c>
      <c r="C95" s="151"/>
      <c r="D95" s="151" t="s">
        <v>759</v>
      </c>
      <c r="E95" s="443">
        <f>SUM(E96:E107)-E101-E103-E105</f>
        <v>100720270</v>
      </c>
      <c r="F95" s="443">
        <f t="shared" ref="F95:P95" si="97">SUM(F96:F107)-F101-F103-F105</f>
        <v>100720270</v>
      </c>
      <c r="G95" s="443">
        <f t="shared" si="97"/>
        <v>2551300</v>
      </c>
      <c r="H95" s="443">
        <f t="shared" si="97"/>
        <v>152010</v>
      </c>
      <c r="I95" s="443">
        <f t="shared" si="97"/>
        <v>0</v>
      </c>
      <c r="J95" s="443">
        <f t="shared" si="97"/>
        <v>10420856</v>
      </c>
      <c r="K95" s="443">
        <f t="shared" si="97"/>
        <v>10420856</v>
      </c>
      <c r="L95" s="443">
        <f t="shared" si="97"/>
        <v>0</v>
      </c>
      <c r="M95" s="443">
        <f t="shared" si="97"/>
        <v>0</v>
      </c>
      <c r="N95" s="443">
        <f t="shared" si="97"/>
        <v>0</v>
      </c>
      <c r="O95" s="443">
        <f t="shared" si="97"/>
        <v>10420856</v>
      </c>
      <c r="P95" s="443">
        <f t="shared" si="97"/>
        <v>111141126</v>
      </c>
      <c r="Q95" s="626"/>
      <c r="R95" s="284"/>
    </row>
    <row r="96" spans="1:18" ht="93" thickTop="1" thickBot="1" x14ac:dyDescent="0.25">
      <c r="A96" s="224" t="s">
        <v>226</v>
      </c>
      <c r="B96" s="224" t="s">
        <v>223</v>
      </c>
      <c r="C96" s="224" t="s">
        <v>227</v>
      </c>
      <c r="D96" s="224" t="s">
        <v>19</v>
      </c>
      <c r="E96" s="443">
        <f>F96</f>
        <v>35402605</v>
      </c>
      <c r="F96" s="444">
        <f>(25352605)+9100000+250000+700000</f>
        <v>35402605</v>
      </c>
      <c r="G96" s="444"/>
      <c r="H96" s="444"/>
      <c r="I96" s="444"/>
      <c r="J96" s="443">
        <f t="shared" si="95"/>
        <v>7064956</v>
      </c>
      <c r="K96" s="444">
        <f>(360000+178700+400000+5000000+500000)+626256</f>
        <v>7064956</v>
      </c>
      <c r="L96" s="444"/>
      <c r="M96" s="444"/>
      <c r="N96" s="444"/>
      <c r="O96" s="445">
        <f>K96</f>
        <v>7064956</v>
      </c>
      <c r="P96" s="443">
        <f t="shared" si="96"/>
        <v>42467561</v>
      </c>
      <c r="R96" s="267"/>
    </row>
    <row r="97" spans="1:18" ht="93" thickTop="1" thickBot="1" x14ac:dyDescent="0.25">
      <c r="A97" s="224" t="s">
        <v>523</v>
      </c>
      <c r="B97" s="224" t="s">
        <v>526</v>
      </c>
      <c r="C97" s="224" t="s">
        <v>525</v>
      </c>
      <c r="D97" s="224" t="s">
        <v>524</v>
      </c>
      <c r="E97" s="443">
        <f>F97</f>
        <v>13091450</v>
      </c>
      <c r="F97" s="444">
        <f>(8991450)+1800000+200000+2000000+100000</f>
        <v>13091450</v>
      </c>
      <c r="G97" s="444"/>
      <c r="H97" s="444"/>
      <c r="I97" s="444"/>
      <c r="J97" s="443">
        <f t="shared" si="95"/>
        <v>2655900</v>
      </c>
      <c r="K97" s="444">
        <f>(500000+200000)+1955900</f>
        <v>2655900</v>
      </c>
      <c r="L97" s="444"/>
      <c r="M97" s="444"/>
      <c r="N97" s="444"/>
      <c r="O97" s="487">
        <f>K97</f>
        <v>2655900</v>
      </c>
      <c r="P97" s="443">
        <f t="shared" si="96"/>
        <v>15747350</v>
      </c>
      <c r="R97" s="284"/>
    </row>
    <row r="98" spans="1:18" ht="138.75" thickTop="1" thickBot="1" x14ac:dyDescent="0.25">
      <c r="A98" s="224" t="s">
        <v>228</v>
      </c>
      <c r="B98" s="224" t="s">
        <v>229</v>
      </c>
      <c r="C98" s="224" t="s">
        <v>230</v>
      </c>
      <c r="D98" s="224" t="s">
        <v>231</v>
      </c>
      <c r="E98" s="443">
        <f t="shared" ref="E98:E118" si="98">F98</f>
        <v>9129950</v>
      </c>
      <c r="F98" s="444">
        <f>(8354950)+775000</f>
        <v>9129950</v>
      </c>
      <c r="G98" s="444"/>
      <c r="H98" s="444"/>
      <c r="I98" s="444"/>
      <c r="J98" s="443">
        <f t="shared" si="95"/>
        <v>500000</v>
      </c>
      <c r="K98" s="444">
        <v>500000</v>
      </c>
      <c r="L98" s="444"/>
      <c r="M98" s="444"/>
      <c r="N98" s="444"/>
      <c r="O98" s="445">
        <f>K98</f>
        <v>500000</v>
      </c>
      <c r="P98" s="443">
        <f t="shared" si="96"/>
        <v>9629950</v>
      </c>
      <c r="R98" s="284"/>
    </row>
    <row r="99" spans="1:18" ht="138.75" thickTop="1" thickBot="1" x14ac:dyDescent="0.25">
      <c r="A99" s="224" t="s">
        <v>232</v>
      </c>
      <c r="B99" s="224" t="s">
        <v>233</v>
      </c>
      <c r="C99" s="224" t="s">
        <v>234</v>
      </c>
      <c r="D99" s="224" t="s">
        <v>359</v>
      </c>
      <c r="E99" s="443">
        <f t="shared" si="98"/>
        <v>13726470</v>
      </c>
      <c r="F99" s="444">
        <f>(11569670)+2156800</f>
        <v>13726470</v>
      </c>
      <c r="G99" s="444"/>
      <c r="H99" s="444"/>
      <c r="I99" s="444"/>
      <c r="J99" s="443">
        <f t="shared" si="95"/>
        <v>0</v>
      </c>
      <c r="K99" s="444"/>
      <c r="L99" s="444"/>
      <c r="M99" s="444"/>
      <c r="N99" s="444"/>
      <c r="O99" s="445">
        <f>K99</f>
        <v>0</v>
      </c>
      <c r="P99" s="443">
        <f t="shared" si="96"/>
        <v>13726470</v>
      </c>
      <c r="R99" s="284"/>
    </row>
    <row r="100" spans="1:18" ht="93" thickTop="1" thickBot="1" x14ac:dyDescent="0.25">
      <c r="A100" s="224" t="s">
        <v>235</v>
      </c>
      <c r="B100" s="224" t="s">
        <v>236</v>
      </c>
      <c r="C100" s="224" t="s">
        <v>237</v>
      </c>
      <c r="D100" s="224" t="s">
        <v>238</v>
      </c>
      <c r="E100" s="443">
        <f t="shared" si="98"/>
        <v>7556300</v>
      </c>
      <c r="F100" s="444">
        <v>7556300</v>
      </c>
      <c r="G100" s="444"/>
      <c r="H100" s="444"/>
      <c r="I100" s="444"/>
      <c r="J100" s="443">
        <f t="shared" si="95"/>
        <v>200000</v>
      </c>
      <c r="K100" s="444">
        <v>200000</v>
      </c>
      <c r="L100" s="444"/>
      <c r="M100" s="444"/>
      <c r="N100" s="444"/>
      <c r="O100" s="445">
        <f>K100</f>
        <v>200000</v>
      </c>
      <c r="P100" s="443">
        <f t="shared" si="96"/>
        <v>7756300</v>
      </c>
      <c r="R100" s="284"/>
    </row>
    <row r="101" spans="1:18" ht="93" thickTop="1" thickBot="1" x14ac:dyDescent="0.25">
      <c r="A101" s="489" t="s">
        <v>760</v>
      </c>
      <c r="B101" s="489" t="s">
        <v>761</v>
      </c>
      <c r="C101" s="489"/>
      <c r="D101" s="489" t="s">
        <v>762</v>
      </c>
      <c r="E101" s="472">
        <f>E102</f>
        <v>14204885</v>
      </c>
      <c r="F101" s="472">
        <f t="shared" ref="F101:P101" si="99">F102</f>
        <v>14204885</v>
      </c>
      <c r="G101" s="472">
        <f t="shared" si="99"/>
        <v>0</v>
      </c>
      <c r="H101" s="472">
        <f t="shared" si="99"/>
        <v>0</v>
      </c>
      <c r="I101" s="472">
        <f t="shared" si="99"/>
        <v>0</v>
      </c>
      <c r="J101" s="472">
        <f t="shared" si="99"/>
        <v>0</v>
      </c>
      <c r="K101" s="472">
        <f t="shared" si="99"/>
        <v>0</v>
      </c>
      <c r="L101" s="472">
        <f t="shared" si="99"/>
        <v>0</v>
      </c>
      <c r="M101" s="472">
        <f t="shared" si="99"/>
        <v>0</v>
      </c>
      <c r="N101" s="472">
        <f t="shared" si="99"/>
        <v>0</v>
      </c>
      <c r="O101" s="472">
        <f t="shared" si="99"/>
        <v>0</v>
      </c>
      <c r="P101" s="472">
        <f t="shared" si="99"/>
        <v>14204885</v>
      </c>
      <c r="R101" s="284"/>
    </row>
    <row r="102" spans="1:18" ht="184.5" thickTop="1" thickBot="1" x14ac:dyDescent="0.25">
      <c r="A102" s="224" t="s">
        <v>239</v>
      </c>
      <c r="B102" s="224" t="s">
        <v>240</v>
      </c>
      <c r="C102" s="224" t="s">
        <v>360</v>
      </c>
      <c r="D102" s="224" t="s">
        <v>241</v>
      </c>
      <c r="E102" s="443">
        <f t="shared" si="98"/>
        <v>14204885</v>
      </c>
      <c r="F102" s="444">
        <v>14204885</v>
      </c>
      <c r="G102" s="444"/>
      <c r="H102" s="444"/>
      <c r="I102" s="444"/>
      <c r="J102" s="443">
        <f t="shared" si="95"/>
        <v>0</v>
      </c>
      <c r="K102" s="444"/>
      <c r="L102" s="444"/>
      <c r="M102" s="444"/>
      <c r="N102" s="444"/>
      <c r="O102" s="445">
        <f t="shared" ref="O102:O118" si="100">K102</f>
        <v>0</v>
      </c>
      <c r="P102" s="443">
        <f t="shared" si="96"/>
        <v>14204885</v>
      </c>
      <c r="R102" s="284"/>
    </row>
    <row r="103" spans="1:18" ht="138.75" hidden="1" thickTop="1" thickBot="1" x14ac:dyDescent="0.25">
      <c r="A103" s="489" t="s">
        <v>763</v>
      </c>
      <c r="B103" s="489" t="s">
        <v>764</v>
      </c>
      <c r="C103" s="489"/>
      <c r="D103" s="489" t="s">
        <v>765</v>
      </c>
      <c r="E103" s="472">
        <f>E104</f>
        <v>0</v>
      </c>
      <c r="F103" s="472">
        <f t="shared" ref="F103:P103" si="101">F104</f>
        <v>0</v>
      </c>
      <c r="G103" s="472">
        <f t="shared" si="101"/>
        <v>0</v>
      </c>
      <c r="H103" s="472">
        <f t="shared" si="101"/>
        <v>0</v>
      </c>
      <c r="I103" s="472">
        <f t="shared" si="101"/>
        <v>0</v>
      </c>
      <c r="J103" s="275">
        <f t="shared" si="101"/>
        <v>0</v>
      </c>
      <c r="K103" s="275">
        <f t="shared" si="101"/>
        <v>0</v>
      </c>
      <c r="L103" s="275">
        <f t="shared" si="101"/>
        <v>0</v>
      </c>
      <c r="M103" s="275">
        <f t="shared" si="101"/>
        <v>0</v>
      </c>
      <c r="N103" s="275">
        <f t="shared" si="101"/>
        <v>0</v>
      </c>
      <c r="O103" s="275">
        <f t="shared" si="101"/>
        <v>0</v>
      </c>
      <c r="P103" s="275">
        <f t="shared" si="101"/>
        <v>0</v>
      </c>
      <c r="R103" s="284"/>
    </row>
    <row r="104" spans="1:18" ht="138.75" hidden="1" thickTop="1" thickBot="1" x14ac:dyDescent="0.25">
      <c r="A104" s="224" t="s">
        <v>493</v>
      </c>
      <c r="B104" s="224" t="s">
        <v>494</v>
      </c>
      <c r="C104" s="224" t="s">
        <v>242</v>
      </c>
      <c r="D104" s="224" t="s">
        <v>495</v>
      </c>
      <c r="E104" s="443">
        <f t="shared" si="98"/>
        <v>0</v>
      </c>
      <c r="F104" s="444">
        <v>0</v>
      </c>
      <c r="G104" s="444"/>
      <c r="H104" s="444"/>
      <c r="I104" s="444"/>
      <c r="J104" s="256">
        <f t="shared" si="95"/>
        <v>0</v>
      </c>
      <c r="K104" s="278"/>
      <c r="L104" s="278"/>
      <c r="M104" s="278"/>
      <c r="N104" s="278"/>
      <c r="O104" s="262">
        <f t="shared" si="100"/>
        <v>0</v>
      </c>
      <c r="P104" s="256">
        <f t="shared" si="96"/>
        <v>0</v>
      </c>
      <c r="R104" s="284"/>
    </row>
    <row r="105" spans="1:18" ht="138.75" thickTop="1" thickBot="1" x14ac:dyDescent="0.25">
      <c r="A105" s="489" t="s">
        <v>766</v>
      </c>
      <c r="B105" s="489" t="s">
        <v>767</v>
      </c>
      <c r="C105" s="489"/>
      <c r="D105" s="489" t="s">
        <v>768</v>
      </c>
      <c r="E105" s="472">
        <f>SUM(E106:E107)</f>
        <v>7608610</v>
      </c>
      <c r="F105" s="472">
        <f t="shared" ref="F105:P105" si="102">SUM(F106:F107)</f>
        <v>7608610</v>
      </c>
      <c r="G105" s="472">
        <f t="shared" si="102"/>
        <v>2551300</v>
      </c>
      <c r="H105" s="472">
        <f t="shared" si="102"/>
        <v>152010</v>
      </c>
      <c r="I105" s="472">
        <f t="shared" si="102"/>
        <v>0</v>
      </c>
      <c r="J105" s="472">
        <f t="shared" si="102"/>
        <v>0</v>
      </c>
      <c r="K105" s="472">
        <f t="shared" si="102"/>
        <v>0</v>
      </c>
      <c r="L105" s="472">
        <f t="shared" si="102"/>
        <v>0</v>
      </c>
      <c r="M105" s="472">
        <f t="shared" si="102"/>
        <v>0</v>
      </c>
      <c r="N105" s="472">
        <f t="shared" si="102"/>
        <v>0</v>
      </c>
      <c r="O105" s="472">
        <f t="shared" si="102"/>
        <v>0</v>
      </c>
      <c r="P105" s="472">
        <f t="shared" si="102"/>
        <v>7608610</v>
      </c>
      <c r="R105" s="284"/>
    </row>
    <row r="106" spans="1:18" s="272" customFormat="1" ht="138.75" thickTop="1" thickBot="1" x14ac:dyDescent="0.25">
      <c r="A106" s="224" t="s">
        <v>335</v>
      </c>
      <c r="B106" s="224" t="s">
        <v>337</v>
      </c>
      <c r="C106" s="224" t="s">
        <v>242</v>
      </c>
      <c r="D106" s="499" t="s">
        <v>333</v>
      </c>
      <c r="E106" s="443">
        <f t="shared" si="98"/>
        <v>3474610</v>
      </c>
      <c r="F106" s="444">
        <v>3474610</v>
      </c>
      <c r="G106" s="444">
        <v>2551300</v>
      </c>
      <c r="H106" s="444">
        <f>2100+47625+91190+11095</f>
        <v>152010</v>
      </c>
      <c r="I106" s="444"/>
      <c r="J106" s="485">
        <f t="shared" si="95"/>
        <v>0</v>
      </c>
      <c r="K106" s="444"/>
      <c r="L106" s="444"/>
      <c r="M106" s="444"/>
      <c r="N106" s="444"/>
      <c r="O106" s="487">
        <f t="shared" si="100"/>
        <v>0</v>
      </c>
      <c r="P106" s="485">
        <f t="shared" si="96"/>
        <v>3474610</v>
      </c>
      <c r="Q106" s="624"/>
      <c r="R106" s="255"/>
    </row>
    <row r="107" spans="1:18" s="272" customFormat="1" ht="93" thickTop="1" thickBot="1" x14ac:dyDescent="0.25">
      <c r="A107" s="224" t="s">
        <v>336</v>
      </c>
      <c r="B107" s="224" t="s">
        <v>338</v>
      </c>
      <c r="C107" s="224" t="s">
        <v>242</v>
      </c>
      <c r="D107" s="499" t="s">
        <v>334</v>
      </c>
      <c r="E107" s="443">
        <f t="shared" si="98"/>
        <v>4134000</v>
      </c>
      <c r="F107" s="444">
        <f>(3634000)+500000</f>
        <v>4134000</v>
      </c>
      <c r="G107" s="444"/>
      <c r="H107" s="444"/>
      <c r="I107" s="444"/>
      <c r="J107" s="443">
        <f t="shared" si="95"/>
        <v>0</v>
      </c>
      <c r="K107" s="444"/>
      <c r="L107" s="444"/>
      <c r="M107" s="444"/>
      <c r="N107" s="444"/>
      <c r="O107" s="445">
        <f t="shared" si="100"/>
        <v>0</v>
      </c>
      <c r="P107" s="443">
        <f t="shared" si="96"/>
        <v>4134000</v>
      </c>
      <c r="Q107" s="624"/>
      <c r="R107" s="284"/>
    </row>
    <row r="108" spans="1:18" s="272" customFormat="1" ht="91.5" thickTop="1" thickBot="1" x14ac:dyDescent="0.25">
      <c r="A108" s="151" t="s">
        <v>1369</v>
      </c>
      <c r="B108" s="151" t="s">
        <v>754</v>
      </c>
      <c r="C108" s="151"/>
      <c r="D108" s="151" t="s">
        <v>755</v>
      </c>
      <c r="E108" s="809">
        <f>E109</f>
        <v>100000</v>
      </c>
      <c r="F108" s="809">
        <f t="shared" ref="F108:P108" si="103">F109</f>
        <v>100000</v>
      </c>
      <c r="G108" s="809">
        <f t="shared" si="103"/>
        <v>0</v>
      </c>
      <c r="H108" s="809">
        <f t="shared" si="103"/>
        <v>0</v>
      </c>
      <c r="I108" s="809">
        <f t="shared" si="103"/>
        <v>0</v>
      </c>
      <c r="J108" s="809">
        <f t="shared" si="103"/>
        <v>0</v>
      </c>
      <c r="K108" s="809">
        <f t="shared" si="103"/>
        <v>0</v>
      </c>
      <c r="L108" s="809">
        <f t="shared" si="103"/>
        <v>0</v>
      </c>
      <c r="M108" s="809">
        <f t="shared" si="103"/>
        <v>0</v>
      </c>
      <c r="N108" s="809">
        <f t="shared" si="103"/>
        <v>0</v>
      </c>
      <c r="O108" s="809">
        <f t="shared" si="103"/>
        <v>0</v>
      </c>
      <c r="P108" s="809">
        <f t="shared" si="103"/>
        <v>100000</v>
      </c>
      <c r="Q108" s="624"/>
      <c r="R108" s="284"/>
    </row>
    <row r="109" spans="1:18" s="272" customFormat="1" ht="230.25" thickTop="1" thickBot="1" x14ac:dyDescent="0.25">
      <c r="A109" s="806" t="s">
        <v>1370</v>
      </c>
      <c r="B109" s="806" t="s">
        <v>1371</v>
      </c>
      <c r="C109" s="806" t="s">
        <v>218</v>
      </c>
      <c r="D109" s="499" t="s">
        <v>1372</v>
      </c>
      <c r="E109" s="809">
        <f t="shared" ref="E109" si="104">F109</f>
        <v>100000</v>
      </c>
      <c r="F109" s="444">
        <v>100000</v>
      </c>
      <c r="G109" s="444"/>
      <c r="H109" s="444"/>
      <c r="I109" s="444"/>
      <c r="J109" s="809">
        <f t="shared" ref="J109" si="105">L109+O109</f>
        <v>0</v>
      </c>
      <c r="K109" s="444"/>
      <c r="L109" s="444"/>
      <c r="M109" s="444"/>
      <c r="N109" s="444"/>
      <c r="O109" s="807">
        <f t="shared" ref="O109" si="106">K109</f>
        <v>0</v>
      </c>
      <c r="P109" s="809">
        <f t="shared" ref="P109" si="107">E109+J109</f>
        <v>100000</v>
      </c>
      <c r="Q109" s="624"/>
      <c r="R109" s="284"/>
    </row>
    <row r="110" spans="1:18" s="272" customFormat="1" ht="47.25" thickTop="1" thickBot="1" x14ac:dyDescent="0.25">
      <c r="A110" s="151" t="s">
        <v>794</v>
      </c>
      <c r="B110" s="466" t="s">
        <v>792</v>
      </c>
      <c r="C110" s="466"/>
      <c r="D110" s="466" t="s">
        <v>793</v>
      </c>
      <c r="E110" s="758">
        <f>SUM(E116)+E111</f>
        <v>0</v>
      </c>
      <c r="F110" s="758">
        <f t="shared" ref="F110:P110" si="108">SUM(F116)+F111</f>
        <v>0</v>
      </c>
      <c r="G110" s="758">
        <f t="shared" si="108"/>
        <v>0</v>
      </c>
      <c r="H110" s="758">
        <f t="shared" si="108"/>
        <v>0</v>
      </c>
      <c r="I110" s="758">
        <f t="shared" si="108"/>
        <v>0</v>
      </c>
      <c r="J110" s="758">
        <f t="shared" si="108"/>
        <v>300000</v>
      </c>
      <c r="K110" s="758">
        <f t="shared" si="108"/>
        <v>300000</v>
      </c>
      <c r="L110" s="758">
        <f t="shared" si="108"/>
        <v>0</v>
      </c>
      <c r="M110" s="758">
        <f t="shared" si="108"/>
        <v>0</v>
      </c>
      <c r="N110" s="758">
        <f t="shared" si="108"/>
        <v>0</v>
      </c>
      <c r="O110" s="758">
        <f t="shared" si="108"/>
        <v>300000</v>
      </c>
      <c r="P110" s="758">
        <f t="shared" si="108"/>
        <v>300000</v>
      </c>
      <c r="Q110" s="624"/>
      <c r="R110" s="284"/>
    </row>
    <row r="111" spans="1:18" s="272" customFormat="1" ht="91.5" thickTop="1" thickBot="1" x14ac:dyDescent="0.25">
      <c r="A111" s="467" t="s">
        <v>1142</v>
      </c>
      <c r="B111" s="467" t="s">
        <v>848</v>
      </c>
      <c r="C111" s="467"/>
      <c r="D111" s="467" t="s">
        <v>849</v>
      </c>
      <c r="E111" s="468">
        <f>E114+E112</f>
        <v>0</v>
      </c>
      <c r="F111" s="468">
        <f t="shared" ref="F111:P111" si="109">F114+F112</f>
        <v>0</v>
      </c>
      <c r="G111" s="468">
        <f t="shared" si="109"/>
        <v>0</v>
      </c>
      <c r="H111" s="468">
        <f t="shared" si="109"/>
        <v>0</v>
      </c>
      <c r="I111" s="468">
        <f t="shared" si="109"/>
        <v>0</v>
      </c>
      <c r="J111" s="468">
        <f t="shared" si="109"/>
        <v>300000</v>
      </c>
      <c r="K111" s="468">
        <f t="shared" si="109"/>
        <v>300000</v>
      </c>
      <c r="L111" s="468">
        <f t="shared" si="109"/>
        <v>0</v>
      </c>
      <c r="M111" s="468">
        <f t="shared" si="109"/>
        <v>0</v>
      </c>
      <c r="N111" s="468">
        <f t="shared" si="109"/>
        <v>0</v>
      </c>
      <c r="O111" s="468">
        <f t="shared" si="109"/>
        <v>300000</v>
      </c>
      <c r="P111" s="468">
        <f t="shared" si="109"/>
        <v>300000</v>
      </c>
      <c r="Q111" s="624"/>
      <c r="R111" s="284"/>
    </row>
    <row r="112" spans="1:18" s="272" customFormat="1" ht="146.25" thickTop="1" thickBot="1" x14ac:dyDescent="0.25">
      <c r="A112" s="489" t="s">
        <v>1334</v>
      </c>
      <c r="B112" s="489" t="s">
        <v>867</v>
      </c>
      <c r="C112" s="489"/>
      <c r="D112" s="489" t="s">
        <v>868</v>
      </c>
      <c r="E112" s="472">
        <f>E113</f>
        <v>0</v>
      </c>
      <c r="F112" s="472">
        <f t="shared" ref="F112:P112" si="110">F113</f>
        <v>0</v>
      </c>
      <c r="G112" s="472">
        <f t="shared" si="110"/>
        <v>0</v>
      </c>
      <c r="H112" s="472">
        <f t="shared" si="110"/>
        <v>0</v>
      </c>
      <c r="I112" s="472">
        <f t="shared" si="110"/>
        <v>0</v>
      </c>
      <c r="J112" s="472">
        <f t="shared" si="110"/>
        <v>300000</v>
      </c>
      <c r="K112" s="472">
        <f t="shared" si="110"/>
        <v>300000</v>
      </c>
      <c r="L112" s="472">
        <f t="shared" si="110"/>
        <v>0</v>
      </c>
      <c r="M112" s="472">
        <f t="shared" si="110"/>
        <v>0</v>
      </c>
      <c r="N112" s="472">
        <f t="shared" si="110"/>
        <v>0</v>
      </c>
      <c r="O112" s="472">
        <f t="shared" si="110"/>
        <v>300000</v>
      </c>
      <c r="P112" s="472">
        <f t="shared" si="110"/>
        <v>300000</v>
      </c>
      <c r="Q112" s="624"/>
      <c r="R112" s="284"/>
    </row>
    <row r="113" spans="1:20" s="272" customFormat="1" ht="99.75" thickTop="1" thickBot="1" x14ac:dyDescent="0.25">
      <c r="A113" s="755" t="s">
        <v>1333</v>
      </c>
      <c r="B113" s="755" t="s">
        <v>1335</v>
      </c>
      <c r="C113" s="755" t="s">
        <v>317</v>
      </c>
      <c r="D113" s="755" t="s">
        <v>1332</v>
      </c>
      <c r="E113" s="758">
        <f t="shared" ref="E113" si="111">F113</f>
        <v>0</v>
      </c>
      <c r="F113" s="444"/>
      <c r="G113" s="444"/>
      <c r="H113" s="444"/>
      <c r="I113" s="444"/>
      <c r="J113" s="758">
        <f t="shared" ref="J113" si="112">L113+O113</f>
        <v>300000</v>
      </c>
      <c r="K113" s="444">
        <v>300000</v>
      </c>
      <c r="L113" s="444"/>
      <c r="M113" s="444"/>
      <c r="N113" s="444"/>
      <c r="O113" s="756">
        <f>K113</f>
        <v>300000</v>
      </c>
      <c r="P113" s="758">
        <f t="shared" ref="P113" si="113">E113+J113</f>
        <v>300000</v>
      </c>
      <c r="Q113" s="624"/>
      <c r="R113" s="284"/>
    </row>
    <row r="114" spans="1:20" s="272" customFormat="1" ht="93" hidden="1" thickTop="1" thickBot="1" x14ac:dyDescent="0.25">
      <c r="A114" s="279" t="s">
        <v>1143</v>
      </c>
      <c r="B114" s="279" t="s">
        <v>1141</v>
      </c>
      <c r="C114" s="279"/>
      <c r="D114" s="279" t="s">
        <v>1140</v>
      </c>
      <c r="E114" s="275">
        <f>E115</f>
        <v>0</v>
      </c>
      <c r="F114" s="275">
        <f t="shared" ref="F114:P114" si="114">F115</f>
        <v>0</v>
      </c>
      <c r="G114" s="275">
        <f t="shared" si="114"/>
        <v>0</v>
      </c>
      <c r="H114" s="275">
        <f t="shared" si="114"/>
        <v>0</v>
      </c>
      <c r="I114" s="275">
        <f t="shared" si="114"/>
        <v>0</v>
      </c>
      <c r="J114" s="275">
        <f t="shared" si="114"/>
        <v>0</v>
      </c>
      <c r="K114" s="275">
        <f t="shared" si="114"/>
        <v>0</v>
      </c>
      <c r="L114" s="275">
        <f t="shared" si="114"/>
        <v>0</v>
      </c>
      <c r="M114" s="275">
        <f t="shared" si="114"/>
        <v>0</v>
      </c>
      <c r="N114" s="275">
        <f t="shared" si="114"/>
        <v>0</v>
      </c>
      <c r="O114" s="275">
        <f t="shared" si="114"/>
        <v>0</v>
      </c>
      <c r="P114" s="275">
        <f t="shared" si="114"/>
        <v>0</v>
      </c>
      <c r="Q114" s="624"/>
      <c r="R114" s="284"/>
    </row>
    <row r="115" spans="1:20" s="272" customFormat="1" ht="230.25" hidden="1" thickTop="1" thickBot="1" x14ac:dyDescent="0.25">
      <c r="A115" s="259" t="s">
        <v>1144</v>
      </c>
      <c r="B115" s="259" t="s">
        <v>1145</v>
      </c>
      <c r="C115" s="259" t="s">
        <v>178</v>
      </c>
      <c r="D115" s="259" t="s">
        <v>1146</v>
      </c>
      <c r="E115" s="256">
        <f t="shared" si="98"/>
        <v>0</v>
      </c>
      <c r="F115" s="278"/>
      <c r="G115" s="278"/>
      <c r="H115" s="278"/>
      <c r="I115" s="278"/>
      <c r="J115" s="256">
        <f t="shared" si="95"/>
        <v>0</v>
      </c>
      <c r="K115" s="278"/>
      <c r="L115" s="278"/>
      <c r="M115" s="278"/>
      <c r="N115" s="278"/>
      <c r="O115" s="262">
        <f>K115</f>
        <v>0</v>
      </c>
      <c r="P115" s="256">
        <f t="shared" si="96"/>
        <v>0</v>
      </c>
      <c r="Q115" s="624"/>
      <c r="R115" s="255"/>
    </row>
    <row r="116" spans="1:20" s="258" customFormat="1" ht="136.5" hidden="1" thickTop="1" thickBot="1" x14ac:dyDescent="0.25">
      <c r="A116" s="253" t="s">
        <v>769</v>
      </c>
      <c r="B116" s="253" t="s">
        <v>734</v>
      </c>
      <c r="C116" s="253"/>
      <c r="D116" s="253" t="s">
        <v>732</v>
      </c>
      <c r="E116" s="270">
        <f>SUM(E117)</f>
        <v>0</v>
      </c>
      <c r="F116" s="270">
        <f t="shared" ref="F116:P116" si="115">SUM(F117)</f>
        <v>0</v>
      </c>
      <c r="G116" s="270">
        <f t="shared" si="115"/>
        <v>0</v>
      </c>
      <c r="H116" s="270">
        <f t="shared" si="115"/>
        <v>0</v>
      </c>
      <c r="I116" s="270">
        <f t="shared" si="115"/>
        <v>0</v>
      </c>
      <c r="J116" s="270">
        <f t="shared" si="115"/>
        <v>0</v>
      </c>
      <c r="K116" s="270">
        <f t="shared" si="115"/>
        <v>0</v>
      </c>
      <c r="L116" s="270">
        <f t="shared" si="115"/>
        <v>0</v>
      </c>
      <c r="M116" s="270">
        <f t="shared" si="115"/>
        <v>0</v>
      </c>
      <c r="N116" s="270">
        <f t="shared" si="115"/>
        <v>0</v>
      </c>
      <c r="O116" s="270">
        <f t="shared" si="115"/>
        <v>0</v>
      </c>
      <c r="P116" s="270">
        <f t="shared" si="115"/>
        <v>0</v>
      </c>
      <c r="Q116" s="627"/>
      <c r="R116" s="286"/>
    </row>
    <row r="117" spans="1:20" s="272" customFormat="1" ht="93" hidden="1" thickTop="1" thickBot="1" x14ac:dyDescent="0.25">
      <c r="A117" s="259" t="s">
        <v>451</v>
      </c>
      <c r="B117" s="259" t="s">
        <v>209</v>
      </c>
      <c r="C117" s="259" t="s">
        <v>178</v>
      </c>
      <c r="D117" s="259" t="s">
        <v>36</v>
      </c>
      <c r="E117" s="256">
        <f t="shared" si="98"/>
        <v>0</v>
      </c>
      <c r="F117" s="278"/>
      <c r="G117" s="278"/>
      <c r="H117" s="278"/>
      <c r="I117" s="278"/>
      <c r="J117" s="256">
        <f t="shared" si="95"/>
        <v>0</v>
      </c>
      <c r="K117" s="278"/>
      <c r="L117" s="278"/>
      <c r="M117" s="278"/>
      <c r="N117" s="278"/>
      <c r="O117" s="262">
        <f t="shared" si="100"/>
        <v>0</v>
      </c>
      <c r="P117" s="256">
        <f t="shared" si="96"/>
        <v>0</v>
      </c>
      <c r="Q117" s="624"/>
      <c r="R117" s="255"/>
    </row>
    <row r="118" spans="1:20" s="272" customFormat="1" ht="93" hidden="1" thickTop="1" thickBot="1" x14ac:dyDescent="0.25">
      <c r="A118" s="287" t="s">
        <v>527</v>
      </c>
      <c r="B118" s="287" t="s">
        <v>377</v>
      </c>
      <c r="C118" s="287" t="s">
        <v>45</v>
      </c>
      <c r="D118" s="287" t="s">
        <v>378</v>
      </c>
      <c r="E118" s="288">
        <f t="shared" si="98"/>
        <v>0</v>
      </c>
      <c r="F118" s="289"/>
      <c r="G118" s="289"/>
      <c r="H118" s="289"/>
      <c r="I118" s="289"/>
      <c r="J118" s="288">
        <f t="shared" si="95"/>
        <v>0</v>
      </c>
      <c r="K118" s="289"/>
      <c r="L118" s="289"/>
      <c r="M118" s="289"/>
      <c r="N118" s="289"/>
      <c r="O118" s="290">
        <f t="shared" si="100"/>
        <v>0</v>
      </c>
      <c r="P118" s="288">
        <f t="shared" si="96"/>
        <v>0</v>
      </c>
      <c r="Q118" s="624"/>
      <c r="R118" s="267"/>
    </row>
    <row r="119" spans="1:20" ht="226.5" thickTop="1" thickBot="1" x14ac:dyDescent="0.25">
      <c r="A119" s="828" t="s">
        <v>164</v>
      </c>
      <c r="B119" s="828"/>
      <c r="C119" s="828"/>
      <c r="D119" s="829" t="s">
        <v>39</v>
      </c>
      <c r="E119" s="830">
        <f>E120</f>
        <v>219962782</v>
      </c>
      <c r="F119" s="831">
        <f t="shared" ref="F119:G119" si="116">F120</f>
        <v>219962782</v>
      </c>
      <c r="G119" s="831">
        <f t="shared" si="116"/>
        <v>82115565</v>
      </c>
      <c r="H119" s="831">
        <f>H120</f>
        <v>4149309</v>
      </c>
      <c r="I119" s="831">
        <f t="shared" ref="I119" si="117">I120</f>
        <v>0</v>
      </c>
      <c r="J119" s="830">
        <f>J120</f>
        <v>18976232</v>
      </c>
      <c r="K119" s="831">
        <f>K120</f>
        <v>11930528</v>
      </c>
      <c r="L119" s="831">
        <f>L120</f>
        <v>6985336</v>
      </c>
      <c r="M119" s="831">
        <f t="shared" ref="M119" si="118">M120</f>
        <v>1953040</v>
      </c>
      <c r="N119" s="831">
        <f>N120</f>
        <v>465600</v>
      </c>
      <c r="O119" s="830">
        <f>O120</f>
        <v>11990896</v>
      </c>
      <c r="P119" s="831">
        <f>P120</f>
        <v>238939014</v>
      </c>
    </row>
    <row r="120" spans="1:20" ht="226.5" thickTop="1" thickBot="1" x14ac:dyDescent="0.25">
      <c r="A120" s="832" t="s">
        <v>165</v>
      </c>
      <c r="B120" s="832"/>
      <c r="C120" s="832"/>
      <c r="D120" s="833" t="s">
        <v>40</v>
      </c>
      <c r="E120" s="834">
        <f>E121+E125+E165+E169</f>
        <v>219962782</v>
      </c>
      <c r="F120" s="834">
        <f>F121+F125+F165+F169</f>
        <v>219962782</v>
      </c>
      <c r="G120" s="834">
        <f>G121+G125+G165+G169</f>
        <v>82115565</v>
      </c>
      <c r="H120" s="834">
        <f>H121+H125+H165+H169</f>
        <v>4149309</v>
      </c>
      <c r="I120" s="834">
        <f>I121+I125+I165+I169</f>
        <v>0</v>
      </c>
      <c r="J120" s="834">
        <f t="shared" ref="J120:J146" si="119">L120+O120</f>
        <v>18976232</v>
      </c>
      <c r="K120" s="834">
        <f>K121+K125+K165+K169</f>
        <v>11930528</v>
      </c>
      <c r="L120" s="834">
        <f>L121+L125+L165+L169</f>
        <v>6985336</v>
      </c>
      <c r="M120" s="834">
        <f>M121+M125+M165+M169</f>
        <v>1953040</v>
      </c>
      <c r="N120" s="834">
        <f>N121+N125+N165+N169</f>
        <v>465600</v>
      </c>
      <c r="O120" s="834">
        <f>O121+O125+O165+O169</f>
        <v>11990896</v>
      </c>
      <c r="P120" s="834">
        <f>E120+J120</f>
        <v>238939014</v>
      </c>
      <c r="Q120" s="628" t="b">
        <f>P120=P122+P123+P127+P128+P129+P130+P131+P136+P137+P140+P143+P145+P146+P163+P164+P167+P175+P132+P134+P142+P124+P133+P172+P139+P148+P151+P155+P158+P168+P161</f>
        <v>1</v>
      </c>
      <c r="R120" s="292"/>
      <c r="S120" s="292"/>
      <c r="T120" s="291"/>
    </row>
    <row r="121" spans="1:20" ht="47.25" thickTop="1" thickBot="1" x14ac:dyDescent="0.25">
      <c r="A121" s="151" t="s">
        <v>771</v>
      </c>
      <c r="B121" s="151" t="s">
        <v>727</v>
      </c>
      <c r="C121" s="151"/>
      <c r="D121" s="151" t="s">
        <v>728</v>
      </c>
      <c r="E121" s="443">
        <f t="shared" ref="E121:P121" si="120">SUM(E122:E124)</f>
        <v>58880960</v>
      </c>
      <c r="F121" s="443">
        <f t="shared" si="120"/>
        <v>58880960</v>
      </c>
      <c r="G121" s="443">
        <f t="shared" si="120"/>
        <v>43500000</v>
      </c>
      <c r="H121" s="443">
        <f t="shared" si="120"/>
        <v>1630750</v>
      </c>
      <c r="I121" s="443">
        <f t="shared" si="120"/>
        <v>0</v>
      </c>
      <c r="J121" s="443">
        <f t="shared" si="120"/>
        <v>299300</v>
      </c>
      <c r="K121" s="443">
        <f t="shared" si="120"/>
        <v>299300</v>
      </c>
      <c r="L121" s="443">
        <f t="shared" si="120"/>
        <v>0</v>
      </c>
      <c r="M121" s="443">
        <f t="shared" si="120"/>
        <v>0</v>
      </c>
      <c r="N121" s="443">
        <f t="shared" si="120"/>
        <v>0</v>
      </c>
      <c r="O121" s="443">
        <f t="shared" si="120"/>
        <v>299300</v>
      </c>
      <c r="P121" s="443">
        <f t="shared" si="120"/>
        <v>59180260</v>
      </c>
      <c r="Q121" s="628"/>
      <c r="R121" s="292"/>
      <c r="T121" s="291"/>
    </row>
    <row r="122" spans="1:20" ht="230.25" thickTop="1" thickBot="1" x14ac:dyDescent="0.25">
      <c r="A122" s="224" t="s">
        <v>431</v>
      </c>
      <c r="B122" s="224" t="s">
        <v>248</v>
      </c>
      <c r="C122" s="224" t="s">
        <v>246</v>
      </c>
      <c r="D122" s="224" t="s">
        <v>247</v>
      </c>
      <c r="E122" s="443">
        <f t="shared" ref="E122" si="121">F122</f>
        <v>58800960</v>
      </c>
      <c r="F122" s="444">
        <v>58800960</v>
      </c>
      <c r="G122" s="444">
        <v>43500000</v>
      </c>
      <c r="H122" s="444">
        <f>1062000+31750+503000+34000</f>
        <v>1630750</v>
      </c>
      <c r="I122" s="444"/>
      <c r="J122" s="443">
        <f t="shared" si="119"/>
        <v>299300</v>
      </c>
      <c r="K122" s="444">
        <v>299300</v>
      </c>
      <c r="L122" s="444"/>
      <c r="M122" s="444"/>
      <c r="N122" s="444"/>
      <c r="O122" s="445">
        <f>K122</f>
        <v>299300</v>
      </c>
      <c r="P122" s="443">
        <f t="shared" ref="P122:P137" si="122">E122+J122</f>
        <v>59100260</v>
      </c>
      <c r="Q122" s="628"/>
      <c r="R122" s="292"/>
      <c r="T122" s="291"/>
    </row>
    <row r="123" spans="1:20" ht="184.5" thickTop="1" thickBot="1" x14ac:dyDescent="0.25">
      <c r="A123" s="224" t="s">
        <v>670</v>
      </c>
      <c r="B123" s="224" t="s">
        <v>376</v>
      </c>
      <c r="C123" s="224" t="s">
        <v>662</v>
      </c>
      <c r="D123" s="224" t="s">
        <v>663</v>
      </c>
      <c r="E123" s="443">
        <f t="shared" ref="E123:E124" si="123">F123</f>
        <v>50000</v>
      </c>
      <c r="F123" s="444">
        <v>50000</v>
      </c>
      <c r="G123" s="444"/>
      <c r="H123" s="444"/>
      <c r="I123" s="444"/>
      <c r="J123" s="443">
        <f t="shared" ref="J123:J124" si="124">L123+O123</f>
        <v>0</v>
      </c>
      <c r="K123" s="444"/>
      <c r="L123" s="444"/>
      <c r="M123" s="444"/>
      <c r="N123" s="444"/>
      <c r="O123" s="445">
        <f>K123</f>
        <v>0</v>
      </c>
      <c r="P123" s="443">
        <f t="shared" ref="P123:P124" si="125">E123+J123</f>
        <v>50000</v>
      </c>
      <c r="Q123" s="628"/>
      <c r="R123" s="292"/>
      <c r="T123" s="291"/>
    </row>
    <row r="124" spans="1:20" ht="93" thickTop="1" thickBot="1" x14ac:dyDescent="0.25">
      <c r="A124" s="532" t="s">
        <v>977</v>
      </c>
      <c r="B124" s="532" t="s">
        <v>45</v>
      </c>
      <c r="C124" s="532" t="s">
        <v>44</v>
      </c>
      <c r="D124" s="532" t="s">
        <v>260</v>
      </c>
      <c r="E124" s="530">
        <f t="shared" si="123"/>
        <v>30000</v>
      </c>
      <c r="F124" s="444">
        <v>30000</v>
      </c>
      <c r="G124" s="444"/>
      <c r="H124" s="444"/>
      <c r="I124" s="444"/>
      <c r="J124" s="530">
        <f t="shared" si="124"/>
        <v>0</v>
      </c>
      <c r="K124" s="444"/>
      <c r="L124" s="444"/>
      <c r="M124" s="444"/>
      <c r="N124" s="444"/>
      <c r="O124" s="535"/>
      <c r="P124" s="530">
        <f t="shared" si="125"/>
        <v>30000</v>
      </c>
      <c r="Q124" s="628"/>
      <c r="R124" s="292"/>
      <c r="T124" s="291"/>
    </row>
    <row r="125" spans="1:20" ht="91.5" thickTop="1" thickBot="1" x14ac:dyDescent="0.25">
      <c r="A125" s="151" t="s">
        <v>772</v>
      </c>
      <c r="B125" s="151" t="s">
        <v>754</v>
      </c>
      <c r="C125" s="151"/>
      <c r="D125" s="151" t="s">
        <v>755</v>
      </c>
      <c r="E125" s="530">
        <f>SUM(E126:E164)-E126-E135-E144-E147-E162-E141-E138</f>
        <v>161081822</v>
      </c>
      <c r="F125" s="530">
        <f>SUM(F126:F164)-F126-F135-F144-F147-F162-F141-F138</f>
        <v>161081822</v>
      </c>
      <c r="G125" s="530">
        <f>SUM(G126:G164)-G126-G135-G144-G147-G162-G141-G138</f>
        <v>38615565</v>
      </c>
      <c r="H125" s="530">
        <f>SUM(H126:H164)-H126-H135-H144-H147-H162-H141-H138</f>
        <v>2518559</v>
      </c>
      <c r="I125" s="530">
        <f>SUM(I126:I164)-I126-I135-I144-I147-I162-I141-I138</f>
        <v>0</v>
      </c>
      <c r="J125" s="530">
        <f>SUM(J126:J164)-J126-J135-J144-J147-J162-J141-J138</f>
        <v>9915532</v>
      </c>
      <c r="K125" s="530">
        <f>SUM(K126:K164)-K126-K135-K144-K147-K162-K141-K138</f>
        <v>3334828</v>
      </c>
      <c r="L125" s="530">
        <f>SUM(L126:L164)-L126-L135-L144-L147-L162-L141-L138</f>
        <v>6520336</v>
      </c>
      <c r="M125" s="530">
        <f>SUM(M126:M164)-M126-M135-M144-M147-M162-M141-M138</f>
        <v>1953040</v>
      </c>
      <c r="N125" s="530">
        <f>SUM(N126:N164)-N126-N135-N144-N147-N162-N141-N138</f>
        <v>465600</v>
      </c>
      <c r="O125" s="530">
        <f>SUM(O126:O164)-O126-O135-O144-O147-O162-O141-O138</f>
        <v>3395196</v>
      </c>
      <c r="P125" s="530">
        <f>SUM(P126:P164)-P126-P135-P144-P147-P162-P141-P138</f>
        <v>170997354</v>
      </c>
      <c r="Q125" s="628"/>
      <c r="R125" s="292"/>
      <c r="T125" s="291"/>
    </row>
    <row r="126" spans="1:20" s="274" customFormat="1" ht="276" thickTop="1" thickBot="1" x14ac:dyDescent="0.25">
      <c r="A126" s="489" t="s">
        <v>773</v>
      </c>
      <c r="B126" s="489" t="s">
        <v>774</v>
      </c>
      <c r="C126" s="489"/>
      <c r="D126" s="489" t="s">
        <v>775</v>
      </c>
      <c r="E126" s="472">
        <f>SUM(E127:E131)</f>
        <v>64538000</v>
      </c>
      <c r="F126" s="472">
        <f t="shared" ref="F126:P126" si="126">SUM(F127:F131)</f>
        <v>64538000</v>
      </c>
      <c r="G126" s="472">
        <f t="shared" si="126"/>
        <v>0</v>
      </c>
      <c r="H126" s="472">
        <f t="shared" si="126"/>
        <v>0</v>
      </c>
      <c r="I126" s="472">
        <f t="shared" si="126"/>
        <v>0</v>
      </c>
      <c r="J126" s="472">
        <f t="shared" si="126"/>
        <v>150000</v>
      </c>
      <c r="K126" s="472">
        <f t="shared" si="126"/>
        <v>150000</v>
      </c>
      <c r="L126" s="472">
        <f t="shared" si="126"/>
        <v>0</v>
      </c>
      <c r="M126" s="472">
        <f t="shared" si="126"/>
        <v>0</v>
      </c>
      <c r="N126" s="472">
        <f t="shared" si="126"/>
        <v>0</v>
      </c>
      <c r="O126" s="472">
        <f t="shared" si="126"/>
        <v>150000</v>
      </c>
      <c r="P126" s="472">
        <f t="shared" si="126"/>
        <v>64688000</v>
      </c>
      <c r="Q126" s="629"/>
      <c r="R126" s="294"/>
      <c r="T126" s="295"/>
    </row>
    <row r="127" spans="1:20" s="272" customFormat="1" ht="138.75" thickTop="1" thickBot="1" x14ac:dyDescent="0.25">
      <c r="A127" s="533" t="s">
        <v>281</v>
      </c>
      <c r="B127" s="533" t="s">
        <v>282</v>
      </c>
      <c r="C127" s="533" t="s">
        <v>217</v>
      </c>
      <c r="D127" s="562" t="s">
        <v>283</v>
      </c>
      <c r="E127" s="530">
        <f>F127</f>
        <v>270000</v>
      </c>
      <c r="F127" s="444">
        <v>270000</v>
      </c>
      <c r="G127" s="444"/>
      <c r="H127" s="444"/>
      <c r="I127" s="444"/>
      <c r="J127" s="530">
        <f t="shared" si="119"/>
        <v>150000</v>
      </c>
      <c r="K127" s="444">
        <v>150000</v>
      </c>
      <c r="L127" s="444"/>
      <c r="M127" s="444"/>
      <c r="N127" s="444"/>
      <c r="O127" s="535">
        <f t="shared" ref="O127:O146" si="127">K127</f>
        <v>150000</v>
      </c>
      <c r="P127" s="530">
        <f t="shared" si="122"/>
        <v>420000</v>
      </c>
      <c r="Q127" s="624"/>
      <c r="R127" s="292"/>
    </row>
    <row r="128" spans="1:20" s="272" customFormat="1" ht="138.75" thickTop="1" thickBot="1" x14ac:dyDescent="0.25">
      <c r="A128" s="533" t="s">
        <v>284</v>
      </c>
      <c r="B128" s="533" t="s">
        <v>285</v>
      </c>
      <c r="C128" s="533" t="s">
        <v>218</v>
      </c>
      <c r="D128" s="533" t="s">
        <v>6</v>
      </c>
      <c r="E128" s="530">
        <f t="shared" ref="E128:E175" si="128">F128</f>
        <v>900000</v>
      </c>
      <c r="F128" s="444">
        <f>-50000+((1350000)-400000)</f>
        <v>900000</v>
      </c>
      <c r="G128" s="444"/>
      <c r="H128" s="444"/>
      <c r="I128" s="444"/>
      <c r="J128" s="530">
        <f t="shared" si="119"/>
        <v>0</v>
      </c>
      <c r="K128" s="444"/>
      <c r="L128" s="444"/>
      <c r="M128" s="444"/>
      <c r="N128" s="444"/>
      <c r="O128" s="535">
        <f t="shared" si="127"/>
        <v>0</v>
      </c>
      <c r="P128" s="530">
        <f t="shared" si="122"/>
        <v>900000</v>
      </c>
      <c r="Q128" s="624"/>
      <c r="R128" s="297"/>
    </row>
    <row r="129" spans="1:18" s="272" customFormat="1" ht="184.5" thickTop="1" thickBot="1" x14ac:dyDescent="0.25">
      <c r="A129" s="533" t="s">
        <v>287</v>
      </c>
      <c r="B129" s="533" t="s">
        <v>288</v>
      </c>
      <c r="C129" s="533" t="s">
        <v>218</v>
      </c>
      <c r="D129" s="533" t="s">
        <v>7</v>
      </c>
      <c r="E129" s="530">
        <f t="shared" si="128"/>
        <v>15600000</v>
      </c>
      <c r="F129" s="444">
        <v>15600000</v>
      </c>
      <c r="G129" s="444"/>
      <c r="H129" s="444"/>
      <c r="I129" s="444"/>
      <c r="J129" s="530">
        <f t="shared" si="119"/>
        <v>0</v>
      </c>
      <c r="K129" s="444"/>
      <c r="L129" s="444"/>
      <c r="M129" s="444"/>
      <c r="N129" s="444"/>
      <c r="O129" s="535">
        <f t="shared" si="127"/>
        <v>0</v>
      </c>
      <c r="P129" s="530">
        <f t="shared" si="122"/>
        <v>15600000</v>
      </c>
      <c r="Q129" s="624"/>
      <c r="R129" s="297"/>
    </row>
    <row r="130" spans="1:18" s="272" customFormat="1" ht="184.5" thickTop="1" thickBot="1" x14ac:dyDescent="0.25">
      <c r="A130" s="533" t="s">
        <v>289</v>
      </c>
      <c r="B130" s="533" t="s">
        <v>286</v>
      </c>
      <c r="C130" s="533" t="s">
        <v>218</v>
      </c>
      <c r="D130" s="533" t="s">
        <v>8</v>
      </c>
      <c r="E130" s="530">
        <f t="shared" si="128"/>
        <v>900000</v>
      </c>
      <c r="F130" s="444">
        <v>900000</v>
      </c>
      <c r="G130" s="444"/>
      <c r="H130" s="444"/>
      <c r="I130" s="444"/>
      <c r="J130" s="530">
        <f t="shared" si="119"/>
        <v>0</v>
      </c>
      <c r="K130" s="444"/>
      <c r="L130" s="444"/>
      <c r="M130" s="444"/>
      <c r="N130" s="444"/>
      <c r="O130" s="535">
        <f t="shared" si="127"/>
        <v>0</v>
      </c>
      <c r="P130" s="530">
        <f t="shared" si="122"/>
        <v>900000</v>
      </c>
      <c r="Q130" s="624"/>
      <c r="R130" s="297"/>
    </row>
    <row r="131" spans="1:18" s="272" customFormat="1" ht="184.5" thickTop="1" thickBot="1" x14ac:dyDescent="0.25">
      <c r="A131" s="533" t="s">
        <v>290</v>
      </c>
      <c r="B131" s="533" t="s">
        <v>291</v>
      </c>
      <c r="C131" s="533" t="s">
        <v>218</v>
      </c>
      <c r="D131" s="533" t="s">
        <v>9</v>
      </c>
      <c r="E131" s="530">
        <f t="shared" si="128"/>
        <v>46868000</v>
      </c>
      <c r="F131" s="444">
        <v>46868000</v>
      </c>
      <c r="G131" s="444"/>
      <c r="H131" s="444"/>
      <c r="I131" s="444"/>
      <c r="J131" s="530">
        <f t="shared" si="119"/>
        <v>0</v>
      </c>
      <c r="K131" s="444"/>
      <c r="L131" s="444"/>
      <c r="M131" s="444"/>
      <c r="N131" s="444"/>
      <c r="O131" s="535">
        <f t="shared" si="127"/>
        <v>0</v>
      </c>
      <c r="P131" s="530">
        <f t="shared" si="122"/>
        <v>46868000</v>
      </c>
      <c r="Q131" s="624"/>
      <c r="R131" s="297"/>
    </row>
    <row r="132" spans="1:18" s="272" customFormat="1" ht="184.5" thickTop="1" thickBot="1" x14ac:dyDescent="0.25">
      <c r="A132" s="666" t="s">
        <v>496</v>
      </c>
      <c r="B132" s="666" t="s">
        <v>497</v>
      </c>
      <c r="C132" s="666" t="s">
        <v>218</v>
      </c>
      <c r="D132" s="666" t="s">
        <v>498</v>
      </c>
      <c r="E132" s="664">
        <f t="shared" si="128"/>
        <v>226297</v>
      </c>
      <c r="F132" s="444">
        <v>226297</v>
      </c>
      <c r="G132" s="444"/>
      <c r="H132" s="444"/>
      <c r="I132" s="444"/>
      <c r="J132" s="664">
        <f t="shared" si="119"/>
        <v>0</v>
      </c>
      <c r="K132" s="444"/>
      <c r="L132" s="444"/>
      <c r="M132" s="444"/>
      <c r="N132" s="444"/>
      <c r="O132" s="535">
        <f t="shared" si="127"/>
        <v>0</v>
      </c>
      <c r="P132" s="530">
        <f t="shared" si="122"/>
        <v>226297</v>
      </c>
      <c r="Q132" s="624"/>
      <c r="R132" s="297"/>
    </row>
    <row r="133" spans="1:18" s="272" customFormat="1" ht="138.75" thickTop="1" thickBot="1" x14ac:dyDescent="0.25">
      <c r="A133" s="533" t="s">
        <v>978</v>
      </c>
      <c r="B133" s="533" t="s">
        <v>979</v>
      </c>
      <c r="C133" s="533" t="s">
        <v>218</v>
      </c>
      <c r="D133" s="533" t="s">
        <v>980</v>
      </c>
      <c r="E133" s="530">
        <f t="shared" ref="E133" si="129">F133</f>
        <v>179985</v>
      </c>
      <c r="F133" s="444">
        <v>179985</v>
      </c>
      <c r="G133" s="444"/>
      <c r="H133" s="444"/>
      <c r="I133" s="444"/>
      <c r="J133" s="530">
        <f t="shared" ref="J133" si="130">L133+O133</f>
        <v>0</v>
      </c>
      <c r="K133" s="444"/>
      <c r="L133" s="444"/>
      <c r="M133" s="444"/>
      <c r="N133" s="444"/>
      <c r="O133" s="535">
        <f t="shared" ref="O133" si="131">K133</f>
        <v>0</v>
      </c>
      <c r="P133" s="530">
        <f t="shared" ref="P133" si="132">E133+J133</f>
        <v>179985</v>
      </c>
      <c r="Q133" s="624"/>
      <c r="R133" s="297"/>
    </row>
    <row r="134" spans="1:18" ht="138.75" thickTop="1" thickBot="1" x14ac:dyDescent="0.25">
      <c r="A134" s="666" t="s">
        <v>499</v>
      </c>
      <c r="B134" s="666" t="s">
        <v>500</v>
      </c>
      <c r="C134" s="666" t="s">
        <v>217</v>
      </c>
      <c r="D134" s="666" t="s">
        <v>501</v>
      </c>
      <c r="E134" s="664">
        <f t="shared" si="128"/>
        <v>498130</v>
      </c>
      <c r="F134" s="444">
        <v>498130</v>
      </c>
      <c r="G134" s="444"/>
      <c r="H134" s="444"/>
      <c r="I134" s="444"/>
      <c r="J134" s="664">
        <f t="shared" si="119"/>
        <v>0</v>
      </c>
      <c r="K134" s="444"/>
      <c r="L134" s="444"/>
      <c r="M134" s="444"/>
      <c r="N134" s="444"/>
      <c r="O134" s="667">
        <f>K134</f>
        <v>0</v>
      </c>
      <c r="P134" s="664">
        <f t="shared" si="122"/>
        <v>498130</v>
      </c>
      <c r="R134" s="297"/>
    </row>
    <row r="135" spans="1:18" s="272" customFormat="1" ht="276" thickTop="1" thickBot="1" x14ac:dyDescent="0.25">
      <c r="A135" s="489" t="s">
        <v>776</v>
      </c>
      <c r="B135" s="489" t="s">
        <v>777</v>
      </c>
      <c r="C135" s="489"/>
      <c r="D135" s="489" t="s">
        <v>778</v>
      </c>
      <c r="E135" s="472">
        <f>SUM(E136:E137)</f>
        <v>44220625</v>
      </c>
      <c r="F135" s="472">
        <f t="shared" ref="F135:P135" si="133">SUM(F136:F137)</f>
        <v>44220625</v>
      </c>
      <c r="G135" s="472">
        <f t="shared" si="133"/>
        <v>27355405</v>
      </c>
      <c r="H135" s="472">
        <f t="shared" si="133"/>
        <v>1460330</v>
      </c>
      <c r="I135" s="472">
        <f t="shared" si="133"/>
        <v>0</v>
      </c>
      <c r="J135" s="472">
        <f t="shared" si="133"/>
        <v>580500</v>
      </c>
      <c r="K135" s="472">
        <f t="shared" si="133"/>
        <v>30500</v>
      </c>
      <c r="L135" s="472">
        <f t="shared" si="133"/>
        <v>550000</v>
      </c>
      <c r="M135" s="472">
        <f t="shared" si="133"/>
        <v>300000</v>
      </c>
      <c r="N135" s="472">
        <f t="shared" si="133"/>
        <v>51000</v>
      </c>
      <c r="O135" s="472">
        <f t="shared" si="133"/>
        <v>30500</v>
      </c>
      <c r="P135" s="472">
        <f t="shared" si="133"/>
        <v>44801125</v>
      </c>
      <c r="Q135" s="624"/>
      <c r="R135" s="298"/>
    </row>
    <row r="136" spans="1:18" ht="276" thickTop="1" thickBot="1" x14ac:dyDescent="0.25">
      <c r="A136" s="533" t="s">
        <v>279</v>
      </c>
      <c r="B136" s="533" t="s">
        <v>277</v>
      </c>
      <c r="C136" s="533" t="s">
        <v>212</v>
      </c>
      <c r="D136" s="533" t="s">
        <v>17</v>
      </c>
      <c r="E136" s="530">
        <f t="shared" si="128"/>
        <v>35694700</v>
      </c>
      <c r="F136" s="444">
        <f>(((((31422670)+1099005)+965175)+1300000)+707850)+200000</f>
        <v>35694700</v>
      </c>
      <c r="G136" s="444">
        <v>21405255</v>
      </c>
      <c r="H136" s="444">
        <f>(460665+13000+138220+9000)+28100+60800+30000</f>
        <v>739785</v>
      </c>
      <c r="I136" s="444"/>
      <c r="J136" s="530">
        <f t="shared" si="119"/>
        <v>550000</v>
      </c>
      <c r="K136" s="444">
        <v>0</v>
      </c>
      <c r="L136" s="444">
        <v>550000</v>
      </c>
      <c r="M136" s="444">
        <v>300000</v>
      </c>
      <c r="N136" s="444">
        <f>(40000+4000+7000)</f>
        <v>51000</v>
      </c>
      <c r="O136" s="535">
        <f t="shared" si="127"/>
        <v>0</v>
      </c>
      <c r="P136" s="530">
        <f t="shared" si="122"/>
        <v>36244700</v>
      </c>
      <c r="R136" s="292"/>
    </row>
    <row r="137" spans="1:18" ht="138.75" thickTop="1" thickBot="1" x14ac:dyDescent="0.25">
      <c r="A137" s="533" t="s">
        <v>280</v>
      </c>
      <c r="B137" s="533" t="s">
        <v>278</v>
      </c>
      <c r="C137" s="533" t="s">
        <v>211</v>
      </c>
      <c r="D137" s="533" t="s">
        <v>473</v>
      </c>
      <c r="E137" s="530">
        <f t="shared" si="128"/>
        <v>8525925</v>
      </c>
      <c r="F137" s="444">
        <v>8525925</v>
      </c>
      <c r="G137" s="444">
        <f>(3360745+2589405)</f>
        <v>5950150</v>
      </c>
      <c r="H137" s="444">
        <f>(329310+5880+88535+720+254560+6555+34710+275)</f>
        <v>720545</v>
      </c>
      <c r="I137" s="444"/>
      <c r="J137" s="530">
        <f t="shared" si="119"/>
        <v>30500</v>
      </c>
      <c r="K137" s="444">
        <v>30500</v>
      </c>
      <c r="L137" s="444"/>
      <c r="M137" s="444"/>
      <c r="N137" s="444"/>
      <c r="O137" s="535">
        <f t="shared" si="127"/>
        <v>30500</v>
      </c>
      <c r="P137" s="530">
        <f t="shared" si="122"/>
        <v>8556425</v>
      </c>
      <c r="R137" s="292"/>
    </row>
    <row r="138" spans="1:18" ht="138.75" thickTop="1" thickBot="1" x14ac:dyDescent="0.25">
      <c r="A138" s="489" t="s">
        <v>1100</v>
      </c>
      <c r="B138" s="489" t="s">
        <v>809</v>
      </c>
      <c r="C138" s="489"/>
      <c r="D138" s="489" t="s">
        <v>810</v>
      </c>
      <c r="E138" s="472">
        <f>E139</f>
        <v>6040461</v>
      </c>
      <c r="F138" s="472">
        <f t="shared" ref="F138:P138" si="134">F139</f>
        <v>6040461</v>
      </c>
      <c r="G138" s="472">
        <f t="shared" si="134"/>
        <v>4559615</v>
      </c>
      <c r="H138" s="472">
        <f t="shared" si="134"/>
        <v>137400</v>
      </c>
      <c r="I138" s="472">
        <f t="shared" si="134"/>
        <v>0</v>
      </c>
      <c r="J138" s="472">
        <f t="shared" si="134"/>
        <v>0</v>
      </c>
      <c r="K138" s="472">
        <f t="shared" si="134"/>
        <v>0</v>
      </c>
      <c r="L138" s="472">
        <f t="shared" si="134"/>
        <v>0</v>
      </c>
      <c r="M138" s="472">
        <f t="shared" si="134"/>
        <v>0</v>
      </c>
      <c r="N138" s="472">
        <f t="shared" si="134"/>
        <v>0</v>
      </c>
      <c r="O138" s="472">
        <f t="shared" si="134"/>
        <v>0</v>
      </c>
      <c r="P138" s="472">
        <f t="shared" si="134"/>
        <v>6040461</v>
      </c>
      <c r="R138" s="292"/>
    </row>
    <row r="139" spans="1:18" ht="138.75" thickTop="1" thickBot="1" x14ac:dyDescent="0.25">
      <c r="A139" s="864" t="s">
        <v>1389</v>
      </c>
      <c r="B139" s="864" t="s">
        <v>196</v>
      </c>
      <c r="C139" s="864" t="s">
        <v>197</v>
      </c>
      <c r="D139" s="864" t="s">
        <v>680</v>
      </c>
      <c r="E139" s="446">
        <f t="shared" ref="E139" si="135">F139</f>
        <v>6040461</v>
      </c>
      <c r="F139" s="447">
        <f>(0)+6040461</f>
        <v>6040461</v>
      </c>
      <c r="G139" s="447">
        <f>(0)+4559615</f>
        <v>4559615</v>
      </c>
      <c r="H139" s="447">
        <f>(0)+(96665+5295+31600+3840)</f>
        <v>137400</v>
      </c>
      <c r="I139" s="447"/>
      <c r="J139" s="860">
        <f t="shared" ref="J139" si="136">L139+O139</f>
        <v>0</v>
      </c>
      <c r="K139" s="447"/>
      <c r="L139" s="459"/>
      <c r="M139" s="459"/>
      <c r="N139" s="459"/>
      <c r="O139" s="869">
        <f t="shared" ref="O139" si="137">K139</f>
        <v>0</v>
      </c>
      <c r="P139" s="860">
        <f>+J139+E139</f>
        <v>6040461</v>
      </c>
      <c r="R139" s="292"/>
    </row>
    <row r="140" spans="1:18" ht="409.6" thickTop="1" thickBot="1" x14ac:dyDescent="0.25">
      <c r="A140" s="533" t="s">
        <v>275</v>
      </c>
      <c r="B140" s="533" t="s">
        <v>276</v>
      </c>
      <c r="C140" s="533" t="s">
        <v>211</v>
      </c>
      <c r="D140" s="533" t="s">
        <v>471</v>
      </c>
      <c r="E140" s="530">
        <f t="shared" si="128"/>
        <v>3283295</v>
      </c>
      <c r="F140" s="444">
        <v>3283295</v>
      </c>
      <c r="G140" s="444"/>
      <c r="H140" s="444"/>
      <c r="I140" s="444"/>
      <c r="J140" s="530">
        <f t="shared" si="119"/>
        <v>0</v>
      </c>
      <c r="K140" s="530"/>
      <c r="L140" s="444"/>
      <c r="M140" s="444"/>
      <c r="N140" s="444"/>
      <c r="O140" s="535">
        <f t="shared" si="127"/>
        <v>0</v>
      </c>
      <c r="P140" s="530">
        <f>+J140+E140</f>
        <v>3283295</v>
      </c>
      <c r="R140" s="297"/>
    </row>
    <row r="141" spans="1:18" ht="138.75" thickTop="1" thickBot="1" x14ac:dyDescent="0.25">
      <c r="A141" s="489" t="s">
        <v>932</v>
      </c>
      <c r="B141" s="489" t="s">
        <v>933</v>
      </c>
      <c r="C141" s="489"/>
      <c r="D141" s="489" t="s">
        <v>934</v>
      </c>
      <c r="E141" s="472">
        <f t="shared" si="128"/>
        <v>159297</v>
      </c>
      <c r="F141" s="472">
        <f>F142</f>
        <v>159297</v>
      </c>
      <c r="G141" s="472">
        <f t="shared" ref="G141:I141" si="138">G142</f>
        <v>0</v>
      </c>
      <c r="H141" s="472">
        <f t="shared" si="138"/>
        <v>0</v>
      </c>
      <c r="I141" s="472">
        <f t="shared" si="138"/>
        <v>0</v>
      </c>
      <c r="J141" s="472">
        <f t="shared" si="119"/>
        <v>0</v>
      </c>
      <c r="K141" s="472">
        <f t="shared" ref="K141:N141" si="139">K142</f>
        <v>0</v>
      </c>
      <c r="L141" s="472">
        <f t="shared" si="139"/>
        <v>0</v>
      </c>
      <c r="M141" s="472">
        <f t="shared" si="139"/>
        <v>0</v>
      </c>
      <c r="N141" s="472">
        <f t="shared" si="139"/>
        <v>0</v>
      </c>
      <c r="O141" s="472">
        <f t="shared" si="127"/>
        <v>0</v>
      </c>
      <c r="P141" s="472">
        <f>+J141+E141</f>
        <v>159297</v>
      </c>
      <c r="R141" s="297"/>
    </row>
    <row r="142" spans="1:18" ht="276" thickTop="1" thickBot="1" x14ac:dyDescent="0.25">
      <c r="A142" s="666" t="s">
        <v>502</v>
      </c>
      <c r="B142" s="666" t="s">
        <v>503</v>
      </c>
      <c r="C142" s="666" t="s">
        <v>211</v>
      </c>
      <c r="D142" s="666" t="s">
        <v>504</v>
      </c>
      <c r="E142" s="664">
        <f t="shared" si="128"/>
        <v>159297</v>
      </c>
      <c r="F142" s="444">
        <v>159297</v>
      </c>
      <c r="G142" s="444"/>
      <c r="H142" s="444"/>
      <c r="I142" s="444"/>
      <c r="J142" s="664">
        <f t="shared" si="119"/>
        <v>0</v>
      </c>
      <c r="K142" s="664"/>
      <c r="L142" s="444"/>
      <c r="M142" s="444"/>
      <c r="N142" s="444"/>
      <c r="O142" s="667">
        <f t="shared" si="127"/>
        <v>0</v>
      </c>
      <c r="P142" s="664">
        <f>+J142+E142</f>
        <v>159297</v>
      </c>
      <c r="R142" s="297"/>
    </row>
    <row r="143" spans="1:18" ht="367.5" thickTop="1" thickBot="1" x14ac:dyDescent="0.25">
      <c r="A143" s="533" t="s">
        <v>362</v>
      </c>
      <c r="B143" s="533" t="s">
        <v>361</v>
      </c>
      <c r="C143" s="533" t="s">
        <v>52</v>
      </c>
      <c r="D143" s="533" t="s">
        <v>472</v>
      </c>
      <c r="E143" s="530">
        <f t="shared" si="128"/>
        <v>2842500</v>
      </c>
      <c r="F143" s="444">
        <v>2842500</v>
      </c>
      <c r="G143" s="444"/>
      <c r="H143" s="444"/>
      <c r="I143" s="444"/>
      <c r="J143" s="530">
        <f t="shared" si="119"/>
        <v>0</v>
      </c>
      <c r="K143" s="530"/>
      <c r="L143" s="444"/>
      <c r="M143" s="444"/>
      <c r="N143" s="444"/>
      <c r="O143" s="535">
        <f t="shared" si="127"/>
        <v>0</v>
      </c>
      <c r="P143" s="530">
        <f>E143+J143</f>
        <v>2842500</v>
      </c>
      <c r="R143" s="297"/>
    </row>
    <row r="144" spans="1:18" s="272" customFormat="1" ht="93" thickTop="1" thickBot="1" x14ac:dyDescent="0.25">
      <c r="A144" s="489" t="s">
        <v>779</v>
      </c>
      <c r="B144" s="489" t="s">
        <v>780</v>
      </c>
      <c r="C144" s="489"/>
      <c r="D144" s="489" t="s">
        <v>781</v>
      </c>
      <c r="E144" s="472">
        <f>E145</f>
        <v>758000</v>
      </c>
      <c r="F144" s="472">
        <f t="shared" ref="F144:P144" si="140">F145</f>
        <v>758000</v>
      </c>
      <c r="G144" s="472">
        <f t="shared" si="140"/>
        <v>0</v>
      </c>
      <c r="H144" s="472">
        <f t="shared" si="140"/>
        <v>0</v>
      </c>
      <c r="I144" s="472">
        <f t="shared" si="140"/>
        <v>0</v>
      </c>
      <c r="J144" s="472">
        <f t="shared" si="140"/>
        <v>0</v>
      </c>
      <c r="K144" s="472">
        <f t="shared" si="140"/>
        <v>0</v>
      </c>
      <c r="L144" s="472">
        <f t="shared" si="140"/>
        <v>0</v>
      </c>
      <c r="M144" s="472">
        <f t="shared" si="140"/>
        <v>0</v>
      </c>
      <c r="N144" s="472">
        <f t="shared" si="140"/>
        <v>0</v>
      </c>
      <c r="O144" s="472">
        <f t="shared" si="140"/>
        <v>0</v>
      </c>
      <c r="P144" s="472">
        <f t="shared" si="140"/>
        <v>758000</v>
      </c>
      <c r="Q144" s="624"/>
      <c r="R144" s="298"/>
    </row>
    <row r="145" spans="1:18" ht="230.25" thickTop="1" thickBot="1" x14ac:dyDescent="0.25">
      <c r="A145" s="533" t="s">
        <v>339</v>
      </c>
      <c r="B145" s="533" t="s">
        <v>340</v>
      </c>
      <c r="C145" s="533" t="s">
        <v>217</v>
      </c>
      <c r="D145" s="533" t="s">
        <v>677</v>
      </c>
      <c r="E145" s="530">
        <f t="shared" si="128"/>
        <v>758000</v>
      </c>
      <c r="F145" s="444">
        <v>758000</v>
      </c>
      <c r="G145" s="444"/>
      <c r="H145" s="444"/>
      <c r="I145" s="444"/>
      <c r="J145" s="530">
        <f t="shared" si="119"/>
        <v>0</v>
      </c>
      <c r="K145" s="444"/>
      <c r="L145" s="444"/>
      <c r="M145" s="444"/>
      <c r="N145" s="444"/>
      <c r="O145" s="535">
        <f t="shared" si="127"/>
        <v>0</v>
      </c>
      <c r="P145" s="530">
        <f>E145+J145</f>
        <v>758000</v>
      </c>
      <c r="R145" s="297"/>
    </row>
    <row r="146" spans="1:18" ht="93" thickTop="1" thickBot="1" x14ac:dyDescent="0.25">
      <c r="A146" s="533" t="s">
        <v>444</v>
      </c>
      <c r="B146" s="533" t="s">
        <v>386</v>
      </c>
      <c r="C146" s="533" t="s">
        <v>387</v>
      </c>
      <c r="D146" s="533" t="s">
        <v>385</v>
      </c>
      <c r="E146" s="575">
        <f t="shared" si="128"/>
        <v>107000</v>
      </c>
      <c r="F146" s="444">
        <v>107000</v>
      </c>
      <c r="G146" s="444">
        <v>88000</v>
      </c>
      <c r="H146" s="444"/>
      <c r="I146" s="444"/>
      <c r="J146" s="530">
        <f t="shared" si="119"/>
        <v>0</v>
      </c>
      <c r="K146" s="444"/>
      <c r="L146" s="444"/>
      <c r="M146" s="444"/>
      <c r="N146" s="444"/>
      <c r="O146" s="535">
        <f t="shared" si="127"/>
        <v>0</v>
      </c>
      <c r="P146" s="530">
        <f>E146+J146</f>
        <v>107000</v>
      </c>
      <c r="R146" s="297"/>
    </row>
    <row r="147" spans="1:18" ht="230.25" hidden="1" thickTop="1" thickBot="1" x14ac:dyDescent="0.25">
      <c r="A147" s="279" t="s">
        <v>1148</v>
      </c>
      <c r="B147" s="279" t="s">
        <v>1149</v>
      </c>
      <c r="C147" s="279"/>
      <c r="D147" s="279" t="s">
        <v>1147</v>
      </c>
      <c r="E147" s="275">
        <f>E148+E151+E155+E158</f>
        <v>0</v>
      </c>
      <c r="F147" s="275">
        <f t="shared" ref="F147:P147" si="141">F148+F151+F155+F158</f>
        <v>0</v>
      </c>
      <c r="G147" s="275">
        <f t="shared" si="141"/>
        <v>0</v>
      </c>
      <c r="H147" s="275">
        <f t="shared" si="141"/>
        <v>0</v>
      </c>
      <c r="I147" s="275">
        <f t="shared" si="141"/>
        <v>0</v>
      </c>
      <c r="J147" s="275">
        <f t="shared" si="141"/>
        <v>0</v>
      </c>
      <c r="K147" s="275">
        <f t="shared" si="141"/>
        <v>0</v>
      </c>
      <c r="L147" s="275">
        <f t="shared" si="141"/>
        <v>0</v>
      </c>
      <c r="M147" s="275">
        <f t="shared" si="141"/>
        <v>0</v>
      </c>
      <c r="N147" s="275">
        <f t="shared" si="141"/>
        <v>0</v>
      </c>
      <c r="O147" s="275">
        <f t="shared" si="141"/>
        <v>0</v>
      </c>
      <c r="P147" s="275">
        <f t="shared" si="141"/>
        <v>0</v>
      </c>
      <c r="R147" s="297"/>
    </row>
    <row r="148" spans="1:18" ht="409.6" hidden="1" thickTop="1" x14ac:dyDescent="0.65">
      <c r="A148" s="911" t="s">
        <v>1153</v>
      </c>
      <c r="B148" s="911" t="s">
        <v>1154</v>
      </c>
      <c r="C148" s="911" t="s">
        <v>52</v>
      </c>
      <c r="D148" s="299" t="s">
        <v>1150</v>
      </c>
      <c r="E148" s="903">
        <f t="shared" ref="E148:E151" si="142">F148</f>
        <v>0</v>
      </c>
      <c r="F148" s="903"/>
      <c r="G148" s="903"/>
      <c r="H148" s="903"/>
      <c r="I148" s="903"/>
      <c r="J148" s="903">
        <f t="shared" ref="J148:J151" si="143">L148+O148</f>
        <v>0</v>
      </c>
      <c r="K148" s="906">
        <v>0</v>
      </c>
      <c r="L148" s="903"/>
      <c r="M148" s="903"/>
      <c r="N148" s="903"/>
      <c r="O148" s="906">
        <f t="shared" ref="O148:O151" si="144">K148</f>
        <v>0</v>
      </c>
      <c r="P148" s="903">
        <f t="shared" ref="P148:P151" si="145">E148+J148</f>
        <v>0</v>
      </c>
      <c r="Q148" s="913"/>
      <c r="R148" s="909"/>
    </row>
    <row r="149" spans="1:18" ht="409.5" hidden="1" x14ac:dyDescent="0.2">
      <c r="A149" s="904"/>
      <c r="B149" s="904"/>
      <c r="C149" s="904"/>
      <c r="D149" s="300" t="s">
        <v>1151</v>
      </c>
      <c r="E149" s="904"/>
      <c r="F149" s="904"/>
      <c r="G149" s="904"/>
      <c r="H149" s="904"/>
      <c r="I149" s="904"/>
      <c r="J149" s="904"/>
      <c r="K149" s="907"/>
      <c r="L149" s="904"/>
      <c r="M149" s="904"/>
      <c r="N149" s="904"/>
      <c r="O149" s="907"/>
      <c r="P149" s="904"/>
      <c r="Q149" s="913"/>
      <c r="R149" s="910"/>
    </row>
    <row r="150" spans="1:18" ht="409.6" hidden="1" thickBot="1" x14ac:dyDescent="0.25">
      <c r="A150" s="905"/>
      <c r="B150" s="905"/>
      <c r="C150" s="905"/>
      <c r="D150" s="301" t="s">
        <v>1152</v>
      </c>
      <c r="E150" s="905"/>
      <c r="F150" s="905"/>
      <c r="G150" s="905"/>
      <c r="H150" s="905"/>
      <c r="I150" s="905"/>
      <c r="J150" s="905"/>
      <c r="K150" s="908"/>
      <c r="L150" s="905"/>
      <c r="M150" s="905"/>
      <c r="N150" s="905"/>
      <c r="O150" s="908"/>
      <c r="P150" s="905"/>
      <c r="Q150" s="913"/>
      <c r="R150" s="910"/>
    </row>
    <row r="151" spans="1:18" ht="409.6" hidden="1" thickTop="1" x14ac:dyDescent="0.65">
      <c r="A151" s="911" t="s">
        <v>1159</v>
      </c>
      <c r="B151" s="911" t="s">
        <v>1160</v>
      </c>
      <c r="C151" s="911" t="s">
        <v>52</v>
      </c>
      <c r="D151" s="299" t="s">
        <v>1155</v>
      </c>
      <c r="E151" s="903">
        <f t="shared" si="142"/>
        <v>0</v>
      </c>
      <c r="F151" s="903"/>
      <c r="G151" s="903"/>
      <c r="H151" s="903"/>
      <c r="I151" s="903"/>
      <c r="J151" s="903">
        <f t="shared" si="143"/>
        <v>0</v>
      </c>
      <c r="K151" s="906">
        <v>0</v>
      </c>
      <c r="L151" s="903"/>
      <c r="M151" s="903"/>
      <c r="N151" s="903"/>
      <c r="O151" s="903">
        <f t="shared" si="144"/>
        <v>0</v>
      </c>
      <c r="P151" s="903">
        <f t="shared" si="145"/>
        <v>0</v>
      </c>
      <c r="R151" s="909"/>
    </row>
    <row r="152" spans="1:18" ht="409.5" hidden="1" x14ac:dyDescent="0.2">
      <c r="A152" s="904"/>
      <c r="B152" s="904"/>
      <c r="C152" s="904"/>
      <c r="D152" s="300" t="s">
        <v>1156</v>
      </c>
      <c r="E152" s="904"/>
      <c r="F152" s="904"/>
      <c r="G152" s="904"/>
      <c r="H152" s="904"/>
      <c r="I152" s="904"/>
      <c r="J152" s="904"/>
      <c r="K152" s="907"/>
      <c r="L152" s="904"/>
      <c r="M152" s="904"/>
      <c r="N152" s="904"/>
      <c r="O152" s="904"/>
      <c r="P152" s="904"/>
      <c r="R152" s="912"/>
    </row>
    <row r="153" spans="1:18" ht="409.5" hidden="1" x14ac:dyDescent="0.2">
      <c r="A153" s="904"/>
      <c r="B153" s="904"/>
      <c r="C153" s="904"/>
      <c r="D153" s="300" t="s">
        <v>1157</v>
      </c>
      <c r="E153" s="904"/>
      <c r="F153" s="904"/>
      <c r="G153" s="904"/>
      <c r="H153" s="904"/>
      <c r="I153" s="904"/>
      <c r="J153" s="904"/>
      <c r="K153" s="907"/>
      <c r="L153" s="904"/>
      <c r="M153" s="904"/>
      <c r="N153" s="904"/>
      <c r="O153" s="904"/>
      <c r="P153" s="904"/>
      <c r="R153" s="912"/>
    </row>
    <row r="154" spans="1:18" ht="183.75" hidden="1" thickBot="1" x14ac:dyDescent="0.25">
      <c r="A154" s="905"/>
      <c r="B154" s="905"/>
      <c r="C154" s="905"/>
      <c r="D154" s="301" t="s">
        <v>1158</v>
      </c>
      <c r="E154" s="905"/>
      <c r="F154" s="905"/>
      <c r="G154" s="905"/>
      <c r="H154" s="905"/>
      <c r="I154" s="905"/>
      <c r="J154" s="905"/>
      <c r="K154" s="908"/>
      <c r="L154" s="905"/>
      <c r="M154" s="905"/>
      <c r="N154" s="905"/>
      <c r="O154" s="905"/>
      <c r="P154" s="905"/>
      <c r="R154" s="912"/>
    </row>
    <row r="155" spans="1:18" ht="409.6" hidden="1" thickTop="1" x14ac:dyDescent="0.65">
      <c r="A155" s="911" t="s">
        <v>1161</v>
      </c>
      <c r="B155" s="911" t="s">
        <v>1162</v>
      </c>
      <c r="C155" s="911" t="s">
        <v>52</v>
      </c>
      <c r="D155" s="299" t="s">
        <v>1163</v>
      </c>
      <c r="E155" s="903">
        <f t="shared" ref="E155" si="146">F155</f>
        <v>0</v>
      </c>
      <c r="F155" s="903"/>
      <c r="G155" s="903"/>
      <c r="H155" s="903"/>
      <c r="I155" s="903"/>
      <c r="J155" s="903">
        <f t="shared" ref="J155" si="147">L155+O155</f>
        <v>0</v>
      </c>
      <c r="K155" s="906">
        <v>0</v>
      </c>
      <c r="L155" s="903"/>
      <c r="M155" s="903"/>
      <c r="N155" s="903"/>
      <c r="O155" s="906">
        <f t="shared" ref="O155" si="148">K155</f>
        <v>0</v>
      </c>
      <c r="P155" s="903">
        <f t="shared" ref="P155" si="149">E155+J155</f>
        <v>0</v>
      </c>
      <c r="R155" s="909"/>
    </row>
    <row r="156" spans="1:18" ht="409.5" hidden="1" x14ac:dyDescent="0.2">
      <c r="A156" s="904"/>
      <c r="B156" s="904"/>
      <c r="C156" s="904"/>
      <c r="D156" s="300" t="s">
        <v>1164</v>
      </c>
      <c r="E156" s="904"/>
      <c r="F156" s="904"/>
      <c r="G156" s="904"/>
      <c r="H156" s="904"/>
      <c r="I156" s="904"/>
      <c r="J156" s="904"/>
      <c r="K156" s="907"/>
      <c r="L156" s="904"/>
      <c r="M156" s="904"/>
      <c r="N156" s="904"/>
      <c r="O156" s="907"/>
      <c r="P156" s="904"/>
      <c r="R156" s="910"/>
    </row>
    <row r="157" spans="1:18" ht="138" hidden="1" thickBot="1" x14ac:dyDescent="0.25">
      <c r="A157" s="905"/>
      <c r="B157" s="905"/>
      <c r="C157" s="905"/>
      <c r="D157" s="301" t="s">
        <v>1165</v>
      </c>
      <c r="E157" s="905"/>
      <c r="F157" s="905"/>
      <c r="G157" s="905"/>
      <c r="H157" s="905"/>
      <c r="I157" s="905"/>
      <c r="J157" s="905"/>
      <c r="K157" s="908"/>
      <c r="L157" s="905"/>
      <c r="M157" s="905"/>
      <c r="N157" s="905"/>
      <c r="O157" s="908"/>
      <c r="P157" s="905"/>
      <c r="R157" s="910"/>
    </row>
    <row r="158" spans="1:18" ht="409.6" hidden="1" thickTop="1" x14ac:dyDescent="0.65">
      <c r="A158" s="911" t="s">
        <v>1169</v>
      </c>
      <c r="B158" s="911" t="s">
        <v>1170</v>
      </c>
      <c r="C158" s="911" t="s">
        <v>52</v>
      </c>
      <c r="D158" s="299" t="s">
        <v>1166</v>
      </c>
      <c r="E158" s="903">
        <f t="shared" ref="E158" si="150">F158</f>
        <v>0</v>
      </c>
      <c r="F158" s="903"/>
      <c r="G158" s="903"/>
      <c r="H158" s="903"/>
      <c r="I158" s="903"/>
      <c r="J158" s="903">
        <f t="shared" ref="J158" si="151">L158+O158</f>
        <v>0</v>
      </c>
      <c r="K158" s="906">
        <v>0</v>
      </c>
      <c r="L158" s="903"/>
      <c r="M158" s="903"/>
      <c r="N158" s="903"/>
      <c r="O158" s="906">
        <f t="shared" ref="O158" si="152">K158</f>
        <v>0</v>
      </c>
      <c r="P158" s="903">
        <f t="shared" ref="P158" si="153">E158+J158</f>
        <v>0</v>
      </c>
      <c r="R158" s="909"/>
    </row>
    <row r="159" spans="1:18" ht="352.5" hidden="1" customHeight="1" x14ac:dyDescent="0.2">
      <c r="A159" s="904"/>
      <c r="B159" s="904"/>
      <c r="C159" s="904"/>
      <c r="D159" s="300" t="s">
        <v>1167</v>
      </c>
      <c r="E159" s="904"/>
      <c r="F159" s="904"/>
      <c r="G159" s="904"/>
      <c r="H159" s="904"/>
      <c r="I159" s="904"/>
      <c r="J159" s="904"/>
      <c r="K159" s="907"/>
      <c r="L159" s="904"/>
      <c r="M159" s="904"/>
      <c r="N159" s="904"/>
      <c r="O159" s="907"/>
      <c r="P159" s="904"/>
      <c r="R159" s="910"/>
    </row>
    <row r="160" spans="1:18" ht="93" hidden="1" thickTop="1" thickBot="1" x14ac:dyDescent="0.25">
      <c r="A160" s="905"/>
      <c r="B160" s="905"/>
      <c r="C160" s="905"/>
      <c r="D160" s="301" t="s">
        <v>1168</v>
      </c>
      <c r="E160" s="905"/>
      <c r="F160" s="905"/>
      <c r="G160" s="905"/>
      <c r="H160" s="905"/>
      <c r="I160" s="905"/>
      <c r="J160" s="905"/>
      <c r="K160" s="908"/>
      <c r="L160" s="905"/>
      <c r="M160" s="905"/>
      <c r="N160" s="905"/>
      <c r="O160" s="908"/>
      <c r="P160" s="905"/>
      <c r="R160" s="910"/>
    </row>
    <row r="161" spans="1:18" s="779" customFormat="1" ht="230.25" thickTop="1" thickBot="1" x14ac:dyDescent="0.25">
      <c r="A161" s="806" t="s">
        <v>1374</v>
      </c>
      <c r="B161" s="806" t="s">
        <v>1371</v>
      </c>
      <c r="C161" s="806" t="s">
        <v>218</v>
      </c>
      <c r="D161" s="499" t="s">
        <v>1372</v>
      </c>
      <c r="E161" s="575">
        <f t="shared" ref="E161" si="154">F161</f>
        <v>1184000</v>
      </c>
      <c r="F161" s="444">
        <f>((210000)+785000)+189000</f>
        <v>1184000</v>
      </c>
      <c r="G161" s="444"/>
      <c r="H161" s="444"/>
      <c r="I161" s="444"/>
      <c r="J161" s="809">
        <f t="shared" ref="J161" si="155">L161+O161</f>
        <v>128428</v>
      </c>
      <c r="K161" s="444">
        <v>128428</v>
      </c>
      <c r="L161" s="444"/>
      <c r="M161" s="444"/>
      <c r="N161" s="444"/>
      <c r="O161" s="807">
        <f t="shared" ref="O161" si="156">K161</f>
        <v>128428</v>
      </c>
      <c r="P161" s="809">
        <f>E161+J161</f>
        <v>1312428</v>
      </c>
      <c r="Q161" s="614"/>
      <c r="R161" s="805"/>
    </row>
    <row r="162" spans="1:18" s="272" customFormat="1" ht="48" thickTop="1" thickBot="1" x14ac:dyDescent="0.25">
      <c r="A162" s="489" t="s">
        <v>782</v>
      </c>
      <c r="B162" s="489" t="s">
        <v>783</v>
      </c>
      <c r="C162" s="489"/>
      <c r="D162" s="489" t="s">
        <v>784</v>
      </c>
      <c r="E162" s="472">
        <f>SUM(E163:E164)</f>
        <v>37044232</v>
      </c>
      <c r="F162" s="472">
        <f t="shared" ref="F162:P162" si="157">SUM(F163:F164)</f>
        <v>37044232</v>
      </c>
      <c r="G162" s="472">
        <f t="shared" si="157"/>
        <v>6612545</v>
      </c>
      <c r="H162" s="472">
        <f t="shared" si="157"/>
        <v>920829</v>
      </c>
      <c r="I162" s="472">
        <f t="shared" si="157"/>
        <v>0</v>
      </c>
      <c r="J162" s="472">
        <f t="shared" si="157"/>
        <v>9056604</v>
      </c>
      <c r="K162" s="472">
        <f t="shared" si="157"/>
        <v>3025900</v>
      </c>
      <c r="L162" s="472">
        <f t="shared" si="157"/>
        <v>5970336</v>
      </c>
      <c r="M162" s="472">
        <f t="shared" si="157"/>
        <v>1653040</v>
      </c>
      <c r="N162" s="472">
        <f t="shared" si="157"/>
        <v>414600</v>
      </c>
      <c r="O162" s="472">
        <f t="shared" si="157"/>
        <v>3086268</v>
      </c>
      <c r="P162" s="472">
        <f t="shared" si="157"/>
        <v>46100836</v>
      </c>
      <c r="Q162" s="624"/>
      <c r="R162" s="298"/>
    </row>
    <row r="163" spans="1:18" ht="184.5" thickTop="1" thickBot="1" x14ac:dyDescent="0.25">
      <c r="A163" s="533" t="s">
        <v>341</v>
      </c>
      <c r="B163" s="533" t="s">
        <v>343</v>
      </c>
      <c r="C163" s="533" t="s">
        <v>203</v>
      </c>
      <c r="D163" s="499" t="s">
        <v>345</v>
      </c>
      <c r="E163" s="530">
        <f t="shared" si="128"/>
        <v>12724065</v>
      </c>
      <c r="F163" s="444">
        <f>(12694065)+30000</f>
        <v>12724065</v>
      </c>
      <c r="G163" s="447">
        <f>(2293360+2454115+1865070)</f>
        <v>6612545</v>
      </c>
      <c r="H163" s="447">
        <f>((6000+34105+94725+91275+3000+264710+207240+113635+19405)+15430)+71304</f>
        <v>920829</v>
      </c>
      <c r="I163" s="444"/>
      <c r="J163" s="530">
        <f t="shared" ref="J163:J175" si="158">L163+O163</f>
        <v>8590704</v>
      </c>
      <c r="K163" s="444">
        <f>(2000000+260000+300000)</f>
        <v>2560000</v>
      </c>
      <c r="L163" s="444">
        <f>(5275704-60368+600000+155000)</f>
        <v>5970336</v>
      </c>
      <c r="M163" s="444">
        <f>(1468040+180000+5000)</f>
        <v>1653040</v>
      </c>
      <c r="N163" s="444">
        <f>(215600+55000+23000+62000+58000+1000)</f>
        <v>414600</v>
      </c>
      <c r="O163" s="535">
        <f>(K163+60368)</f>
        <v>2620368</v>
      </c>
      <c r="P163" s="530">
        <f t="shared" ref="P163:P175" si="159">E163+J163</f>
        <v>21314769</v>
      </c>
      <c r="R163" s="292"/>
    </row>
    <row r="164" spans="1:18" ht="138.75" thickTop="1" thickBot="1" x14ac:dyDescent="0.25">
      <c r="A164" s="533" t="s">
        <v>342</v>
      </c>
      <c r="B164" s="533" t="s">
        <v>344</v>
      </c>
      <c r="C164" s="533" t="s">
        <v>203</v>
      </c>
      <c r="D164" s="499" t="s">
        <v>346</v>
      </c>
      <c r="E164" s="530">
        <f t="shared" si="128"/>
        <v>24320167</v>
      </c>
      <c r="F164" s="444">
        <f>((23428817)+320000)+571350</f>
        <v>24320167</v>
      </c>
      <c r="G164" s="444"/>
      <c r="H164" s="444"/>
      <c r="I164" s="444"/>
      <c r="J164" s="530">
        <f t="shared" si="158"/>
        <v>465900</v>
      </c>
      <c r="K164" s="444">
        <v>465900</v>
      </c>
      <c r="L164" s="444"/>
      <c r="M164" s="444"/>
      <c r="N164" s="444"/>
      <c r="O164" s="535">
        <f t="shared" ref="O164:O175" si="160">K164</f>
        <v>465900</v>
      </c>
      <c r="P164" s="530">
        <f t="shared" si="159"/>
        <v>24786067</v>
      </c>
      <c r="R164" s="292"/>
    </row>
    <row r="165" spans="1:18" ht="91.5" thickTop="1" thickBot="1" x14ac:dyDescent="0.25">
      <c r="A165" s="151" t="s">
        <v>785</v>
      </c>
      <c r="B165" s="151" t="s">
        <v>786</v>
      </c>
      <c r="C165" s="151"/>
      <c r="D165" s="560" t="s">
        <v>787</v>
      </c>
      <c r="E165" s="530">
        <f>SUM(E166)</f>
        <v>0</v>
      </c>
      <c r="F165" s="530">
        <f t="shared" ref="F165:P165" si="161">SUM(F166)</f>
        <v>0</v>
      </c>
      <c r="G165" s="530">
        <f t="shared" si="161"/>
        <v>0</v>
      </c>
      <c r="H165" s="530">
        <f t="shared" si="161"/>
        <v>0</v>
      </c>
      <c r="I165" s="530">
        <f t="shared" si="161"/>
        <v>0</v>
      </c>
      <c r="J165" s="530">
        <f>SUM(J166)</f>
        <v>6000000</v>
      </c>
      <c r="K165" s="530">
        <f t="shared" si="161"/>
        <v>6000000</v>
      </c>
      <c r="L165" s="530">
        <f t="shared" si="161"/>
        <v>0</v>
      </c>
      <c r="M165" s="530">
        <f t="shared" si="161"/>
        <v>0</v>
      </c>
      <c r="N165" s="530">
        <f t="shared" si="161"/>
        <v>0</v>
      </c>
      <c r="O165" s="530">
        <f t="shared" si="161"/>
        <v>6000000</v>
      </c>
      <c r="P165" s="530">
        <f t="shared" si="161"/>
        <v>6000000</v>
      </c>
      <c r="R165" s="292"/>
    </row>
    <row r="166" spans="1:18" s="272" customFormat="1" ht="93" thickTop="1" thickBot="1" x14ac:dyDescent="0.25">
      <c r="A166" s="489" t="s">
        <v>788</v>
      </c>
      <c r="B166" s="489" t="s">
        <v>789</v>
      </c>
      <c r="C166" s="489"/>
      <c r="D166" s="482" t="s">
        <v>790</v>
      </c>
      <c r="E166" s="472">
        <f>SUM(E167:E168)</f>
        <v>0</v>
      </c>
      <c r="F166" s="472">
        <f>SUM(F167:F168)</f>
        <v>0</v>
      </c>
      <c r="G166" s="472">
        <f>SUM(G167:G168)</f>
        <v>0</v>
      </c>
      <c r="H166" s="472">
        <f>SUM(H167:H168)</f>
        <v>0</v>
      </c>
      <c r="I166" s="472">
        <f>SUM(I167:I168)</f>
        <v>0</v>
      </c>
      <c r="J166" s="472">
        <f t="shared" ref="J166:O166" si="162">SUM(J167:J168)</f>
        <v>6000000</v>
      </c>
      <c r="K166" s="472">
        <f t="shared" si="162"/>
        <v>6000000</v>
      </c>
      <c r="L166" s="472">
        <f t="shared" si="162"/>
        <v>0</v>
      </c>
      <c r="M166" s="472">
        <f t="shared" si="162"/>
        <v>0</v>
      </c>
      <c r="N166" s="472">
        <f t="shared" si="162"/>
        <v>0</v>
      </c>
      <c r="O166" s="472">
        <f t="shared" si="162"/>
        <v>6000000</v>
      </c>
      <c r="P166" s="472">
        <f>SUM(P167:P168)</f>
        <v>6000000</v>
      </c>
      <c r="Q166" s="624"/>
      <c r="R166" s="302"/>
    </row>
    <row r="167" spans="1:18" ht="138.75" thickTop="1" thickBot="1" x14ac:dyDescent="0.25">
      <c r="A167" s="533" t="s">
        <v>381</v>
      </c>
      <c r="B167" s="533" t="s">
        <v>379</v>
      </c>
      <c r="C167" s="533" t="s">
        <v>354</v>
      </c>
      <c r="D167" s="499" t="s">
        <v>380</v>
      </c>
      <c r="E167" s="530">
        <f t="shared" si="128"/>
        <v>0</v>
      </c>
      <c r="F167" s="444"/>
      <c r="G167" s="444"/>
      <c r="H167" s="444"/>
      <c r="I167" s="444"/>
      <c r="J167" s="530">
        <f t="shared" si="158"/>
        <v>6000000</v>
      </c>
      <c r="K167" s="444">
        <v>6000000</v>
      </c>
      <c r="L167" s="444"/>
      <c r="M167" s="444"/>
      <c r="N167" s="444"/>
      <c r="O167" s="535">
        <f t="shared" si="160"/>
        <v>6000000</v>
      </c>
      <c r="P167" s="530">
        <f t="shared" si="159"/>
        <v>6000000</v>
      </c>
      <c r="R167" s="292"/>
    </row>
    <row r="168" spans="1:18" ht="409.6" hidden="1" thickTop="1" thickBot="1" x14ac:dyDescent="0.25">
      <c r="A168" s="259" t="s">
        <v>1171</v>
      </c>
      <c r="B168" s="259" t="s">
        <v>1172</v>
      </c>
      <c r="C168" s="259" t="s">
        <v>354</v>
      </c>
      <c r="D168" s="285" t="s">
        <v>1173</v>
      </c>
      <c r="E168" s="256">
        <f t="shared" si="128"/>
        <v>0</v>
      </c>
      <c r="F168" s="278"/>
      <c r="G168" s="278"/>
      <c r="H168" s="278"/>
      <c r="I168" s="278"/>
      <c r="J168" s="256">
        <f t="shared" si="158"/>
        <v>0</v>
      </c>
      <c r="K168" s="278">
        <v>0</v>
      </c>
      <c r="L168" s="278"/>
      <c r="M168" s="278"/>
      <c r="N168" s="278"/>
      <c r="O168" s="262">
        <f t="shared" si="160"/>
        <v>0</v>
      </c>
      <c r="P168" s="256">
        <f t="shared" si="159"/>
        <v>0</v>
      </c>
      <c r="R168" s="292"/>
    </row>
    <row r="169" spans="1:18" ht="47.25" thickTop="1" thickBot="1" x14ac:dyDescent="0.25">
      <c r="A169" s="151" t="s">
        <v>795</v>
      </c>
      <c r="B169" s="466" t="s">
        <v>792</v>
      </c>
      <c r="C169" s="466"/>
      <c r="D169" s="466" t="s">
        <v>793</v>
      </c>
      <c r="E169" s="530">
        <f t="shared" ref="E169:P169" si="163">E173+E170</f>
        <v>0</v>
      </c>
      <c r="F169" s="530">
        <f t="shared" si="163"/>
        <v>0</v>
      </c>
      <c r="G169" s="530">
        <f t="shared" si="163"/>
        <v>0</v>
      </c>
      <c r="H169" s="530">
        <f t="shared" si="163"/>
        <v>0</v>
      </c>
      <c r="I169" s="530">
        <f t="shared" si="163"/>
        <v>0</v>
      </c>
      <c r="J169" s="530">
        <f t="shared" si="163"/>
        <v>2761400</v>
      </c>
      <c r="K169" s="530">
        <f t="shared" si="163"/>
        <v>2296400</v>
      </c>
      <c r="L169" s="530">
        <f t="shared" si="163"/>
        <v>465000</v>
      </c>
      <c r="M169" s="530">
        <f t="shared" si="163"/>
        <v>0</v>
      </c>
      <c r="N169" s="530">
        <f t="shared" si="163"/>
        <v>0</v>
      </c>
      <c r="O169" s="530">
        <f t="shared" si="163"/>
        <v>2296400</v>
      </c>
      <c r="P169" s="530">
        <f t="shared" si="163"/>
        <v>2761400</v>
      </c>
      <c r="R169" s="292"/>
    </row>
    <row r="170" spans="1:18" ht="91.5" thickTop="1" thickBot="1" x14ac:dyDescent="0.25">
      <c r="A170" s="467" t="s">
        <v>986</v>
      </c>
      <c r="B170" s="469" t="s">
        <v>848</v>
      </c>
      <c r="C170" s="469"/>
      <c r="D170" s="469" t="s">
        <v>849</v>
      </c>
      <c r="E170" s="468">
        <f>E171</f>
        <v>0</v>
      </c>
      <c r="F170" s="468">
        <f t="shared" ref="F170:P174" si="164">F171</f>
        <v>0</v>
      </c>
      <c r="G170" s="468">
        <f t="shared" si="164"/>
        <v>0</v>
      </c>
      <c r="H170" s="468">
        <f t="shared" si="164"/>
        <v>0</v>
      </c>
      <c r="I170" s="468">
        <f t="shared" si="164"/>
        <v>0</v>
      </c>
      <c r="J170" s="468">
        <f t="shared" si="164"/>
        <v>2296400</v>
      </c>
      <c r="K170" s="468">
        <f t="shared" si="164"/>
        <v>2296400</v>
      </c>
      <c r="L170" s="468">
        <f t="shared" si="164"/>
        <v>0</v>
      </c>
      <c r="M170" s="468">
        <f t="shared" si="164"/>
        <v>0</v>
      </c>
      <c r="N170" s="468">
        <f t="shared" si="164"/>
        <v>0</v>
      </c>
      <c r="O170" s="468">
        <f t="shared" si="164"/>
        <v>2296400</v>
      </c>
      <c r="P170" s="468">
        <f t="shared" si="164"/>
        <v>2296400</v>
      </c>
      <c r="R170" s="292"/>
    </row>
    <row r="171" spans="1:18" ht="146.25" thickTop="1" thickBot="1" x14ac:dyDescent="0.25">
      <c r="A171" s="489" t="s">
        <v>982</v>
      </c>
      <c r="B171" s="489" t="s">
        <v>867</v>
      </c>
      <c r="C171" s="489"/>
      <c r="D171" s="489" t="s">
        <v>868</v>
      </c>
      <c r="E171" s="472">
        <f>E172</f>
        <v>0</v>
      </c>
      <c r="F171" s="472">
        <f t="shared" si="164"/>
        <v>0</v>
      </c>
      <c r="G171" s="472">
        <f t="shared" si="164"/>
        <v>0</v>
      </c>
      <c r="H171" s="472">
        <f t="shared" si="164"/>
        <v>0</v>
      </c>
      <c r="I171" s="472">
        <f t="shared" si="164"/>
        <v>0</v>
      </c>
      <c r="J171" s="472">
        <f t="shared" si="164"/>
        <v>2296400</v>
      </c>
      <c r="K171" s="472">
        <f t="shared" si="164"/>
        <v>2296400</v>
      </c>
      <c r="L171" s="472">
        <f t="shared" si="164"/>
        <v>0</v>
      </c>
      <c r="M171" s="472">
        <f t="shared" si="164"/>
        <v>0</v>
      </c>
      <c r="N171" s="472">
        <f t="shared" si="164"/>
        <v>0</v>
      </c>
      <c r="O171" s="472">
        <f t="shared" si="164"/>
        <v>2296400</v>
      </c>
      <c r="P171" s="472">
        <f t="shared" si="164"/>
        <v>2296400</v>
      </c>
      <c r="R171" s="292"/>
    </row>
    <row r="172" spans="1:18" ht="99.75" thickTop="1" thickBot="1" x14ac:dyDescent="0.25">
      <c r="A172" s="533" t="s">
        <v>983</v>
      </c>
      <c r="B172" s="533" t="s">
        <v>984</v>
      </c>
      <c r="C172" s="533" t="s">
        <v>317</v>
      </c>
      <c r="D172" s="533" t="s">
        <v>985</v>
      </c>
      <c r="E172" s="530">
        <f>E173</f>
        <v>0</v>
      </c>
      <c r="F172" s="444"/>
      <c r="G172" s="444"/>
      <c r="H172" s="444"/>
      <c r="I172" s="444"/>
      <c r="J172" s="530">
        <f>L172+O172</f>
        <v>2296400</v>
      </c>
      <c r="K172" s="444">
        <v>2296400</v>
      </c>
      <c r="L172" s="444"/>
      <c r="M172" s="444"/>
      <c r="N172" s="444"/>
      <c r="O172" s="535">
        <f>K172</f>
        <v>2296400</v>
      </c>
      <c r="P172" s="530">
        <f>E172+J172</f>
        <v>2296400</v>
      </c>
      <c r="R172" s="292"/>
    </row>
    <row r="173" spans="1:18" ht="136.5" thickTop="1" thickBot="1" x14ac:dyDescent="0.25">
      <c r="A173" s="467" t="s">
        <v>797</v>
      </c>
      <c r="B173" s="469" t="s">
        <v>734</v>
      </c>
      <c r="C173" s="469"/>
      <c r="D173" s="469" t="s">
        <v>732</v>
      </c>
      <c r="E173" s="468">
        <f>E174</f>
        <v>0</v>
      </c>
      <c r="F173" s="468">
        <f t="shared" si="164"/>
        <v>0</v>
      </c>
      <c r="G173" s="468">
        <f t="shared" si="164"/>
        <v>0</v>
      </c>
      <c r="H173" s="468">
        <f t="shared" si="164"/>
        <v>0</v>
      </c>
      <c r="I173" s="468">
        <f t="shared" si="164"/>
        <v>0</v>
      </c>
      <c r="J173" s="468">
        <f t="shared" si="164"/>
        <v>465000</v>
      </c>
      <c r="K173" s="468">
        <f t="shared" si="164"/>
        <v>0</v>
      </c>
      <c r="L173" s="468">
        <f t="shared" si="164"/>
        <v>465000</v>
      </c>
      <c r="M173" s="468">
        <f t="shared" si="164"/>
        <v>0</v>
      </c>
      <c r="N173" s="468">
        <f t="shared" si="164"/>
        <v>0</v>
      </c>
      <c r="O173" s="468">
        <f t="shared" si="164"/>
        <v>0</v>
      </c>
      <c r="P173" s="468">
        <f t="shared" si="164"/>
        <v>465000</v>
      </c>
      <c r="R173" s="292"/>
    </row>
    <row r="174" spans="1:18" ht="48" thickTop="1" thickBot="1" x14ac:dyDescent="0.25">
      <c r="A174" s="470" t="s">
        <v>796</v>
      </c>
      <c r="B174" s="470" t="s">
        <v>737</v>
      </c>
      <c r="C174" s="470"/>
      <c r="D174" s="482" t="s">
        <v>735</v>
      </c>
      <c r="E174" s="472">
        <f>E175</f>
        <v>0</v>
      </c>
      <c r="F174" s="472">
        <f t="shared" si="164"/>
        <v>0</v>
      </c>
      <c r="G174" s="472">
        <f t="shared" si="164"/>
        <v>0</v>
      </c>
      <c r="H174" s="472">
        <f t="shared" si="164"/>
        <v>0</v>
      </c>
      <c r="I174" s="472">
        <f t="shared" si="164"/>
        <v>0</v>
      </c>
      <c r="J174" s="472">
        <f t="shared" si="164"/>
        <v>465000</v>
      </c>
      <c r="K174" s="472">
        <f t="shared" si="164"/>
        <v>0</v>
      </c>
      <c r="L174" s="472">
        <f t="shared" si="164"/>
        <v>465000</v>
      </c>
      <c r="M174" s="472">
        <f t="shared" si="164"/>
        <v>0</v>
      </c>
      <c r="N174" s="472">
        <f t="shared" si="164"/>
        <v>0</v>
      </c>
      <c r="O174" s="472">
        <f t="shared" si="164"/>
        <v>0</v>
      </c>
      <c r="P174" s="472">
        <f t="shared" si="164"/>
        <v>465000</v>
      </c>
      <c r="R174" s="292"/>
    </row>
    <row r="175" spans="1:18" ht="409.6" thickTop="1" thickBot="1" x14ac:dyDescent="0.7">
      <c r="A175" s="920" t="s">
        <v>439</v>
      </c>
      <c r="B175" s="920" t="s">
        <v>352</v>
      </c>
      <c r="C175" s="920" t="s">
        <v>178</v>
      </c>
      <c r="D175" s="484" t="s">
        <v>457</v>
      </c>
      <c r="E175" s="927">
        <f t="shared" si="128"/>
        <v>0</v>
      </c>
      <c r="F175" s="925"/>
      <c r="G175" s="925"/>
      <c r="H175" s="925"/>
      <c r="I175" s="925"/>
      <c r="J175" s="927">
        <f t="shared" si="158"/>
        <v>465000</v>
      </c>
      <c r="K175" s="925"/>
      <c r="L175" s="925">
        <v>465000</v>
      </c>
      <c r="M175" s="925"/>
      <c r="N175" s="925"/>
      <c r="O175" s="923">
        <f t="shared" si="160"/>
        <v>0</v>
      </c>
      <c r="P175" s="924">
        <f t="shared" si="159"/>
        <v>465000</v>
      </c>
      <c r="R175" s="297"/>
    </row>
    <row r="176" spans="1:18" ht="184.5" thickTop="1" thickBot="1" x14ac:dyDescent="0.25">
      <c r="A176" s="933"/>
      <c r="B176" s="934"/>
      <c r="C176" s="933"/>
      <c r="D176" s="488" t="s">
        <v>458</v>
      </c>
      <c r="E176" s="933"/>
      <c r="F176" s="935"/>
      <c r="G176" s="935"/>
      <c r="H176" s="935"/>
      <c r="I176" s="935"/>
      <c r="J176" s="933"/>
      <c r="K176" s="933"/>
      <c r="L176" s="935"/>
      <c r="M176" s="935"/>
      <c r="N176" s="935"/>
      <c r="O176" s="936"/>
      <c r="P176" s="937"/>
      <c r="R176" s="297"/>
    </row>
    <row r="177" spans="1:18" ht="181.5" thickTop="1" thickBot="1" x14ac:dyDescent="0.25">
      <c r="A177" s="828">
        <v>1000000</v>
      </c>
      <c r="B177" s="828"/>
      <c r="C177" s="828"/>
      <c r="D177" s="829" t="s">
        <v>24</v>
      </c>
      <c r="E177" s="830">
        <f>E178</f>
        <v>145732895</v>
      </c>
      <c r="F177" s="831">
        <f t="shared" ref="F177:G177" si="165">F178</f>
        <v>145732895</v>
      </c>
      <c r="G177" s="831">
        <f t="shared" si="165"/>
        <v>103167225</v>
      </c>
      <c r="H177" s="831">
        <f>H178</f>
        <v>7734640</v>
      </c>
      <c r="I177" s="831">
        <f>I178</f>
        <v>0</v>
      </c>
      <c r="J177" s="830">
        <f>J178</f>
        <v>14379770</v>
      </c>
      <c r="K177" s="831">
        <f>K178</f>
        <v>4666920</v>
      </c>
      <c r="L177" s="831">
        <f>L178</f>
        <v>9603770</v>
      </c>
      <c r="M177" s="831">
        <f t="shared" ref="M177" si="166">M178</f>
        <v>7102670</v>
      </c>
      <c r="N177" s="831">
        <f>N178</f>
        <v>306880</v>
      </c>
      <c r="O177" s="830">
        <f>O178</f>
        <v>4776000</v>
      </c>
      <c r="P177" s="831">
        <f t="shared" ref="P177" si="167">P178</f>
        <v>160112665</v>
      </c>
    </row>
    <row r="178" spans="1:18" ht="181.5" thickTop="1" thickBot="1" x14ac:dyDescent="0.25">
      <c r="A178" s="832">
        <v>1010000</v>
      </c>
      <c r="B178" s="832"/>
      <c r="C178" s="832"/>
      <c r="D178" s="833" t="s">
        <v>41</v>
      </c>
      <c r="E178" s="834">
        <f>E179+E181+E195+E190</f>
        <v>145732895</v>
      </c>
      <c r="F178" s="834">
        <f>F179+F181+F195+F190</f>
        <v>145732895</v>
      </c>
      <c r="G178" s="834">
        <f>G179+G181+G195+G190</f>
        <v>103167225</v>
      </c>
      <c r="H178" s="834">
        <f>H179+H181+H195+H190</f>
        <v>7734640</v>
      </c>
      <c r="I178" s="834">
        <f>I179+I181+I195+I190</f>
        <v>0</v>
      </c>
      <c r="J178" s="834">
        <f t="shared" ref="J178:J189" si="168">L178+O178</f>
        <v>14379770</v>
      </c>
      <c r="K178" s="834">
        <f>K179+K181+K195+K190</f>
        <v>4666920</v>
      </c>
      <c r="L178" s="834">
        <f>L179+L181+L195+L190</f>
        <v>9603770</v>
      </c>
      <c r="M178" s="834">
        <f>M179+M181+M195+M190</f>
        <v>7102670</v>
      </c>
      <c r="N178" s="834">
        <f>N179+N181+N195+N190</f>
        <v>306880</v>
      </c>
      <c r="O178" s="834">
        <f>O179+O181+O195+O190</f>
        <v>4776000</v>
      </c>
      <c r="P178" s="834">
        <f t="shared" ref="P178:P189" si="169">E178+J178</f>
        <v>160112665</v>
      </c>
      <c r="Q178" s="628" t="b">
        <f>P178=P180+P182+P183+P184+P185+P188+P189+P197+P194+P193+P186</f>
        <v>1</v>
      </c>
      <c r="R178" s="292"/>
    </row>
    <row r="179" spans="1:18" ht="47.25" thickTop="1" thickBot="1" x14ac:dyDescent="0.25">
      <c r="A179" s="151" t="s">
        <v>798</v>
      </c>
      <c r="B179" s="151" t="s">
        <v>751</v>
      </c>
      <c r="C179" s="151"/>
      <c r="D179" s="151" t="s">
        <v>752</v>
      </c>
      <c r="E179" s="485">
        <f>E180</f>
        <v>78240350</v>
      </c>
      <c r="F179" s="485">
        <f t="shared" ref="F179:P179" si="170">F180</f>
        <v>78240350</v>
      </c>
      <c r="G179" s="485">
        <f t="shared" si="170"/>
        <v>59906300</v>
      </c>
      <c r="H179" s="485">
        <f t="shared" si="170"/>
        <v>4525245</v>
      </c>
      <c r="I179" s="485">
        <f t="shared" si="170"/>
        <v>0</v>
      </c>
      <c r="J179" s="485">
        <f t="shared" si="170"/>
        <v>8879540</v>
      </c>
      <c r="K179" s="485">
        <f t="shared" si="170"/>
        <v>0</v>
      </c>
      <c r="L179" s="485">
        <f t="shared" si="170"/>
        <v>8840540</v>
      </c>
      <c r="M179" s="485">
        <f t="shared" si="170"/>
        <v>6717330</v>
      </c>
      <c r="N179" s="485">
        <f t="shared" si="170"/>
        <v>234900</v>
      </c>
      <c r="O179" s="485">
        <f t="shared" si="170"/>
        <v>39000</v>
      </c>
      <c r="P179" s="485">
        <f t="shared" si="170"/>
        <v>87119890</v>
      </c>
      <c r="Q179" s="628"/>
      <c r="R179" s="292"/>
    </row>
    <row r="180" spans="1:18" ht="93" thickTop="1" thickBot="1" x14ac:dyDescent="0.25">
      <c r="A180" s="483" t="s">
        <v>678</v>
      </c>
      <c r="B180" s="483" t="s">
        <v>679</v>
      </c>
      <c r="C180" s="483" t="s">
        <v>193</v>
      </c>
      <c r="D180" s="483" t="s">
        <v>1240</v>
      </c>
      <c r="E180" s="485">
        <f>F180</f>
        <v>78240350</v>
      </c>
      <c r="F180" s="444">
        <v>78240350</v>
      </c>
      <c r="G180" s="444">
        <v>59906300</v>
      </c>
      <c r="H180" s="444">
        <f>(3878085+33910+419090+159070+35090)</f>
        <v>4525245</v>
      </c>
      <c r="I180" s="444"/>
      <c r="J180" s="485">
        <f t="shared" si="168"/>
        <v>8879540</v>
      </c>
      <c r="K180" s="444">
        <v>0</v>
      </c>
      <c r="L180" s="444">
        <v>8840540</v>
      </c>
      <c r="M180" s="444">
        <v>6717330</v>
      </c>
      <c r="N180" s="444">
        <v>234900</v>
      </c>
      <c r="O180" s="487">
        <f>(K180+39000)</f>
        <v>39000</v>
      </c>
      <c r="P180" s="485">
        <f t="shared" si="169"/>
        <v>87119890</v>
      </c>
      <c r="R180" s="292"/>
    </row>
    <row r="181" spans="1:18" s="252" customFormat="1" ht="47.25" thickTop="1" thickBot="1" x14ac:dyDescent="0.25">
      <c r="A181" s="151" t="s">
        <v>799</v>
      </c>
      <c r="B181" s="151" t="s">
        <v>800</v>
      </c>
      <c r="C181" s="151"/>
      <c r="D181" s="151" t="s">
        <v>801</v>
      </c>
      <c r="E181" s="485">
        <f>SUM(E182:E189)-E187</f>
        <v>66472685</v>
      </c>
      <c r="F181" s="485">
        <f t="shared" ref="F181:P181" si="171">SUM(F182:F189)-F187</f>
        <v>66472685</v>
      </c>
      <c r="G181" s="485">
        <f t="shared" si="171"/>
        <v>43260925</v>
      </c>
      <c r="H181" s="485">
        <f t="shared" si="171"/>
        <v>3209395</v>
      </c>
      <c r="I181" s="485">
        <f t="shared" si="171"/>
        <v>0</v>
      </c>
      <c r="J181" s="485">
        <f t="shared" si="171"/>
        <v>5486230</v>
      </c>
      <c r="K181" s="485">
        <f t="shared" si="171"/>
        <v>4652920</v>
      </c>
      <c r="L181" s="485">
        <f t="shared" si="171"/>
        <v>763230</v>
      </c>
      <c r="M181" s="485">
        <f t="shared" si="171"/>
        <v>385340</v>
      </c>
      <c r="N181" s="485">
        <f t="shared" si="171"/>
        <v>71980</v>
      </c>
      <c r="O181" s="485">
        <f t="shared" si="171"/>
        <v>4723000</v>
      </c>
      <c r="P181" s="485">
        <f t="shared" si="171"/>
        <v>71958915</v>
      </c>
      <c r="Q181" s="616"/>
      <c r="R181" s="297"/>
    </row>
    <row r="182" spans="1:18" ht="48" thickTop="1" thickBot="1" x14ac:dyDescent="0.25">
      <c r="A182" s="483" t="s">
        <v>179</v>
      </c>
      <c r="B182" s="483" t="s">
        <v>180</v>
      </c>
      <c r="C182" s="483" t="s">
        <v>182</v>
      </c>
      <c r="D182" s="483" t="s">
        <v>183</v>
      </c>
      <c r="E182" s="485">
        <f t="shared" ref="E182:E185" si="172">F182</f>
        <v>1100800</v>
      </c>
      <c r="F182" s="444">
        <v>1100800</v>
      </c>
      <c r="G182" s="444"/>
      <c r="H182" s="444"/>
      <c r="I182" s="444"/>
      <c r="J182" s="485">
        <f t="shared" si="168"/>
        <v>0</v>
      </c>
      <c r="K182" s="444"/>
      <c r="L182" s="444"/>
      <c r="M182" s="444"/>
      <c r="N182" s="444"/>
      <c r="O182" s="487">
        <f t="shared" ref="O182:O189" si="173">K182</f>
        <v>0</v>
      </c>
      <c r="P182" s="485">
        <f t="shared" si="169"/>
        <v>1100800</v>
      </c>
      <c r="R182" s="297"/>
    </row>
    <row r="183" spans="1:18" ht="93" thickTop="1" thickBot="1" x14ac:dyDescent="0.25">
      <c r="A183" s="483" t="s">
        <v>184</v>
      </c>
      <c r="B183" s="483" t="s">
        <v>185</v>
      </c>
      <c r="C183" s="483" t="s">
        <v>186</v>
      </c>
      <c r="D183" s="483" t="s">
        <v>187</v>
      </c>
      <c r="E183" s="485">
        <f t="shared" si="172"/>
        <v>15273555</v>
      </c>
      <c r="F183" s="444">
        <v>15273555</v>
      </c>
      <c r="G183" s="444">
        <v>11168800</v>
      </c>
      <c r="H183" s="444">
        <f>(893620+10630+122500+36000+23230)</f>
        <v>1085980</v>
      </c>
      <c r="I183" s="444"/>
      <c r="J183" s="485">
        <f t="shared" si="168"/>
        <v>120000</v>
      </c>
      <c r="K183" s="444">
        <v>0</v>
      </c>
      <c r="L183" s="444">
        <v>120000</v>
      </c>
      <c r="M183" s="444">
        <v>17940</v>
      </c>
      <c r="N183" s="444">
        <v>19880</v>
      </c>
      <c r="O183" s="487">
        <f t="shared" si="173"/>
        <v>0</v>
      </c>
      <c r="P183" s="485">
        <f t="shared" si="169"/>
        <v>15393555</v>
      </c>
      <c r="R183" s="292"/>
    </row>
    <row r="184" spans="1:18" ht="93" thickTop="1" thickBot="1" x14ac:dyDescent="0.25">
      <c r="A184" s="483" t="s">
        <v>188</v>
      </c>
      <c r="B184" s="483" t="s">
        <v>189</v>
      </c>
      <c r="C184" s="483" t="s">
        <v>186</v>
      </c>
      <c r="D184" s="483" t="s">
        <v>481</v>
      </c>
      <c r="E184" s="485">
        <f t="shared" si="172"/>
        <v>2274910</v>
      </c>
      <c r="F184" s="444">
        <v>2274910</v>
      </c>
      <c r="G184" s="444">
        <v>1467815</v>
      </c>
      <c r="H184" s="444">
        <f>(339200+5150+95015+5150)</f>
        <v>444515</v>
      </c>
      <c r="I184" s="444"/>
      <c r="J184" s="485">
        <f t="shared" si="168"/>
        <v>4738920</v>
      </c>
      <c r="K184" s="444">
        <v>4652920</v>
      </c>
      <c r="L184" s="444">
        <v>86000</v>
      </c>
      <c r="M184" s="444">
        <v>14100</v>
      </c>
      <c r="N184" s="444">
        <v>7300</v>
      </c>
      <c r="O184" s="487">
        <f t="shared" si="173"/>
        <v>4652920</v>
      </c>
      <c r="P184" s="485">
        <f t="shared" si="169"/>
        <v>7013830</v>
      </c>
      <c r="R184" s="292"/>
    </row>
    <row r="185" spans="1:18" ht="184.5" thickTop="1" thickBot="1" x14ac:dyDescent="0.25">
      <c r="A185" s="483" t="s">
        <v>190</v>
      </c>
      <c r="B185" s="483" t="s">
        <v>181</v>
      </c>
      <c r="C185" s="483" t="s">
        <v>191</v>
      </c>
      <c r="D185" s="483" t="s">
        <v>192</v>
      </c>
      <c r="E185" s="485">
        <f t="shared" si="172"/>
        <v>16744655</v>
      </c>
      <c r="F185" s="444">
        <v>16744655</v>
      </c>
      <c r="G185" s="444">
        <v>11922920</v>
      </c>
      <c r="H185" s="444">
        <f>946300+11800+502850+99600+41080</f>
        <v>1601630</v>
      </c>
      <c r="I185" s="444"/>
      <c r="J185" s="485">
        <f t="shared" si="168"/>
        <v>481300</v>
      </c>
      <c r="K185" s="444">
        <v>0</v>
      </c>
      <c r="L185" s="444">
        <v>477820</v>
      </c>
      <c r="M185" s="444">
        <v>342900</v>
      </c>
      <c r="N185" s="444">
        <v>44800</v>
      </c>
      <c r="O185" s="487">
        <f>(K185+3480)</f>
        <v>3480</v>
      </c>
      <c r="P185" s="485">
        <f t="shared" si="169"/>
        <v>17225955</v>
      </c>
      <c r="R185" s="292"/>
    </row>
    <row r="186" spans="1:18" s="779" customFormat="1" ht="93" thickTop="1" thickBot="1" x14ac:dyDescent="0.25">
      <c r="A186" s="786" t="s">
        <v>1365</v>
      </c>
      <c r="B186" s="786" t="s">
        <v>1366</v>
      </c>
      <c r="C186" s="786" t="s">
        <v>1368</v>
      </c>
      <c r="D186" s="786" t="s">
        <v>1367</v>
      </c>
      <c r="E186" s="789">
        <f t="shared" ref="E186" si="174">F186</f>
        <v>334365</v>
      </c>
      <c r="F186" s="444">
        <v>334365</v>
      </c>
      <c r="G186" s="444"/>
      <c r="H186" s="444"/>
      <c r="I186" s="444"/>
      <c r="J186" s="789">
        <f t="shared" ref="J186" si="175">L186+O186</f>
        <v>0</v>
      </c>
      <c r="K186" s="444"/>
      <c r="L186" s="444"/>
      <c r="M186" s="444"/>
      <c r="N186" s="444"/>
      <c r="O186" s="787">
        <f>(K186)</f>
        <v>0</v>
      </c>
      <c r="P186" s="789">
        <f t="shared" ref="P186" si="176">E186+J186</f>
        <v>334365</v>
      </c>
      <c r="Q186" s="614"/>
      <c r="R186" s="785"/>
    </row>
    <row r="187" spans="1:18" ht="93" thickTop="1" thickBot="1" x14ac:dyDescent="0.25">
      <c r="A187" s="489" t="s">
        <v>802</v>
      </c>
      <c r="B187" s="489" t="s">
        <v>803</v>
      </c>
      <c r="C187" s="489"/>
      <c r="D187" s="489" t="s">
        <v>804</v>
      </c>
      <c r="E187" s="472">
        <f>SUM(E188:E189)</f>
        <v>30744400</v>
      </c>
      <c r="F187" s="472">
        <f t="shared" ref="F187:P187" si="177">SUM(F188:F189)</f>
        <v>30744400</v>
      </c>
      <c r="G187" s="472">
        <f t="shared" si="177"/>
        <v>18701390</v>
      </c>
      <c r="H187" s="472">
        <f t="shared" si="177"/>
        <v>77270</v>
      </c>
      <c r="I187" s="472">
        <f t="shared" si="177"/>
        <v>0</v>
      </c>
      <c r="J187" s="472">
        <f t="shared" si="177"/>
        <v>146010</v>
      </c>
      <c r="K187" s="472">
        <f t="shared" si="177"/>
        <v>0</v>
      </c>
      <c r="L187" s="472">
        <f t="shared" si="177"/>
        <v>79410</v>
      </c>
      <c r="M187" s="472">
        <f t="shared" si="177"/>
        <v>10400</v>
      </c>
      <c r="N187" s="472">
        <f t="shared" si="177"/>
        <v>0</v>
      </c>
      <c r="O187" s="472">
        <f t="shared" si="177"/>
        <v>66600</v>
      </c>
      <c r="P187" s="472">
        <f t="shared" si="177"/>
        <v>30890410</v>
      </c>
      <c r="R187" s="292"/>
    </row>
    <row r="188" spans="1:18" ht="138.75" thickTop="1" thickBot="1" x14ac:dyDescent="0.25">
      <c r="A188" s="483" t="s">
        <v>347</v>
      </c>
      <c r="B188" s="483" t="s">
        <v>348</v>
      </c>
      <c r="C188" s="483" t="s">
        <v>194</v>
      </c>
      <c r="D188" s="483" t="s">
        <v>482</v>
      </c>
      <c r="E188" s="485">
        <f>F188</f>
        <v>23987945</v>
      </c>
      <c r="F188" s="444">
        <v>23987945</v>
      </c>
      <c r="G188" s="444">
        <v>18701390</v>
      </c>
      <c r="H188" s="444">
        <f>(70300+6600+370)</f>
        <v>77270</v>
      </c>
      <c r="I188" s="444"/>
      <c r="J188" s="485">
        <f t="shared" si="168"/>
        <v>146010</v>
      </c>
      <c r="K188" s="444">
        <v>0</v>
      </c>
      <c r="L188" s="444">
        <v>79410</v>
      </c>
      <c r="M188" s="444">
        <v>10400</v>
      </c>
      <c r="N188" s="444"/>
      <c r="O188" s="487">
        <f>(K188+66600)</f>
        <v>66600</v>
      </c>
      <c r="P188" s="485">
        <f t="shared" si="169"/>
        <v>24133955</v>
      </c>
      <c r="R188" s="292"/>
    </row>
    <row r="189" spans="1:18" ht="93" thickTop="1" thickBot="1" x14ac:dyDescent="0.25">
      <c r="A189" s="483" t="s">
        <v>349</v>
      </c>
      <c r="B189" s="483" t="s">
        <v>350</v>
      </c>
      <c r="C189" s="483" t="s">
        <v>194</v>
      </c>
      <c r="D189" s="483" t="s">
        <v>483</v>
      </c>
      <c r="E189" s="485">
        <f>F189</f>
        <v>6756455</v>
      </c>
      <c r="F189" s="444">
        <v>6756455</v>
      </c>
      <c r="G189" s="444"/>
      <c r="H189" s="444"/>
      <c r="I189" s="444"/>
      <c r="J189" s="485">
        <f t="shared" si="168"/>
        <v>0</v>
      </c>
      <c r="K189" s="444"/>
      <c r="L189" s="444"/>
      <c r="M189" s="444"/>
      <c r="N189" s="444"/>
      <c r="O189" s="487">
        <f t="shared" si="173"/>
        <v>0</v>
      </c>
      <c r="P189" s="485">
        <f t="shared" si="169"/>
        <v>6756455</v>
      </c>
      <c r="R189" s="297"/>
    </row>
    <row r="190" spans="1:18" ht="47.25" thickTop="1" thickBot="1" x14ac:dyDescent="0.25">
      <c r="A190" s="151" t="s">
        <v>973</v>
      </c>
      <c r="B190" s="466" t="s">
        <v>792</v>
      </c>
      <c r="C190" s="466"/>
      <c r="D190" s="466" t="s">
        <v>793</v>
      </c>
      <c r="E190" s="485">
        <f>SUM(E191)</f>
        <v>1019860</v>
      </c>
      <c r="F190" s="485">
        <f t="shared" ref="F190:P190" si="178">SUM(F191)</f>
        <v>1019860</v>
      </c>
      <c r="G190" s="485">
        <f t="shared" si="178"/>
        <v>0</v>
      </c>
      <c r="H190" s="485">
        <f t="shared" si="178"/>
        <v>0</v>
      </c>
      <c r="I190" s="485">
        <f t="shared" si="178"/>
        <v>0</v>
      </c>
      <c r="J190" s="485">
        <f t="shared" si="178"/>
        <v>14000</v>
      </c>
      <c r="K190" s="485">
        <f t="shared" si="178"/>
        <v>14000</v>
      </c>
      <c r="L190" s="485">
        <f t="shared" si="178"/>
        <v>0</v>
      </c>
      <c r="M190" s="485">
        <f t="shared" si="178"/>
        <v>0</v>
      </c>
      <c r="N190" s="485">
        <f t="shared" si="178"/>
        <v>0</v>
      </c>
      <c r="O190" s="485">
        <f t="shared" si="178"/>
        <v>14000</v>
      </c>
      <c r="P190" s="485">
        <f t="shared" si="178"/>
        <v>1033860</v>
      </c>
      <c r="R190" s="297"/>
    </row>
    <row r="191" spans="1:18" ht="136.5" thickTop="1" thickBot="1" x14ac:dyDescent="0.25">
      <c r="A191" s="467" t="s">
        <v>974</v>
      </c>
      <c r="B191" s="467" t="s">
        <v>734</v>
      </c>
      <c r="C191" s="467"/>
      <c r="D191" s="467" t="s">
        <v>732</v>
      </c>
      <c r="E191" s="468">
        <f>E192+E194</f>
        <v>1019860</v>
      </c>
      <c r="F191" s="468">
        <f t="shared" ref="F191:I191" si="179">F192+F194</f>
        <v>1019860</v>
      </c>
      <c r="G191" s="468">
        <f t="shared" si="179"/>
        <v>0</v>
      </c>
      <c r="H191" s="468">
        <f t="shared" si="179"/>
        <v>0</v>
      </c>
      <c r="I191" s="468">
        <f t="shared" si="179"/>
        <v>0</v>
      </c>
      <c r="J191" s="468">
        <f t="shared" ref="J191" si="180">J192+J194</f>
        <v>14000</v>
      </c>
      <c r="K191" s="468">
        <f t="shared" ref="K191" si="181">K192+K194</f>
        <v>14000</v>
      </c>
      <c r="L191" s="468">
        <f t="shared" ref="L191" si="182">L192+L194</f>
        <v>0</v>
      </c>
      <c r="M191" s="468">
        <f t="shared" ref="M191" si="183">M192+M194</f>
        <v>0</v>
      </c>
      <c r="N191" s="468">
        <f t="shared" ref="N191" si="184">N192+N194</f>
        <v>0</v>
      </c>
      <c r="O191" s="468">
        <f t="shared" ref="O191" si="185">O192+O194</f>
        <v>14000</v>
      </c>
      <c r="P191" s="468">
        <f>P192+P194</f>
        <v>1033860</v>
      </c>
      <c r="R191" s="297"/>
    </row>
    <row r="192" spans="1:18" ht="93" thickTop="1" thickBot="1" x14ac:dyDescent="0.25">
      <c r="A192" s="489" t="s">
        <v>1115</v>
      </c>
      <c r="B192" s="489" t="s">
        <v>1116</v>
      </c>
      <c r="C192" s="489"/>
      <c r="D192" s="489" t="s">
        <v>1114</v>
      </c>
      <c r="E192" s="472">
        <f>E193</f>
        <v>1019860</v>
      </c>
      <c r="F192" s="472">
        <f t="shared" ref="F192:P192" si="186">F193</f>
        <v>1019860</v>
      </c>
      <c r="G192" s="472">
        <f t="shared" si="186"/>
        <v>0</v>
      </c>
      <c r="H192" s="472">
        <f t="shared" si="186"/>
        <v>0</v>
      </c>
      <c r="I192" s="472">
        <f t="shared" si="186"/>
        <v>0</v>
      </c>
      <c r="J192" s="472">
        <f t="shared" si="186"/>
        <v>0</v>
      </c>
      <c r="K192" s="472">
        <f t="shared" si="186"/>
        <v>0</v>
      </c>
      <c r="L192" s="472">
        <f t="shared" si="186"/>
        <v>0</v>
      </c>
      <c r="M192" s="472">
        <f t="shared" si="186"/>
        <v>0</v>
      </c>
      <c r="N192" s="472">
        <f t="shared" si="186"/>
        <v>0</v>
      </c>
      <c r="O192" s="472">
        <f t="shared" si="186"/>
        <v>0</v>
      </c>
      <c r="P192" s="472">
        <f t="shared" si="186"/>
        <v>1019860</v>
      </c>
      <c r="R192" s="297"/>
    </row>
    <row r="193" spans="1:18" ht="153" customHeight="1" thickTop="1" thickBot="1" x14ac:dyDescent="0.25">
      <c r="A193" s="483" t="s">
        <v>1118</v>
      </c>
      <c r="B193" s="483" t="s">
        <v>1119</v>
      </c>
      <c r="C193" s="483" t="s">
        <v>225</v>
      </c>
      <c r="D193" s="483" t="s">
        <v>1117</v>
      </c>
      <c r="E193" s="485">
        <f t="shared" ref="E193" si="187">F193</f>
        <v>1019860</v>
      </c>
      <c r="F193" s="444">
        <v>1019860</v>
      </c>
      <c r="G193" s="444"/>
      <c r="H193" s="444"/>
      <c r="I193" s="444"/>
      <c r="J193" s="485">
        <f>L193+O193</f>
        <v>0</v>
      </c>
      <c r="K193" s="444"/>
      <c r="L193" s="444"/>
      <c r="M193" s="444"/>
      <c r="N193" s="444"/>
      <c r="O193" s="487">
        <f>K193</f>
        <v>0</v>
      </c>
      <c r="P193" s="485">
        <f>E193+J193</f>
        <v>1019860</v>
      </c>
      <c r="R193" s="297"/>
    </row>
    <row r="194" spans="1:18" ht="93" thickTop="1" thickBot="1" x14ac:dyDescent="0.25">
      <c r="A194" s="483" t="s">
        <v>975</v>
      </c>
      <c r="B194" s="483" t="s">
        <v>209</v>
      </c>
      <c r="C194" s="483" t="s">
        <v>178</v>
      </c>
      <c r="D194" s="483" t="s">
        <v>36</v>
      </c>
      <c r="E194" s="485">
        <f t="shared" ref="E194" si="188">F194</f>
        <v>0</v>
      </c>
      <c r="F194" s="444"/>
      <c r="G194" s="444"/>
      <c r="H194" s="444"/>
      <c r="I194" s="444"/>
      <c r="J194" s="485">
        <f t="shared" ref="J194" si="189">L194+O194</f>
        <v>14000</v>
      </c>
      <c r="K194" s="444">
        <v>14000</v>
      </c>
      <c r="L194" s="444"/>
      <c r="M194" s="444"/>
      <c r="N194" s="444"/>
      <c r="O194" s="487">
        <f t="shared" ref="O194" si="190">K194</f>
        <v>14000</v>
      </c>
      <c r="P194" s="485">
        <f t="shared" ref="P194" si="191">E194+J194</f>
        <v>14000</v>
      </c>
      <c r="R194" s="292"/>
    </row>
    <row r="195" spans="1:18" ht="47.25" hidden="1" thickTop="1" thickBot="1" x14ac:dyDescent="0.25">
      <c r="A195" s="250" t="s">
        <v>805</v>
      </c>
      <c r="B195" s="250" t="s">
        <v>745</v>
      </c>
      <c r="C195" s="250"/>
      <c r="D195" s="250" t="s">
        <v>746</v>
      </c>
      <c r="E195" s="256">
        <f>E196</f>
        <v>0</v>
      </c>
      <c r="F195" s="256">
        <f t="shared" ref="F195:P196" si="192">F196</f>
        <v>0</v>
      </c>
      <c r="G195" s="256">
        <f t="shared" si="192"/>
        <v>0</v>
      </c>
      <c r="H195" s="256">
        <f t="shared" si="192"/>
        <v>0</v>
      </c>
      <c r="I195" s="256">
        <f t="shared" si="192"/>
        <v>0</v>
      </c>
      <c r="J195" s="256">
        <f t="shared" si="192"/>
        <v>0</v>
      </c>
      <c r="K195" s="256">
        <f t="shared" si="192"/>
        <v>0</v>
      </c>
      <c r="L195" s="256">
        <f t="shared" si="192"/>
        <v>0</v>
      </c>
      <c r="M195" s="256">
        <f t="shared" si="192"/>
        <v>0</v>
      </c>
      <c r="N195" s="256">
        <f t="shared" si="192"/>
        <v>0</v>
      </c>
      <c r="O195" s="256">
        <f t="shared" si="192"/>
        <v>0</v>
      </c>
      <c r="P195" s="256">
        <f t="shared" si="192"/>
        <v>0</v>
      </c>
      <c r="R195" s="297"/>
    </row>
    <row r="196" spans="1:18" ht="271.5" hidden="1" thickTop="1" thickBot="1" x14ac:dyDescent="0.25">
      <c r="A196" s="253" t="s">
        <v>806</v>
      </c>
      <c r="B196" s="253" t="s">
        <v>748</v>
      </c>
      <c r="C196" s="253"/>
      <c r="D196" s="253" t="s">
        <v>749</v>
      </c>
      <c r="E196" s="270">
        <f>E197</f>
        <v>0</v>
      </c>
      <c r="F196" s="270">
        <f t="shared" si="192"/>
        <v>0</v>
      </c>
      <c r="G196" s="270">
        <f t="shared" si="192"/>
        <v>0</v>
      </c>
      <c r="H196" s="270">
        <f t="shared" si="192"/>
        <v>0</v>
      </c>
      <c r="I196" s="270">
        <f t="shared" si="192"/>
        <v>0</v>
      </c>
      <c r="J196" s="270">
        <f t="shared" si="192"/>
        <v>0</v>
      </c>
      <c r="K196" s="270">
        <f t="shared" si="192"/>
        <v>0</v>
      </c>
      <c r="L196" s="270">
        <f t="shared" si="192"/>
        <v>0</v>
      </c>
      <c r="M196" s="270">
        <f t="shared" si="192"/>
        <v>0</v>
      </c>
      <c r="N196" s="270">
        <f t="shared" si="192"/>
        <v>0</v>
      </c>
      <c r="O196" s="270">
        <f t="shared" si="192"/>
        <v>0</v>
      </c>
      <c r="P196" s="270">
        <f t="shared" si="192"/>
        <v>0</v>
      </c>
      <c r="R196" s="297"/>
    </row>
    <row r="197" spans="1:18" ht="93" hidden="1" thickTop="1" thickBot="1" x14ac:dyDescent="0.25">
      <c r="A197" s="259" t="s">
        <v>618</v>
      </c>
      <c r="B197" s="259" t="s">
        <v>377</v>
      </c>
      <c r="C197" s="259" t="s">
        <v>45</v>
      </c>
      <c r="D197" s="259" t="s">
        <v>378</v>
      </c>
      <c r="E197" s="256">
        <f t="shared" ref="E197" si="193">F197</f>
        <v>0</v>
      </c>
      <c r="F197" s="278">
        <v>0</v>
      </c>
      <c r="G197" s="278"/>
      <c r="H197" s="278"/>
      <c r="I197" s="278"/>
      <c r="J197" s="256">
        <f>L197+O197</f>
        <v>0</v>
      </c>
      <c r="K197" s="278"/>
      <c r="L197" s="278"/>
      <c r="M197" s="278"/>
      <c r="N197" s="278"/>
      <c r="O197" s="262">
        <f>K197</f>
        <v>0</v>
      </c>
      <c r="P197" s="256">
        <f>E197+J197</f>
        <v>0</v>
      </c>
      <c r="R197" s="297"/>
    </row>
    <row r="198" spans="1:18" ht="136.5" thickTop="1" thickBot="1" x14ac:dyDescent="0.25">
      <c r="A198" s="828" t="s">
        <v>22</v>
      </c>
      <c r="B198" s="828"/>
      <c r="C198" s="828"/>
      <c r="D198" s="829" t="s">
        <v>23</v>
      </c>
      <c r="E198" s="830">
        <f>E199</f>
        <v>106528463</v>
      </c>
      <c r="F198" s="831">
        <f t="shared" ref="F198:G198" si="194">F199</f>
        <v>106528463</v>
      </c>
      <c r="G198" s="831">
        <f t="shared" si="194"/>
        <v>46439355</v>
      </c>
      <c r="H198" s="831">
        <f>H199</f>
        <v>4647671</v>
      </c>
      <c r="I198" s="831">
        <f t="shared" ref="I198" si="195">I199</f>
        <v>0</v>
      </c>
      <c r="J198" s="830">
        <f>J199</f>
        <v>9230456</v>
      </c>
      <c r="K198" s="831">
        <f>K199</f>
        <v>7097437</v>
      </c>
      <c r="L198" s="831">
        <f>L199</f>
        <v>2053849</v>
      </c>
      <c r="M198" s="831">
        <f t="shared" ref="M198" si="196">M199</f>
        <v>1042780</v>
      </c>
      <c r="N198" s="831">
        <f>N199</f>
        <v>366828</v>
      </c>
      <c r="O198" s="830">
        <f>O199</f>
        <v>7176607</v>
      </c>
      <c r="P198" s="831">
        <f t="shared" ref="P198" si="197">P199</f>
        <v>115758919</v>
      </c>
    </row>
    <row r="199" spans="1:18" ht="178.5" customHeight="1" thickTop="1" thickBot="1" x14ac:dyDescent="0.25">
      <c r="A199" s="832" t="s">
        <v>21</v>
      </c>
      <c r="B199" s="832"/>
      <c r="C199" s="832"/>
      <c r="D199" s="833" t="s">
        <v>37</v>
      </c>
      <c r="E199" s="834">
        <f>E200+E206+E219+E222+E228</f>
        <v>106528463</v>
      </c>
      <c r="F199" s="834">
        <f t="shared" ref="F199:I199" si="198">F200+F206+F219+F222+F228</f>
        <v>106528463</v>
      </c>
      <c r="G199" s="834">
        <f t="shared" si="198"/>
        <v>46439355</v>
      </c>
      <c r="H199" s="834">
        <f t="shared" si="198"/>
        <v>4647671</v>
      </c>
      <c r="I199" s="834">
        <f t="shared" si="198"/>
        <v>0</v>
      </c>
      <c r="J199" s="834">
        <f>L199+O199</f>
        <v>9230456</v>
      </c>
      <c r="K199" s="834">
        <f t="shared" ref="K199" si="199">K200+K206+K219+K222+K228</f>
        <v>7097437</v>
      </c>
      <c r="L199" s="834">
        <f t="shared" ref="L199" si="200">L200+L206+L219+L222+L228</f>
        <v>2053849</v>
      </c>
      <c r="M199" s="834">
        <f t="shared" ref="M199" si="201">M200+M206+M219+M222+M228</f>
        <v>1042780</v>
      </c>
      <c r="N199" s="834">
        <f t="shared" ref="N199" si="202">N200+N206+N219+N222+N228</f>
        <v>366828</v>
      </c>
      <c r="O199" s="834">
        <f t="shared" ref="O199" si="203">O200+O206+O219+O222+O228</f>
        <v>7176607</v>
      </c>
      <c r="P199" s="834">
        <f>E199+J199</f>
        <v>115758919</v>
      </c>
      <c r="Q199" s="628" t="b">
        <f>P199=P202+P204+P205+P208+P209+P211+P213+P214+P216+P217+P218+P221+P227+P225+P230</f>
        <v>1</v>
      </c>
      <c r="R199" s="292"/>
    </row>
    <row r="200" spans="1:18" ht="91.5" thickTop="1" thickBot="1" x14ac:dyDescent="0.25">
      <c r="A200" s="151" t="s">
        <v>807</v>
      </c>
      <c r="B200" s="151" t="s">
        <v>754</v>
      </c>
      <c r="C200" s="151"/>
      <c r="D200" s="151" t="s">
        <v>755</v>
      </c>
      <c r="E200" s="576">
        <f>SUM(E201:E205)-E201-E203</f>
        <v>13001319</v>
      </c>
      <c r="F200" s="576">
        <f t="shared" ref="F200:P200" si="204">SUM(F201:F205)-F201-F203</f>
        <v>13001319</v>
      </c>
      <c r="G200" s="576">
        <f t="shared" si="204"/>
        <v>4391065</v>
      </c>
      <c r="H200" s="576">
        <f t="shared" si="204"/>
        <v>881110</v>
      </c>
      <c r="I200" s="576">
        <f t="shared" si="204"/>
        <v>0</v>
      </c>
      <c r="J200" s="576">
        <f t="shared" si="204"/>
        <v>903993</v>
      </c>
      <c r="K200" s="576">
        <f t="shared" si="204"/>
        <v>537693</v>
      </c>
      <c r="L200" s="576">
        <f t="shared" si="204"/>
        <v>366300</v>
      </c>
      <c r="M200" s="576">
        <f t="shared" si="204"/>
        <v>180000</v>
      </c>
      <c r="N200" s="576">
        <f t="shared" si="204"/>
        <v>108000</v>
      </c>
      <c r="O200" s="576">
        <f t="shared" si="204"/>
        <v>537693</v>
      </c>
      <c r="P200" s="576">
        <f t="shared" si="204"/>
        <v>13905312</v>
      </c>
      <c r="Q200" s="628"/>
      <c r="R200" s="292"/>
    </row>
    <row r="201" spans="1:18" s="272" customFormat="1" ht="138.75" hidden="1" thickTop="1" thickBot="1" x14ac:dyDescent="0.25">
      <c r="A201" s="489" t="s">
        <v>808</v>
      </c>
      <c r="B201" s="489" t="s">
        <v>809</v>
      </c>
      <c r="C201" s="489"/>
      <c r="D201" s="489" t="s">
        <v>810</v>
      </c>
      <c r="E201" s="577">
        <f>E202</f>
        <v>0</v>
      </c>
      <c r="F201" s="577">
        <f t="shared" ref="F201:P201" si="205">F202</f>
        <v>0</v>
      </c>
      <c r="G201" s="577">
        <f t="shared" si="205"/>
        <v>0</v>
      </c>
      <c r="H201" s="577">
        <f t="shared" si="205"/>
        <v>0</v>
      </c>
      <c r="I201" s="577">
        <f t="shared" si="205"/>
        <v>0</v>
      </c>
      <c r="J201" s="577">
        <f t="shared" si="205"/>
        <v>0</v>
      </c>
      <c r="K201" s="577">
        <f t="shared" si="205"/>
        <v>0</v>
      </c>
      <c r="L201" s="577">
        <f t="shared" si="205"/>
        <v>0</v>
      </c>
      <c r="M201" s="577">
        <f t="shared" si="205"/>
        <v>0</v>
      </c>
      <c r="N201" s="577">
        <f t="shared" si="205"/>
        <v>0</v>
      </c>
      <c r="O201" s="577">
        <f t="shared" si="205"/>
        <v>0</v>
      </c>
      <c r="P201" s="577">
        <f t="shared" si="205"/>
        <v>0</v>
      </c>
      <c r="Q201" s="630"/>
      <c r="R201" s="302"/>
    </row>
    <row r="202" spans="1:18" ht="138.75" hidden="1" thickTop="1" thickBot="1" x14ac:dyDescent="0.25">
      <c r="A202" s="533" t="s">
        <v>195</v>
      </c>
      <c r="B202" s="533" t="s">
        <v>196</v>
      </c>
      <c r="C202" s="533" t="s">
        <v>197</v>
      </c>
      <c r="D202" s="533" t="s">
        <v>680</v>
      </c>
      <c r="E202" s="446">
        <f t="shared" ref="E202:E217" si="206">F202</f>
        <v>0</v>
      </c>
      <c r="F202" s="447">
        <f>(6040461)-6040461</f>
        <v>0</v>
      </c>
      <c r="G202" s="447">
        <f>(4559615)-4559615</f>
        <v>0</v>
      </c>
      <c r="H202" s="447">
        <f>(96665+5295+31600+3840)-137400</f>
        <v>0</v>
      </c>
      <c r="I202" s="447"/>
      <c r="J202" s="530">
        <f t="shared" ref="J202:J227" si="207">L202+O202</f>
        <v>0</v>
      </c>
      <c r="K202" s="447"/>
      <c r="L202" s="459"/>
      <c r="M202" s="459"/>
      <c r="N202" s="459"/>
      <c r="O202" s="535">
        <f t="shared" ref="O202:O227" si="208">K202</f>
        <v>0</v>
      </c>
      <c r="P202" s="530">
        <f>+J202+E202</f>
        <v>0</v>
      </c>
      <c r="Q202" s="631"/>
      <c r="R202" s="297"/>
    </row>
    <row r="203" spans="1:18" s="272" customFormat="1" ht="93" thickTop="1" thickBot="1" x14ac:dyDescent="0.25">
      <c r="A203" s="489" t="s">
        <v>811</v>
      </c>
      <c r="B203" s="489" t="s">
        <v>812</v>
      </c>
      <c r="C203" s="489"/>
      <c r="D203" s="489" t="s">
        <v>813</v>
      </c>
      <c r="E203" s="490">
        <f>SUM(E204:E205)</f>
        <v>13001319</v>
      </c>
      <c r="F203" s="490">
        <f t="shared" ref="F203:P203" si="209">SUM(F204:F205)</f>
        <v>13001319</v>
      </c>
      <c r="G203" s="490">
        <f t="shared" si="209"/>
        <v>4391065</v>
      </c>
      <c r="H203" s="490">
        <f t="shared" si="209"/>
        <v>881110</v>
      </c>
      <c r="I203" s="490">
        <f t="shared" si="209"/>
        <v>0</v>
      </c>
      <c r="J203" s="490">
        <f t="shared" si="209"/>
        <v>903993</v>
      </c>
      <c r="K203" s="490">
        <f t="shared" si="209"/>
        <v>537693</v>
      </c>
      <c r="L203" s="490">
        <f t="shared" si="209"/>
        <v>366300</v>
      </c>
      <c r="M203" s="490">
        <f t="shared" si="209"/>
        <v>180000</v>
      </c>
      <c r="N203" s="490">
        <f t="shared" si="209"/>
        <v>108000</v>
      </c>
      <c r="O203" s="490">
        <f t="shared" si="209"/>
        <v>537693</v>
      </c>
      <c r="P203" s="490">
        <f t="shared" si="209"/>
        <v>13905312</v>
      </c>
      <c r="Q203" s="632"/>
      <c r="R203" s="298"/>
    </row>
    <row r="204" spans="1:18" ht="93" thickTop="1" thickBot="1" x14ac:dyDescent="0.25">
      <c r="A204" s="533" t="s">
        <v>201</v>
      </c>
      <c r="B204" s="533" t="s">
        <v>202</v>
      </c>
      <c r="C204" s="533" t="s">
        <v>197</v>
      </c>
      <c r="D204" s="533" t="s">
        <v>10</v>
      </c>
      <c r="E204" s="446">
        <f t="shared" si="206"/>
        <v>4920329</v>
      </c>
      <c r="F204" s="447">
        <v>4920329</v>
      </c>
      <c r="G204" s="447">
        <v>2954350</v>
      </c>
      <c r="H204" s="447">
        <f>(567760+5370+142130+2090)</f>
        <v>717350</v>
      </c>
      <c r="I204" s="447"/>
      <c r="J204" s="530">
        <f t="shared" si="207"/>
        <v>903993</v>
      </c>
      <c r="K204" s="447">
        <f>(537693)</f>
        <v>537693</v>
      </c>
      <c r="L204" s="459">
        <v>366300</v>
      </c>
      <c r="M204" s="459">
        <v>180000</v>
      </c>
      <c r="N204" s="459">
        <f>(95000)+13000</f>
        <v>108000</v>
      </c>
      <c r="O204" s="535">
        <f>K204</f>
        <v>537693</v>
      </c>
      <c r="P204" s="530">
        <f t="shared" ref="P204:P227" si="210">E204+J204</f>
        <v>5824322</v>
      </c>
      <c r="R204" s="292"/>
    </row>
    <row r="205" spans="1:18" ht="93" thickTop="1" thickBot="1" x14ac:dyDescent="0.25">
      <c r="A205" s="533" t="s">
        <v>365</v>
      </c>
      <c r="B205" s="533" t="s">
        <v>366</v>
      </c>
      <c r="C205" s="533" t="s">
        <v>197</v>
      </c>
      <c r="D205" s="533" t="s">
        <v>367</v>
      </c>
      <c r="E205" s="446">
        <f t="shared" si="206"/>
        <v>8080990</v>
      </c>
      <c r="F205" s="447">
        <v>8080990</v>
      </c>
      <c r="G205" s="447">
        <v>1436715</v>
      </c>
      <c r="H205" s="447">
        <f>(99760+4560+57520+1920)</f>
        <v>163760</v>
      </c>
      <c r="I205" s="447"/>
      <c r="J205" s="530">
        <f t="shared" si="207"/>
        <v>0</v>
      </c>
      <c r="K205" s="447"/>
      <c r="L205" s="459"/>
      <c r="M205" s="459"/>
      <c r="N205" s="459"/>
      <c r="O205" s="535">
        <f t="shared" si="208"/>
        <v>0</v>
      </c>
      <c r="P205" s="530">
        <f t="shared" si="210"/>
        <v>8080990</v>
      </c>
      <c r="R205" s="292"/>
    </row>
    <row r="206" spans="1:18" ht="47.25" thickTop="1" thickBot="1" x14ac:dyDescent="0.25">
      <c r="A206" s="151" t="s">
        <v>814</v>
      </c>
      <c r="B206" s="151" t="s">
        <v>815</v>
      </c>
      <c r="C206" s="533"/>
      <c r="D206" s="151" t="s">
        <v>816</v>
      </c>
      <c r="E206" s="446">
        <f>SUM(E207:E218)-E207-E210-E212-E215</f>
        <v>93488144</v>
      </c>
      <c r="F206" s="446">
        <f t="shared" ref="F206:P206" si="211">SUM(F207:F218)-F207-F210-F212-F215</f>
        <v>93488144</v>
      </c>
      <c r="G206" s="446">
        <f t="shared" si="211"/>
        <v>42048290</v>
      </c>
      <c r="H206" s="446">
        <f t="shared" si="211"/>
        <v>3766561</v>
      </c>
      <c r="I206" s="446">
        <f t="shared" si="211"/>
        <v>0</v>
      </c>
      <c r="J206" s="446">
        <f t="shared" si="211"/>
        <v>8026463</v>
      </c>
      <c r="K206" s="446">
        <f t="shared" si="211"/>
        <v>6259744</v>
      </c>
      <c r="L206" s="446">
        <f t="shared" si="211"/>
        <v>1687549</v>
      </c>
      <c r="M206" s="446">
        <f t="shared" si="211"/>
        <v>862780</v>
      </c>
      <c r="N206" s="446">
        <f t="shared" si="211"/>
        <v>258828</v>
      </c>
      <c r="O206" s="446">
        <f t="shared" si="211"/>
        <v>6338914</v>
      </c>
      <c r="P206" s="446">
        <f t="shared" si="211"/>
        <v>101514607</v>
      </c>
      <c r="R206" s="292"/>
    </row>
    <row r="207" spans="1:18" s="272" customFormat="1" ht="93" thickTop="1" thickBot="1" x14ac:dyDescent="0.25">
      <c r="A207" s="489" t="s">
        <v>817</v>
      </c>
      <c r="B207" s="489" t="s">
        <v>818</v>
      </c>
      <c r="C207" s="489"/>
      <c r="D207" s="489" t="s">
        <v>819</v>
      </c>
      <c r="E207" s="490">
        <f>SUM(E208:E209)</f>
        <v>25324232</v>
      </c>
      <c r="F207" s="490">
        <f t="shared" ref="F207:P207" si="212">SUM(F208:F209)</f>
        <v>25324232</v>
      </c>
      <c r="G207" s="490">
        <f t="shared" si="212"/>
        <v>0</v>
      </c>
      <c r="H207" s="490">
        <f t="shared" si="212"/>
        <v>0</v>
      </c>
      <c r="I207" s="490">
        <f t="shared" si="212"/>
        <v>0</v>
      </c>
      <c r="J207" s="490">
        <f t="shared" si="212"/>
        <v>0</v>
      </c>
      <c r="K207" s="490">
        <f t="shared" si="212"/>
        <v>0</v>
      </c>
      <c r="L207" s="490">
        <f t="shared" si="212"/>
        <v>0</v>
      </c>
      <c r="M207" s="490">
        <f t="shared" si="212"/>
        <v>0</v>
      </c>
      <c r="N207" s="490">
        <f t="shared" si="212"/>
        <v>0</v>
      </c>
      <c r="O207" s="490">
        <f t="shared" si="212"/>
        <v>0</v>
      </c>
      <c r="P207" s="490">
        <f t="shared" si="212"/>
        <v>25324232</v>
      </c>
      <c r="Q207" s="624"/>
      <c r="R207" s="302"/>
    </row>
    <row r="208" spans="1:18" ht="138.75" thickTop="1" thickBot="1" x14ac:dyDescent="0.25">
      <c r="A208" s="533" t="s">
        <v>46</v>
      </c>
      <c r="B208" s="533" t="s">
        <v>198</v>
      </c>
      <c r="C208" s="533" t="s">
        <v>207</v>
      </c>
      <c r="D208" s="533" t="s">
        <v>47</v>
      </c>
      <c r="E208" s="446">
        <f t="shared" si="206"/>
        <v>22258032</v>
      </c>
      <c r="F208" s="447">
        <v>22258032</v>
      </c>
      <c r="G208" s="444"/>
      <c r="H208" s="444"/>
      <c r="I208" s="444"/>
      <c r="J208" s="530">
        <f t="shared" si="207"/>
        <v>0</v>
      </c>
      <c r="K208" s="444"/>
      <c r="L208" s="444"/>
      <c r="M208" s="444"/>
      <c r="N208" s="444"/>
      <c r="O208" s="535">
        <f t="shared" si="208"/>
        <v>0</v>
      </c>
      <c r="P208" s="530">
        <f t="shared" si="210"/>
        <v>22258032</v>
      </c>
      <c r="R208" s="292"/>
    </row>
    <row r="209" spans="1:18" ht="138.75" thickTop="1" thickBot="1" x14ac:dyDescent="0.25">
      <c r="A209" s="533" t="s">
        <v>48</v>
      </c>
      <c r="B209" s="533" t="s">
        <v>199</v>
      </c>
      <c r="C209" s="533" t="s">
        <v>207</v>
      </c>
      <c r="D209" s="533" t="s">
        <v>4</v>
      </c>
      <c r="E209" s="446">
        <f t="shared" si="206"/>
        <v>3066200</v>
      </c>
      <c r="F209" s="447">
        <v>3066200</v>
      </c>
      <c r="G209" s="444"/>
      <c r="H209" s="444"/>
      <c r="I209" s="444"/>
      <c r="J209" s="530">
        <f t="shared" si="207"/>
        <v>0</v>
      </c>
      <c r="K209" s="444"/>
      <c r="L209" s="444"/>
      <c r="M209" s="444"/>
      <c r="N209" s="444"/>
      <c r="O209" s="535">
        <f t="shared" si="208"/>
        <v>0</v>
      </c>
      <c r="P209" s="530">
        <f t="shared" si="210"/>
        <v>3066200</v>
      </c>
      <c r="R209" s="292"/>
    </row>
    <row r="210" spans="1:18" s="272" customFormat="1" ht="184.5" thickTop="1" thickBot="1" x14ac:dyDescent="0.25">
      <c r="A210" s="489" t="s">
        <v>820</v>
      </c>
      <c r="B210" s="489" t="s">
        <v>821</v>
      </c>
      <c r="C210" s="489"/>
      <c r="D210" s="489" t="s">
        <v>822</v>
      </c>
      <c r="E210" s="490">
        <f>E211</f>
        <v>53300</v>
      </c>
      <c r="F210" s="490">
        <f t="shared" ref="F210:P210" si="213">F211</f>
        <v>53300</v>
      </c>
      <c r="G210" s="490">
        <f t="shared" si="213"/>
        <v>0</v>
      </c>
      <c r="H210" s="490">
        <f t="shared" si="213"/>
        <v>0</v>
      </c>
      <c r="I210" s="490">
        <f t="shared" si="213"/>
        <v>0</v>
      </c>
      <c r="J210" s="490">
        <f t="shared" si="213"/>
        <v>0</v>
      </c>
      <c r="K210" s="490">
        <f t="shared" si="213"/>
        <v>0</v>
      </c>
      <c r="L210" s="490">
        <f t="shared" si="213"/>
        <v>0</v>
      </c>
      <c r="M210" s="490">
        <f t="shared" si="213"/>
        <v>0</v>
      </c>
      <c r="N210" s="490">
        <f t="shared" si="213"/>
        <v>0</v>
      </c>
      <c r="O210" s="490">
        <f t="shared" si="213"/>
        <v>0</v>
      </c>
      <c r="P210" s="490">
        <f t="shared" si="213"/>
        <v>53300</v>
      </c>
      <c r="Q210" s="624"/>
      <c r="R210" s="306"/>
    </row>
    <row r="211" spans="1:18" ht="184.5" thickTop="1" thickBot="1" x14ac:dyDescent="0.25">
      <c r="A211" s="533" t="s">
        <v>49</v>
      </c>
      <c r="B211" s="533" t="s">
        <v>200</v>
      </c>
      <c r="C211" s="533" t="s">
        <v>207</v>
      </c>
      <c r="D211" s="533" t="s">
        <v>363</v>
      </c>
      <c r="E211" s="446">
        <f>F211</f>
        <v>53300</v>
      </c>
      <c r="F211" s="447">
        <v>53300</v>
      </c>
      <c r="G211" s="447"/>
      <c r="H211" s="447"/>
      <c r="I211" s="444"/>
      <c r="J211" s="530">
        <f t="shared" si="207"/>
        <v>0</v>
      </c>
      <c r="K211" s="444"/>
      <c r="L211" s="447"/>
      <c r="M211" s="447"/>
      <c r="N211" s="447"/>
      <c r="O211" s="535">
        <f t="shared" si="208"/>
        <v>0</v>
      </c>
      <c r="P211" s="530">
        <f t="shared" si="210"/>
        <v>53300</v>
      </c>
      <c r="R211" s="292"/>
    </row>
    <row r="212" spans="1:18" ht="93" thickTop="1" thickBot="1" x14ac:dyDescent="0.25">
      <c r="A212" s="489" t="s">
        <v>823</v>
      </c>
      <c r="B212" s="489" t="s">
        <v>824</v>
      </c>
      <c r="C212" s="489"/>
      <c r="D212" s="489" t="s">
        <v>825</v>
      </c>
      <c r="E212" s="490">
        <f>SUM(E213:E214)</f>
        <v>62849146</v>
      </c>
      <c r="F212" s="490">
        <f t="shared" ref="F212:P212" si="214">SUM(F213:F214)</f>
        <v>62849146</v>
      </c>
      <c r="G212" s="490">
        <f t="shared" si="214"/>
        <v>40789410</v>
      </c>
      <c r="H212" s="490">
        <f t="shared" si="214"/>
        <v>3766561</v>
      </c>
      <c r="I212" s="490">
        <f t="shared" si="214"/>
        <v>0</v>
      </c>
      <c r="J212" s="490">
        <f t="shared" si="214"/>
        <v>8026463</v>
      </c>
      <c r="K212" s="490">
        <f t="shared" si="214"/>
        <v>6259744</v>
      </c>
      <c r="L212" s="490">
        <f t="shared" si="214"/>
        <v>1687549</v>
      </c>
      <c r="M212" s="490">
        <f t="shared" si="214"/>
        <v>862780</v>
      </c>
      <c r="N212" s="490">
        <f t="shared" si="214"/>
        <v>258828</v>
      </c>
      <c r="O212" s="490">
        <f t="shared" si="214"/>
        <v>6338914</v>
      </c>
      <c r="P212" s="490">
        <f t="shared" si="214"/>
        <v>70875609</v>
      </c>
      <c r="R212" s="292"/>
    </row>
    <row r="213" spans="1:18" ht="184.5" thickTop="1" thickBot="1" x14ac:dyDescent="0.25">
      <c r="A213" s="533" t="s">
        <v>28</v>
      </c>
      <c r="B213" s="533" t="s">
        <v>204</v>
      </c>
      <c r="C213" s="533" t="s">
        <v>207</v>
      </c>
      <c r="D213" s="533" t="s">
        <v>50</v>
      </c>
      <c r="E213" s="446">
        <f t="shared" si="206"/>
        <v>57335156</v>
      </c>
      <c r="F213" s="447">
        <f>((57087290)+120000)+127866</f>
        <v>57335156</v>
      </c>
      <c r="G213" s="447">
        <f>(12879510+12795060+10845985+4268855)</f>
        <v>40789410</v>
      </c>
      <c r="H213" s="447">
        <f>((568195+101700+408980+67080+521160+40690+421560+252585+9315+25800+17640+132495+378400+3930+411080+5380+95115+57590)+120000)+127866</f>
        <v>3766561</v>
      </c>
      <c r="I213" s="447"/>
      <c r="J213" s="530">
        <f t="shared" si="207"/>
        <v>8026463</v>
      </c>
      <c r="K213" s="447">
        <v>6259744</v>
      </c>
      <c r="L213" s="447">
        <f>(808722+957997-58300-20870)</f>
        <v>1687549</v>
      </c>
      <c r="M213" s="447">
        <f>(242165+620615)</f>
        <v>862780</v>
      </c>
      <c r="N213" s="447">
        <f>(197561+60767)+500</f>
        <v>258828</v>
      </c>
      <c r="O213" s="535">
        <f>(K213+58300+20870)</f>
        <v>6338914</v>
      </c>
      <c r="P213" s="530">
        <f t="shared" si="210"/>
        <v>65361619</v>
      </c>
      <c r="R213" s="292"/>
    </row>
    <row r="214" spans="1:18" ht="184.5" thickTop="1" thickBot="1" x14ac:dyDescent="0.25">
      <c r="A214" s="533" t="s">
        <v>29</v>
      </c>
      <c r="B214" s="533" t="s">
        <v>205</v>
      </c>
      <c r="C214" s="533" t="s">
        <v>207</v>
      </c>
      <c r="D214" s="533" t="s">
        <v>51</v>
      </c>
      <c r="E214" s="446">
        <f t="shared" si="206"/>
        <v>5513990</v>
      </c>
      <c r="F214" s="447">
        <v>5513990</v>
      </c>
      <c r="G214" s="447"/>
      <c r="H214" s="447"/>
      <c r="I214" s="447"/>
      <c r="J214" s="530">
        <f t="shared" si="207"/>
        <v>0</v>
      </c>
      <c r="K214" s="447">
        <v>0</v>
      </c>
      <c r="L214" s="447"/>
      <c r="M214" s="447"/>
      <c r="N214" s="447"/>
      <c r="O214" s="535">
        <f t="shared" si="208"/>
        <v>0</v>
      </c>
      <c r="P214" s="530">
        <f t="shared" si="210"/>
        <v>5513990</v>
      </c>
      <c r="R214" s="292"/>
    </row>
    <row r="215" spans="1:18" ht="93" thickTop="1" thickBot="1" x14ac:dyDescent="0.25">
      <c r="A215" s="578" t="s">
        <v>826</v>
      </c>
      <c r="B215" s="489" t="s">
        <v>827</v>
      </c>
      <c r="C215" s="489"/>
      <c r="D215" s="489" t="s">
        <v>828</v>
      </c>
      <c r="E215" s="490">
        <f>SUM(E216:E218)</f>
        <v>5261466</v>
      </c>
      <c r="F215" s="490">
        <f t="shared" ref="F215:P215" si="215">SUM(F216:F218)</f>
        <v>5261466</v>
      </c>
      <c r="G215" s="490">
        <f t="shared" si="215"/>
        <v>1258880</v>
      </c>
      <c r="H215" s="490">
        <f t="shared" si="215"/>
        <v>0</v>
      </c>
      <c r="I215" s="490">
        <f t="shared" si="215"/>
        <v>0</v>
      </c>
      <c r="J215" s="490">
        <f t="shared" si="215"/>
        <v>0</v>
      </c>
      <c r="K215" s="490">
        <f t="shared" si="215"/>
        <v>0</v>
      </c>
      <c r="L215" s="490">
        <f t="shared" si="215"/>
        <v>0</v>
      </c>
      <c r="M215" s="490">
        <f t="shared" si="215"/>
        <v>0</v>
      </c>
      <c r="N215" s="490">
        <f t="shared" si="215"/>
        <v>0</v>
      </c>
      <c r="O215" s="490">
        <f t="shared" si="215"/>
        <v>0</v>
      </c>
      <c r="P215" s="490">
        <f t="shared" si="215"/>
        <v>5261466</v>
      </c>
      <c r="R215" s="292"/>
    </row>
    <row r="216" spans="1:18" ht="276" thickTop="1" thickBot="1" x14ac:dyDescent="0.25">
      <c r="A216" s="579" t="s">
        <v>30</v>
      </c>
      <c r="B216" s="579" t="s">
        <v>206</v>
      </c>
      <c r="C216" s="579" t="s">
        <v>207</v>
      </c>
      <c r="D216" s="533" t="s">
        <v>31</v>
      </c>
      <c r="E216" s="446">
        <f t="shared" si="206"/>
        <v>1016620</v>
      </c>
      <c r="F216" s="447">
        <v>1016620</v>
      </c>
      <c r="G216" s="444"/>
      <c r="H216" s="444"/>
      <c r="I216" s="444"/>
      <c r="J216" s="530">
        <f t="shared" si="207"/>
        <v>0</v>
      </c>
      <c r="K216" s="444"/>
      <c r="L216" s="444"/>
      <c r="M216" s="444"/>
      <c r="N216" s="444"/>
      <c r="O216" s="535">
        <f t="shared" si="208"/>
        <v>0</v>
      </c>
      <c r="P216" s="530">
        <f t="shared" si="210"/>
        <v>1016620</v>
      </c>
      <c r="R216" s="292"/>
    </row>
    <row r="217" spans="1:18" ht="184.5" thickTop="1" thickBot="1" x14ac:dyDescent="0.25">
      <c r="A217" s="579" t="s">
        <v>530</v>
      </c>
      <c r="B217" s="579" t="s">
        <v>528</v>
      </c>
      <c r="C217" s="579" t="s">
        <v>207</v>
      </c>
      <c r="D217" s="533" t="s">
        <v>529</v>
      </c>
      <c r="E217" s="446">
        <f t="shared" si="206"/>
        <v>2490471</v>
      </c>
      <c r="F217" s="447">
        <v>2490471</v>
      </c>
      <c r="G217" s="444"/>
      <c r="H217" s="444"/>
      <c r="I217" s="444"/>
      <c r="J217" s="530">
        <f t="shared" si="207"/>
        <v>0</v>
      </c>
      <c r="K217" s="444"/>
      <c r="L217" s="444"/>
      <c r="M217" s="444"/>
      <c r="N217" s="444"/>
      <c r="O217" s="535">
        <f t="shared" si="208"/>
        <v>0</v>
      </c>
      <c r="P217" s="530">
        <f t="shared" si="210"/>
        <v>2490471</v>
      </c>
      <c r="R217" s="292"/>
    </row>
    <row r="218" spans="1:18" ht="93" thickTop="1" thickBot="1" x14ac:dyDescent="0.25">
      <c r="A218" s="579" t="s">
        <v>32</v>
      </c>
      <c r="B218" s="579" t="s">
        <v>208</v>
      </c>
      <c r="C218" s="579" t="s">
        <v>207</v>
      </c>
      <c r="D218" s="533" t="s">
        <v>33</v>
      </c>
      <c r="E218" s="446">
        <f>F218</f>
        <v>1754375</v>
      </c>
      <c r="F218" s="447">
        <v>1754375</v>
      </c>
      <c r="G218" s="444">
        <v>1258880</v>
      </c>
      <c r="H218" s="444"/>
      <c r="I218" s="444"/>
      <c r="J218" s="530">
        <f t="shared" si="207"/>
        <v>0</v>
      </c>
      <c r="K218" s="444">
        <v>0</v>
      </c>
      <c r="L218" s="444"/>
      <c r="M218" s="444"/>
      <c r="N218" s="444"/>
      <c r="O218" s="535">
        <f t="shared" si="208"/>
        <v>0</v>
      </c>
      <c r="P218" s="530">
        <f t="shared" si="210"/>
        <v>1754375</v>
      </c>
      <c r="R218" s="292"/>
    </row>
    <row r="219" spans="1:18" ht="91.5" thickTop="1" thickBot="1" x14ac:dyDescent="0.25">
      <c r="A219" s="151" t="s">
        <v>829</v>
      </c>
      <c r="B219" s="151" t="s">
        <v>786</v>
      </c>
      <c r="C219" s="151"/>
      <c r="D219" s="560" t="s">
        <v>787</v>
      </c>
      <c r="E219" s="446">
        <f>E220</f>
        <v>39000</v>
      </c>
      <c r="F219" s="446">
        <f t="shared" ref="F219:P220" si="216">F220</f>
        <v>39000</v>
      </c>
      <c r="G219" s="446">
        <f t="shared" si="216"/>
        <v>0</v>
      </c>
      <c r="H219" s="446">
        <f t="shared" si="216"/>
        <v>0</v>
      </c>
      <c r="I219" s="446">
        <f t="shared" si="216"/>
        <v>0</v>
      </c>
      <c r="J219" s="446">
        <f t="shared" si="216"/>
        <v>0</v>
      </c>
      <c r="K219" s="446">
        <f t="shared" si="216"/>
        <v>0</v>
      </c>
      <c r="L219" s="446">
        <f t="shared" si="216"/>
        <v>0</v>
      </c>
      <c r="M219" s="446">
        <f t="shared" si="216"/>
        <v>0</v>
      </c>
      <c r="N219" s="446">
        <f t="shared" si="216"/>
        <v>0</v>
      </c>
      <c r="O219" s="446">
        <f t="shared" si="216"/>
        <v>0</v>
      </c>
      <c r="P219" s="446">
        <f t="shared" si="216"/>
        <v>39000</v>
      </c>
      <c r="R219" s="292"/>
    </row>
    <row r="220" spans="1:18" ht="93" thickTop="1" thickBot="1" x14ac:dyDescent="0.25">
      <c r="A220" s="578" t="s">
        <v>830</v>
      </c>
      <c r="B220" s="578" t="s">
        <v>789</v>
      </c>
      <c r="C220" s="578"/>
      <c r="D220" s="489" t="s">
        <v>790</v>
      </c>
      <c r="E220" s="490">
        <f>E221</f>
        <v>39000</v>
      </c>
      <c r="F220" s="490">
        <f t="shared" si="216"/>
        <v>39000</v>
      </c>
      <c r="G220" s="490">
        <f t="shared" si="216"/>
        <v>0</v>
      </c>
      <c r="H220" s="490">
        <f t="shared" si="216"/>
        <v>0</v>
      </c>
      <c r="I220" s="490">
        <f t="shared" si="216"/>
        <v>0</v>
      </c>
      <c r="J220" s="490">
        <f t="shared" si="216"/>
        <v>0</v>
      </c>
      <c r="K220" s="490">
        <f t="shared" si="216"/>
        <v>0</v>
      </c>
      <c r="L220" s="490">
        <f t="shared" si="216"/>
        <v>0</v>
      </c>
      <c r="M220" s="490">
        <f t="shared" si="216"/>
        <v>0</v>
      </c>
      <c r="N220" s="490">
        <f t="shared" si="216"/>
        <v>0</v>
      </c>
      <c r="O220" s="490">
        <f t="shared" si="216"/>
        <v>0</v>
      </c>
      <c r="P220" s="490">
        <f t="shared" si="216"/>
        <v>39000</v>
      </c>
      <c r="R220" s="292"/>
    </row>
    <row r="221" spans="1:18" ht="276" thickTop="1" thickBot="1" x14ac:dyDescent="0.25">
      <c r="A221" s="579" t="s">
        <v>356</v>
      </c>
      <c r="B221" s="579" t="s">
        <v>355</v>
      </c>
      <c r="C221" s="579" t="s">
        <v>354</v>
      </c>
      <c r="D221" s="533" t="s">
        <v>681</v>
      </c>
      <c r="E221" s="446">
        <f>F221</f>
        <v>39000</v>
      </c>
      <c r="F221" s="447">
        <v>39000</v>
      </c>
      <c r="G221" s="444"/>
      <c r="H221" s="444"/>
      <c r="I221" s="444"/>
      <c r="J221" s="530">
        <f t="shared" si="207"/>
        <v>0</v>
      </c>
      <c r="K221" s="444"/>
      <c r="L221" s="444"/>
      <c r="M221" s="444"/>
      <c r="N221" s="444"/>
      <c r="O221" s="535">
        <f t="shared" si="208"/>
        <v>0</v>
      </c>
      <c r="P221" s="530">
        <f t="shared" si="210"/>
        <v>39000</v>
      </c>
      <c r="R221" s="297"/>
    </row>
    <row r="222" spans="1:18" ht="47.25" thickTop="1" thickBot="1" x14ac:dyDescent="0.25">
      <c r="A222" s="151" t="s">
        <v>831</v>
      </c>
      <c r="B222" s="466" t="s">
        <v>792</v>
      </c>
      <c r="C222" s="466"/>
      <c r="D222" s="466" t="s">
        <v>793</v>
      </c>
      <c r="E222" s="446">
        <f>E226+E223</f>
        <v>0</v>
      </c>
      <c r="F222" s="446">
        <f t="shared" ref="F222:P222" si="217">F226+F223</f>
        <v>0</v>
      </c>
      <c r="G222" s="446">
        <f t="shared" si="217"/>
        <v>0</v>
      </c>
      <c r="H222" s="446">
        <f t="shared" si="217"/>
        <v>0</v>
      </c>
      <c r="I222" s="446">
        <f t="shared" si="217"/>
        <v>0</v>
      </c>
      <c r="J222" s="446">
        <f t="shared" si="217"/>
        <v>300000</v>
      </c>
      <c r="K222" s="446">
        <f t="shared" si="217"/>
        <v>300000</v>
      </c>
      <c r="L222" s="446">
        <f t="shared" si="217"/>
        <v>0</v>
      </c>
      <c r="M222" s="446">
        <f t="shared" si="217"/>
        <v>0</v>
      </c>
      <c r="N222" s="446">
        <f t="shared" si="217"/>
        <v>0</v>
      </c>
      <c r="O222" s="446">
        <f t="shared" si="217"/>
        <v>300000</v>
      </c>
      <c r="P222" s="446">
        <f t="shared" si="217"/>
        <v>300000</v>
      </c>
      <c r="R222" s="297"/>
    </row>
    <row r="223" spans="1:18" ht="91.5" hidden="1" thickTop="1" thickBot="1" x14ac:dyDescent="0.25">
      <c r="A223" s="467" t="s">
        <v>1203</v>
      </c>
      <c r="B223" s="467" t="s">
        <v>848</v>
      </c>
      <c r="C223" s="467"/>
      <c r="D223" s="467" t="s">
        <v>849</v>
      </c>
      <c r="E223" s="468">
        <f>E224</f>
        <v>0</v>
      </c>
      <c r="F223" s="468">
        <f t="shared" ref="F223:P224" si="218">F224</f>
        <v>0</v>
      </c>
      <c r="G223" s="468">
        <f t="shared" si="218"/>
        <v>0</v>
      </c>
      <c r="H223" s="468">
        <f t="shared" si="218"/>
        <v>0</v>
      </c>
      <c r="I223" s="468">
        <f t="shared" si="218"/>
        <v>0</v>
      </c>
      <c r="J223" s="468">
        <f t="shared" si="218"/>
        <v>0</v>
      </c>
      <c r="K223" s="468">
        <f t="shared" si="218"/>
        <v>0</v>
      </c>
      <c r="L223" s="468">
        <f t="shared" si="218"/>
        <v>0</v>
      </c>
      <c r="M223" s="468">
        <f t="shared" si="218"/>
        <v>0</v>
      </c>
      <c r="N223" s="468">
        <f t="shared" si="218"/>
        <v>0</v>
      </c>
      <c r="O223" s="468">
        <f t="shared" si="218"/>
        <v>0</v>
      </c>
      <c r="P223" s="468">
        <f t="shared" si="218"/>
        <v>0</v>
      </c>
      <c r="R223" s="297"/>
    </row>
    <row r="224" spans="1:18" ht="145.5" hidden="1" thickTop="1" thickBot="1" x14ac:dyDescent="0.25">
      <c r="A224" s="489" t="s">
        <v>1204</v>
      </c>
      <c r="B224" s="489" t="s">
        <v>867</v>
      </c>
      <c r="C224" s="489"/>
      <c r="D224" s="489" t="s">
        <v>1194</v>
      </c>
      <c r="E224" s="472">
        <f>E225</f>
        <v>0</v>
      </c>
      <c r="F224" s="472">
        <f t="shared" si="218"/>
        <v>0</v>
      </c>
      <c r="G224" s="472">
        <f t="shared" si="218"/>
        <v>0</v>
      </c>
      <c r="H224" s="472">
        <f t="shared" si="218"/>
        <v>0</v>
      </c>
      <c r="I224" s="472">
        <f t="shared" si="218"/>
        <v>0</v>
      </c>
      <c r="J224" s="472">
        <f t="shared" si="218"/>
        <v>0</v>
      </c>
      <c r="K224" s="472">
        <f t="shared" si="218"/>
        <v>0</v>
      </c>
      <c r="L224" s="472">
        <f t="shared" si="218"/>
        <v>0</v>
      </c>
      <c r="M224" s="472">
        <f t="shared" si="218"/>
        <v>0</v>
      </c>
      <c r="N224" s="472">
        <f t="shared" si="218"/>
        <v>0</v>
      </c>
      <c r="O224" s="472">
        <f t="shared" si="218"/>
        <v>0</v>
      </c>
      <c r="P224" s="472">
        <f t="shared" si="218"/>
        <v>0</v>
      </c>
      <c r="R224" s="297"/>
    </row>
    <row r="225" spans="1:18" ht="145.5" hidden="1" thickTop="1" thickBot="1" x14ac:dyDescent="0.25">
      <c r="A225" s="533" t="s">
        <v>1205</v>
      </c>
      <c r="B225" s="533" t="s">
        <v>326</v>
      </c>
      <c r="C225" s="533" t="s">
        <v>317</v>
      </c>
      <c r="D225" s="533" t="s">
        <v>667</v>
      </c>
      <c r="E225" s="530">
        <f t="shared" ref="E225" si="219">F225</f>
        <v>0</v>
      </c>
      <c r="F225" s="444"/>
      <c r="G225" s="444"/>
      <c r="H225" s="444"/>
      <c r="I225" s="444"/>
      <c r="J225" s="530">
        <f t="shared" ref="J225" si="220">L225+O225</f>
        <v>0</v>
      </c>
      <c r="K225" s="444">
        <v>0</v>
      </c>
      <c r="L225" s="444"/>
      <c r="M225" s="444"/>
      <c r="N225" s="444"/>
      <c r="O225" s="535">
        <f t="shared" ref="O225" si="221">K225</f>
        <v>0</v>
      </c>
      <c r="P225" s="530">
        <f>E225+J225</f>
        <v>0</v>
      </c>
      <c r="R225" s="297"/>
    </row>
    <row r="226" spans="1:18" ht="136.5" thickTop="1" thickBot="1" x14ac:dyDescent="0.25">
      <c r="A226" s="467" t="s">
        <v>832</v>
      </c>
      <c r="B226" s="467" t="s">
        <v>734</v>
      </c>
      <c r="C226" s="467"/>
      <c r="D226" s="467" t="s">
        <v>732</v>
      </c>
      <c r="E226" s="524">
        <f>E227</f>
        <v>0</v>
      </c>
      <c r="F226" s="524">
        <f t="shared" ref="F226:P226" si="222">F227</f>
        <v>0</v>
      </c>
      <c r="G226" s="524">
        <f t="shared" si="222"/>
        <v>0</v>
      </c>
      <c r="H226" s="524">
        <f t="shared" si="222"/>
        <v>0</v>
      </c>
      <c r="I226" s="524">
        <f t="shared" si="222"/>
        <v>0</v>
      </c>
      <c r="J226" s="524">
        <f t="shared" si="222"/>
        <v>300000</v>
      </c>
      <c r="K226" s="524">
        <f t="shared" si="222"/>
        <v>300000</v>
      </c>
      <c r="L226" s="524">
        <f t="shared" si="222"/>
        <v>0</v>
      </c>
      <c r="M226" s="524">
        <f t="shared" si="222"/>
        <v>0</v>
      </c>
      <c r="N226" s="524">
        <f t="shared" si="222"/>
        <v>0</v>
      </c>
      <c r="O226" s="524">
        <f t="shared" si="222"/>
        <v>300000</v>
      </c>
      <c r="P226" s="524">
        <f t="shared" si="222"/>
        <v>300000</v>
      </c>
      <c r="R226" s="297"/>
    </row>
    <row r="227" spans="1:18" ht="93" thickTop="1" thickBot="1" x14ac:dyDescent="0.25">
      <c r="A227" s="533" t="s">
        <v>642</v>
      </c>
      <c r="B227" s="533" t="s">
        <v>209</v>
      </c>
      <c r="C227" s="533" t="s">
        <v>178</v>
      </c>
      <c r="D227" s="533" t="s">
        <v>36</v>
      </c>
      <c r="E227" s="530">
        <f t="shared" ref="E227" si="223">F227</f>
        <v>0</v>
      </c>
      <c r="F227" s="444"/>
      <c r="G227" s="444"/>
      <c r="H227" s="444"/>
      <c r="I227" s="444"/>
      <c r="J227" s="530">
        <f t="shared" si="207"/>
        <v>300000</v>
      </c>
      <c r="K227" s="444">
        <f>(300000)</f>
        <v>300000</v>
      </c>
      <c r="L227" s="444"/>
      <c r="M227" s="444"/>
      <c r="N227" s="444"/>
      <c r="O227" s="535">
        <f t="shared" si="208"/>
        <v>300000</v>
      </c>
      <c r="P227" s="530">
        <f t="shared" si="210"/>
        <v>300000</v>
      </c>
      <c r="R227" s="292"/>
    </row>
    <row r="228" spans="1:18" ht="47.25" hidden="1" thickTop="1" thickBot="1" x14ac:dyDescent="0.25">
      <c r="A228" s="250" t="s">
        <v>1213</v>
      </c>
      <c r="B228" s="250" t="s">
        <v>745</v>
      </c>
      <c r="C228" s="250"/>
      <c r="D228" s="250" t="s">
        <v>746</v>
      </c>
      <c r="E228" s="256">
        <f>E229</f>
        <v>0</v>
      </c>
      <c r="F228" s="256">
        <f t="shared" ref="F228:P229" si="224">F229</f>
        <v>0</v>
      </c>
      <c r="G228" s="256">
        <f t="shared" si="224"/>
        <v>0</v>
      </c>
      <c r="H228" s="256">
        <f t="shared" si="224"/>
        <v>0</v>
      </c>
      <c r="I228" s="256">
        <f t="shared" si="224"/>
        <v>0</v>
      </c>
      <c r="J228" s="256">
        <f t="shared" si="224"/>
        <v>0</v>
      </c>
      <c r="K228" s="256">
        <f t="shared" si="224"/>
        <v>0</v>
      </c>
      <c r="L228" s="256">
        <f t="shared" si="224"/>
        <v>0</v>
      </c>
      <c r="M228" s="256">
        <f t="shared" si="224"/>
        <v>0</v>
      </c>
      <c r="N228" s="256">
        <f t="shared" si="224"/>
        <v>0</v>
      </c>
      <c r="O228" s="256">
        <f t="shared" si="224"/>
        <v>0</v>
      </c>
      <c r="P228" s="256">
        <f t="shared" si="224"/>
        <v>0</v>
      </c>
      <c r="R228" s="292"/>
    </row>
    <row r="229" spans="1:18" ht="271.5" hidden="1" thickTop="1" thickBot="1" x14ac:dyDescent="0.25">
      <c r="A229" s="253" t="s">
        <v>1214</v>
      </c>
      <c r="B229" s="253" t="s">
        <v>748</v>
      </c>
      <c r="C229" s="253"/>
      <c r="D229" s="253" t="s">
        <v>749</v>
      </c>
      <c r="E229" s="270">
        <f>E230</f>
        <v>0</v>
      </c>
      <c r="F229" s="270">
        <f t="shared" si="224"/>
        <v>0</v>
      </c>
      <c r="G229" s="270">
        <f t="shared" si="224"/>
        <v>0</v>
      </c>
      <c r="H229" s="270">
        <f t="shared" si="224"/>
        <v>0</v>
      </c>
      <c r="I229" s="270">
        <f t="shared" si="224"/>
        <v>0</v>
      </c>
      <c r="J229" s="270">
        <f t="shared" si="224"/>
        <v>0</v>
      </c>
      <c r="K229" s="270">
        <f t="shared" si="224"/>
        <v>0</v>
      </c>
      <c r="L229" s="270">
        <f t="shared" si="224"/>
        <v>0</v>
      </c>
      <c r="M229" s="270">
        <f t="shared" si="224"/>
        <v>0</v>
      </c>
      <c r="N229" s="270">
        <f t="shared" si="224"/>
        <v>0</v>
      </c>
      <c r="O229" s="270">
        <f t="shared" si="224"/>
        <v>0</v>
      </c>
      <c r="P229" s="270">
        <f t="shared" si="224"/>
        <v>0</v>
      </c>
      <c r="R229" s="292"/>
    </row>
    <row r="230" spans="1:18" ht="93" hidden="1" thickTop="1" thickBot="1" x14ac:dyDescent="0.25">
      <c r="A230" s="259" t="s">
        <v>1215</v>
      </c>
      <c r="B230" s="259" t="s">
        <v>377</v>
      </c>
      <c r="C230" s="259" t="s">
        <v>45</v>
      </c>
      <c r="D230" s="259" t="s">
        <v>378</v>
      </c>
      <c r="E230" s="256">
        <f t="shared" ref="E230" si="225">F230</f>
        <v>0</v>
      </c>
      <c r="F230" s="278">
        <v>0</v>
      </c>
      <c r="G230" s="278"/>
      <c r="H230" s="278"/>
      <c r="I230" s="278"/>
      <c r="J230" s="256">
        <f>L230+O230</f>
        <v>0</v>
      </c>
      <c r="K230" s="278">
        <v>0</v>
      </c>
      <c r="L230" s="278"/>
      <c r="M230" s="278"/>
      <c r="N230" s="278"/>
      <c r="O230" s="262">
        <f>K230</f>
        <v>0</v>
      </c>
      <c r="P230" s="256">
        <f>E230+J230</f>
        <v>0</v>
      </c>
      <c r="R230" s="292"/>
    </row>
    <row r="231" spans="1:18" ht="181.5" thickTop="1" thickBot="1" x14ac:dyDescent="0.25">
      <c r="A231" s="828" t="s">
        <v>166</v>
      </c>
      <c r="B231" s="828"/>
      <c r="C231" s="828"/>
      <c r="D231" s="829" t="s">
        <v>587</v>
      </c>
      <c r="E231" s="830">
        <f>E232</f>
        <v>26557553</v>
      </c>
      <c r="F231" s="831">
        <f t="shared" ref="F231:G231" si="226">F232</f>
        <v>26557553</v>
      </c>
      <c r="G231" s="831">
        <f t="shared" si="226"/>
        <v>6530800</v>
      </c>
      <c r="H231" s="831">
        <f>H232</f>
        <v>165444</v>
      </c>
      <c r="I231" s="831">
        <f t="shared" ref="I231" si="227">I232</f>
        <v>0</v>
      </c>
      <c r="J231" s="830">
        <f>J232</f>
        <v>14949326</v>
      </c>
      <c r="K231" s="831">
        <f>K232</f>
        <v>14065326</v>
      </c>
      <c r="L231" s="831">
        <f>L232</f>
        <v>450000</v>
      </c>
      <c r="M231" s="831">
        <f t="shared" ref="M231" si="228">M232</f>
        <v>0</v>
      </c>
      <c r="N231" s="831">
        <f>N232</f>
        <v>0</v>
      </c>
      <c r="O231" s="830">
        <f>O232</f>
        <v>14499326</v>
      </c>
      <c r="P231" s="831">
        <f>P232</f>
        <v>41506879</v>
      </c>
      <c r="R231" s="297"/>
    </row>
    <row r="232" spans="1:18" ht="181.5" thickTop="1" thickBot="1" x14ac:dyDescent="0.25">
      <c r="A232" s="832" t="s">
        <v>167</v>
      </c>
      <c r="B232" s="832"/>
      <c r="C232" s="832"/>
      <c r="D232" s="833" t="s">
        <v>588</v>
      </c>
      <c r="E232" s="834">
        <f>E233+E237+E244</f>
        <v>26557553</v>
      </c>
      <c r="F232" s="834">
        <f t="shared" ref="F232:I232" si="229">F233+F237+F244</f>
        <v>26557553</v>
      </c>
      <c r="G232" s="834">
        <f t="shared" si="229"/>
        <v>6530800</v>
      </c>
      <c r="H232" s="834">
        <f t="shared" si="229"/>
        <v>165444</v>
      </c>
      <c r="I232" s="834">
        <f t="shared" si="229"/>
        <v>0</v>
      </c>
      <c r="J232" s="834">
        <f t="shared" ref="J232:J251" si="230">L232+O232</f>
        <v>14949326</v>
      </c>
      <c r="K232" s="834">
        <f t="shared" ref="K232:O232" si="231">K233+K237+K244</f>
        <v>14065326</v>
      </c>
      <c r="L232" s="834">
        <f t="shared" si="231"/>
        <v>450000</v>
      </c>
      <c r="M232" s="834">
        <f t="shared" si="231"/>
        <v>0</v>
      </c>
      <c r="N232" s="834">
        <f t="shared" si="231"/>
        <v>0</v>
      </c>
      <c r="O232" s="834">
        <f t="shared" si="231"/>
        <v>14499326</v>
      </c>
      <c r="P232" s="834">
        <f>E232+J232</f>
        <v>41506879</v>
      </c>
      <c r="Q232" s="628" t="b">
        <f>P232=P234+P239+P240+P241+P243+P248+P251+P235+P249+P242+P246+P236</f>
        <v>1</v>
      </c>
      <c r="R232" s="307"/>
    </row>
    <row r="233" spans="1:18" ht="47.25" thickTop="1" thickBot="1" x14ac:dyDescent="0.25">
      <c r="A233" s="151" t="s">
        <v>833</v>
      </c>
      <c r="B233" s="151" t="s">
        <v>727</v>
      </c>
      <c r="C233" s="151"/>
      <c r="D233" s="151" t="s">
        <v>728</v>
      </c>
      <c r="E233" s="443">
        <f>SUM(E234:E236)</f>
        <v>8935308</v>
      </c>
      <c r="F233" s="485">
        <f t="shared" ref="F233:N233" si="232">SUM(F234:F236)</f>
        <v>8935308</v>
      </c>
      <c r="G233" s="485">
        <f t="shared" si="232"/>
        <v>6530800</v>
      </c>
      <c r="H233" s="485">
        <f t="shared" si="232"/>
        <v>165444</v>
      </c>
      <c r="I233" s="485">
        <f t="shared" si="232"/>
        <v>0</v>
      </c>
      <c r="J233" s="485">
        <f t="shared" si="232"/>
        <v>88000</v>
      </c>
      <c r="K233" s="485">
        <f t="shared" si="232"/>
        <v>88000</v>
      </c>
      <c r="L233" s="485">
        <f t="shared" si="232"/>
        <v>0</v>
      </c>
      <c r="M233" s="485">
        <f t="shared" si="232"/>
        <v>0</v>
      </c>
      <c r="N233" s="485">
        <f t="shared" si="232"/>
        <v>0</v>
      </c>
      <c r="O233" s="485">
        <f>SUM(O234:O236)</f>
        <v>88000</v>
      </c>
      <c r="P233" s="485">
        <f>SUM(P234:P236)</f>
        <v>9023308</v>
      </c>
      <c r="Q233" s="628"/>
      <c r="R233" s="307"/>
    </row>
    <row r="234" spans="1:18" ht="230.25" thickTop="1" thickBot="1" x14ac:dyDescent="0.25">
      <c r="A234" s="224" t="s">
        <v>437</v>
      </c>
      <c r="B234" s="224" t="s">
        <v>248</v>
      </c>
      <c r="C234" s="224" t="s">
        <v>246</v>
      </c>
      <c r="D234" s="224" t="s">
        <v>247</v>
      </c>
      <c r="E234" s="446">
        <f>F234</f>
        <v>8900478</v>
      </c>
      <c r="F234" s="447">
        <v>8900478</v>
      </c>
      <c r="G234" s="447">
        <v>6530800</v>
      </c>
      <c r="H234" s="447">
        <f>61273+5208+94487+4476</f>
        <v>165444</v>
      </c>
      <c r="I234" s="447"/>
      <c r="J234" s="443">
        <f t="shared" si="230"/>
        <v>88000</v>
      </c>
      <c r="K234" s="447">
        <v>88000</v>
      </c>
      <c r="L234" s="459"/>
      <c r="M234" s="459"/>
      <c r="N234" s="459"/>
      <c r="O234" s="445">
        <f t="shared" ref="O234:O248" si="233">K234</f>
        <v>88000</v>
      </c>
      <c r="P234" s="443">
        <f t="shared" ref="P234:P241" si="234">+J234+E234</f>
        <v>8988478</v>
      </c>
      <c r="R234" s="307"/>
    </row>
    <row r="235" spans="1:18" ht="184.5" thickTop="1" thickBot="1" x14ac:dyDescent="0.25">
      <c r="A235" s="448" t="s">
        <v>669</v>
      </c>
      <c r="B235" s="448" t="s">
        <v>376</v>
      </c>
      <c r="C235" s="448" t="s">
        <v>662</v>
      </c>
      <c r="D235" s="448" t="s">
        <v>663</v>
      </c>
      <c r="E235" s="449">
        <f t="shared" ref="E235:E236" si="235">F235</f>
        <v>12000</v>
      </c>
      <c r="F235" s="450">
        <v>12000</v>
      </c>
      <c r="G235" s="450"/>
      <c r="H235" s="450"/>
      <c r="I235" s="450"/>
      <c r="J235" s="449">
        <f t="shared" si="230"/>
        <v>0</v>
      </c>
      <c r="K235" s="450"/>
      <c r="L235" s="460"/>
      <c r="M235" s="461"/>
      <c r="N235" s="461"/>
      <c r="O235" s="462">
        <f t="shared" si="233"/>
        <v>0</v>
      </c>
      <c r="P235" s="449">
        <f>+J235+E235</f>
        <v>12000</v>
      </c>
      <c r="R235" s="307"/>
    </row>
    <row r="236" spans="1:18" ht="93" thickTop="1" thickBot="1" x14ac:dyDescent="0.25">
      <c r="A236" s="473" t="s">
        <v>1282</v>
      </c>
      <c r="B236" s="473" t="s">
        <v>45</v>
      </c>
      <c r="C236" s="473" t="s">
        <v>44</v>
      </c>
      <c r="D236" s="473" t="s">
        <v>260</v>
      </c>
      <c r="E236" s="475">
        <f t="shared" si="235"/>
        <v>22830</v>
      </c>
      <c r="F236" s="450">
        <v>22830</v>
      </c>
      <c r="G236" s="450"/>
      <c r="H236" s="450"/>
      <c r="I236" s="450"/>
      <c r="J236" s="475">
        <f t="shared" si="230"/>
        <v>0</v>
      </c>
      <c r="K236" s="450"/>
      <c r="L236" s="460"/>
      <c r="M236" s="461"/>
      <c r="N236" s="461"/>
      <c r="O236" s="462"/>
      <c r="P236" s="475">
        <f>+J236+E236</f>
        <v>22830</v>
      </c>
      <c r="R236" s="307"/>
    </row>
    <row r="237" spans="1:18" ht="91.5" thickTop="1" thickBot="1" x14ac:dyDescent="0.25">
      <c r="A237" s="151" t="s">
        <v>834</v>
      </c>
      <c r="B237" s="466" t="s">
        <v>786</v>
      </c>
      <c r="C237" s="466"/>
      <c r="D237" s="560" t="s">
        <v>787</v>
      </c>
      <c r="E237" s="475">
        <f>SUM(E238:E243)-E238</f>
        <v>16622245</v>
      </c>
      <c r="F237" s="475">
        <f t="shared" ref="F237:P237" si="236">SUM(F238:F243)-F238</f>
        <v>16622245</v>
      </c>
      <c r="G237" s="475">
        <f t="shared" si="236"/>
        <v>0</v>
      </c>
      <c r="H237" s="475">
        <f t="shared" si="236"/>
        <v>0</v>
      </c>
      <c r="I237" s="475">
        <f t="shared" si="236"/>
        <v>0</v>
      </c>
      <c r="J237" s="475">
        <f t="shared" si="236"/>
        <v>10008600</v>
      </c>
      <c r="K237" s="475">
        <f t="shared" si="236"/>
        <v>10008600</v>
      </c>
      <c r="L237" s="475">
        <f t="shared" si="236"/>
        <v>0</v>
      </c>
      <c r="M237" s="475">
        <f t="shared" si="236"/>
        <v>0</v>
      </c>
      <c r="N237" s="475">
        <f t="shared" si="236"/>
        <v>0</v>
      </c>
      <c r="O237" s="475">
        <f t="shared" si="236"/>
        <v>10008600</v>
      </c>
      <c r="P237" s="475">
        <f t="shared" si="236"/>
        <v>26630845</v>
      </c>
      <c r="R237" s="307"/>
    </row>
    <row r="238" spans="1:18" s="272" customFormat="1" ht="184.5" thickTop="1" thickBot="1" x14ac:dyDescent="0.25">
      <c r="A238" s="489" t="s">
        <v>835</v>
      </c>
      <c r="B238" s="470" t="s">
        <v>836</v>
      </c>
      <c r="C238" s="470"/>
      <c r="D238" s="470" t="s">
        <v>837</v>
      </c>
      <c r="E238" s="561">
        <f>SUM(E239:E241)</f>
        <v>3200000</v>
      </c>
      <c r="F238" s="561">
        <f t="shared" ref="F238:P238" si="237">SUM(F239:F241)</f>
        <v>3200000</v>
      </c>
      <c r="G238" s="561">
        <f t="shared" si="237"/>
        <v>0</v>
      </c>
      <c r="H238" s="561">
        <f t="shared" si="237"/>
        <v>0</v>
      </c>
      <c r="I238" s="561">
        <f t="shared" si="237"/>
        <v>0</v>
      </c>
      <c r="J238" s="561">
        <f t="shared" si="237"/>
        <v>10008600</v>
      </c>
      <c r="K238" s="561">
        <f t="shared" si="237"/>
        <v>10008600</v>
      </c>
      <c r="L238" s="561">
        <f t="shared" si="237"/>
        <v>0</v>
      </c>
      <c r="M238" s="561">
        <f t="shared" si="237"/>
        <v>0</v>
      </c>
      <c r="N238" s="561">
        <f t="shared" si="237"/>
        <v>0</v>
      </c>
      <c r="O238" s="561">
        <f t="shared" si="237"/>
        <v>10008600</v>
      </c>
      <c r="P238" s="561">
        <f t="shared" si="237"/>
        <v>13208600</v>
      </c>
      <c r="Q238" s="624"/>
      <c r="R238" s="307"/>
    </row>
    <row r="239" spans="1:18" ht="138.75" thickTop="1" thickBot="1" x14ac:dyDescent="0.25">
      <c r="A239" s="483" t="s">
        <v>292</v>
      </c>
      <c r="B239" s="483" t="s">
        <v>293</v>
      </c>
      <c r="C239" s="483" t="s">
        <v>354</v>
      </c>
      <c r="D239" s="483" t="s">
        <v>294</v>
      </c>
      <c r="E239" s="446">
        <f t="shared" ref="E239:E251" si="238">F239</f>
        <v>1500000</v>
      </c>
      <c r="F239" s="447">
        <v>1500000</v>
      </c>
      <c r="G239" s="447"/>
      <c r="H239" s="447"/>
      <c r="I239" s="447"/>
      <c r="J239" s="485">
        <f t="shared" si="230"/>
        <v>1508600</v>
      </c>
      <c r="K239" s="447">
        <f>(4508600)-3000000</f>
        <v>1508600</v>
      </c>
      <c r="L239" s="459"/>
      <c r="M239" s="459"/>
      <c r="N239" s="459"/>
      <c r="O239" s="487">
        <f t="shared" si="233"/>
        <v>1508600</v>
      </c>
      <c r="P239" s="485">
        <f t="shared" si="234"/>
        <v>3008600</v>
      </c>
      <c r="R239" s="307"/>
    </row>
    <row r="240" spans="1:18" ht="138.75" thickTop="1" thickBot="1" x14ac:dyDescent="0.25">
      <c r="A240" s="483" t="s">
        <v>314</v>
      </c>
      <c r="B240" s="483" t="s">
        <v>315</v>
      </c>
      <c r="C240" s="483" t="s">
        <v>295</v>
      </c>
      <c r="D240" s="483" t="s">
        <v>316</v>
      </c>
      <c r="E240" s="446">
        <f t="shared" si="238"/>
        <v>0</v>
      </c>
      <c r="F240" s="447"/>
      <c r="G240" s="447"/>
      <c r="H240" s="447"/>
      <c r="I240" s="447"/>
      <c r="J240" s="485">
        <f t="shared" si="230"/>
        <v>3000000</v>
      </c>
      <c r="K240" s="447">
        <v>3000000</v>
      </c>
      <c r="L240" s="459"/>
      <c r="M240" s="459"/>
      <c r="N240" s="459"/>
      <c r="O240" s="487">
        <f t="shared" si="233"/>
        <v>3000000</v>
      </c>
      <c r="P240" s="485">
        <f t="shared" si="234"/>
        <v>3000000</v>
      </c>
      <c r="R240" s="307"/>
    </row>
    <row r="241" spans="1:18" ht="184.5" thickTop="1" thickBot="1" x14ac:dyDescent="0.25">
      <c r="A241" s="483" t="s">
        <v>296</v>
      </c>
      <c r="B241" s="483" t="s">
        <v>297</v>
      </c>
      <c r="C241" s="483" t="s">
        <v>295</v>
      </c>
      <c r="D241" s="483" t="s">
        <v>484</v>
      </c>
      <c r="E241" s="446">
        <f t="shared" si="238"/>
        <v>1700000</v>
      </c>
      <c r="F241" s="447">
        <f>16700000-15000000</f>
        <v>1700000</v>
      </c>
      <c r="G241" s="447"/>
      <c r="H241" s="447"/>
      <c r="I241" s="447"/>
      <c r="J241" s="485">
        <f t="shared" si="230"/>
        <v>5500000</v>
      </c>
      <c r="K241" s="447">
        <f>(18500000)-13000000</f>
        <v>5500000</v>
      </c>
      <c r="L241" s="459"/>
      <c r="M241" s="459"/>
      <c r="N241" s="459"/>
      <c r="O241" s="487">
        <f t="shared" si="233"/>
        <v>5500000</v>
      </c>
      <c r="P241" s="485">
        <f t="shared" si="234"/>
        <v>7200000</v>
      </c>
      <c r="R241" s="307"/>
    </row>
    <row r="242" spans="1:18" ht="230.25" thickTop="1" thickBot="1" x14ac:dyDescent="0.25">
      <c r="A242" s="755" t="s">
        <v>989</v>
      </c>
      <c r="B242" s="755" t="s">
        <v>310</v>
      </c>
      <c r="C242" s="755" t="s">
        <v>295</v>
      </c>
      <c r="D242" s="755" t="s">
        <v>311</v>
      </c>
      <c r="E242" s="446">
        <f t="shared" ref="E242" si="239">F242</f>
        <v>8422245</v>
      </c>
      <c r="F242" s="447">
        <v>8422245</v>
      </c>
      <c r="G242" s="447"/>
      <c r="H242" s="447"/>
      <c r="I242" s="447"/>
      <c r="J242" s="758">
        <f t="shared" ref="J242" si="240">L242+O242</f>
        <v>0</v>
      </c>
      <c r="K242" s="447"/>
      <c r="L242" s="459"/>
      <c r="M242" s="459"/>
      <c r="N242" s="459"/>
      <c r="O242" s="756">
        <f t="shared" ref="O242" si="241">K242</f>
        <v>0</v>
      </c>
      <c r="P242" s="758">
        <f t="shared" ref="P242" si="242">+J242+E242</f>
        <v>8422245</v>
      </c>
      <c r="R242" s="307"/>
    </row>
    <row r="243" spans="1:18" ht="93" thickTop="1" thickBot="1" x14ac:dyDescent="0.25">
      <c r="A243" s="800" t="s">
        <v>300</v>
      </c>
      <c r="B243" s="800" t="s">
        <v>301</v>
      </c>
      <c r="C243" s="800" t="s">
        <v>295</v>
      </c>
      <c r="D243" s="800" t="s">
        <v>302</v>
      </c>
      <c r="E243" s="446">
        <f t="shared" si="238"/>
        <v>5000000</v>
      </c>
      <c r="F243" s="447">
        <f>((0)+15000000)-10000000</f>
        <v>5000000</v>
      </c>
      <c r="G243" s="447"/>
      <c r="H243" s="447"/>
      <c r="I243" s="447"/>
      <c r="J243" s="798">
        <f t="shared" si="230"/>
        <v>0</v>
      </c>
      <c r="K243" s="444"/>
      <c r="L243" s="447"/>
      <c r="M243" s="447"/>
      <c r="N243" s="447"/>
      <c r="O243" s="801">
        <f t="shared" si="233"/>
        <v>0</v>
      </c>
      <c r="P243" s="798">
        <f t="shared" ref="P243" si="243">E243+J243</f>
        <v>5000000</v>
      </c>
      <c r="R243" s="297"/>
    </row>
    <row r="244" spans="1:18" ht="47.25" thickTop="1" thickBot="1" x14ac:dyDescent="0.25">
      <c r="A244" s="151" t="s">
        <v>838</v>
      </c>
      <c r="B244" s="151" t="s">
        <v>792</v>
      </c>
      <c r="C244" s="151"/>
      <c r="D244" s="151" t="s">
        <v>839</v>
      </c>
      <c r="E244" s="446">
        <f>E247+E245</f>
        <v>1000000</v>
      </c>
      <c r="F244" s="446">
        <f t="shared" ref="F244:P244" si="244">F247+F245</f>
        <v>1000000</v>
      </c>
      <c r="G244" s="446">
        <f t="shared" si="244"/>
        <v>0</v>
      </c>
      <c r="H244" s="446">
        <f t="shared" si="244"/>
        <v>0</v>
      </c>
      <c r="I244" s="446">
        <f t="shared" si="244"/>
        <v>0</v>
      </c>
      <c r="J244" s="446">
        <f t="shared" si="244"/>
        <v>4852726</v>
      </c>
      <c r="K244" s="446">
        <f t="shared" si="244"/>
        <v>3968726</v>
      </c>
      <c r="L244" s="446">
        <f t="shared" si="244"/>
        <v>450000</v>
      </c>
      <c r="M244" s="446">
        <f t="shared" si="244"/>
        <v>0</v>
      </c>
      <c r="N244" s="446">
        <f t="shared" si="244"/>
        <v>0</v>
      </c>
      <c r="O244" s="446">
        <f t="shared" si="244"/>
        <v>4402726</v>
      </c>
      <c r="P244" s="446">
        <f t="shared" si="244"/>
        <v>5852726</v>
      </c>
      <c r="R244" s="297"/>
    </row>
    <row r="245" spans="1:18" ht="91.5" thickTop="1" thickBot="1" x14ac:dyDescent="0.25">
      <c r="A245" s="467" t="s">
        <v>1286</v>
      </c>
      <c r="B245" s="467" t="s">
        <v>848</v>
      </c>
      <c r="C245" s="467"/>
      <c r="D245" s="467" t="s">
        <v>849</v>
      </c>
      <c r="E245" s="524">
        <f>E246</f>
        <v>0</v>
      </c>
      <c r="F245" s="524">
        <f t="shared" ref="F245:P245" si="245">F246</f>
        <v>0</v>
      </c>
      <c r="G245" s="524">
        <f t="shared" si="245"/>
        <v>0</v>
      </c>
      <c r="H245" s="524">
        <f t="shared" si="245"/>
        <v>0</v>
      </c>
      <c r="I245" s="524">
        <f t="shared" si="245"/>
        <v>0</v>
      </c>
      <c r="J245" s="524">
        <f t="shared" si="245"/>
        <v>1968726</v>
      </c>
      <c r="K245" s="524">
        <f t="shared" si="245"/>
        <v>1968726</v>
      </c>
      <c r="L245" s="524">
        <f t="shared" si="245"/>
        <v>0</v>
      </c>
      <c r="M245" s="524">
        <f t="shared" si="245"/>
        <v>0</v>
      </c>
      <c r="N245" s="524">
        <f t="shared" si="245"/>
        <v>0</v>
      </c>
      <c r="O245" s="524">
        <f t="shared" si="245"/>
        <v>1968726</v>
      </c>
      <c r="P245" s="524">
        <f t="shared" si="245"/>
        <v>1968726</v>
      </c>
      <c r="R245" s="297"/>
    </row>
    <row r="246" spans="1:18" ht="129.75" customHeight="1" thickTop="1" thickBot="1" x14ac:dyDescent="0.25">
      <c r="A246" s="483" t="s">
        <v>1287</v>
      </c>
      <c r="B246" s="483" t="s">
        <v>318</v>
      </c>
      <c r="C246" s="483" t="s">
        <v>317</v>
      </c>
      <c r="D246" s="483" t="s">
        <v>664</v>
      </c>
      <c r="E246" s="446">
        <f t="shared" ref="E246" si="246">F246</f>
        <v>0</v>
      </c>
      <c r="F246" s="447"/>
      <c r="G246" s="447"/>
      <c r="H246" s="447"/>
      <c r="I246" s="447"/>
      <c r="J246" s="485">
        <f>L246+O246</f>
        <v>1968726</v>
      </c>
      <c r="K246" s="444">
        <v>1968726</v>
      </c>
      <c r="L246" s="447"/>
      <c r="M246" s="447"/>
      <c r="N246" s="447"/>
      <c r="O246" s="487">
        <f>K246</f>
        <v>1968726</v>
      </c>
      <c r="P246" s="485">
        <f t="shared" ref="P246" si="247">E246+J246</f>
        <v>1968726</v>
      </c>
      <c r="R246" s="297"/>
    </row>
    <row r="247" spans="1:18" ht="136.5" thickTop="1" thickBot="1" x14ac:dyDescent="0.25">
      <c r="A247" s="467" t="s">
        <v>840</v>
      </c>
      <c r="B247" s="467" t="s">
        <v>734</v>
      </c>
      <c r="C247" s="467"/>
      <c r="D247" s="467" t="s">
        <v>732</v>
      </c>
      <c r="E247" s="524">
        <f t="shared" ref="E247:P247" si="248">E248+E250+E249</f>
        <v>1000000</v>
      </c>
      <c r="F247" s="524">
        <f t="shared" si="248"/>
        <v>1000000</v>
      </c>
      <c r="G247" s="524">
        <f t="shared" si="248"/>
        <v>0</v>
      </c>
      <c r="H247" s="524">
        <f t="shared" si="248"/>
        <v>0</v>
      </c>
      <c r="I247" s="524">
        <f t="shared" si="248"/>
        <v>0</v>
      </c>
      <c r="J247" s="524">
        <f t="shared" si="248"/>
        <v>2884000</v>
      </c>
      <c r="K247" s="524">
        <f t="shared" si="248"/>
        <v>2000000</v>
      </c>
      <c r="L247" s="524">
        <f t="shared" si="248"/>
        <v>450000</v>
      </c>
      <c r="M247" s="524">
        <f t="shared" si="248"/>
        <v>0</v>
      </c>
      <c r="N247" s="524">
        <f t="shared" si="248"/>
        <v>0</v>
      </c>
      <c r="O247" s="524">
        <f t="shared" si="248"/>
        <v>2434000</v>
      </c>
      <c r="P247" s="524">
        <f t="shared" si="248"/>
        <v>3884000</v>
      </c>
      <c r="R247" s="297"/>
    </row>
    <row r="248" spans="1:18" ht="48" thickTop="1" thickBot="1" x14ac:dyDescent="0.25">
      <c r="A248" s="483" t="s">
        <v>309</v>
      </c>
      <c r="B248" s="483" t="s">
        <v>224</v>
      </c>
      <c r="C248" s="483" t="s">
        <v>225</v>
      </c>
      <c r="D248" s="483" t="s">
        <v>43</v>
      </c>
      <c r="E248" s="446">
        <f t="shared" si="238"/>
        <v>1000000</v>
      </c>
      <c r="F248" s="447">
        <v>1000000</v>
      </c>
      <c r="G248" s="447"/>
      <c r="H248" s="447"/>
      <c r="I248" s="447"/>
      <c r="J248" s="485">
        <f t="shared" si="230"/>
        <v>2000000</v>
      </c>
      <c r="K248" s="444">
        <v>2000000</v>
      </c>
      <c r="L248" s="447"/>
      <c r="M248" s="447"/>
      <c r="N248" s="447"/>
      <c r="O248" s="487">
        <f t="shared" si="233"/>
        <v>2000000</v>
      </c>
      <c r="P248" s="485">
        <f>E248+J248</f>
        <v>3000000</v>
      </c>
      <c r="R248" s="307"/>
    </row>
    <row r="249" spans="1:18" ht="93" hidden="1" thickTop="1" thickBot="1" x14ac:dyDescent="0.25">
      <c r="A249" s="259" t="s">
        <v>976</v>
      </c>
      <c r="B249" s="259" t="s">
        <v>209</v>
      </c>
      <c r="C249" s="259" t="s">
        <v>178</v>
      </c>
      <c r="D249" s="259" t="s">
        <v>36</v>
      </c>
      <c r="E249" s="305">
        <f t="shared" ref="E249" si="249">F249</f>
        <v>0</v>
      </c>
      <c r="F249" s="260"/>
      <c r="G249" s="260"/>
      <c r="H249" s="260"/>
      <c r="I249" s="260"/>
      <c r="J249" s="256">
        <f t="shared" ref="J249" si="250">L249+O249</f>
        <v>0</v>
      </c>
      <c r="K249" s="278"/>
      <c r="L249" s="260"/>
      <c r="M249" s="260"/>
      <c r="N249" s="260"/>
      <c r="O249" s="262">
        <f t="shared" ref="O249" si="251">K249</f>
        <v>0</v>
      </c>
      <c r="P249" s="256">
        <f>E249+J249</f>
        <v>0</v>
      </c>
      <c r="R249" s="307"/>
    </row>
    <row r="250" spans="1:18" ht="48" thickTop="1" thickBot="1" x14ac:dyDescent="0.25">
      <c r="A250" s="489" t="s">
        <v>841</v>
      </c>
      <c r="B250" s="489" t="s">
        <v>737</v>
      </c>
      <c r="C250" s="489"/>
      <c r="D250" s="489" t="s">
        <v>842</v>
      </c>
      <c r="E250" s="490">
        <f>E251</f>
        <v>0</v>
      </c>
      <c r="F250" s="490">
        <f t="shared" ref="F250:P250" si="252">F251</f>
        <v>0</v>
      </c>
      <c r="G250" s="490">
        <f t="shared" si="252"/>
        <v>0</v>
      </c>
      <c r="H250" s="490">
        <f t="shared" si="252"/>
        <v>0</v>
      </c>
      <c r="I250" s="490">
        <f t="shared" si="252"/>
        <v>0</v>
      </c>
      <c r="J250" s="490">
        <f t="shared" si="252"/>
        <v>884000</v>
      </c>
      <c r="K250" s="490">
        <f t="shared" si="252"/>
        <v>0</v>
      </c>
      <c r="L250" s="490">
        <f t="shared" si="252"/>
        <v>450000</v>
      </c>
      <c r="M250" s="490">
        <f t="shared" si="252"/>
        <v>0</v>
      </c>
      <c r="N250" s="490">
        <f t="shared" si="252"/>
        <v>0</v>
      </c>
      <c r="O250" s="490">
        <f t="shared" si="252"/>
        <v>434000</v>
      </c>
      <c r="P250" s="490">
        <f t="shared" si="252"/>
        <v>884000</v>
      </c>
      <c r="R250" s="297"/>
    </row>
    <row r="251" spans="1:18" ht="409.6" thickTop="1" thickBot="1" x14ac:dyDescent="0.7">
      <c r="A251" s="920" t="s">
        <v>440</v>
      </c>
      <c r="B251" s="920" t="s">
        <v>352</v>
      </c>
      <c r="C251" s="920" t="s">
        <v>178</v>
      </c>
      <c r="D251" s="484" t="s">
        <v>457</v>
      </c>
      <c r="E251" s="927">
        <f t="shared" si="238"/>
        <v>0</v>
      </c>
      <c r="F251" s="925"/>
      <c r="G251" s="925"/>
      <c r="H251" s="925"/>
      <c r="I251" s="925"/>
      <c r="J251" s="927">
        <f t="shared" si="230"/>
        <v>884000</v>
      </c>
      <c r="K251" s="925"/>
      <c r="L251" s="925">
        <f>0+450000</f>
        <v>450000</v>
      </c>
      <c r="M251" s="925"/>
      <c r="N251" s="925"/>
      <c r="O251" s="923">
        <f>(K251+884000)-450000</f>
        <v>434000</v>
      </c>
      <c r="P251" s="924">
        <f>E251+J251</f>
        <v>884000</v>
      </c>
      <c r="R251" s="297"/>
    </row>
    <row r="252" spans="1:18" ht="184.5" thickTop="1" thickBot="1" x14ac:dyDescent="0.25">
      <c r="A252" s="920"/>
      <c r="B252" s="920"/>
      <c r="C252" s="920"/>
      <c r="D252" s="488" t="s">
        <v>458</v>
      </c>
      <c r="E252" s="927"/>
      <c r="F252" s="925"/>
      <c r="G252" s="925"/>
      <c r="H252" s="925"/>
      <c r="I252" s="925"/>
      <c r="J252" s="927"/>
      <c r="K252" s="925"/>
      <c r="L252" s="925"/>
      <c r="M252" s="925"/>
      <c r="N252" s="925"/>
      <c r="O252" s="923"/>
      <c r="P252" s="924"/>
      <c r="R252" s="297"/>
    </row>
    <row r="253" spans="1:18" ht="181.5" thickTop="1" thickBot="1" x14ac:dyDescent="0.25">
      <c r="A253" s="828" t="s">
        <v>566</v>
      </c>
      <c r="B253" s="828"/>
      <c r="C253" s="828"/>
      <c r="D253" s="829" t="s">
        <v>585</v>
      </c>
      <c r="E253" s="830">
        <f>E254</f>
        <v>433379457</v>
      </c>
      <c r="F253" s="831">
        <f t="shared" ref="F253:G253" si="253">F254</f>
        <v>433379457</v>
      </c>
      <c r="G253" s="831">
        <f t="shared" si="253"/>
        <v>8506105</v>
      </c>
      <c r="H253" s="831">
        <f>H254</f>
        <v>254069</v>
      </c>
      <c r="I253" s="831">
        <f t="shared" ref="I253" si="254">I254</f>
        <v>0</v>
      </c>
      <c r="J253" s="830">
        <f>J254</f>
        <v>43403993.590000004</v>
      </c>
      <c r="K253" s="831">
        <f>K254</f>
        <v>42103993.590000004</v>
      </c>
      <c r="L253" s="831">
        <f>L254</f>
        <v>0</v>
      </c>
      <c r="M253" s="831">
        <f t="shared" ref="M253" si="255">M254</f>
        <v>0</v>
      </c>
      <c r="N253" s="831">
        <f>N254</f>
        <v>0</v>
      </c>
      <c r="O253" s="830">
        <f>O254</f>
        <v>43403993.590000004</v>
      </c>
      <c r="P253" s="831">
        <f>P254</f>
        <v>476783450.59000003</v>
      </c>
      <c r="R253" s="297"/>
    </row>
    <row r="254" spans="1:18" ht="181.5" thickTop="1" thickBot="1" x14ac:dyDescent="0.25">
      <c r="A254" s="832" t="s">
        <v>567</v>
      </c>
      <c r="B254" s="832"/>
      <c r="C254" s="832"/>
      <c r="D254" s="833" t="s">
        <v>586</v>
      </c>
      <c r="E254" s="834">
        <f>E255+E259+E266+E279</f>
        <v>433379457</v>
      </c>
      <c r="F254" s="834">
        <f t="shared" ref="F254:I254" si="256">F255+F259+F266+F279</f>
        <v>433379457</v>
      </c>
      <c r="G254" s="834">
        <f t="shared" si="256"/>
        <v>8506105</v>
      </c>
      <c r="H254" s="834">
        <f t="shared" si="256"/>
        <v>254069</v>
      </c>
      <c r="I254" s="834">
        <f t="shared" si="256"/>
        <v>0</v>
      </c>
      <c r="J254" s="834">
        <f t="shared" ref="J254:J276" si="257">L254+O254</f>
        <v>43403993.590000004</v>
      </c>
      <c r="K254" s="834">
        <f t="shared" ref="K254:O254" si="258">K255+K259+K266+K279</f>
        <v>42103993.590000004</v>
      </c>
      <c r="L254" s="834">
        <f t="shared" si="258"/>
        <v>0</v>
      </c>
      <c r="M254" s="834">
        <f t="shared" si="258"/>
        <v>0</v>
      </c>
      <c r="N254" s="834">
        <f t="shared" si="258"/>
        <v>0</v>
      </c>
      <c r="O254" s="834">
        <f t="shared" si="258"/>
        <v>43403993.590000004</v>
      </c>
      <c r="P254" s="834">
        <f>E254+J254</f>
        <v>476783450.59000003</v>
      </c>
      <c r="Q254" s="628" t="b">
        <f>P254=P256+P257+P258+P261+P262+P263+P264+P268+P271+P273+P274+P276+P281+P282+P283+P265+P278</f>
        <v>1</v>
      </c>
      <c r="R254" s="291"/>
    </row>
    <row r="255" spans="1:18" ht="47.25" thickTop="1" thickBot="1" x14ac:dyDescent="0.25">
      <c r="A255" s="151" t="s">
        <v>843</v>
      </c>
      <c r="B255" s="151" t="s">
        <v>727</v>
      </c>
      <c r="C255" s="151"/>
      <c r="D255" s="151" t="s">
        <v>728</v>
      </c>
      <c r="E255" s="443">
        <f>SUM(E256:E258)</f>
        <v>9012595</v>
      </c>
      <c r="F255" s="443">
        <f t="shared" ref="F255:P255" si="259">SUM(F256:F258)</f>
        <v>9012595</v>
      </c>
      <c r="G255" s="443">
        <f t="shared" si="259"/>
        <v>6736115</v>
      </c>
      <c r="H255" s="443">
        <f t="shared" si="259"/>
        <v>189764</v>
      </c>
      <c r="I255" s="443">
        <f t="shared" si="259"/>
        <v>0</v>
      </c>
      <c r="J255" s="443">
        <f t="shared" si="259"/>
        <v>22000</v>
      </c>
      <c r="K255" s="443">
        <f t="shared" si="259"/>
        <v>22000</v>
      </c>
      <c r="L255" s="443">
        <f t="shared" si="259"/>
        <v>0</v>
      </c>
      <c r="M255" s="443">
        <f t="shared" si="259"/>
        <v>0</v>
      </c>
      <c r="N255" s="443">
        <f t="shared" si="259"/>
        <v>0</v>
      </c>
      <c r="O255" s="443">
        <f t="shared" si="259"/>
        <v>22000</v>
      </c>
      <c r="P255" s="443">
        <f t="shared" si="259"/>
        <v>9034595</v>
      </c>
      <c r="Q255" s="628"/>
      <c r="R255" s="291"/>
    </row>
    <row r="256" spans="1:18" ht="230.25" thickTop="1" thickBot="1" x14ac:dyDescent="0.25">
      <c r="A256" s="224" t="s">
        <v>568</v>
      </c>
      <c r="B256" s="224" t="s">
        <v>248</v>
      </c>
      <c r="C256" s="224" t="s">
        <v>246</v>
      </c>
      <c r="D256" s="224" t="s">
        <v>247</v>
      </c>
      <c r="E256" s="446">
        <f>F256</f>
        <v>8944984</v>
      </c>
      <c r="F256" s="447">
        <v>8944984</v>
      </c>
      <c r="G256" s="447">
        <v>6736115</v>
      </c>
      <c r="H256" s="447">
        <f>125302+7056+52006+5400</f>
        <v>189764</v>
      </c>
      <c r="I256" s="447"/>
      <c r="J256" s="443">
        <f t="shared" si="257"/>
        <v>22000</v>
      </c>
      <c r="K256" s="447">
        <v>22000</v>
      </c>
      <c r="L256" s="459"/>
      <c r="M256" s="459"/>
      <c r="N256" s="459"/>
      <c r="O256" s="445">
        <f t="shared" ref="O256:O274" si="260">K256</f>
        <v>22000</v>
      </c>
      <c r="P256" s="443">
        <f t="shared" ref="P256:P262" si="261">+J256+E256</f>
        <v>8966984</v>
      </c>
      <c r="R256" s="291"/>
    </row>
    <row r="257" spans="1:18" ht="184.5" thickTop="1" thickBot="1" x14ac:dyDescent="0.25">
      <c r="A257" s="473" t="s">
        <v>671</v>
      </c>
      <c r="B257" s="473" t="s">
        <v>376</v>
      </c>
      <c r="C257" s="473" t="s">
        <v>662</v>
      </c>
      <c r="D257" s="473" t="s">
        <v>663</v>
      </c>
      <c r="E257" s="446">
        <f>F257</f>
        <v>10000</v>
      </c>
      <c r="F257" s="447">
        <v>10000</v>
      </c>
      <c r="G257" s="447"/>
      <c r="H257" s="447"/>
      <c r="I257" s="447"/>
      <c r="J257" s="485">
        <f t="shared" ref="J257" si="262">L257+O257</f>
        <v>0</v>
      </c>
      <c r="K257" s="447"/>
      <c r="L257" s="459"/>
      <c r="M257" s="459"/>
      <c r="N257" s="459"/>
      <c r="O257" s="487">
        <f t="shared" ref="O257" si="263">K257</f>
        <v>0</v>
      </c>
      <c r="P257" s="485">
        <f t="shared" ref="P257" si="264">+J257+E257</f>
        <v>10000</v>
      </c>
      <c r="R257" s="291"/>
    </row>
    <row r="258" spans="1:18" ht="93" thickTop="1" thickBot="1" x14ac:dyDescent="0.25">
      <c r="A258" s="483" t="s">
        <v>569</v>
      </c>
      <c r="B258" s="483" t="s">
        <v>45</v>
      </c>
      <c r="C258" s="483" t="s">
        <v>44</v>
      </c>
      <c r="D258" s="483" t="s">
        <v>260</v>
      </c>
      <c r="E258" s="446">
        <f>F258</f>
        <v>57611</v>
      </c>
      <c r="F258" s="447">
        <v>57611</v>
      </c>
      <c r="G258" s="447"/>
      <c r="H258" s="447"/>
      <c r="I258" s="447"/>
      <c r="J258" s="485">
        <f t="shared" si="257"/>
        <v>0</v>
      </c>
      <c r="K258" s="447"/>
      <c r="L258" s="459"/>
      <c r="M258" s="459"/>
      <c r="N258" s="459"/>
      <c r="O258" s="487">
        <f t="shared" si="260"/>
        <v>0</v>
      </c>
      <c r="P258" s="485">
        <f t="shared" si="261"/>
        <v>57611</v>
      </c>
      <c r="R258" s="297"/>
    </row>
    <row r="259" spans="1:18" ht="91.5" thickTop="1" thickBot="1" x14ac:dyDescent="0.25">
      <c r="A259" s="151" t="s">
        <v>844</v>
      </c>
      <c r="B259" s="466" t="s">
        <v>786</v>
      </c>
      <c r="C259" s="466"/>
      <c r="D259" s="560" t="s">
        <v>787</v>
      </c>
      <c r="E259" s="446">
        <f>SUM(E260:E265)-E260</f>
        <v>358625792</v>
      </c>
      <c r="F259" s="446">
        <f t="shared" ref="F259:P259" si="265">SUM(F260:F265)-F260</f>
        <v>358625792</v>
      </c>
      <c r="G259" s="446">
        <f t="shared" si="265"/>
        <v>0</v>
      </c>
      <c r="H259" s="446">
        <f t="shared" si="265"/>
        <v>10000</v>
      </c>
      <c r="I259" s="446">
        <f t="shared" si="265"/>
        <v>0</v>
      </c>
      <c r="J259" s="446">
        <f t="shared" si="265"/>
        <v>1765000</v>
      </c>
      <c r="K259" s="446">
        <f t="shared" si="265"/>
        <v>1765000</v>
      </c>
      <c r="L259" s="446">
        <f t="shared" si="265"/>
        <v>0</v>
      </c>
      <c r="M259" s="446">
        <f t="shared" si="265"/>
        <v>0</v>
      </c>
      <c r="N259" s="446">
        <f t="shared" si="265"/>
        <v>0</v>
      </c>
      <c r="O259" s="446">
        <f t="shared" si="265"/>
        <v>1765000</v>
      </c>
      <c r="P259" s="446">
        <f t="shared" si="265"/>
        <v>360390792</v>
      </c>
      <c r="R259" s="297"/>
    </row>
    <row r="260" spans="1:18" ht="184.5" thickTop="1" thickBot="1" x14ac:dyDescent="0.25">
      <c r="A260" s="489" t="s">
        <v>845</v>
      </c>
      <c r="B260" s="470" t="s">
        <v>836</v>
      </c>
      <c r="C260" s="470"/>
      <c r="D260" s="470" t="s">
        <v>837</v>
      </c>
      <c r="E260" s="490">
        <f>SUM(E261:E262)</f>
        <v>105250000</v>
      </c>
      <c r="F260" s="490">
        <f>SUM(F261:F262)</f>
        <v>105250000</v>
      </c>
      <c r="G260" s="490">
        <f t="shared" ref="G260:P260" si="266">SUM(G261:G262)</f>
        <v>0</v>
      </c>
      <c r="H260" s="490">
        <f t="shared" si="266"/>
        <v>0</v>
      </c>
      <c r="I260" s="490">
        <f t="shared" si="266"/>
        <v>0</v>
      </c>
      <c r="J260" s="490">
        <f t="shared" si="266"/>
        <v>250000</v>
      </c>
      <c r="K260" s="490">
        <f t="shared" si="266"/>
        <v>250000</v>
      </c>
      <c r="L260" s="490">
        <f t="shared" si="266"/>
        <v>0</v>
      </c>
      <c r="M260" s="490">
        <f t="shared" si="266"/>
        <v>0</v>
      </c>
      <c r="N260" s="490">
        <f t="shared" si="266"/>
        <v>0</v>
      </c>
      <c r="O260" s="490">
        <f t="shared" si="266"/>
        <v>250000</v>
      </c>
      <c r="P260" s="490">
        <f t="shared" si="266"/>
        <v>105500000</v>
      </c>
      <c r="R260" s="297"/>
    </row>
    <row r="261" spans="1:18" ht="138.75" thickTop="1" thickBot="1" x14ac:dyDescent="0.25">
      <c r="A261" s="483" t="s">
        <v>570</v>
      </c>
      <c r="B261" s="856" t="s">
        <v>391</v>
      </c>
      <c r="C261" s="483" t="s">
        <v>295</v>
      </c>
      <c r="D261" s="483" t="s">
        <v>392</v>
      </c>
      <c r="E261" s="446">
        <f t="shared" ref="E261:E274" si="267">F261</f>
        <v>97600000</v>
      </c>
      <c r="F261" s="447">
        <f>(35000000+15000000)+47600000</f>
        <v>97600000</v>
      </c>
      <c r="G261" s="447"/>
      <c r="H261" s="447"/>
      <c r="I261" s="447"/>
      <c r="J261" s="485">
        <f t="shared" si="257"/>
        <v>0</v>
      </c>
      <c r="K261" s="447"/>
      <c r="L261" s="459"/>
      <c r="M261" s="459"/>
      <c r="N261" s="459"/>
      <c r="O261" s="487">
        <f t="shared" si="260"/>
        <v>0</v>
      </c>
      <c r="P261" s="485">
        <f t="shared" si="261"/>
        <v>97600000</v>
      </c>
      <c r="R261" s="297"/>
    </row>
    <row r="262" spans="1:18" ht="138.75" thickTop="1" thickBot="1" x14ac:dyDescent="0.25">
      <c r="A262" s="483" t="s">
        <v>571</v>
      </c>
      <c r="B262" s="483" t="s">
        <v>298</v>
      </c>
      <c r="C262" s="483" t="s">
        <v>295</v>
      </c>
      <c r="D262" s="483" t="s">
        <v>299</v>
      </c>
      <c r="E262" s="446">
        <f t="shared" si="267"/>
        <v>7650000</v>
      </c>
      <c r="F262" s="447">
        <f>(650000)+7000000</f>
        <v>7650000</v>
      </c>
      <c r="G262" s="447"/>
      <c r="H262" s="447"/>
      <c r="I262" s="447"/>
      <c r="J262" s="485">
        <f t="shared" si="257"/>
        <v>250000</v>
      </c>
      <c r="K262" s="447">
        <v>250000</v>
      </c>
      <c r="L262" s="459"/>
      <c r="M262" s="459"/>
      <c r="N262" s="459"/>
      <c r="O262" s="487">
        <f t="shared" si="260"/>
        <v>250000</v>
      </c>
      <c r="P262" s="485">
        <f t="shared" si="261"/>
        <v>7900000</v>
      </c>
      <c r="R262" s="297"/>
    </row>
    <row r="263" spans="1:18" ht="230.25" thickTop="1" thickBot="1" x14ac:dyDescent="0.25">
      <c r="A263" s="483" t="s">
        <v>572</v>
      </c>
      <c r="B263" s="483" t="s">
        <v>310</v>
      </c>
      <c r="C263" s="483" t="s">
        <v>295</v>
      </c>
      <c r="D263" s="483" t="s">
        <v>311</v>
      </c>
      <c r="E263" s="446">
        <f t="shared" si="267"/>
        <v>2574000</v>
      </c>
      <c r="F263" s="447">
        <v>2574000</v>
      </c>
      <c r="G263" s="447"/>
      <c r="H263" s="447"/>
      <c r="I263" s="447"/>
      <c r="J263" s="485">
        <f t="shared" si="257"/>
        <v>0</v>
      </c>
      <c r="K263" s="444"/>
      <c r="L263" s="447"/>
      <c r="M263" s="447"/>
      <c r="N263" s="447"/>
      <c r="O263" s="487">
        <f t="shared" si="260"/>
        <v>0</v>
      </c>
      <c r="P263" s="485">
        <f t="shared" ref="P263:P268" si="268">E263+J263</f>
        <v>2574000</v>
      </c>
      <c r="R263" s="297"/>
    </row>
    <row r="264" spans="1:18" ht="93" thickTop="1" thickBot="1" x14ac:dyDescent="0.25">
      <c r="A264" s="483" t="s">
        <v>573</v>
      </c>
      <c r="B264" s="483" t="s">
        <v>301</v>
      </c>
      <c r="C264" s="483" t="s">
        <v>295</v>
      </c>
      <c r="D264" s="483" t="s">
        <v>302</v>
      </c>
      <c r="E264" s="446">
        <f t="shared" si="267"/>
        <v>246077942</v>
      </c>
      <c r="F264" s="447">
        <f>((229382942)-17920000)+34615000</f>
        <v>246077942</v>
      </c>
      <c r="G264" s="447"/>
      <c r="H264" s="447">
        <v>10000</v>
      </c>
      <c r="I264" s="447"/>
      <c r="J264" s="485">
        <f t="shared" si="257"/>
        <v>1515000</v>
      </c>
      <c r="K264" s="444">
        <f>(5215000)-3700000</f>
        <v>1515000</v>
      </c>
      <c r="L264" s="447"/>
      <c r="M264" s="447"/>
      <c r="N264" s="447"/>
      <c r="O264" s="487">
        <f t="shared" si="260"/>
        <v>1515000</v>
      </c>
      <c r="P264" s="485">
        <f t="shared" si="268"/>
        <v>247592942</v>
      </c>
      <c r="R264" s="291"/>
    </row>
    <row r="265" spans="1:18" ht="138.75" thickTop="1" thickBot="1" x14ac:dyDescent="0.25">
      <c r="A265" s="483" t="s">
        <v>1289</v>
      </c>
      <c r="B265" s="483" t="s">
        <v>1290</v>
      </c>
      <c r="C265" s="483" t="s">
        <v>1291</v>
      </c>
      <c r="D265" s="483" t="s">
        <v>1288</v>
      </c>
      <c r="E265" s="446">
        <f t="shared" si="267"/>
        <v>4723850</v>
      </c>
      <c r="F265" s="447">
        <v>4723850</v>
      </c>
      <c r="G265" s="447"/>
      <c r="H265" s="447"/>
      <c r="I265" s="447"/>
      <c r="J265" s="485">
        <f t="shared" si="257"/>
        <v>0</v>
      </c>
      <c r="K265" s="444"/>
      <c r="L265" s="447"/>
      <c r="M265" s="447"/>
      <c r="N265" s="447"/>
      <c r="O265" s="487">
        <f t="shared" si="260"/>
        <v>0</v>
      </c>
      <c r="P265" s="485">
        <f t="shared" si="268"/>
        <v>4723850</v>
      </c>
      <c r="R265" s="291"/>
    </row>
    <row r="266" spans="1:18" ht="47.25" thickTop="1" thickBot="1" x14ac:dyDescent="0.25">
      <c r="A266" s="151" t="s">
        <v>846</v>
      </c>
      <c r="B266" s="466" t="s">
        <v>792</v>
      </c>
      <c r="C266" s="466"/>
      <c r="D266" s="466" t="s">
        <v>793</v>
      </c>
      <c r="E266" s="446">
        <f>E267+E269+E272</f>
        <v>63012000</v>
      </c>
      <c r="F266" s="446">
        <f t="shared" ref="F266:P266" si="269">F267+F269+F272</f>
        <v>63012000</v>
      </c>
      <c r="G266" s="446">
        <f t="shared" si="269"/>
        <v>0</v>
      </c>
      <c r="H266" s="446">
        <f t="shared" si="269"/>
        <v>0</v>
      </c>
      <c r="I266" s="446">
        <f t="shared" si="269"/>
        <v>0</v>
      </c>
      <c r="J266" s="446">
        <f>J267+J269+J272</f>
        <v>41616993.590000004</v>
      </c>
      <c r="K266" s="446">
        <f t="shared" si="269"/>
        <v>40316993.590000004</v>
      </c>
      <c r="L266" s="446">
        <f t="shared" si="269"/>
        <v>0</v>
      </c>
      <c r="M266" s="446">
        <f t="shared" si="269"/>
        <v>0</v>
      </c>
      <c r="N266" s="446">
        <f t="shared" si="269"/>
        <v>0</v>
      </c>
      <c r="O266" s="446">
        <f t="shared" si="269"/>
        <v>41616993.590000004</v>
      </c>
      <c r="P266" s="446">
        <f t="shared" si="269"/>
        <v>104628993.59</v>
      </c>
      <c r="R266" s="297"/>
    </row>
    <row r="267" spans="1:18" ht="91.5" thickTop="1" thickBot="1" x14ac:dyDescent="0.25">
      <c r="A267" s="467" t="s">
        <v>847</v>
      </c>
      <c r="B267" s="467" t="s">
        <v>848</v>
      </c>
      <c r="C267" s="467"/>
      <c r="D267" s="467" t="s">
        <v>849</v>
      </c>
      <c r="E267" s="524">
        <f>E268</f>
        <v>0</v>
      </c>
      <c r="F267" s="524">
        <f t="shared" ref="F267:P267" si="270">F268</f>
        <v>0</v>
      </c>
      <c r="G267" s="524">
        <f t="shared" si="270"/>
        <v>0</v>
      </c>
      <c r="H267" s="524">
        <f t="shared" si="270"/>
        <v>0</v>
      </c>
      <c r="I267" s="524">
        <f t="shared" si="270"/>
        <v>0</v>
      </c>
      <c r="J267" s="524">
        <f t="shared" si="270"/>
        <v>7070000</v>
      </c>
      <c r="K267" s="524">
        <f t="shared" si="270"/>
        <v>7070000</v>
      </c>
      <c r="L267" s="524">
        <f t="shared" si="270"/>
        <v>0</v>
      </c>
      <c r="M267" s="524">
        <f t="shared" si="270"/>
        <v>0</v>
      </c>
      <c r="N267" s="524">
        <f t="shared" si="270"/>
        <v>0</v>
      </c>
      <c r="O267" s="524">
        <f t="shared" si="270"/>
        <v>7070000</v>
      </c>
      <c r="P267" s="524">
        <f t="shared" si="270"/>
        <v>7070000</v>
      </c>
      <c r="R267" s="297"/>
    </row>
    <row r="268" spans="1:18" ht="99.75" thickTop="1" thickBot="1" x14ac:dyDescent="0.25">
      <c r="A268" s="483" t="s">
        <v>574</v>
      </c>
      <c r="B268" s="483" t="s">
        <v>318</v>
      </c>
      <c r="C268" s="483" t="s">
        <v>317</v>
      </c>
      <c r="D268" s="483" t="s">
        <v>664</v>
      </c>
      <c r="E268" s="446">
        <f t="shared" si="267"/>
        <v>0</v>
      </c>
      <c r="F268" s="447"/>
      <c r="G268" s="447"/>
      <c r="H268" s="447"/>
      <c r="I268" s="447"/>
      <c r="J268" s="485">
        <f>L268+O268</f>
        <v>7070000</v>
      </c>
      <c r="K268" s="444">
        <f>(6670000+1000000)-600000</f>
        <v>7070000</v>
      </c>
      <c r="L268" s="447"/>
      <c r="M268" s="447"/>
      <c r="N268" s="447"/>
      <c r="O268" s="487">
        <f>K268</f>
        <v>7070000</v>
      </c>
      <c r="P268" s="485">
        <f t="shared" si="268"/>
        <v>7070000</v>
      </c>
      <c r="R268" s="291"/>
    </row>
    <row r="269" spans="1:18" ht="136.5" thickTop="1" thickBot="1" x14ac:dyDescent="0.25">
      <c r="A269" s="467" t="s">
        <v>850</v>
      </c>
      <c r="B269" s="467" t="s">
        <v>851</v>
      </c>
      <c r="C269" s="467"/>
      <c r="D269" s="467" t="s">
        <v>852</v>
      </c>
      <c r="E269" s="524">
        <f t="shared" ref="E269:P270" si="271">E270</f>
        <v>62866000</v>
      </c>
      <c r="F269" s="524">
        <f t="shared" si="271"/>
        <v>62866000</v>
      </c>
      <c r="G269" s="524">
        <f t="shared" si="271"/>
        <v>0</v>
      </c>
      <c r="H269" s="524">
        <f t="shared" si="271"/>
        <v>0</v>
      </c>
      <c r="I269" s="524">
        <f t="shared" si="271"/>
        <v>0</v>
      </c>
      <c r="J269" s="524">
        <f t="shared" si="271"/>
        <v>11400000</v>
      </c>
      <c r="K269" s="524">
        <f t="shared" si="271"/>
        <v>11400000</v>
      </c>
      <c r="L269" s="524">
        <f t="shared" si="271"/>
        <v>0</v>
      </c>
      <c r="M269" s="524">
        <f t="shared" si="271"/>
        <v>0</v>
      </c>
      <c r="N269" s="524">
        <f t="shared" si="271"/>
        <v>0</v>
      </c>
      <c r="O269" s="524">
        <f t="shared" si="271"/>
        <v>11400000</v>
      </c>
      <c r="P269" s="524">
        <f t="shared" si="271"/>
        <v>74266000</v>
      </c>
      <c r="R269" s="297"/>
    </row>
    <row r="270" spans="1:18" ht="138.75" thickTop="1" thickBot="1" x14ac:dyDescent="0.25">
      <c r="A270" s="483" t="s">
        <v>1029</v>
      </c>
      <c r="B270" s="489" t="s">
        <v>1030</v>
      </c>
      <c r="C270" s="467"/>
      <c r="D270" s="489" t="s">
        <v>1031</v>
      </c>
      <c r="E270" s="490">
        <f t="shared" si="271"/>
        <v>62866000</v>
      </c>
      <c r="F270" s="490">
        <f t="shared" si="271"/>
        <v>62866000</v>
      </c>
      <c r="G270" s="490">
        <f t="shared" si="271"/>
        <v>0</v>
      </c>
      <c r="H270" s="490">
        <f t="shared" si="271"/>
        <v>0</v>
      </c>
      <c r="I270" s="490">
        <f t="shared" si="271"/>
        <v>0</v>
      </c>
      <c r="J270" s="490">
        <f t="shared" si="271"/>
        <v>11400000</v>
      </c>
      <c r="K270" s="490">
        <f t="shared" si="271"/>
        <v>11400000</v>
      </c>
      <c r="L270" s="490">
        <f t="shared" si="271"/>
        <v>0</v>
      </c>
      <c r="M270" s="490">
        <f t="shared" si="271"/>
        <v>0</v>
      </c>
      <c r="N270" s="490">
        <f t="shared" si="271"/>
        <v>0</v>
      </c>
      <c r="O270" s="490">
        <f t="shared" si="271"/>
        <v>11400000</v>
      </c>
      <c r="P270" s="490">
        <f t="shared" si="271"/>
        <v>74266000</v>
      </c>
      <c r="R270" s="297"/>
    </row>
    <row r="271" spans="1:18" ht="230.25" thickTop="1" thickBot="1" x14ac:dyDescent="0.25">
      <c r="A271" s="483" t="s">
        <v>575</v>
      </c>
      <c r="B271" s="856" t="s">
        <v>306</v>
      </c>
      <c r="C271" s="483" t="s">
        <v>308</v>
      </c>
      <c r="D271" s="483" t="s">
        <v>307</v>
      </c>
      <c r="E271" s="446">
        <f t="shared" si="267"/>
        <v>62866000</v>
      </c>
      <c r="F271" s="447">
        <f>((41966000)+17920000)+2980000</f>
        <v>62866000</v>
      </c>
      <c r="G271" s="447"/>
      <c r="H271" s="447"/>
      <c r="I271" s="447"/>
      <c r="J271" s="485">
        <f t="shared" si="257"/>
        <v>11400000</v>
      </c>
      <c r="K271" s="447">
        <f>(((105000000-10000000-1000000)-47600000)-30000000)-5000000</f>
        <v>11400000</v>
      </c>
      <c r="L271" s="459"/>
      <c r="M271" s="459"/>
      <c r="N271" s="459"/>
      <c r="O271" s="487">
        <f>K271</f>
        <v>11400000</v>
      </c>
      <c r="P271" s="485">
        <f>+J271+E271</f>
        <v>74266000</v>
      </c>
      <c r="R271" s="291"/>
    </row>
    <row r="272" spans="1:18" ht="136.5" thickTop="1" thickBot="1" x14ac:dyDescent="0.25">
      <c r="A272" s="467" t="s">
        <v>853</v>
      </c>
      <c r="B272" s="467" t="s">
        <v>734</v>
      </c>
      <c r="C272" s="467"/>
      <c r="D272" s="467" t="s">
        <v>732</v>
      </c>
      <c r="E272" s="524">
        <f>SUM(E273:E278)-E275</f>
        <v>146000</v>
      </c>
      <c r="F272" s="524">
        <f t="shared" ref="F272:P272" si="272">SUM(F273:F278)-F275</f>
        <v>146000</v>
      </c>
      <c r="G272" s="524">
        <f t="shared" si="272"/>
        <v>0</v>
      </c>
      <c r="H272" s="524">
        <f t="shared" si="272"/>
        <v>0</v>
      </c>
      <c r="I272" s="524">
        <f t="shared" si="272"/>
        <v>0</v>
      </c>
      <c r="J272" s="524">
        <f t="shared" si="272"/>
        <v>23146993.59</v>
      </c>
      <c r="K272" s="524">
        <f t="shared" si="272"/>
        <v>21846993.59</v>
      </c>
      <c r="L272" s="524">
        <f t="shared" si="272"/>
        <v>0</v>
      </c>
      <c r="M272" s="524">
        <f t="shared" si="272"/>
        <v>0</v>
      </c>
      <c r="N272" s="524">
        <f t="shared" si="272"/>
        <v>0</v>
      </c>
      <c r="O272" s="524">
        <f t="shared" si="272"/>
        <v>23146993.59</v>
      </c>
      <c r="P272" s="524">
        <f t="shared" si="272"/>
        <v>23292993.59</v>
      </c>
      <c r="R272" s="291"/>
    </row>
    <row r="273" spans="1:18" ht="48" thickTop="1" thickBot="1" x14ac:dyDescent="0.25">
      <c r="A273" s="483" t="s">
        <v>576</v>
      </c>
      <c r="B273" s="483" t="s">
        <v>224</v>
      </c>
      <c r="C273" s="483" t="s">
        <v>225</v>
      </c>
      <c r="D273" s="483" t="s">
        <v>43</v>
      </c>
      <c r="E273" s="446">
        <f t="shared" si="267"/>
        <v>0</v>
      </c>
      <c r="F273" s="447"/>
      <c r="G273" s="447"/>
      <c r="H273" s="447"/>
      <c r="I273" s="447"/>
      <c r="J273" s="485">
        <f t="shared" si="257"/>
        <v>13296993.59</v>
      </c>
      <c r="K273" s="444">
        <f>(12560000)+736993.59</f>
        <v>13296993.59</v>
      </c>
      <c r="L273" s="447"/>
      <c r="M273" s="447"/>
      <c r="N273" s="447"/>
      <c r="O273" s="487">
        <f t="shared" si="260"/>
        <v>13296993.59</v>
      </c>
      <c r="P273" s="485">
        <f>E273+J273</f>
        <v>13296993.59</v>
      </c>
      <c r="R273" s="291"/>
    </row>
    <row r="274" spans="1:18" ht="93" thickTop="1" thickBot="1" x14ac:dyDescent="0.25">
      <c r="A274" s="483" t="s">
        <v>577</v>
      </c>
      <c r="B274" s="483" t="s">
        <v>209</v>
      </c>
      <c r="C274" s="483" t="s">
        <v>178</v>
      </c>
      <c r="D274" s="483" t="s">
        <v>36</v>
      </c>
      <c r="E274" s="446">
        <f t="shared" si="267"/>
        <v>0</v>
      </c>
      <c r="F274" s="447"/>
      <c r="G274" s="447"/>
      <c r="H274" s="447"/>
      <c r="I274" s="447"/>
      <c r="J274" s="485">
        <f t="shared" si="257"/>
        <v>8550000</v>
      </c>
      <c r="K274" s="444">
        <f>(((11305000)+3000000)-3460000)-2295000</f>
        <v>8550000</v>
      </c>
      <c r="L274" s="447"/>
      <c r="M274" s="447"/>
      <c r="N274" s="447"/>
      <c r="O274" s="487">
        <f t="shared" si="260"/>
        <v>8550000</v>
      </c>
      <c r="P274" s="485">
        <f>E274+J274</f>
        <v>8550000</v>
      </c>
      <c r="R274" s="291"/>
    </row>
    <row r="275" spans="1:18" ht="48" thickTop="1" thickBot="1" x14ac:dyDescent="0.25">
      <c r="A275" s="489" t="s">
        <v>854</v>
      </c>
      <c r="B275" s="489" t="s">
        <v>737</v>
      </c>
      <c r="C275" s="489"/>
      <c r="D275" s="489" t="s">
        <v>842</v>
      </c>
      <c r="E275" s="490">
        <f t="shared" ref="E275:P275" si="273">E276+E278</f>
        <v>146000</v>
      </c>
      <c r="F275" s="490">
        <f t="shared" si="273"/>
        <v>146000</v>
      </c>
      <c r="G275" s="490">
        <f t="shared" si="273"/>
        <v>0</v>
      </c>
      <c r="H275" s="490">
        <f t="shared" si="273"/>
        <v>0</v>
      </c>
      <c r="I275" s="490">
        <f t="shared" si="273"/>
        <v>0</v>
      </c>
      <c r="J275" s="490">
        <f t="shared" si="273"/>
        <v>1300000</v>
      </c>
      <c r="K275" s="490">
        <f t="shared" si="273"/>
        <v>0</v>
      </c>
      <c r="L275" s="490">
        <f t="shared" si="273"/>
        <v>0</v>
      </c>
      <c r="M275" s="490">
        <f t="shared" si="273"/>
        <v>0</v>
      </c>
      <c r="N275" s="490">
        <f t="shared" si="273"/>
        <v>0</v>
      </c>
      <c r="O275" s="490">
        <f t="shared" si="273"/>
        <v>1300000</v>
      </c>
      <c r="P275" s="490">
        <f t="shared" si="273"/>
        <v>1446000</v>
      </c>
      <c r="R275" s="297"/>
    </row>
    <row r="276" spans="1:18" ht="409.6" thickTop="1" thickBot="1" x14ac:dyDescent="0.7">
      <c r="A276" s="920" t="s">
        <v>578</v>
      </c>
      <c r="B276" s="920" t="s">
        <v>352</v>
      </c>
      <c r="C276" s="920" t="s">
        <v>178</v>
      </c>
      <c r="D276" s="484" t="s">
        <v>457</v>
      </c>
      <c r="E276" s="927"/>
      <c r="F276" s="925"/>
      <c r="G276" s="925"/>
      <c r="H276" s="925"/>
      <c r="I276" s="925"/>
      <c r="J276" s="927">
        <f t="shared" si="257"/>
        <v>1300000</v>
      </c>
      <c r="K276" s="925"/>
      <c r="L276" s="925">
        <v>0</v>
      </c>
      <c r="M276" s="925"/>
      <c r="N276" s="925"/>
      <c r="O276" s="923">
        <v>1300000</v>
      </c>
      <c r="P276" s="924">
        <f>E276+J276</f>
        <v>1300000</v>
      </c>
      <c r="R276" s="297"/>
    </row>
    <row r="277" spans="1:18" ht="184.5" thickTop="1" thickBot="1" x14ac:dyDescent="0.25">
      <c r="A277" s="920"/>
      <c r="B277" s="920"/>
      <c r="C277" s="920"/>
      <c r="D277" s="488" t="s">
        <v>458</v>
      </c>
      <c r="E277" s="927"/>
      <c r="F277" s="925"/>
      <c r="G277" s="925"/>
      <c r="H277" s="925"/>
      <c r="I277" s="925"/>
      <c r="J277" s="927"/>
      <c r="K277" s="925"/>
      <c r="L277" s="925"/>
      <c r="M277" s="925"/>
      <c r="N277" s="925"/>
      <c r="O277" s="923"/>
      <c r="P277" s="924"/>
      <c r="R277" s="297"/>
    </row>
    <row r="278" spans="1:18" s="744" customFormat="1" ht="93" thickTop="1" thickBot="1" x14ac:dyDescent="0.25">
      <c r="A278" s="755" t="s">
        <v>1338</v>
      </c>
      <c r="B278" s="755" t="s">
        <v>269</v>
      </c>
      <c r="C278" s="755" t="s">
        <v>178</v>
      </c>
      <c r="D278" s="488" t="s">
        <v>267</v>
      </c>
      <c r="E278" s="446">
        <f t="shared" ref="E278" si="274">F278</f>
        <v>146000</v>
      </c>
      <c r="F278" s="447">
        <v>146000</v>
      </c>
      <c r="G278" s="447"/>
      <c r="H278" s="447"/>
      <c r="I278" s="447"/>
      <c r="J278" s="758">
        <f t="shared" ref="J278" si="275">L278+O278</f>
        <v>0</v>
      </c>
      <c r="K278" s="444"/>
      <c r="L278" s="447"/>
      <c r="M278" s="447"/>
      <c r="N278" s="447"/>
      <c r="O278" s="756">
        <f t="shared" ref="O278" si="276">K278</f>
        <v>0</v>
      </c>
      <c r="P278" s="758">
        <f>E278+J278</f>
        <v>146000</v>
      </c>
      <c r="Q278" s="614"/>
      <c r="R278" s="297"/>
    </row>
    <row r="279" spans="1:18" ht="47.25" thickTop="1" thickBot="1" x14ac:dyDescent="0.25">
      <c r="A279" s="151" t="s">
        <v>855</v>
      </c>
      <c r="B279" s="151" t="s">
        <v>739</v>
      </c>
      <c r="C279" s="151"/>
      <c r="D279" s="569" t="s">
        <v>740</v>
      </c>
      <c r="E279" s="485">
        <f>E280</f>
        <v>2729070</v>
      </c>
      <c r="F279" s="485">
        <f t="shared" ref="F279:P279" si="277">F280</f>
        <v>2729070</v>
      </c>
      <c r="G279" s="485">
        <f t="shared" si="277"/>
        <v>1769990</v>
      </c>
      <c r="H279" s="485">
        <f t="shared" si="277"/>
        <v>54305</v>
      </c>
      <c r="I279" s="485">
        <f t="shared" si="277"/>
        <v>0</v>
      </c>
      <c r="J279" s="485">
        <f t="shared" si="277"/>
        <v>0</v>
      </c>
      <c r="K279" s="485">
        <f t="shared" si="277"/>
        <v>0</v>
      </c>
      <c r="L279" s="485">
        <f t="shared" si="277"/>
        <v>0</v>
      </c>
      <c r="M279" s="485">
        <f t="shared" si="277"/>
        <v>0</v>
      </c>
      <c r="N279" s="485">
        <f t="shared" si="277"/>
        <v>0</v>
      </c>
      <c r="O279" s="485">
        <f t="shared" si="277"/>
        <v>0</v>
      </c>
      <c r="P279" s="485">
        <f t="shared" si="277"/>
        <v>2729070</v>
      </c>
      <c r="R279" s="297"/>
    </row>
    <row r="280" spans="1:18" ht="181.5" thickTop="1" thickBot="1" x14ac:dyDescent="0.25">
      <c r="A280" s="467" t="s">
        <v>857</v>
      </c>
      <c r="B280" s="467" t="s">
        <v>858</v>
      </c>
      <c r="C280" s="467"/>
      <c r="D280" s="570" t="s">
        <v>856</v>
      </c>
      <c r="E280" s="468">
        <f>SUM(E281:E283)</f>
        <v>2729070</v>
      </c>
      <c r="F280" s="468">
        <f t="shared" ref="F280:P280" si="278">SUM(F281:F283)</f>
        <v>2729070</v>
      </c>
      <c r="G280" s="468">
        <f t="shared" si="278"/>
        <v>1769990</v>
      </c>
      <c r="H280" s="468">
        <f t="shared" si="278"/>
        <v>54305</v>
      </c>
      <c r="I280" s="468">
        <f t="shared" si="278"/>
        <v>0</v>
      </c>
      <c r="J280" s="468">
        <f t="shared" si="278"/>
        <v>0</v>
      </c>
      <c r="K280" s="468">
        <f t="shared" si="278"/>
        <v>0</v>
      </c>
      <c r="L280" s="468">
        <f t="shared" si="278"/>
        <v>0</v>
      </c>
      <c r="M280" s="468">
        <f t="shared" si="278"/>
        <v>0</v>
      </c>
      <c r="N280" s="468">
        <f t="shared" si="278"/>
        <v>0</v>
      </c>
      <c r="O280" s="468">
        <f t="shared" si="278"/>
        <v>0</v>
      </c>
      <c r="P280" s="468">
        <f t="shared" si="278"/>
        <v>2729070</v>
      </c>
      <c r="R280" s="297"/>
    </row>
    <row r="281" spans="1:18" ht="184.5" thickTop="1" thickBot="1" x14ac:dyDescent="0.25">
      <c r="A281" s="483" t="s">
        <v>579</v>
      </c>
      <c r="B281" s="483" t="s">
        <v>536</v>
      </c>
      <c r="C281" s="483" t="s">
        <v>263</v>
      </c>
      <c r="D281" s="483" t="s">
        <v>537</v>
      </c>
      <c r="E281" s="446">
        <f>F281</f>
        <v>200000</v>
      </c>
      <c r="F281" s="447">
        <f>(63040)+136960</f>
        <v>200000</v>
      </c>
      <c r="G281" s="447"/>
      <c r="H281" s="447"/>
      <c r="I281" s="447"/>
      <c r="J281" s="485">
        <f>L281+O281</f>
        <v>0</v>
      </c>
      <c r="K281" s="444"/>
      <c r="L281" s="447"/>
      <c r="M281" s="447"/>
      <c r="N281" s="447"/>
      <c r="O281" s="487">
        <f>K281</f>
        <v>0</v>
      </c>
      <c r="P281" s="485">
        <f>E281+J281</f>
        <v>200000</v>
      </c>
      <c r="R281" s="297"/>
    </row>
    <row r="282" spans="1:18" ht="93" thickTop="1" thickBot="1" x14ac:dyDescent="0.25">
      <c r="A282" s="483" t="s">
        <v>580</v>
      </c>
      <c r="B282" s="483" t="s">
        <v>262</v>
      </c>
      <c r="C282" s="483" t="s">
        <v>263</v>
      </c>
      <c r="D282" s="483" t="s">
        <v>261</v>
      </c>
      <c r="E282" s="446">
        <f t="shared" ref="E282:E283" si="279">F282</f>
        <v>2529070</v>
      </c>
      <c r="F282" s="447">
        <v>2529070</v>
      </c>
      <c r="G282" s="447">
        <v>1769990</v>
      </c>
      <c r="H282" s="447">
        <f>(2060+40860+11385)</f>
        <v>54305</v>
      </c>
      <c r="I282" s="447"/>
      <c r="J282" s="485">
        <f>L282+O282</f>
        <v>0</v>
      </c>
      <c r="K282" s="444"/>
      <c r="L282" s="447"/>
      <c r="M282" s="447"/>
      <c r="N282" s="447"/>
      <c r="O282" s="487">
        <f>K282</f>
        <v>0</v>
      </c>
      <c r="P282" s="485">
        <f>E282+J282</f>
        <v>2529070</v>
      </c>
      <c r="R282" s="292"/>
    </row>
    <row r="283" spans="1:18" ht="93" hidden="1" thickTop="1" thickBot="1" x14ac:dyDescent="0.25">
      <c r="A283" s="259" t="s">
        <v>581</v>
      </c>
      <c r="B283" s="259" t="s">
        <v>582</v>
      </c>
      <c r="C283" s="259" t="s">
        <v>263</v>
      </c>
      <c r="D283" s="259" t="s">
        <v>583</v>
      </c>
      <c r="E283" s="305">
        <f t="shared" si="279"/>
        <v>0</v>
      </c>
      <c r="F283" s="260">
        <f>(1219000)-1219000</f>
        <v>0</v>
      </c>
      <c r="G283" s="260">
        <f>(354000+540000)-894000</f>
        <v>0</v>
      </c>
      <c r="H283" s="260">
        <f>(6000+3000)-9000</f>
        <v>0</v>
      </c>
      <c r="I283" s="260"/>
      <c r="J283" s="256">
        <f>L283+O283</f>
        <v>0</v>
      </c>
      <c r="K283" s="278"/>
      <c r="L283" s="260"/>
      <c r="M283" s="260"/>
      <c r="N283" s="260"/>
      <c r="O283" s="262">
        <f>K283</f>
        <v>0</v>
      </c>
      <c r="P283" s="256">
        <f>E283+J283</f>
        <v>0</v>
      </c>
      <c r="R283" s="297"/>
    </row>
    <row r="284" spans="1:18" ht="316.5" thickTop="1" thickBot="1" x14ac:dyDescent="0.25">
      <c r="A284" s="828" t="s">
        <v>25</v>
      </c>
      <c r="B284" s="828"/>
      <c r="C284" s="828"/>
      <c r="D284" s="829" t="s">
        <v>388</v>
      </c>
      <c r="E284" s="830">
        <f>E285</f>
        <v>3985330</v>
      </c>
      <c r="F284" s="831">
        <f t="shared" ref="F284:G284" si="280">F285</f>
        <v>3985330</v>
      </c>
      <c r="G284" s="831">
        <f t="shared" si="280"/>
        <v>2707790</v>
      </c>
      <c r="H284" s="831">
        <f>H285</f>
        <v>117376</v>
      </c>
      <c r="I284" s="831">
        <f t="shared" ref="I284" si="281">I285</f>
        <v>0</v>
      </c>
      <c r="J284" s="830">
        <f>J285</f>
        <v>32971688</v>
      </c>
      <c r="K284" s="831">
        <f>K285</f>
        <v>32971688</v>
      </c>
      <c r="L284" s="831">
        <f>L285</f>
        <v>0</v>
      </c>
      <c r="M284" s="831">
        <f t="shared" ref="M284" si="282">M285</f>
        <v>0</v>
      </c>
      <c r="N284" s="831">
        <f>N285</f>
        <v>0</v>
      </c>
      <c r="O284" s="830">
        <f>O285</f>
        <v>32971688</v>
      </c>
      <c r="P284" s="831">
        <f t="shared" ref="P284" si="283">P285</f>
        <v>36957018</v>
      </c>
    </row>
    <row r="285" spans="1:18" ht="181.5" thickTop="1" thickBot="1" x14ac:dyDescent="0.25">
      <c r="A285" s="832" t="s">
        <v>26</v>
      </c>
      <c r="B285" s="832"/>
      <c r="C285" s="832"/>
      <c r="D285" s="833" t="s">
        <v>945</v>
      </c>
      <c r="E285" s="834">
        <f>E286+E290+E293</f>
        <v>3985330</v>
      </c>
      <c r="F285" s="834">
        <f t="shared" ref="F285:I285" si="284">F286+F290+F293</f>
        <v>3985330</v>
      </c>
      <c r="G285" s="834">
        <f t="shared" si="284"/>
        <v>2707790</v>
      </c>
      <c r="H285" s="834">
        <f t="shared" si="284"/>
        <v>117376</v>
      </c>
      <c r="I285" s="834">
        <f t="shared" si="284"/>
        <v>0</v>
      </c>
      <c r="J285" s="834">
        <f>L285+O285</f>
        <v>32971688</v>
      </c>
      <c r="K285" s="834">
        <f t="shared" ref="K285:O285" si="285">K286+K290+K293</f>
        <v>32971688</v>
      </c>
      <c r="L285" s="834">
        <f t="shared" si="285"/>
        <v>0</v>
      </c>
      <c r="M285" s="834">
        <f t="shared" si="285"/>
        <v>0</v>
      </c>
      <c r="N285" s="834">
        <f t="shared" si="285"/>
        <v>0</v>
      </c>
      <c r="O285" s="834">
        <f t="shared" si="285"/>
        <v>32971688</v>
      </c>
      <c r="P285" s="834">
        <f t="shared" ref="P285:P301" si="286">E285+J285</f>
        <v>36957018</v>
      </c>
      <c r="Q285" s="628" t="b">
        <f>P285=P297+P299+P300+P287+P301+P292+P298+P288+P295+P289+P304+P306</f>
        <v>1</v>
      </c>
      <c r="R285" s="292"/>
    </row>
    <row r="286" spans="1:18" ht="47.25" thickTop="1" thickBot="1" x14ac:dyDescent="0.25">
      <c r="A286" s="151" t="s">
        <v>859</v>
      </c>
      <c r="B286" s="151" t="s">
        <v>727</v>
      </c>
      <c r="C286" s="151"/>
      <c r="D286" s="151" t="s">
        <v>728</v>
      </c>
      <c r="E286" s="530">
        <f t="shared" ref="E286:P286" si="287">SUM(E287:E289)</f>
        <v>3685330</v>
      </c>
      <c r="F286" s="530">
        <f t="shared" si="287"/>
        <v>3685330</v>
      </c>
      <c r="G286" s="530">
        <f t="shared" si="287"/>
        <v>2707790</v>
      </c>
      <c r="H286" s="530">
        <f t="shared" si="287"/>
        <v>117376</v>
      </c>
      <c r="I286" s="530">
        <f t="shared" si="287"/>
        <v>0</v>
      </c>
      <c r="J286" s="530">
        <f t="shared" si="287"/>
        <v>0</v>
      </c>
      <c r="K286" s="530">
        <f t="shared" si="287"/>
        <v>0</v>
      </c>
      <c r="L286" s="530">
        <f t="shared" si="287"/>
        <v>0</v>
      </c>
      <c r="M286" s="530">
        <f t="shared" si="287"/>
        <v>0</v>
      </c>
      <c r="N286" s="530">
        <f t="shared" si="287"/>
        <v>0</v>
      </c>
      <c r="O286" s="530">
        <f t="shared" si="287"/>
        <v>0</v>
      </c>
      <c r="P286" s="530">
        <f t="shared" si="287"/>
        <v>3685330</v>
      </c>
      <c r="Q286" s="628"/>
      <c r="R286" s="292"/>
    </row>
    <row r="287" spans="1:18" ht="230.25" thickTop="1" thickBot="1" x14ac:dyDescent="0.25">
      <c r="A287" s="533" t="s">
        <v>433</v>
      </c>
      <c r="B287" s="533" t="s">
        <v>248</v>
      </c>
      <c r="C287" s="533" t="s">
        <v>246</v>
      </c>
      <c r="D287" s="533" t="s">
        <v>247</v>
      </c>
      <c r="E287" s="530">
        <f>F287</f>
        <v>3675330</v>
      </c>
      <c r="F287" s="444">
        <v>3675330</v>
      </c>
      <c r="G287" s="444">
        <v>2707790</v>
      </c>
      <c r="H287" s="444">
        <f>1845+45196+70335</f>
        <v>117376</v>
      </c>
      <c r="I287" s="444"/>
      <c r="J287" s="530">
        <f t="shared" ref="J287:J301" si="288">L287+O287</f>
        <v>0</v>
      </c>
      <c r="K287" s="444"/>
      <c r="L287" s="444"/>
      <c r="M287" s="444"/>
      <c r="N287" s="444"/>
      <c r="O287" s="535">
        <f>K287</f>
        <v>0</v>
      </c>
      <c r="P287" s="530">
        <f t="shared" si="286"/>
        <v>3675330</v>
      </c>
      <c r="Q287" s="628"/>
      <c r="R287" s="297"/>
    </row>
    <row r="288" spans="1:18" ht="184.5" thickTop="1" thickBot="1" x14ac:dyDescent="0.25">
      <c r="A288" s="532" t="s">
        <v>672</v>
      </c>
      <c r="B288" s="532" t="s">
        <v>376</v>
      </c>
      <c r="C288" s="532" t="s">
        <v>662</v>
      </c>
      <c r="D288" s="532" t="s">
        <v>663</v>
      </c>
      <c r="E288" s="446">
        <f>F288</f>
        <v>10000</v>
      </c>
      <c r="F288" s="447">
        <v>10000</v>
      </c>
      <c r="G288" s="447"/>
      <c r="H288" s="447"/>
      <c r="I288" s="447"/>
      <c r="J288" s="530">
        <f t="shared" si="288"/>
        <v>0</v>
      </c>
      <c r="K288" s="447"/>
      <c r="L288" s="459"/>
      <c r="M288" s="459"/>
      <c r="N288" s="459"/>
      <c r="O288" s="535">
        <f t="shared" ref="O288" si="289">K288</f>
        <v>0</v>
      </c>
      <c r="P288" s="530">
        <f t="shared" ref="P288" si="290">+J288+E288</f>
        <v>10000</v>
      </c>
      <c r="Q288" s="628"/>
      <c r="R288" s="297"/>
    </row>
    <row r="289" spans="1:18" ht="93" hidden="1" thickTop="1" thickBot="1" x14ac:dyDescent="0.25">
      <c r="A289" s="533" t="s">
        <v>988</v>
      </c>
      <c r="B289" s="533" t="s">
        <v>45</v>
      </c>
      <c r="C289" s="533" t="s">
        <v>44</v>
      </c>
      <c r="D289" s="533" t="s">
        <v>260</v>
      </c>
      <c r="E289" s="530">
        <f>F289</f>
        <v>0</v>
      </c>
      <c r="F289" s="444">
        <v>0</v>
      </c>
      <c r="G289" s="444"/>
      <c r="H289" s="444"/>
      <c r="I289" s="444"/>
      <c r="J289" s="530">
        <f t="shared" ref="J289" si="291">L289+O289</f>
        <v>0</v>
      </c>
      <c r="K289" s="447"/>
      <c r="L289" s="459"/>
      <c r="M289" s="459"/>
      <c r="N289" s="459"/>
      <c r="O289" s="535">
        <f t="shared" ref="O289" si="292">K289</f>
        <v>0</v>
      </c>
      <c r="P289" s="530">
        <f t="shared" ref="P289" si="293">+J289+E289</f>
        <v>0</v>
      </c>
      <c r="Q289" s="628"/>
      <c r="R289" s="297"/>
    </row>
    <row r="290" spans="1:18" ht="47.25" thickTop="1" thickBot="1" x14ac:dyDescent="0.25">
      <c r="A290" s="151" t="s">
        <v>860</v>
      </c>
      <c r="B290" s="151" t="s">
        <v>815</v>
      </c>
      <c r="C290" s="533"/>
      <c r="D290" s="151" t="s">
        <v>816</v>
      </c>
      <c r="E290" s="446">
        <f>E291</f>
        <v>0</v>
      </c>
      <c r="F290" s="446">
        <f t="shared" ref="F290:P291" si="294">F291</f>
        <v>0</v>
      </c>
      <c r="G290" s="446">
        <f t="shared" si="294"/>
        <v>0</v>
      </c>
      <c r="H290" s="446">
        <f t="shared" si="294"/>
        <v>0</v>
      </c>
      <c r="I290" s="446">
        <f t="shared" si="294"/>
        <v>0</v>
      </c>
      <c r="J290" s="446">
        <f t="shared" si="294"/>
        <v>20000000</v>
      </c>
      <c r="K290" s="446">
        <f t="shared" si="294"/>
        <v>20000000</v>
      </c>
      <c r="L290" s="446">
        <f t="shared" si="294"/>
        <v>0</v>
      </c>
      <c r="M290" s="446">
        <f t="shared" si="294"/>
        <v>0</v>
      </c>
      <c r="N290" s="446">
        <f t="shared" si="294"/>
        <v>0</v>
      </c>
      <c r="O290" s="446">
        <f t="shared" si="294"/>
        <v>20000000</v>
      </c>
      <c r="P290" s="446">
        <f t="shared" si="294"/>
        <v>20000000</v>
      </c>
      <c r="Q290" s="628"/>
      <c r="R290" s="297"/>
    </row>
    <row r="291" spans="1:18" ht="93" thickTop="1" thickBot="1" x14ac:dyDescent="0.25">
      <c r="A291" s="489" t="s">
        <v>861</v>
      </c>
      <c r="B291" s="489" t="s">
        <v>862</v>
      </c>
      <c r="C291" s="489"/>
      <c r="D291" s="489" t="s">
        <v>863</v>
      </c>
      <c r="E291" s="490">
        <f>E292</f>
        <v>0</v>
      </c>
      <c r="F291" s="490">
        <f t="shared" si="294"/>
        <v>0</v>
      </c>
      <c r="G291" s="490">
        <f t="shared" si="294"/>
        <v>0</v>
      </c>
      <c r="H291" s="490">
        <f t="shared" si="294"/>
        <v>0</v>
      </c>
      <c r="I291" s="490">
        <f t="shared" si="294"/>
        <v>0</v>
      </c>
      <c r="J291" s="490">
        <f t="shared" si="294"/>
        <v>20000000</v>
      </c>
      <c r="K291" s="490">
        <f t="shared" si="294"/>
        <v>20000000</v>
      </c>
      <c r="L291" s="490">
        <f t="shared" si="294"/>
        <v>0</v>
      </c>
      <c r="M291" s="490">
        <f t="shared" si="294"/>
        <v>0</v>
      </c>
      <c r="N291" s="490">
        <f t="shared" si="294"/>
        <v>0</v>
      </c>
      <c r="O291" s="490">
        <f t="shared" si="294"/>
        <v>20000000</v>
      </c>
      <c r="P291" s="490">
        <f t="shared" si="294"/>
        <v>20000000</v>
      </c>
      <c r="Q291" s="628"/>
      <c r="R291" s="297"/>
    </row>
    <row r="292" spans="1:18" ht="409.6" thickTop="1" thickBot="1" x14ac:dyDescent="0.25">
      <c r="A292" s="533" t="s">
        <v>449</v>
      </c>
      <c r="B292" s="533" t="s">
        <v>450</v>
      </c>
      <c r="C292" s="533" t="s">
        <v>207</v>
      </c>
      <c r="D292" s="533" t="s">
        <v>1331</v>
      </c>
      <c r="E292" s="530">
        <f t="shared" ref="E292:E299" si="295">F292</f>
        <v>0</v>
      </c>
      <c r="F292" s="444"/>
      <c r="G292" s="444"/>
      <c r="H292" s="444"/>
      <c r="I292" s="444"/>
      <c r="J292" s="530">
        <f t="shared" si="288"/>
        <v>20000000</v>
      </c>
      <c r="K292" s="444">
        <v>20000000</v>
      </c>
      <c r="L292" s="444"/>
      <c r="M292" s="444"/>
      <c r="N292" s="444"/>
      <c r="O292" s="535">
        <f t="shared" ref="O292" si="296">K292</f>
        <v>20000000</v>
      </c>
      <c r="P292" s="530">
        <f t="shared" si="286"/>
        <v>20000000</v>
      </c>
      <c r="Q292" s="628"/>
      <c r="R292" s="292"/>
    </row>
    <row r="293" spans="1:18" ht="47.25" thickTop="1" thickBot="1" x14ac:dyDescent="0.25">
      <c r="A293" s="151" t="s">
        <v>864</v>
      </c>
      <c r="B293" s="151" t="s">
        <v>792</v>
      </c>
      <c r="C293" s="533"/>
      <c r="D293" s="151" t="s">
        <v>839</v>
      </c>
      <c r="E293" s="530">
        <f>E294+E302</f>
        <v>300000</v>
      </c>
      <c r="F293" s="530">
        <f t="shared" ref="F293:I293" si="297">F294+F302</f>
        <v>300000</v>
      </c>
      <c r="G293" s="530">
        <f t="shared" si="297"/>
        <v>0</v>
      </c>
      <c r="H293" s="530">
        <f t="shared" si="297"/>
        <v>0</v>
      </c>
      <c r="I293" s="530">
        <f t="shared" si="297"/>
        <v>0</v>
      </c>
      <c r="J293" s="530">
        <f t="shared" ref="J293" si="298">J294+J302</f>
        <v>12971688</v>
      </c>
      <c r="K293" s="530">
        <f t="shared" ref="K293" si="299">K294+K302</f>
        <v>12971688</v>
      </c>
      <c r="L293" s="530">
        <f t="shared" ref="L293" si="300">L294+L302</f>
        <v>0</v>
      </c>
      <c r="M293" s="530">
        <f t="shared" ref="M293" si="301">M294+M302</f>
        <v>0</v>
      </c>
      <c r="N293" s="530">
        <f t="shared" ref="N293" si="302">N294+N302</f>
        <v>0</v>
      </c>
      <c r="O293" s="530">
        <f t="shared" ref="O293" si="303">O294+O302</f>
        <v>12971688</v>
      </c>
      <c r="P293" s="530">
        <f t="shared" ref="P293" si="304">P294+P302</f>
        <v>13271688</v>
      </c>
      <c r="Q293" s="628"/>
      <c r="R293" s="297"/>
    </row>
    <row r="294" spans="1:18" ht="91.5" thickTop="1" thickBot="1" x14ac:dyDescent="0.25">
      <c r="A294" s="467" t="s">
        <v>865</v>
      </c>
      <c r="B294" s="467" t="s">
        <v>848</v>
      </c>
      <c r="C294" s="467"/>
      <c r="D294" s="467" t="s">
        <v>849</v>
      </c>
      <c r="E294" s="468">
        <f t="shared" ref="E294:P294" si="305">SUM(E295:E301)-E296</f>
        <v>0</v>
      </c>
      <c r="F294" s="468">
        <f t="shared" si="305"/>
        <v>0</v>
      </c>
      <c r="G294" s="468">
        <f t="shared" si="305"/>
        <v>0</v>
      </c>
      <c r="H294" s="468">
        <f t="shared" si="305"/>
        <v>0</v>
      </c>
      <c r="I294" s="468">
        <f t="shared" si="305"/>
        <v>0</v>
      </c>
      <c r="J294" s="468">
        <f t="shared" si="305"/>
        <v>12971688</v>
      </c>
      <c r="K294" s="468">
        <f t="shared" si="305"/>
        <v>12971688</v>
      </c>
      <c r="L294" s="468">
        <f t="shared" si="305"/>
        <v>0</v>
      </c>
      <c r="M294" s="468">
        <f t="shared" si="305"/>
        <v>0</v>
      </c>
      <c r="N294" s="468">
        <f t="shared" si="305"/>
        <v>0</v>
      </c>
      <c r="O294" s="468">
        <f t="shared" si="305"/>
        <v>12971688</v>
      </c>
      <c r="P294" s="468">
        <f t="shared" si="305"/>
        <v>12971688</v>
      </c>
      <c r="Q294" s="628"/>
      <c r="R294" s="297"/>
    </row>
    <row r="295" spans="1:18" ht="99.75" thickTop="1" thickBot="1" x14ac:dyDescent="0.25">
      <c r="A295" s="533" t="s">
        <v>987</v>
      </c>
      <c r="B295" s="533" t="s">
        <v>318</v>
      </c>
      <c r="C295" s="533" t="s">
        <v>317</v>
      </c>
      <c r="D295" s="533" t="s">
        <v>664</v>
      </c>
      <c r="E295" s="530">
        <f t="shared" ref="E295" si="306">F295</f>
        <v>0</v>
      </c>
      <c r="F295" s="444"/>
      <c r="G295" s="444"/>
      <c r="H295" s="444"/>
      <c r="I295" s="444"/>
      <c r="J295" s="530">
        <f t="shared" ref="J295" si="307">L295+O295</f>
        <v>706113</v>
      </c>
      <c r="K295" s="444">
        <v>706113</v>
      </c>
      <c r="L295" s="444"/>
      <c r="M295" s="444"/>
      <c r="N295" s="444"/>
      <c r="O295" s="535">
        <f>K295</f>
        <v>706113</v>
      </c>
      <c r="P295" s="530">
        <f t="shared" ref="P295" si="308">E295+J295</f>
        <v>706113</v>
      </c>
      <c r="Q295" s="628"/>
      <c r="R295" s="292"/>
    </row>
    <row r="296" spans="1:18" ht="146.25" thickTop="1" thickBot="1" x14ac:dyDescent="0.25">
      <c r="A296" s="489" t="s">
        <v>866</v>
      </c>
      <c r="B296" s="489" t="s">
        <v>867</v>
      </c>
      <c r="C296" s="489"/>
      <c r="D296" s="489" t="s">
        <v>868</v>
      </c>
      <c r="E296" s="472">
        <f>SUM(E297:E298)</f>
        <v>0</v>
      </c>
      <c r="F296" s="472">
        <f t="shared" ref="F296:P296" si="309">SUM(F297:F298)</f>
        <v>0</v>
      </c>
      <c r="G296" s="472">
        <f t="shared" si="309"/>
        <v>0</v>
      </c>
      <c r="H296" s="472">
        <f t="shared" si="309"/>
        <v>0</v>
      </c>
      <c r="I296" s="472">
        <f t="shared" si="309"/>
        <v>0</v>
      </c>
      <c r="J296" s="472">
        <f t="shared" si="309"/>
        <v>3192710</v>
      </c>
      <c r="K296" s="472">
        <f t="shared" si="309"/>
        <v>3192710</v>
      </c>
      <c r="L296" s="472">
        <f t="shared" si="309"/>
        <v>0</v>
      </c>
      <c r="M296" s="472">
        <f t="shared" si="309"/>
        <v>0</v>
      </c>
      <c r="N296" s="472">
        <f t="shared" si="309"/>
        <v>0</v>
      </c>
      <c r="O296" s="472">
        <f t="shared" si="309"/>
        <v>3192710</v>
      </c>
      <c r="P296" s="472">
        <f t="shared" si="309"/>
        <v>3192710</v>
      </c>
      <c r="Q296" s="628"/>
      <c r="R296" s="297"/>
    </row>
    <row r="297" spans="1:18" ht="99.75" thickTop="1" thickBot="1" x14ac:dyDescent="0.25">
      <c r="A297" s="533" t="s">
        <v>323</v>
      </c>
      <c r="B297" s="533" t="s">
        <v>324</v>
      </c>
      <c r="C297" s="533" t="s">
        <v>317</v>
      </c>
      <c r="D297" s="533" t="s">
        <v>665</v>
      </c>
      <c r="E297" s="530">
        <f t="shared" si="295"/>
        <v>0</v>
      </c>
      <c r="F297" s="444"/>
      <c r="G297" s="444"/>
      <c r="H297" s="444"/>
      <c r="I297" s="444"/>
      <c r="J297" s="530">
        <f t="shared" si="288"/>
        <v>1944219</v>
      </c>
      <c r="K297" s="444">
        <v>1944219</v>
      </c>
      <c r="L297" s="444"/>
      <c r="M297" s="444"/>
      <c r="N297" s="444"/>
      <c r="O297" s="535">
        <f>K297</f>
        <v>1944219</v>
      </c>
      <c r="P297" s="530">
        <f t="shared" si="286"/>
        <v>1944219</v>
      </c>
      <c r="Q297" s="615"/>
      <c r="R297" s="292"/>
    </row>
    <row r="298" spans="1:18" ht="99.75" thickTop="1" thickBot="1" x14ac:dyDescent="0.25">
      <c r="A298" s="533" t="s">
        <v>534</v>
      </c>
      <c r="B298" s="533" t="s">
        <v>535</v>
      </c>
      <c r="C298" s="533" t="s">
        <v>317</v>
      </c>
      <c r="D298" s="533" t="s">
        <v>666</v>
      </c>
      <c r="E298" s="530">
        <f t="shared" si="295"/>
        <v>0</v>
      </c>
      <c r="F298" s="444"/>
      <c r="G298" s="444"/>
      <c r="H298" s="444"/>
      <c r="I298" s="444"/>
      <c r="J298" s="530">
        <f t="shared" si="288"/>
        <v>1248491</v>
      </c>
      <c r="K298" s="444">
        <v>1248491</v>
      </c>
      <c r="L298" s="444"/>
      <c r="M298" s="444"/>
      <c r="N298" s="444"/>
      <c r="O298" s="535">
        <f>K298</f>
        <v>1248491</v>
      </c>
      <c r="P298" s="530">
        <f t="shared" si="286"/>
        <v>1248491</v>
      </c>
      <c r="Q298" s="615"/>
      <c r="R298" s="292"/>
    </row>
    <row r="299" spans="1:18" ht="145.5" thickTop="1" thickBot="1" x14ac:dyDescent="0.25">
      <c r="A299" s="533" t="s">
        <v>325</v>
      </c>
      <c r="B299" s="533" t="s">
        <v>326</v>
      </c>
      <c r="C299" s="533" t="s">
        <v>317</v>
      </c>
      <c r="D299" s="533" t="s">
        <v>667</v>
      </c>
      <c r="E299" s="530">
        <f t="shared" si="295"/>
        <v>0</v>
      </c>
      <c r="F299" s="444"/>
      <c r="G299" s="444"/>
      <c r="H299" s="444"/>
      <c r="I299" s="444"/>
      <c r="J299" s="530">
        <f t="shared" si="288"/>
        <v>1300000</v>
      </c>
      <c r="K299" s="444">
        <v>1300000</v>
      </c>
      <c r="L299" s="444"/>
      <c r="M299" s="444"/>
      <c r="N299" s="444"/>
      <c r="O299" s="535">
        <f>K299</f>
        <v>1300000</v>
      </c>
      <c r="P299" s="530">
        <f t="shared" si="286"/>
        <v>1300000</v>
      </c>
      <c r="Q299" s="615"/>
    </row>
    <row r="300" spans="1:18" ht="99.75" thickTop="1" thickBot="1" x14ac:dyDescent="0.3">
      <c r="A300" s="533" t="s">
        <v>327</v>
      </c>
      <c r="B300" s="533" t="s">
        <v>328</v>
      </c>
      <c r="C300" s="533" t="s">
        <v>317</v>
      </c>
      <c r="D300" s="533" t="s">
        <v>668</v>
      </c>
      <c r="E300" s="530">
        <f>F300</f>
        <v>0</v>
      </c>
      <c r="F300" s="444"/>
      <c r="G300" s="444"/>
      <c r="H300" s="444"/>
      <c r="I300" s="444"/>
      <c r="J300" s="530">
        <f t="shared" si="288"/>
        <v>7772865</v>
      </c>
      <c r="K300" s="444">
        <f>7272865+500000</f>
        <v>7772865</v>
      </c>
      <c r="L300" s="444"/>
      <c r="M300" s="444"/>
      <c r="N300" s="444"/>
      <c r="O300" s="535">
        <f>K300</f>
        <v>7772865</v>
      </c>
      <c r="P300" s="530">
        <f t="shared" si="286"/>
        <v>7772865</v>
      </c>
      <c r="Q300" s="633"/>
      <c r="R300" s="292"/>
    </row>
    <row r="301" spans="1:18" ht="138.75" hidden="1" thickTop="1" thickBot="1" x14ac:dyDescent="0.25">
      <c r="A301" s="259" t="s">
        <v>454</v>
      </c>
      <c r="B301" s="259" t="s">
        <v>364</v>
      </c>
      <c r="C301" s="259" t="s">
        <v>178</v>
      </c>
      <c r="D301" s="259" t="s">
        <v>274</v>
      </c>
      <c r="E301" s="256">
        <f>F301</f>
        <v>0</v>
      </c>
      <c r="F301" s="278"/>
      <c r="G301" s="278"/>
      <c r="H301" s="278"/>
      <c r="I301" s="278"/>
      <c r="J301" s="256">
        <f t="shared" si="288"/>
        <v>0</v>
      </c>
      <c r="K301" s="278">
        <v>0</v>
      </c>
      <c r="L301" s="278"/>
      <c r="M301" s="278"/>
      <c r="N301" s="278"/>
      <c r="O301" s="262">
        <f>K301</f>
        <v>0</v>
      </c>
      <c r="P301" s="256">
        <f t="shared" si="286"/>
        <v>0</v>
      </c>
      <c r="R301" s="292"/>
    </row>
    <row r="302" spans="1:18" ht="136.5" thickTop="1" thickBot="1" x14ac:dyDescent="0.25">
      <c r="A302" s="467" t="s">
        <v>1064</v>
      </c>
      <c r="B302" s="467" t="s">
        <v>734</v>
      </c>
      <c r="C302" s="467"/>
      <c r="D302" s="467" t="s">
        <v>732</v>
      </c>
      <c r="E302" s="524">
        <f>E303</f>
        <v>300000</v>
      </c>
      <c r="F302" s="524">
        <f>F303</f>
        <v>300000</v>
      </c>
      <c r="G302" s="524">
        <f>G303</f>
        <v>0</v>
      </c>
      <c r="H302" s="524">
        <f>H303</f>
        <v>0</v>
      </c>
      <c r="I302" s="524">
        <f>I303</f>
        <v>0</v>
      </c>
      <c r="J302" s="524">
        <f t="shared" ref="J302:O302" si="310">J303</f>
        <v>0</v>
      </c>
      <c r="K302" s="524">
        <f t="shared" si="310"/>
        <v>0</v>
      </c>
      <c r="L302" s="524">
        <f t="shared" si="310"/>
        <v>0</v>
      </c>
      <c r="M302" s="524">
        <f t="shared" si="310"/>
        <v>0</v>
      </c>
      <c r="N302" s="524">
        <f t="shared" si="310"/>
        <v>0</v>
      </c>
      <c r="O302" s="524">
        <f t="shared" si="310"/>
        <v>0</v>
      </c>
      <c r="P302" s="524">
        <f>P303</f>
        <v>300000</v>
      </c>
      <c r="R302" s="292"/>
    </row>
    <row r="303" spans="1:18" ht="48" thickTop="1" thickBot="1" x14ac:dyDescent="0.25">
      <c r="A303" s="489" t="s">
        <v>1065</v>
      </c>
      <c r="B303" s="489" t="s">
        <v>737</v>
      </c>
      <c r="C303" s="489"/>
      <c r="D303" s="489" t="s">
        <v>842</v>
      </c>
      <c r="E303" s="490">
        <f>E304+E306</f>
        <v>300000</v>
      </c>
      <c r="F303" s="490">
        <f t="shared" ref="F303:P303" si="311">F304+F306</f>
        <v>300000</v>
      </c>
      <c r="G303" s="490">
        <f t="shared" si="311"/>
        <v>0</v>
      </c>
      <c r="H303" s="490">
        <f t="shared" si="311"/>
        <v>0</v>
      </c>
      <c r="I303" s="490">
        <f t="shared" si="311"/>
        <v>0</v>
      </c>
      <c r="J303" s="490">
        <f t="shared" si="311"/>
        <v>0</v>
      </c>
      <c r="K303" s="490">
        <f t="shared" si="311"/>
        <v>0</v>
      </c>
      <c r="L303" s="490">
        <f t="shared" si="311"/>
        <v>0</v>
      </c>
      <c r="M303" s="490">
        <f t="shared" si="311"/>
        <v>0</v>
      </c>
      <c r="N303" s="490">
        <f t="shared" si="311"/>
        <v>0</v>
      </c>
      <c r="O303" s="490">
        <f t="shared" si="311"/>
        <v>0</v>
      </c>
      <c r="P303" s="490">
        <f t="shared" si="311"/>
        <v>300000</v>
      </c>
      <c r="R303" s="292"/>
    </row>
    <row r="304" spans="1:18" ht="409.6" hidden="1" thickTop="1" thickBot="1" x14ac:dyDescent="0.7">
      <c r="A304" s="917" t="s">
        <v>1066</v>
      </c>
      <c r="B304" s="917" t="s">
        <v>352</v>
      </c>
      <c r="C304" s="917" t="s">
        <v>178</v>
      </c>
      <c r="D304" s="303" t="s">
        <v>457</v>
      </c>
      <c r="E304" s="918">
        <f t="shared" ref="E304" si="312">F304</f>
        <v>0</v>
      </c>
      <c r="F304" s="919"/>
      <c r="G304" s="919"/>
      <c r="H304" s="919"/>
      <c r="I304" s="919"/>
      <c r="J304" s="918">
        <f t="shared" ref="J304" si="313">L304+O304</f>
        <v>0</v>
      </c>
      <c r="K304" s="919"/>
      <c r="L304" s="919"/>
      <c r="M304" s="919"/>
      <c r="N304" s="919"/>
      <c r="O304" s="926">
        <f>K304</f>
        <v>0</v>
      </c>
      <c r="P304" s="914">
        <f>E304+J304</f>
        <v>0</v>
      </c>
      <c r="R304" s="292"/>
    </row>
    <row r="305" spans="1:18" ht="184.5" hidden="1" thickTop="1" thickBot="1" x14ac:dyDescent="0.25">
      <c r="A305" s="917"/>
      <c r="B305" s="917"/>
      <c r="C305" s="917"/>
      <c r="D305" s="304" t="s">
        <v>458</v>
      </c>
      <c r="E305" s="918"/>
      <c r="F305" s="919"/>
      <c r="G305" s="919"/>
      <c r="H305" s="919"/>
      <c r="I305" s="919"/>
      <c r="J305" s="918"/>
      <c r="K305" s="919"/>
      <c r="L305" s="919"/>
      <c r="M305" s="919"/>
      <c r="N305" s="919"/>
      <c r="O305" s="926"/>
      <c r="P305" s="914"/>
      <c r="R305" s="292"/>
    </row>
    <row r="306" spans="1:18" s="779" customFormat="1" ht="93" thickTop="1" thickBot="1" x14ac:dyDescent="0.25">
      <c r="A306" s="775" t="s">
        <v>1362</v>
      </c>
      <c r="B306" s="775" t="s">
        <v>269</v>
      </c>
      <c r="C306" s="775" t="s">
        <v>178</v>
      </c>
      <c r="D306" s="488" t="s">
        <v>267</v>
      </c>
      <c r="E306" s="773">
        <f>F306</f>
        <v>300000</v>
      </c>
      <c r="F306" s="444">
        <v>300000</v>
      </c>
      <c r="G306" s="444"/>
      <c r="H306" s="444"/>
      <c r="I306" s="444"/>
      <c r="J306" s="773">
        <f t="shared" ref="J306" si="314">L306+O306</f>
        <v>0</v>
      </c>
      <c r="K306" s="444"/>
      <c r="L306" s="444"/>
      <c r="M306" s="444"/>
      <c r="N306" s="444"/>
      <c r="O306" s="776">
        <f>K306</f>
        <v>0</v>
      </c>
      <c r="P306" s="773">
        <f t="shared" ref="P306" si="315">E306+J306</f>
        <v>300000</v>
      </c>
      <c r="Q306" s="614"/>
      <c r="R306" s="777"/>
    </row>
    <row r="307" spans="1:18" ht="181.5" thickTop="1" thickBot="1" x14ac:dyDescent="0.25">
      <c r="A307" s="828" t="s">
        <v>168</v>
      </c>
      <c r="B307" s="828"/>
      <c r="C307" s="828"/>
      <c r="D307" s="829" t="s">
        <v>946</v>
      </c>
      <c r="E307" s="830">
        <f>E308</f>
        <v>8172083</v>
      </c>
      <c r="F307" s="831">
        <f t="shared" ref="F307:G307" si="316">F308</f>
        <v>8172083</v>
      </c>
      <c r="G307" s="831">
        <f t="shared" si="316"/>
        <v>6097950</v>
      </c>
      <c r="H307" s="831">
        <f>H308</f>
        <v>195000</v>
      </c>
      <c r="I307" s="831">
        <f t="shared" ref="I307" si="317">I308</f>
        <v>0</v>
      </c>
      <c r="J307" s="830">
        <f>J308</f>
        <v>1498100</v>
      </c>
      <c r="K307" s="831">
        <f>K308</f>
        <v>1498100</v>
      </c>
      <c r="L307" s="831">
        <f>L308</f>
        <v>0</v>
      </c>
      <c r="M307" s="831">
        <f t="shared" ref="M307" si="318">M308</f>
        <v>0</v>
      </c>
      <c r="N307" s="831">
        <f>N308</f>
        <v>0</v>
      </c>
      <c r="O307" s="830">
        <f>O308</f>
        <v>1498100</v>
      </c>
      <c r="P307" s="831">
        <f t="shared" ref="P307" si="319">P308</f>
        <v>9670183</v>
      </c>
    </row>
    <row r="308" spans="1:18" ht="181.5" thickTop="1" thickBot="1" x14ac:dyDescent="0.25">
      <c r="A308" s="832" t="s">
        <v>169</v>
      </c>
      <c r="B308" s="832"/>
      <c r="C308" s="832"/>
      <c r="D308" s="833" t="s">
        <v>947</v>
      </c>
      <c r="E308" s="834">
        <f>E309+E312</f>
        <v>8172083</v>
      </c>
      <c r="F308" s="834">
        <f>F309+F312</f>
        <v>8172083</v>
      </c>
      <c r="G308" s="834">
        <f>G309+G312</f>
        <v>6097950</v>
      </c>
      <c r="H308" s="834">
        <f>H309+H312</f>
        <v>195000</v>
      </c>
      <c r="I308" s="834">
        <f>I309+I312</f>
        <v>0</v>
      </c>
      <c r="J308" s="834">
        <f>L308+O308</f>
        <v>1498100</v>
      </c>
      <c r="K308" s="834">
        <f>K309+K312</f>
        <v>1498100</v>
      </c>
      <c r="L308" s="834">
        <f>L309+L312</f>
        <v>0</v>
      </c>
      <c r="M308" s="834">
        <f>M309+M312</f>
        <v>0</v>
      </c>
      <c r="N308" s="834">
        <f>N309+N312</f>
        <v>0</v>
      </c>
      <c r="O308" s="834">
        <f>O309+O312</f>
        <v>1498100</v>
      </c>
      <c r="P308" s="834">
        <f>E308+J308</f>
        <v>9670183</v>
      </c>
      <c r="Q308" s="628" t="b">
        <f>P308=P310+P311+P314</f>
        <v>1</v>
      </c>
      <c r="R308" s="292"/>
    </row>
    <row r="309" spans="1:18" ht="47.25" thickTop="1" thickBot="1" x14ac:dyDescent="0.25">
      <c r="A309" s="151" t="s">
        <v>869</v>
      </c>
      <c r="B309" s="151" t="s">
        <v>727</v>
      </c>
      <c r="C309" s="151"/>
      <c r="D309" s="151" t="s">
        <v>728</v>
      </c>
      <c r="E309" s="443">
        <f>SUM(E310:E311)</f>
        <v>8172083</v>
      </c>
      <c r="F309" s="443">
        <f t="shared" ref="F309" si="320">SUM(F310:F311)</f>
        <v>8172083</v>
      </c>
      <c r="G309" s="443">
        <f t="shared" ref="G309" si="321">SUM(G310:G311)</f>
        <v>6097950</v>
      </c>
      <c r="H309" s="443">
        <f t="shared" ref="H309" si="322">SUM(H310:H311)</f>
        <v>195000</v>
      </c>
      <c r="I309" s="443">
        <f t="shared" ref="I309" si="323">SUM(I310:I311)</f>
        <v>0</v>
      </c>
      <c r="J309" s="443">
        <f t="shared" ref="J309" si="324">SUM(J310:J311)</f>
        <v>90000</v>
      </c>
      <c r="K309" s="443">
        <f t="shared" ref="K309" si="325">SUM(K310:K311)</f>
        <v>90000</v>
      </c>
      <c r="L309" s="443">
        <f t="shared" ref="L309" si="326">SUM(L310:L311)</f>
        <v>0</v>
      </c>
      <c r="M309" s="443">
        <f t="shared" ref="M309" si="327">SUM(M310:M311)</f>
        <v>0</v>
      </c>
      <c r="N309" s="443">
        <f t="shared" ref="N309" si="328">SUM(N310:N311)</f>
        <v>0</v>
      </c>
      <c r="O309" s="443">
        <f t="shared" ref="O309" si="329">SUM(O310:O311)</f>
        <v>90000</v>
      </c>
      <c r="P309" s="443">
        <f t="shared" ref="P309" si="330">SUM(P310:P311)</f>
        <v>8262083</v>
      </c>
      <c r="Q309" s="628"/>
      <c r="R309" s="292"/>
    </row>
    <row r="310" spans="1:18" ht="230.25" thickTop="1" thickBot="1" x14ac:dyDescent="0.25">
      <c r="A310" s="224" t="s">
        <v>435</v>
      </c>
      <c r="B310" s="224" t="s">
        <v>248</v>
      </c>
      <c r="C310" s="224" t="s">
        <v>246</v>
      </c>
      <c r="D310" s="224" t="s">
        <v>247</v>
      </c>
      <c r="E310" s="443">
        <f>F310</f>
        <v>8164495</v>
      </c>
      <c r="F310" s="444">
        <v>8164495</v>
      </c>
      <c r="G310" s="444">
        <v>6097950</v>
      </c>
      <c r="H310" s="444">
        <f>151000+3000+41000</f>
        <v>195000</v>
      </c>
      <c r="I310" s="444"/>
      <c r="J310" s="443">
        <f>L310+O310</f>
        <v>90000</v>
      </c>
      <c r="K310" s="444">
        <v>90000</v>
      </c>
      <c r="L310" s="444"/>
      <c r="M310" s="444"/>
      <c r="N310" s="444"/>
      <c r="O310" s="445">
        <f>K310</f>
        <v>90000</v>
      </c>
      <c r="P310" s="443">
        <f>E310+J310</f>
        <v>8254495</v>
      </c>
      <c r="Q310" s="628"/>
      <c r="R310" s="292"/>
    </row>
    <row r="311" spans="1:18" ht="184.5" thickTop="1" thickBot="1" x14ac:dyDescent="0.25">
      <c r="A311" s="224" t="s">
        <v>673</v>
      </c>
      <c r="B311" s="224" t="s">
        <v>376</v>
      </c>
      <c r="C311" s="224" t="s">
        <v>662</v>
      </c>
      <c r="D311" s="224" t="s">
        <v>663</v>
      </c>
      <c r="E311" s="446">
        <f>F311</f>
        <v>7588</v>
      </c>
      <c r="F311" s="447">
        <v>7588</v>
      </c>
      <c r="G311" s="447"/>
      <c r="H311" s="447"/>
      <c r="I311" s="447"/>
      <c r="J311" s="443">
        <f t="shared" ref="J311" si="331">L311+O311</f>
        <v>0</v>
      </c>
      <c r="K311" s="447"/>
      <c r="L311" s="459"/>
      <c r="M311" s="459"/>
      <c r="N311" s="459"/>
      <c r="O311" s="445">
        <f t="shared" ref="O311" si="332">K311</f>
        <v>0</v>
      </c>
      <c r="P311" s="443">
        <f t="shared" ref="P311" si="333">+J311+E311</f>
        <v>7588</v>
      </c>
      <c r="Q311" s="628"/>
      <c r="R311" s="292"/>
    </row>
    <row r="312" spans="1:18" ht="47.25" thickTop="1" thickBot="1" x14ac:dyDescent="0.25">
      <c r="A312" s="151" t="s">
        <v>965</v>
      </c>
      <c r="B312" s="151" t="s">
        <v>792</v>
      </c>
      <c r="C312" s="533"/>
      <c r="D312" s="151" t="s">
        <v>839</v>
      </c>
      <c r="E312" s="530">
        <f>E313</f>
        <v>0</v>
      </c>
      <c r="F312" s="530">
        <f t="shared" ref="F312:P313" si="334">F313</f>
        <v>0</v>
      </c>
      <c r="G312" s="530">
        <f t="shared" si="334"/>
        <v>0</v>
      </c>
      <c r="H312" s="530">
        <f t="shared" si="334"/>
        <v>0</v>
      </c>
      <c r="I312" s="530">
        <f t="shared" si="334"/>
        <v>0</v>
      </c>
      <c r="J312" s="530">
        <f t="shared" si="334"/>
        <v>1408100</v>
      </c>
      <c r="K312" s="530">
        <f t="shared" si="334"/>
        <v>1408100</v>
      </c>
      <c r="L312" s="530">
        <f t="shared" si="334"/>
        <v>0</v>
      </c>
      <c r="M312" s="530">
        <f t="shared" si="334"/>
        <v>0</v>
      </c>
      <c r="N312" s="530">
        <f t="shared" si="334"/>
        <v>0</v>
      </c>
      <c r="O312" s="530">
        <f t="shared" si="334"/>
        <v>1408100</v>
      </c>
      <c r="P312" s="530">
        <f t="shared" si="334"/>
        <v>1408100</v>
      </c>
      <c r="Q312" s="628"/>
      <c r="R312" s="292"/>
    </row>
    <row r="313" spans="1:18" ht="91.5" thickTop="1" thickBot="1" x14ac:dyDescent="0.25">
      <c r="A313" s="467" t="s">
        <v>966</v>
      </c>
      <c r="B313" s="467" t="s">
        <v>848</v>
      </c>
      <c r="C313" s="467"/>
      <c r="D313" s="467" t="s">
        <v>849</v>
      </c>
      <c r="E313" s="468">
        <f>E314</f>
        <v>0</v>
      </c>
      <c r="F313" s="468">
        <f t="shared" si="334"/>
        <v>0</v>
      </c>
      <c r="G313" s="468">
        <f t="shared" si="334"/>
        <v>0</v>
      </c>
      <c r="H313" s="468">
        <f t="shared" si="334"/>
        <v>0</v>
      </c>
      <c r="I313" s="468">
        <f t="shared" si="334"/>
        <v>0</v>
      </c>
      <c r="J313" s="468">
        <f t="shared" si="334"/>
        <v>1408100</v>
      </c>
      <c r="K313" s="468">
        <f t="shared" si="334"/>
        <v>1408100</v>
      </c>
      <c r="L313" s="468">
        <f t="shared" si="334"/>
        <v>0</v>
      </c>
      <c r="M313" s="468">
        <f t="shared" si="334"/>
        <v>0</v>
      </c>
      <c r="N313" s="468">
        <f t="shared" si="334"/>
        <v>0</v>
      </c>
      <c r="O313" s="468">
        <f t="shared" si="334"/>
        <v>1408100</v>
      </c>
      <c r="P313" s="468">
        <f t="shared" si="334"/>
        <v>1408100</v>
      </c>
      <c r="Q313" s="628"/>
      <c r="R313" s="292"/>
    </row>
    <row r="314" spans="1:18" ht="138.75" thickTop="1" thickBot="1" x14ac:dyDescent="0.25">
      <c r="A314" s="533" t="s">
        <v>967</v>
      </c>
      <c r="B314" s="533" t="s">
        <v>968</v>
      </c>
      <c r="C314" s="533" t="s">
        <v>317</v>
      </c>
      <c r="D314" s="533" t="s">
        <v>969</v>
      </c>
      <c r="E314" s="446">
        <f>F314</f>
        <v>0</v>
      </c>
      <c r="F314" s="447"/>
      <c r="G314" s="447"/>
      <c r="H314" s="447"/>
      <c r="I314" s="447"/>
      <c r="J314" s="530">
        <f t="shared" ref="J314" si="335">L314+O314</f>
        <v>1408100</v>
      </c>
      <c r="K314" s="447">
        <v>1408100</v>
      </c>
      <c r="L314" s="459"/>
      <c r="M314" s="459"/>
      <c r="N314" s="459"/>
      <c r="O314" s="535">
        <f t="shared" ref="O314" si="336">K314</f>
        <v>1408100</v>
      </c>
      <c r="P314" s="530">
        <f t="shared" ref="P314" si="337">+J314+E314</f>
        <v>1408100</v>
      </c>
      <c r="Q314" s="628"/>
      <c r="R314" s="292"/>
    </row>
    <row r="315" spans="1:18" ht="136.5" thickTop="1" thickBot="1" x14ac:dyDescent="0.25">
      <c r="A315" s="828" t="s">
        <v>461</v>
      </c>
      <c r="B315" s="828"/>
      <c r="C315" s="828"/>
      <c r="D315" s="829" t="s">
        <v>463</v>
      </c>
      <c r="E315" s="830">
        <f>E316</f>
        <v>116755191</v>
      </c>
      <c r="F315" s="831">
        <f t="shared" ref="F315:G315" si="338">F316</f>
        <v>116755191</v>
      </c>
      <c r="G315" s="831">
        <f t="shared" si="338"/>
        <v>3273700</v>
      </c>
      <c r="H315" s="831">
        <f>H316</f>
        <v>131446</v>
      </c>
      <c r="I315" s="831">
        <f t="shared" ref="I315" si="339">I316</f>
        <v>0</v>
      </c>
      <c r="J315" s="830">
        <f>J316</f>
        <v>23741650</v>
      </c>
      <c r="K315" s="831">
        <f>K316</f>
        <v>23741650</v>
      </c>
      <c r="L315" s="831">
        <f>L316</f>
        <v>0</v>
      </c>
      <c r="M315" s="831">
        <f t="shared" ref="M315" si="340">M316</f>
        <v>0</v>
      </c>
      <c r="N315" s="831">
        <f>N316</f>
        <v>0</v>
      </c>
      <c r="O315" s="830">
        <f>O316</f>
        <v>23741650</v>
      </c>
      <c r="P315" s="831">
        <f t="shared" ref="P315" si="341">P316</f>
        <v>140496841</v>
      </c>
    </row>
    <row r="316" spans="1:18" ht="181.5" thickTop="1" thickBot="1" x14ac:dyDescent="0.25">
      <c r="A316" s="832" t="s">
        <v>462</v>
      </c>
      <c r="B316" s="832"/>
      <c r="C316" s="832"/>
      <c r="D316" s="833" t="s">
        <v>464</v>
      </c>
      <c r="E316" s="834">
        <f>E317+E320</f>
        <v>116755191</v>
      </c>
      <c r="F316" s="834">
        <f>F317+F320</f>
        <v>116755191</v>
      </c>
      <c r="G316" s="834">
        <f>G317+G320</f>
        <v>3273700</v>
      </c>
      <c r="H316" s="834">
        <f>H317+H320</f>
        <v>131446</v>
      </c>
      <c r="I316" s="834">
        <f>I317+I320</f>
        <v>0</v>
      </c>
      <c r="J316" s="834">
        <f>L316+O316</f>
        <v>23741650</v>
      </c>
      <c r="K316" s="834">
        <f>K317+K320</f>
        <v>23741650</v>
      </c>
      <c r="L316" s="834">
        <f>L317+L320</f>
        <v>0</v>
      </c>
      <c r="M316" s="834">
        <f>M317+M320</f>
        <v>0</v>
      </c>
      <c r="N316" s="834">
        <f>N317+N320</f>
        <v>0</v>
      </c>
      <c r="O316" s="834">
        <f>O317+O320</f>
        <v>23741650</v>
      </c>
      <c r="P316" s="834">
        <f>E316+J316</f>
        <v>140496841</v>
      </c>
      <c r="Q316" s="628" t="b">
        <f>P316=P318+P325+P319+P323+P328+P326</f>
        <v>1</v>
      </c>
      <c r="R316" s="292"/>
    </row>
    <row r="317" spans="1:18" ht="47.25" thickTop="1" thickBot="1" x14ac:dyDescent="0.25">
      <c r="A317" s="151" t="s">
        <v>870</v>
      </c>
      <c r="B317" s="151" t="s">
        <v>727</v>
      </c>
      <c r="C317" s="151"/>
      <c r="D317" s="151" t="s">
        <v>728</v>
      </c>
      <c r="E317" s="443">
        <f>SUM(E318:E319)</f>
        <v>6963391</v>
      </c>
      <c r="F317" s="443">
        <f t="shared" ref="F317" si="342">SUM(F318:F319)</f>
        <v>6963391</v>
      </c>
      <c r="G317" s="443">
        <f t="shared" ref="G317" si="343">SUM(G318:G319)</f>
        <v>3273700</v>
      </c>
      <c r="H317" s="443">
        <f t="shared" ref="H317" si="344">SUM(H318:H319)</f>
        <v>131446</v>
      </c>
      <c r="I317" s="443">
        <f t="shared" ref="I317" si="345">SUM(I318:I319)</f>
        <v>0</v>
      </c>
      <c r="J317" s="530">
        <f t="shared" ref="J317" si="346">SUM(J318:J319)</f>
        <v>110500</v>
      </c>
      <c r="K317" s="530">
        <f t="shared" ref="K317" si="347">SUM(K318:K319)</f>
        <v>110500</v>
      </c>
      <c r="L317" s="530">
        <f t="shared" ref="L317" si="348">SUM(L318:L319)</f>
        <v>0</v>
      </c>
      <c r="M317" s="530">
        <f t="shared" ref="M317" si="349">SUM(M318:M319)</f>
        <v>0</v>
      </c>
      <c r="N317" s="530">
        <f t="shared" ref="N317" si="350">SUM(N318:N319)</f>
        <v>0</v>
      </c>
      <c r="O317" s="530">
        <f t="shared" ref="O317" si="351">SUM(O318:O319)</f>
        <v>110500</v>
      </c>
      <c r="P317" s="530">
        <f t="shared" ref="P317" si="352">SUM(P318:P319)</f>
        <v>7073891</v>
      </c>
      <c r="Q317" s="628"/>
      <c r="R317" s="292"/>
    </row>
    <row r="318" spans="1:18" ht="230.25" thickTop="1" thickBot="1" x14ac:dyDescent="0.25">
      <c r="A318" s="224" t="s">
        <v>465</v>
      </c>
      <c r="B318" s="224" t="s">
        <v>248</v>
      </c>
      <c r="C318" s="224" t="s">
        <v>246</v>
      </c>
      <c r="D318" s="224" t="s">
        <v>247</v>
      </c>
      <c r="E318" s="443">
        <f>F318</f>
        <v>6963391</v>
      </c>
      <c r="F318" s="444">
        <f>(6322671)+640720</f>
        <v>6963391</v>
      </c>
      <c r="G318" s="444">
        <f>(3273700)</f>
        <v>3273700</v>
      </c>
      <c r="H318" s="444">
        <f>86000+2822+39624+3000</f>
        <v>131446</v>
      </c>
      <c r="I318" s="444"/>
      <c r="J318" s="530">
        <f>L318+O318</f>
        <v>110500</v>
      </c>
      <c r="K318" s="444">
        <v>110500</v>
      </c>
      <c r="L318" s="444"/>
      <c r="M318" s="444"/>
      <c r="N318" s="444"/>
      <c r="O318" s="535">
        <f>K318</f>
        <v>110500</v>
      </c>
      <c r="P318" s="530">
        <f>E318+J318</f>
        <v>7073891</v>
      </c>
      <c r="Q318" s="628"/>
      <c r="R318" s="292"/>
    </row>
    <row r="319" spans="1:18" ht="184.5" hidden="1" thickTop="1" thickBot="1" x14ac:dyDescent="0.25">
      <c r="A319" s="259" t="s">
        <v>674</v>
      </c>
      <c r="B319" s="259" t="s">
        <v>376</v>
      </c>
      <c r="C319" s="259" t="s">
        <v>662</v>
      </c>
      <c r="D319" s="259" t="s">
        <v>663</v>
      </c>
      <c r="E319" s="305">
        <f>F319</f>
        <v>0</v>
      </c>
      <c r="F319" s="260"/>
      <c r="G319" s="260"/>
      <c r="H319" s="260"/>
      <c r="I319" s="260"/>
      <c r="J319" s="256">
        <f t="shared" ref="J319" si="353">L319+O319</f>
        <v>0</v>
      </c>
      <c r="K319" s="260"/>
      <c r="L319" s="261"/>
      <c r="M319" s="261"/>
      <c r="N319" s="261"/>
      <c r="O319" s="262">
        <f t="shared" ref="O319" si="354">K319</f>
        <v>0</v>
      </c>
      <c r="P319" s="256">
        <f t="shared" ref="P319" si="355">+J319+E319</f>
        <v>0</v>
      </c>
      <c r="Q319" s="628"/>
      <c r="R319" s="292"/>
    </row>
    <row r="320" spans="1:18" ht="47.25" thickTop="1" thickBot="1" x14ac:dyDescent="0.25">
      <c r="A320" s="151" t="s">
        <v>871</v>
      </c>
      <c r="B320" s="151" t="s">
        <v>792</v>
      </c>
      <c r="C320" s="533"/>
      <c r="D320" s="151" t="s">
        <v>839</v>
      </c>
      <c r="E320" s="530">
        <f>E321+E327</f>
        <v>109791800</v>
      </c>
      <c r="F320" s="737">
        <f t="shared" ref="F320:P320" si="356">F321+F327</f>
        <v>109791800</v>
      </c>
      <c r="G320" s="737">
        <f t="shared" si="356"/>
        <v>0</v>
      </c>
      <c r="H320" s="737">
        <f t="shared" si="356"/>
        <v>0</v>
      </c>
      <c r="I320" s="737">
        <f t="shared" si="356"/>
        <v>0</v>
      </c>
      <c r="J320" s="737">
        <f t="shared" si="356"/>
        <v>23631150</v>
      </c>
      <c r="K320" s="737">
        <f t="shared" si="356"/>
        <v>23631150</v>
      </c>
      <c r="L320" s="737">
        <f t="shared" si="356"/>
        <v>0</v>
      </c>
      <c r="M320" s="737">
        <f t="shared" si="356"/>
        <v>0</v>
      </c>
      <c r="N320" s="737">
        <f t="shared" si="356"/>
        <v>0</v>
      </c>
      <c r="O320" s="737">
        <f t="shared" si="356"/>
        <v>23631150</v>
      </c>
      <c r="P320" s="737">
        <f t="shared" si="356"/>
        <v>133422950</v>
      </c>
      <c r="Q320" s="628"/>
      <c r="R320" s="297"/>
    </row>
    <row r="321" spans="1:18" ht="136.5" thickTop="1" thickBot="1" x14ac:dyDescent="0.25">
      <c r="A321" s="467" t="s">
        <v>872</v>
      </c>
      <c r="B321" s="467" t="s">
        <v>851</v>
      </c>
      <c r="C321" s="467"/>
      <c r="D321" s="467" t="s">
        <v>852</v>
      </c>
      <c r="E321" s="468">
        <f>E324+E326</f>
        <v>109791800</v>
      </c>
      <c r="F321" s="468">
        <f t="shared" ref="F321:P321" si="357">F324+F326</f>
        <v>109791800</v>
      </c>
      <c r="G321" s="468">
        <f t="shared" si="357"/>
        <v>0</v>
      </c>
      <c r="H321" s="468">
        <f t="shared" si="357"/>
        <v>0</v>
      </c>
      <c r="I321" s="468">
        <f t="shared" si="357"/>
        <v>0</v>
      </c>
      <c r="J321" s="468">
        <f t="shared" si="357"/>
        <v>0</v>
      </c>
      <c r="K321" s="468">
        <f t="shared" si="357"/>
        <v>0</v>
      </c>
      <c r="L321" s="468">
        <f t="shared" si="357"/>
        <v>0</v>
      </c>
      <c r="M321" s="468">
        <f t="shared" si="357"/>
        <v>0</v>
      </c>
      <c r="N321" s="468">
        <f t="shared" si="357"/>
        <v>0</v>
      </c>
      <c r="O321" s="468">
        <f t="shared" si="357"/>
        <v>0</v>
      </c>
      <c r="P321" s="468">
        <f t="shared" si="357"/>
        <v>109791800</v>
      </c>
      <c r="Q321" s="628"/>
      <c r="R321" s="297"/>
    </row>
    <row r="322" spans="1:18" ht="138.75" hidden="1" thickTop="1" thickBot="1" x14ac:dyDescent="0.25">
      <c r="A322" s="489" t="s">
        <v>1094</v>
      </c>
      <c r="B322" s="489" t="s">
        <v>1095</v>
      </c>
      <c r="C322" s="489"/>
      <c r="D322" s="489" t="s">
        <v>1093</v>
      </c>
      <c r="E322" s="472">
        <f>E323</f>
        <v>0</v>
      </c>
      <c r="F322" s="472">
        <f t="shared" ref="F322:O322" si="358">F323</f>
        <v>0</v>
      </c>
      <c r="G322" s="472">
        <f t="shared" si="358"/>
        <v>0</v>
      </c>
      <c r="H322" s="472">
        <f t="shared" si="358"/>
        <v>0</v>
      </c>
      <c r="I322" s="472">
        <f t="shared" si="358"/>
        <v>0</v>
      </c>
      <c r="J322" s="472">
        <f t="shared" si="358"/>
        <v>0</v>
      </c>
      <c r="K322" s="472">
        <f t="shared" si="358"/>
        <v>0</v>
      </c>
      <c r="L322" s="472">
        <f t="shared" si="358"/>
        <v>0</v>
      </c>
      <c r="M322" s="472">
        <f t="shared" si="358"/>
        <v>0</v>
      </c>
      <c r="N322" s="472">
        <f t="shared" si="358"/>
        <v>0</v>
      </c>
      <c r="O322" s="472">
        <f t="shared" si="358"/>
        <v>0</v>
      </c>
      <c r="P322" s="472">
        <f t="shared" ref="F322:P324" si="359">P323</f>
        <v>0</v>
      </c>
      <c r="Q322" s="628"/>
      <c r="R322" s="297"/>
    </row>
    <row r="323" spans="1:18" ht="93" hidden="1" thickTop="1" thickBot="1" x14ac:dyDescent="0.25">
      <c r="A323" s="533" t="s">
        <v>485</v>
      </c>
      <c r="B323" s="533" t="s">
        <v>428</v>
      </c>
      <c r="C323" s="533" t="s">
        <v>429</v>
      </c>
      <c r="D323" s="533" t="s">
        <v>430</v>
      </c>
      <c r="E323" s="530">
        <f>F323</f>
        <v>0</v>
      </c>
      <c r="F323" s="444">
        <f>7903408-7903408</f>
        <v>0</v>
      </c>
      <c r="G323" s="444"/>
      <c r="H323" s="444"/>
      <c r="I323" s="444"/>
      <c r="J323" s="530">
        <f>L323+O323</f>
        <v>0</v>
      </c>
      <c r="K323" s="444"/>
      <c r="L323" s="444"/>
      <c r="M323" s="444"/>
      <c r="N323" s="444"/>
      <c r="O323" s="535">
        <f>K323</f>
        <v>0</v>
      </c>
      <c r="P323" s="530">
        <f>E323+J323</f>
        <v>0</v>
      </c>
      <c r="Q323" s="628"/>
      <c r="R323" s="297"/>
    </row>
    <row r="324" spans="1:18" ht="138.75" thickTop="1" thickBot="1" x14ac:dyDescent="0.25">
      <c r="A324" s="489" t="s">
        <v>873</v>
      </c>
      <c r="B324" s="489" t="s">
        <v>874</v>
      </c>
      <c r="C324" s="489"/>
      <c r="D324" s="489" t="s">
        <v>875</v>
      </c>
      <c r="E324" s="472">
        <f>E325</f>
        <v>109641800</v>
      </c>
      <c r="F324" s="472">
        <f t="shared" si="359"/>
        <v>109641800</v>
      </c>
      <c r="G324" s="472">
        <f t="shared" si="359"/>
        <v>0</v>
      </c>
      <c r="H324" s="472">
        <f t="shared" si="359"/>
        <v>0</v>
      </c>
      <c r="I324" s="472">
        <f t="shared" si="359"/>
        <v>0</v>
      </c>
      <c r="J324" s="472">
        <f t="shared" si="359"/>
        <v>0</v>
      </c>
      <c r="K324" s="472">
        <f t="shared" si="359"/>
        <v>0</v>
      </c>
      <c r="L324" s="472">
        <f t="shared" si="359"/>
        <v>0</v>
      </c>
      <c r="M324" s="472">
        <f t="shared" si="359"/>
        <v>0</v>
      </c>
      <c r="N324" s="472">
        <f t="shared" si="359"/>
        <v>0</v>
      </c>
      <c r="O324" s="472">
        <f t="shared" si="359"/>
        <v>0</v>
      </c>
      <c r="P324" s="472">
        <f t="shared" si="359"/>
        <v>109641800</v>
      </c>
      <c r="Q324" s="628"/>
      <c r="R324" s="297"/>
    </row>
    <row r="325" spans="1:18" ht="93" thickTop="1" thickBot="1" x14ac:dyDescent="0.25">
      <c r="A325" s="533" t="s">
        <v>486</v>
      </c>
      <c r="B325" s="533" t="s">
        <v>303</v>
      </c>
      <c r="C325" s="533" t="s">
        <v>305</v>
      </c>
      <c r="D325" s="533" t="s">
        <v>304</v>
      </c>
      <c r="E325" s="530">
        <f>F325</f>
        <v>109641800</v>
      </c>
      <c r="F325" s="444">
        <f>(106941800)+2700000</f>
        <v>109641800</v>
      </c>
      <c r="G325" s="444"/>
      <c r="H325" s="444"/>
      <c r="I325" s="444"/>
      <c r="J325" s="530">
        <f>L325+O325</f>
        <v>0</v>
      </c>
      <c r="K325" s="444"/>
      <c r="L325" s="444"/>
      <c r="M325" s="444"/>
      <c r="N325" s="444"/>
      <c r="O325" s="535">
        <f>K325</f>
        <v>0</v>
      </c>
      <c r="P325" s="530">
        <f>E325+J325</f>
        <v>109641800</v>
      </c>
      <c r="Q325" s="628"/>
      <c r="R325" s="297"/>
    </row>
    <row r="326" spans="1:18" s="779" customFormat="1" ht="93" thickTop="1" thickBot="1" x14ac:dyDescent="0.25">
      <c r="A326" s="775" t="s">
        <v>1201</v>
      </c>
      <c r="B326" s="775" t="s">
        <v>1202</v>
      </c>
      <c r="C326" s="775" t="s">
        <v>308</v>
      </c>
      <c r="D326" s="775" t="s">
        <v>1200</v>
      </c>
      <c r="E326" s="773">
        <f>F326</f>
        <v>150000</v>
      </c>
      <c r="F326" s="444">
        <v>150000</v>
      </c>
      <c r="G326" s="444"/>
      <c r="H326" s="444"/>
      <c r="I326" s="444"/>
      <c r="J326" s="773">
        <f>L326+O326</f>
        <v>0</v>
      </c>
      <c r="K326" s="444"/>
      <c r="L326" s="444"/>
      <c r="M326" s="444"/>
      <c r="N326" s="444"/>
      <c r="O326" s="776">
        <f>K326</f>
        <v>0</v>
      </c>
      <c r="P326" s="773">
        <f>E326+J326</f>
        <v>150000</v>
      </c>
      <c r="Q326" s="628"/>
      <c r="R326" s="297"/>
    </row>
    <row r="327" spans="1:18" s="744" customFormat="1" ht="136.5" thickTop="1" thickBot="1" x14ac:dyDescent="0.25">
      <c r="A327" s="467" t="s">
        <v>1325</v>
      </c>
      <c r="B327" s="467" t="s">
        <v>734</v>
      </c>
      <c r="C327" s="467"/>
      <c r="D327" s="467" t="s">
        <v>732</v>
      </c>
      <c r="E327" s="468">
        <f>E328</f>
        <v>0</v>
      </c>
      <c r="F327" s="468">
        <f t="shared" ref="F327:P327" si="360">F328</f>
        <v>0</v>
      </c>
      <c r="G327" s="468">
        <f t="shared" si="360"/>
        <v>0</v>
      </c>
      <c r="H327" s="468">
        <f t="shared" si="360"/>
        <v>0</v>
      </c>
      <c r="I327" s="468">
        <f t="shared" si="360"/>
        <v>0</v>
      </c>
      <c r="J327" s="468">
        <f t="shared" si="360"/>
        <v>23631150</v>
      </c>
      <c r="K327" s="468">
        <f t="shared" si="360"/>
        <v>23631150</v>
      </c>
      <c r="L327" s="468">
        <f t="shared" si="360"/>
        <v>0</v>
      </c>
      <c r="M327" s="468">
        <f t="shared" si="360"/>
        <v>0</v>
      </c>
      <c r="N327" s="468">
        <f t="shared" si="360"/>
        <v>0</v>
      </c>
      <c r="O327" s="468">
        <f t="shared" si="360"/>
        <v>23631150</v>
      </c>
      <c r="P327" s="468">
        <f t="shared" si="360"/>
        <v>23631150</v>
      </c>
      <c r="Q327" s="628"/>
      <c r="R327" s="297"/>
    </row>
    <row r="328" spans="1:18" ht="93" thickTop="1" thickBot="1" x14ac:dyDescent="0.25">
      <c r="A328" s="739" t="s">
        <v>1326</v>
      </c>
      <c r="B328" s="739" t="s">
        <v>209</v>
      </c>
      <c r="C328" s="739" t="s">
        <v>178</v>
      </c>
      <c r="D328" s="739" t="s">
        <v>1327</v>
      </c>
      <c r="E328" s="737">
        <f>F328</f>
        <v>0</v>
      </c>
      <c r="F328" s="444">
        <v>0</v>
      </c>
      <c r="G328" s="444"/>
      <c r="H328" s="444"/>
      <c r="I328" s="444"/>
      <c r="J328" s="737">
        <f>L328+O328</f>
        <v>23631150</v>
      </c>
      <c r="K328" s="444">
        <f>(7903408)+15727742</f>
        <v>23631150</v>
      </c>
      <c r="L328" s="444"/>
      <c r="M328" s="444"/>
      <c r="N328" s="444"/>
      <c r="O328" s="740">
        <f>K328</f>
        <v>23631150</v>
      </c>
      <c r="P328" s="737">
        <f>E328+J328</f>
        <v>23631150</v>
      </c>
      <c r="Q328" s="628"/>
      <c r="R328" s="297"/>
    </row>
    <row r="329" spans="1:18" ht="136.5" thickTop="1" thickBot="1" x14ac:dyDescent="0.25">
      <c r="A329" s="828" t="s">
        <v>174</v>
      </c>
      <c r="B329" s="828"/>
      <c r="C329" s="828"/>
      <c r="D329" s="829" t="s">
        <v>368</v>
      </c>
      <c r="E329" s="830">
        <f>E330</f>
        <v>8319400</v>
      </c>
      <c r="F329" s="831">
        <f t="shared" ref="F329:G329" si="361">F330</f>
        <v>8319400</v>
      </c>
      <c r="G329" s="831">
        <f t="shared" si="361"/>
        <v>0</v>
      </c>
      <c r="H329" s="831">
        <f>H330</f>
        <v>0</v>
      </c>
      <c r="I329" s="831">
        <f t="shared" ref="I329" si="362">I330</f>
        <v>0</v>
      </c>
      <c r="J329" s="830">
        <f>J330</f>
        <v>800000</v>
      </c>
      <c r="K329" s="831">
        <f>K330</f>
        <v>800000</v>
      </c>
      <c r="L329" s="831">
        <f>L330</f>
        <v>0</v>
      </c>
      <c r="M329" s="831">
        <f t="shared" ref="M329" si="363">M330</f>
        <v>0</v>
      </c>
      <c r="N329" s="831">
        <f>N330</f>
        <v>0</v>
      </c>
      <c r="O329" s="830">
        <f>O330</f>
        <v>800000</v>
      </c>
      <c r="P329" s="831">
        <f t="shared" ref="P329" si="364">P330</f>
        <v>9119400</v>
      </c>
    </row>
    <row r="330" spans="1:18" ht="136.5" thickTop="1" thickBot="1" x14ac:dyDescent="0.25">
      <c r="A330" s="832" t="s">
        <v>175</v>
      </c>
      <c r="B330" s="832"/>
      <c r="C330" s="832"/>
      <c r="D330" s="833" t="s">
        <v>369</v>
      </c>
      <c r="E330" s="834">
        <f>E331+E339</f>
        <v>8319400</v>
      </c>
      <c r="F330" s="834">
        <f>F331+F339</f>
        <v>8319400</v>
      </c>
      <c r="G330" s="834">
        <f t="shared" ref="G330:K330" si="365">G331+G339</f>
        <v>0</v>
      </c>
      <c r="H330" s="834">
        <f t="shared" si="365"/>
        <v>0</v>
      </c>
      <c r="I330" s="834">
        <f t="shared" si="365"/>
        <v>0</v>
      </c>
      <c r="J330" s="834">
        <f t="shared" ref="J330:J338" si="366">L330+O330</f>
        <v>800000</v>
      </c>
      <c r="K330" s="834">
        <f t="shared" si="365"/>
        <v>800000</v>
      </c>
      <c r="L330" s="834">
        <f t="shared" ref="L330" si="367">L331+L339</f>
        <v>0</v>
      </c>
      <c r="M330" s="834">
        <f t="shared" ref="M330" si="368">M331+M339</f>
        <v>0</v>
      </c>
      <c r="N330" s="834">
        <f t="shared" ref="N330" si="369">N331+N339</f>
        <v>0</v>
      </c>
      <c r="O330" s="834">
        <f t="shared" ref="O330" si="370">O331+O339</f>
        <v>800000</v>
      </c>
      <c r="P330" s="834">
        <f t="shared" ref="P330:P338" si="371">E330+J330</f>
        <v>9119400</v>
      </c>
      <c r="Q330" s="628" t="b">
        <f>P330=P335+P336+P338+P341+P333</f>
        <v>1</v>
      </c>
      <c r="R330" s="292"/>
    </row>
    <row r="331" spans="1:18" ht="47.25" thickTop="1" thickBot="1" x14ac:dyDescent="0.25">
      <c r="A331" s="151" t="s">
        <v>876</v>
      </c>
      <c r="B331" s="151" t="s">
        <v>792</v>
      </c>
      <c r="C331" s="533"/>
      <c r="D331" s="151" t="s">
        <v>839</v>
      </c>
      <c r="E331" s="576">
        <f t="shared" ref="E331:P331" si="372">E334+E332</f>
        <v>8319400</v>
      </c>
      <c r="F331" s="576">
        <f t="shared" si="372"/>
        <v>8319400</v>
      </c>
      <c r="G331" s="576">
        <f t="shared" si="372"/>
        <v>0</v>
      </c>
      <c r="H331" s="576">
        <f t="shared" si="372"/>
        <v>0</v>
      </c>
      <c r="I331" s="576">
        <f t="shared" si="372"/>
        <v>0</v>
      </c>
      <c r="J331" s="576">
        <f t="shared" si="372"/>
        <v>800000</v>
      </c>
      <c r="K331" s="576">
        <f t="shared" si="372"/>
        <v>800000</v>
      </c>
      <c r="L331" s="576">
        <f t="shared" si="372"/>
        <v>0</v>
      </c>
      <c r="M331" s="576">
        <f t="shared" si="372"/>
        <v>0</v>
      </c>
      <c r="N331" s="576">
        <f t="shared" si="372"/>
        <v>0</v>
      </c>
      <c r="O331" s="576">
        <f t="shared" si="372"/>
        <v>800000</v>
      </c>
      <c r="P331" s="576">
        <f t="shared" si="372"/>
        <v>9119400</v>
      </c>
      <c r="Q331" s="628"/>
      <c r="R331" s="292"/>
    </row>
    <row r="332" spans="1:18" ht="91.5" thickTop="1" thickBot="1" x14ac:dyDescent="0.25">
      <c r="A332" s="467" t="s">
        <v>1091</v>
      </c>
      <c r="B332" s="467" t="s">
        <v>848</v>
      </c>
      <c r="C332" s="467"/>
      <c r="D332" s="467" t="s">
        <v>849</v>
      </c>
      <c r="E332" s="610">
        <f>E333</f>
        <v>74340</v>
      </c>
      <c r="F332" s="610">
        <f>F333</f>
        <v>74340</v>
      </c>
      <c r="G332" s="610">
        <f t="shared" ref="G332:O332" si="373">G333</f>
        <v>0</v>
      </c>
      <c r="H332" s="610">
        <f t="shared" si="373"/>
        <v>0</v>
      </c>
      <c r="I332" s="610">
        <f t="shared" si="373"/>
        <v>0</v>
      </c>
      <c r="J332" s="610">
        <f t="shared" si="373"/>
        <v>0</v>
      </c>
      <c r="K332" s="610">
        <f t="shared" si="373"/>
        <v>0</v>
      </c>
      <c r="L332" s="610">
        <f t="shared" si="373"/>
        <v>0</v>
      </c>
      <c r="M332" s="610">
        <f t="shared" si="373"/>
        <v>0</v>
      </c>
      <c r="N332" s="610">
        <f t="shared" si="373"/>
        <v>0</v>
      </c>
      <c r="O332" s="610">
        <f t="shared" si="373"/>
        <v>0</v>
      </c>
      <c r="P332" s="610">
        <f>P333</f>
        <v>74340</v>
      </c>
      <c r="Q332" s="628"/>
      <c r="R332" s="292"/>
    </row>
    <row r="333" spans="1:18" ht="138.75" thickTop="1" thickBot="1" x14ac:dyDescent="0.25">
      <c r="A333" s="533" t="s">
        <v>1092</v>
      </c>
      <c r="B333" s="533" t="s">
        <v>364</v>
      </c>
      <c r="C333" s="533" t="s">
        <v>178</v>
      </c>
      <c r="D333" s="533" t="s">
        <v>274</v>
      </c>
      <c r="E333" s="530">
        <f t="shared" ref="E333" si="374">F333</f>
        <v>74340</v>
      </c>
      <c r="F333" s="444">
        <v>74340</v>
      </c>
      <c r="G333" s="444"/>
      <c r="H333" s="444"/>
      <c r="I333" s="444"/>
      <c r="J333" s="530">
        <f t="shared" ref="J333" si="375">L333+O333</f>
        <v>0</v>
      </c>
      <c r="K333" s="444"/>
      <c r="L333" s="444"/>
      <c r="M333" s="444"/>
      <c r="N333" s="444"/>
      <c r="O333" s="535">
        <f>K333</f>
        <v>0</v>
      </c>
      <c r="P333" s="530">
        <f t="shared" ref="P333" si="376">E333+J333</f>
        <v>74340</v>
      </c>
      <c r="Q333" s="628"/>
      <c r="R333" s="292"/>
    </row>
    <row r="334" spans="1:18" ht="136.5" thickTop="1" thickBot="1" x14ac:dyDescent="0.25">
      <c r="A334" s="467" t="s">
        <v>877</v>
      </c>
      <c r="B334" s="467" t="s">
        <v>734</v>
      </c>
      <c r="C334" s="467"/>
      <c r="D334" s="467" t="s">
        <v>732</v>
      </c>
      <c r="E334" s="610">
        <f>SUM(E335:E338)-E337</f>
        <v>8245060</v>
      </c>
      <c r="F334" s="610">
        <f t="shared" ref="F334:P334" si="377">SUM(F335:F338)-F337</f>
        <v>8245060</v>
      </c>
      <c r="G334" s="610">
        <f t="shared" si="377"/>
        <v>0</v>
      </c>
      <c r="H334" s="610">
        <f t="shared" si="377"/>
        <v>0</v>
      </c>
      <c r="I334" s="610">
        <f t="shared" si="377"/>
        <v>0</v>
      </c>
      <c r="J334" s="610">
        <f t="shared" si="377"/>
        <v>800000</v>
      </c>
      <c r="K334" s="610">
        <f t="shared" si="377"/>
        <v>800000</v>
      </c>
      <c r="L334" s="610">
        <f t="shared" si="377"/>
        <v>0</v>
      </c>
      <c r="M334" s="610">
        <f t="shared" si="377"/>
        <v>0</v>
      </c>
      <c r="N334" s="610">
        <f t="shared" si="377"/>
        <v>0</v>
      </c>
      <c r="O334" s="610">
        <f t="shared" si="377"/>
        <v>800000</v>
      </c>
      <c r="P334" s="610">
        <f t="shared" si="377"/>
        <v>9045060</v>
      </c>
      <c r="Q334" s="628"/>
      <c r="R334" s="292"/>
    </row>
    <row r="335" spans="1:18" ht="93" thickTop="1" thickBot="1" x14ac:dyDescent="0.25">
      <c r="A335" s="533" t="s">
        <v>272</v>
      </c>
      <c r="B335" s="533" t="s">
        <v>273</v>
      </c>
      <c r="C335" s="533" t="s">
        <v>271</v>
      </c>
      <c r="D335" s="533" t="s">
        <v>270</v>
      </c>
      <c r="E335" s="530">
        <f t="shared" ref="E335:E338" si="378">F335</f>
        <v>5260060</v>
      </c>
      <c r="F335" s="444">
        <f>5760060-500000</f>
        <v>5260060</v>
      </c>
      <c r="G335" s="444"/>
      <c r="H335" s="444"/>
      <c r="I335" s="444"/>
      <c r="J335" s="530">
        <f t="shared" si="366"/>
        <v>0</v>
      </c>
      <c r="K335" s="444"/>
      <c r="L335" s="444"/>
      <c r="M335" s="444"/>
      <c r="N335" s="444"/>
      <c r="O335" s="535">
        <f>K335</f>
        <v>0</v>
      </c>
      <c r="P335" s="530">
        <f t="shared" si="371"/>
        <v>5260060</v>
      </c>
      <c r="R335" s="292"/>
    </row>
    <row r="336" spans="1:18" ht="138.75" thickTop="1" thickBot="1" x14ac:dyDescent="0.25">
      <c r="A336" s="533" t="s">
        <v>264</v>
      </c>
      <c r="B336" s="533" t="s">
        <v>266</v>
      </c>
      <c r="C336" s="533" t="s">
        <v>225</v>
      </c>
      <c r="D336" s="533" t="s">
        <v>265</v>
      </c>
      <c r="E336" s="530">
        <f t="shared" si="378"/>
        <v>1085000</v>
      </c>
      <c r="F336" s="444">
        <v>1085000</v>
      </c>
      <c r="G336" s="444"/>
      <c r="H336" s="444"/>
      <c r="I336" s="444"/>
      <c r="J336" s="530">
        <f t="shared" si="366"/>
        <v>0</v>
      </c>
      <c r="K336" s="444"/>
      <c r="L336" s="444"/>
      <c r="M336" s="444"/>
      <c r="N336" s="444"/>
      <c r="O336" s="535">
        <f>K336</f>
        <v>0</v>
      </c>
      <c r="P336" s="530">
        <f t="shared" si="371"/>
        <v>1085000</v>
      </c>
      <c r="R336" s="292"/>
    </row>
    <row r="337" spans="1:18" ht="48" thickTop="1" thickBot="1" x14ac:dyDescent="0.25">
      <c r="A337" s="489" t="s">
        <v>878</v>
      </c>
      <c r="B337" s="489" t="s">
        <v>737</v>
      </c>
      <c r="C337" s="489"/>
      <c r="D337" s="489" t="s">
        <v>735</v>
      </c>
      <c r="E337" s="472">
        <f>E338</f>
        <v>1900000</v>
      </c>
      <c r="F337" s="472">
        <f t="shared" ref="F337:P337" si="379">F338</f>
        <v>1900000</v>
      </c>
      <c r="G337" s="472">
        <f t="shared" si="379"/>
        <v>0</v>
      </c>
      <c r="H337" s="472">
        <f t="shared" si="379"/>
        <v>0</v>
      </c>
      <c r="I337" s="472">
        <f t="shared" si="379"/>
        <v>0</v>
      </c>
      <c r="J337" s="472">
        <f t="shared" si="379"/>
        <v>800000</v>
      </c>
      <c r="K337" s="472">
        <f t="shared" si="379"/>
        <v>800000</v>
      </c>
      <c r="L337" s="472">
        <f t="shared" si="379"/>
        <v>0</v>
      </c>
      <c r="M337" s="472">
        <f t="shared" si="379"/>
        <v>0</v>
      </c>
      <c r="N337" s="472">
        <f t="shared" si="379"/>
        <v>0</v>
      </c>
      <c r="O337" s="472">
        <f t="shared" si="379"/>
        <v>800000</v>
      </c>
      <c r="P337" s="472">
        <f t="shared" si="379"/>
        <v>2700000</v>
      </c>
      <c r="R337" s="292"/>
    </row>
    <row r="338" spans="1:18" ht="93" thickTop="1" thickBot="1" x14ac:dyDescent="0.25">
      <c r="A338" s="533" t="s">
        <v>268</v>
      </c>
      <c r="B338" s="533" t="s">
        <v>269</v>
      </c>
      <c r="C338" s="533" t="s">
        <v>178</v>
      </c>
      <c r="D338" s="533" t="s">
        <v>267</v>
      </c>
      <c r="E338" s="530">
        <f t="shared" si="378"/>
        <v>1900000</v>
      </c>
      <c r="F338" s="444">
        <f>(1200000+700000)</f>
        <v>1900000</v>
      </c>
      <c r="G338" s="444"/>
      <c r="H338" s="444"/>
      <c r="I338" s="444"/>
      <c r="J338" s="530">
        <f t="shared" si="366"/>
        <v>800000</v>
      </c>
      <c r="K338" s="444">
        <v>800000</v>
      </c>
      <c r="L338" s="444"/>
      <c r="M338" s="444"/>
      <c r="N338" s="444"/>
      <c r="O338" s="535">
        <f>K338</f>
        <v>800000</v>
      </c>
      <c r="P338" s="530">
        <f t="shared" si="371"/>
        <v>2700000</v>
      </c>
      <c r="R338" s="292"/>
    </row>
    <row r="339" spans="1:18" ht="47.25" hidden="1" thickTop="1" thickBot="1" x14ac:dyDescent="0.25">
      <c r="A339" s="250" t="s">
        <v>961</v>
      </c>
      <c r="B339" s="250" t="s">
        <v>745</v>
      </c>
      <c r="C339" s="250"/>
      <c r="D339" s="250" t="s">
        <v>746</v>
      </c>
      <c r="E339" s="256">
        <f>E340</f>
        <v>0</v>
      </c>
      <c r="F339" s="256">
        <f t="shared" ref="F339:P340" si="380">F340</f>
        <v>0</v>
      </c>
      <c r="G339" s="256">
        <f t="shared" si="380"/>
        <v>0</v>
      </c>
      <c r="H339" s="256">
        <f t="shared" si="380"/>
        <v>0</v>
      </c>
      <c r="I339" s="256">
        <f t="shared" si="380"/>
        <v>0</v>
      </c>
      <c r="J339" s="256">
        <f t="shared" si="380"/>
        <v>0</v>
      </c>
      <c r="K339" s="256">
        <f t="shared" si="380"/>
        <v>0</v>
      </c>
      <c r="L339" s="256">
        <f t="shared" si="380"/>
        <v>0</v>
      </c>
      <c r="M339" s="256">
        <f t="shared" si="380"/>
        <v>0</v>
      </c>
      <c r="N339" s="256">
        <f t="shared" si="380"/>
        <v>0</v>
      </c>
      <c r="O339" s="256">
        <f t="shared" si="380"/>
        <v>0</v>
      </c>
      <c r="P339" s="256">
        <f t="shared" si="380"/>
        <v>0</v>
      </c>
      <c r="R339" s="292"/>
    </row>
    <row r="340" spans="1:18" ht="271.5" hidden="1" thickTop="1" thickBot="1" x14ac:dyDescent="0.25">
      <c r="A340" s="253" t="s">
        <v>962</v>
      </c>
      <c r="B340" s="253" t="s">
        <v>748</v>
      </c>
      <c r="C340" s="253"/>
      <c r="D340" s="253" t="s">
        <v>749</v>
      </c>
      <c r="E340" s="270">
        <f>E341</f>
        <v>0</v>
      </c>
      <c r="F340" s="270">
        <f t="shared" si="380"/>
        <v>0</v>
      </c>
      <c r="G340" s="270">
        <f t="shared" si="380"/>
        <v>0</v>
      </c>
      <c r="H340" s="270">
        <f t="shared" si="380"/>
        <v>0</v>
      </c>
      <c r="I340" s="270">
        <f t="shared" si="380"/>
        <v>0</v>
      </c>
      <c r="J340" s="270">
        <f t="shared" si="380"/>
        <v>0</v>
      </c>
      <c r="K340" s="270">
        <f t="shared" si="380"/>
        <v>0</v>
      </c>
      <c r="L340" s="270">
        <f t="shared" si="380"/>
        <v>0</v>
      </c>
      <c r="M340" s="270">
        <f t="shared" si="380"/>
        <v>0</v>
      </c>
      <c r="N340" s="270">
        <f t="shared" si="380"/>
        <v>0</v>
      </c>
      <c r="O340" s="270">
        <f t="shared" si="380"/>
        <v>0</v>
      </c>
      <c r="P340" s="270">
        <f t="shared" si="380"/>
        <v>0</v>
      </c>
      <c r="R340" s="292"/>
    </row>
    <row r="341" spans="1:18" ht="93" hidden="1" thickTop="1" thickBot="1" x14ac:dyDescent="0.25">
      <c r="A341" s="259" t="s">
        <v>963</v>
      </c>
      <c r="B341" s="259" t="s">
        <v>377</v>
      </c>
      <c r="C341" s="259" t="s">
        <v>45</v>
      </c>
      <c r="D341" s="259" t="s">
        <v>378</v>
      </c>
      <c r="E341" s="256">
        <f t="shared" ref="E341" si="381">F341</f>
        <v>0</v>
      </c>
      <c r="F341" s="278">
        <v>0</v>
      </c>
      <c r="G341" s="278"/>
      <c r="H341" s="278"/>
      <c r="I341" s="278"/>
      <c r="J341" s="256">
        <f>L341+O341</f>
        <v>0</v>
      </c>
      <c r="K341" s="278">
        <v>0</v>
      </c>
      <c r="L341" s="278"/>
      <c r="M341" s="278"/>
      <c r="N341" s="278"/>
      <c r="O341" s="262">
        <f>K341</f>
        <v>0</v>
      </c>
      <c r="P341" s="256">
        <f>E341+J341</f>
        <v>0</v>
      </c>
      <c r="R341" s="292"/>
    </row>
    <row r="342" spans="1:18" ht="226.5" thickTop="1" thickBot="1" x14ac:dyDescent="0.25">
      <c r="A342" s="828" t="s">
        <v>172</v>
      </c>
      <c r="B342" s="828"/>
      <c r="C342" s="828"/>
      <c r="D342" s="829" t="s">
        <v>938</v>
      </c>
      <c r="E342" s="830">
        <f>E343</f>
        <v>6793333</v>
      </c>
      <c r="F342" s="831">
        <f t="shared" ref="F342:G342" si="382">F343</f>
        <v>6793333</v>
      </c>
      <c r="G342" s="831">
        <f t="shared" si="382"/>
        <v>5204880</v>
      </c>
      <c r="H342" s="831">
        <f>H343</f>
        <v>171531</v>
      </c>
      <c r="I342" s="831">
        <f t="shared" ref="I342" si="383">I343</f>
        <v>0</v>
      </c>
      <c r="J342" s="830">
        <f>J343</f>
        <v>746000</v>
      </c>
      <c r="K342" s="831">
        <f>K343</f>
        <v>46000</v>
      </c>
      <c r="L342" s="831">
        <f>L343</f>
        <v>652000</v>
      </c>
      <c r="M342" s="831">
        <f t="shared" ref="M342" si="384">M343</f>
        <v>0</v>
      </c>
      <c r="N342" s="831">
        <f>N343</f>
        <v>0</v>
      </c>
      <c r="O342" s="830">
        <f>O343</f>
        <v>94000</v>
      </c>
      <c r="P342" s="831">
        <f t="shared" ref="P342" si="385">P343</f>
        <v>7539333</v>
      </c>
    </row>
    <row r="343" spans="1:18" ht="181.5" thickTop="1" thickBot="1" x14ac:dyDescent="0.25">
      <c r="A343" s="832" t="s">
        <v>173</v>
      </c>
      <c r="B343" s="832"/>
      <c r="C343" s="832"/>
      <c r="D343" s="833" t="s">
        <v>937</v>
      </c>
      <c r="E343" s="834">
        <f>E344+E347</f>
        <v>6793333</v>
      </c>
      <c r="F343" s="834">
        <f t="shared" ref="F343:I343" si="386">F344+F347</f>
        <v>6793333</v>
      </c>
      <c r="G343" s="834">
        <f t="shared" si="386"/>
        <v>5204880</v>
      </c>
      <c r="H343" s="834">
        <f t="shared" si="386"/>
        <v>171531</v>
      </c>
      <c r="I343" s="834">
        <f t="shared" si="386"/>
        <v>0</v>
      </c>
      <c r="J343" s="834">
        <f>L343+O343</f>
        <v>746000</v>
      </c>
      <c r="K343" s="834">
        <f t="shared" ref="K343:O343" si="387">K344+K347</f>
        <v>46000</v>
      </c>
      <c r="L343" s="834">
        <f t="shared" si="387"/>
        <v>652000</v>
      </c>
      <c r="M343" s="834">
        <f t="shared" si="387"/>
        <v>0</v>
      </c>
      <c r="N343" s="834">
        <f t="shared" si="387"/>
        <v>0</v>
      </c>
      <c r="O343" s="834">
        <f t="shared" si="387"/>
        <v>94000</v>
      </c>
      <c r="P343" s="834">
        <f t="shared" ref="P343:P349" si="388">E343+J343</f>
        <v>7539333</v>
      </c>
      <c r="Q343" s="628" t="b">
        <f>P343=P345+P349</f>
        <v>1</v>
      </c>
      <c r="R343" s="292"/>
    </row>
    <row r="344" spans="1:18" ht="47.25" thickTop="1" thickBot="1" x14ac:dyDescent="0.25">
      <c r="A344" s="151" t="s">
        <v>879</v>
      </c>
      <c r="B344" s="151" t="s">
        <v>727</v>
      </c>
      <c r="C344" s="151"/>
      <c r="D344" s="151" t="s">
        <v>728</v>
      </c>
      <c r="E344" s="443">
        <f>SUM(E345:E346)</f>
        <v>6793333</v>
      </c>
      <c r="F344" s="443">
        <f t="shared" ref="F344" si="389">SUM(F345:F346)</f>
        <v>6793333</v>
      </c>
      <c r="G344" s="443">
        <f t="shared" ref="G344" si="390">SUM(G345:G346)</f>
        <v>5204880</v>
      </c>
      <c r="H344" s="443">
        <f t="shared" ref="H344" si="391">SUM(H345:H346)</f>
        <v>171531</v>
      </c>
      <c r="I344" s="443">
        <f t="shared" ref="I344" si="392">SUM(I345:I346)</f>
        <v>0</v>
      </c>
      <c r="J344" s="443">
        <f t="shared" ref="J344" si="393">SUM(J345:J346)</f>
        <v>46000</v>
      </c>
      <c r="K344" s="443">
        <f t="shared" ref="K344" si="394">SUM(K345:K346)</f>
        <v>46000</v>
      </c>
      <c r="L344" s="443">
        <f t="shared" ref="L344" si="395">SUM(L345:L346)</f>
        <v>0</v>
      </c>
      <c r="M344" s="443">
        <f t="shared" ref="M344" si="396">SUM(M345:M346)</f>
        <v>0</v>
      </c>
      <c r="N344" s="443">
        <f t="shared" ref="N344" si="397">SUM(N345:N346)</f>
        <v>0</v>
      </c>
      <c r="O344" s="443">
        <f>SUM(O345:O346)</f>
        <v>46000</v>
      </c>
      <c r="P344" s="443">
        <f t="shared" ref="P344" si="398">SUM(P345:P346)</f>
        <v>6839333</v>
      </c>
      <c r="Q344" s="628"/>
      <c r="R344" s="292"/>
    </row>
    <row r="345" spans="1:18" ht="230.25" thickTop="1" thickBot="1" x14ac:dyDescent="0.25">
      <c r="A345" s="224" t="s">
        <v>438</v>
      </c>
      <c r="B345" s="224" t="s">
        <v>248</v>
      </c>
      <c r="C345" s="224" t="s">
        <v>246</v>
      </c>
      <c r="D345" s="224" t="s">
        <v>247</v>
      </c>
      <c r="E345" s="443">
        <f>F345</f>
        <v>6793333</v>
      </c>
      <c r="F345" s="444">
        <v>6793333</v>
      </c>
      <c r="G345" s="444">
        <v>5204880</v>
      </c>
      <c r="H345" s="444">
        <f>120400+4752+42719+3660</f>
        <v>171531</v>
      </c>
      <c r="I345" s="444"/>
      <c r="J345" s="443">
        <f t="shared" ref="J345:J349" si="399">L345+O345</f>
        <v>46000</v>
      </c>
      <c r="K345" s="444">
        <v>46000</v>
      </c>
      <c r="L345" s="444"/>
      <c r="M345" s="444"/>
      <c r="N345" s="444"/>
      <c r="O345" s="445">
        <f>K345</f>
        <v>46000</v>
      </c>
      <c r="P345" s="443">
        <f t="shared" si="388"/>
        <v>6839333</v>
      </c>
      <c r="Q345" s="628"/>
      <c r="R345" s="292"/>
    </row>
    <row r="346" spans="1:18" ht="184.5" hidden="1" thickTop="1" thickBot="1" x14ac:dyDescent="0.25">
      <c r="A346" s="259" t="s">
        <v>675</v>
      </c>
      <c r="B346" s="259" t="s">
        <v>376</v>
      </c>
      <c r="C346" s="259" t="s">
        <v>662</v>
      </c>
      <c r="D346" s="259" t="s">
        <v>663</v>
      </c>
      <c r="E346" s="305">
        <f>F346</f>
        <v>0</v>
      </c>
      <c r="F346" s="260">
        <v>0</v>
      </c>
      <c r="G346" s="260"/>
      <c r="H346" s="260"/>
      <c r="I346" s="260"/>
      <c r="J346" s="256">
        <f t="shared" si="399"/>
        <v>0</v>
      </c>
      <c r="K346" s="260"/>
      <c r="L346" s="261"/>
      <c r="M346" s="261"/>
      <c r="N346" s="261"/>
      <c r="O346" s="262">
        <f t="shared" ref="O346" si="400">K346</f>
        <v>0</v>
      </c>
      <c r="P346" s="256">
        <f t="shared" ref="P346" si="401">+J346+E346</f>
        <v>0</v>
      </c>
      <c r="Q346" s="628"/>
      <c r="R346" s="292"/>
    </row>
    <row r="347" spans="1:18" ht="47.25" thickTop="1" thickBot="1" x14ac:dyDescent="0.25">
      <c r="A347" s="151" t="s">
        <v>880</v>
      </c>
      <c r="B347" s="151" t="s">
        <v>739</v>
      </c>
      <c r="C347" s="151"/>
      <c r="D347" s="151" t="s">
        <v>740</v>
      </c>
      <c r="E347" s="446">
        <f>E348</f>
        <v>0</v>
      </c>
      <c r="F347" s="446">
        <f t="shared" ref="F347:P348" si="402">F348</f>
        <v>0</v>
      </c>
      <c r="G347" s="446">
        <f t="shared" si="402"/>
        <v>0</v>
      </c>
      <c r="H347" s="446">
        <f t="shared" si="402"/>
        <v>0</v>
      </c>
      <c r="I347" s="446">
        <f t="shared" si="402"/>
        <v>0</v>
      </c>
      <c r="J347" s="446">
        <f t="shared" si="402"/>
        <v>700000</v>
      </c>
      <c r="K347" s="446">
        <f t="shared" si="402"/>
        <v>0</v>
      </c>
      <c r="L347" s="446">
        <f t="shared" si="402"/>
        <v>652000</v>
      </c>
      <c r="M347" s="446">
        <f t="shared" si="402"/>
        <v>0</v>
      </c>
      <c r="N347" s="446">
        <f t="shared" si="402"/>
        <v>0</v>
      </c>
      <c r="O347" s="446">
        <f t="shared" si="402"/>
        <v>48000</v>
      </c>
      <c r="P347" s="446">
        <f t="shared" si="402"/>
        <v>700000</v>
      </c>
      <c r="Q347" s="628"/>
      <c r="R347" s="292"/>
    </row>
    <row r="348" spans="1:18" ht="91.5" thickTop="1" thickBot="1" x14ac:dyDescent="0.25">
      <c r="A348" s="467" t="s">
        <v>881</v>
      </c>
      <c r="B348" s="467" t="s">
        <v>882</v>
      </c>
      <c r="C348" s="467"/>
      <c r="D348" s="467" t="s">
        <v>883</v>
      </c>
      <c r="E348" s="524">
        <f>E349</f>
        <v>0</v>
      </c>
      <c r="F348" s="524">
        <f t="shared" si="402"/>
        <v>0</v>
      </c>
      <c r="G348" s="524">
        <f t="shared" si="402"/>
        <v>0</v>
      </c>
      <c r="H348" s="524">
        <f t="shared" si="402"/>
        <v>0</v>
      </c>
      <c r="I348" s="524">
        <f t="shared" si="402"/>
        <v>0</v>
      </c>
      <c r="J348" s="524">
        <f t="shared" si="402"/>
        <v>700000</v>
      </c>
      <c r="K348" s="524">
        <f t="shared" ref="K348:P348" si="403">K349</f>
        <v>0</v>
      </c>
      <c r="L348" s="524">
        <f t="shared" si="403"/>
        <v>652000</v>
      </c>
      <c r="M348" s="524">
        <f t="shared" si="403"/>
        <v>0</v>
      </c>
      <c r="N348" s="524">
        <f t="shared" si="403"/>
        <v>0</v>
      </c>
      <c r="O348" s="524">
        <f t="shared" si="403"/>
        <v>48000</v>
      </c>
      <c r="P348" s="524">
        <f t="shared" si="403"/>
        <v>700000</v>
      </c>
      <c r="Q348" s="628"/>
      <c r="R348" s="292"/>
    </row>
    <row r="349" spans="1:18" ht="93" thickTop="1" thickBot="1" x14ac:dyDescent="0.25">
      <c r="A349" s="224" t="s">
        <v>1258</v>
      </c>
      <c r="B349" s="224" t="s">
        <v>1259</v>
      </c>
      <c r="C349" s="224" t="s">
        <v>53</v>
      </c>
      <c r="D349" s="224" t="s">
        <v>1260</v>
      </c>
      <c r="E349" s="443">
        <v>0</v>
      </c>
      <c r="F349" s="444"/>
      <c r="G349" s="444"/>
      <c r="H349" s="444"/>
      <c r="I349" s="444"/>
      <c r="J349" s="443">
        <f t="shared" si="399"/>
        <v>700000</v>
      </c>
      <c r="K349" s="443"/>
      <c r="L349" s="444">
        <v>652000</v>
      </c>
      <c r="M349" s="444"/>
      <c r="N349" s="444"/>
      <c r="O349" s="445">
        <f>K349+48000</f>
        <v>48000</v>
      </c>
      <c r="P349" s="443">
        <f t="shared" si="388"/>
        <v>700000</v>
      </c>
      <c r="Q349" s="628" t="b">
        <f>J349='d9'!F17</f>
        <v>1</v>
      </c>
    </row>
    <row r="350" spans="1:18" ht="136.5" thickTop="1" thickBot="1" x14ac:dyDescent="0.25">
      <c r="A350" s="828" t="s">
        <v>170</v>
      </c>
      <c r="B350" s="828"/>
      <c r="C350" s="828"/>
      <c r="D350" s="829" t="s">
        <v>950</v>
      </c>
      <c r="E350" s="830">
        <f>E351</f>
        <v>10120960</v>
      </c>
      <c r="F350" s="831">
        <f t="shared" ref="F350:G350" si="404">F351</f>
        <v>10120960</v>
      </c>
      <c r="G350" s="831">
        <f t="shared" si="404"/>
        <v>7650520</v>
      </c>
      <c r="H350" s="831">
        <f>H351</f>
        <v>103980</v>
      </c>
      <c r="I350" s="831">
        <f t="shared" ref="I350" si="405">I351</f>
        <v>0</v>
      </c>
      <c r="J350" s="830">
        <f>J351</f>
        <v>490000</v>
      </c>
      <c r="K350" s="831">
        <f>K351</f>
        <v>490000</v>
      </c>
      <c r="L350" s="831">
        <f>L351</f>
        <v>0</v>
      </c>
      <c r="M350" s="831">
        <f t="shared" ref="M350" si="406">M351</f>
        <v>0</v>
      </c>
      <c r="N350" s="831">
        <f>N351</f>
        <v>0</v>
      </c>
      <c r="O350" s="830">
        <f>O351</f>
        <v>490000</v>
      </c>
      <c r="P350" s="831">
        <f t="shared" ref="P350" si="407">P351</f>
        <v>10610960</v>
      </c>
    </row>
    <row r="351" spans="1:18" ht="181.5" thickTop="1" thickBot="1" x14ac:dyDescent="0.25">
      <c r="A351" s="832" t="s">
        <v>171</v>
      </c>
      <c r="B351" s="832"/>
      <c r="C351" s="832"/>
      <c r="D351" s="833" t="s">
        <v>949</v>
      </c>
      <c r="E351" s="834">
        <f>E352+E354</f>
        <v>10120960</v>
      </c>
      <c r="F351" s="834">
        <f t="shared" ref="F351:I351" si="408">F352+F354</f>
        <v>10120960</v>
      </c>
      <c r="G351" s="834">
        <f t="shared" si="408"/>
        <v>7650520</v>
      </c>
      <c r="H351" s="834">
        <f t="shared" si="408"/>
        <v>103980</v>
      </c>
      <c r="I351" s="834">
        <f t="shared" si="408"/>
        <v>0</v>
      </c>
      <c r="J351" s="834">
        <f>L351+O351</f>
        <v>490000</v>
      </c>
      <c r="K351" s="834">
        <f t="shared" ref="K351:O351" si="409">K352+K354</f>
        <v>490000</v>
      </c>
      <c r="L351" s="834">
        <f t="shared" si="409"/>
        <v>0</v>
      </c>
      <c r="M351" s="834">
        <f t="shared" si="409"/>
        <v>0</v>
      </c>
      <c r="N351" s="834">
        <f t="shared" si="409"/>
        <v>0</v>
      </c>
      <c r="O351" s="834">
        <f t="shared" si="409"/>
        <v>490000</v>
      </c>
      <c r="P351" s="834">
        <f>E351+J351</f>
        <v>10610960</v>
      </c>
      <c r="Q351" s="628" t="b">
        <f>P351=P356+P358+P353</f>
        <v>1</v>
      </c>
      <c r="R351" s="291"/>
    </row>
    <row r="352" spans="1:18" ht="47.25" thickTop="1" thickBot="1" x14ac:dyDescent="0.25">
      <c r="A352" s="151" t="s">
        <v>884</v>
      </c>
      <c r="B352" s="151" t="s">
        <v>727</v>
      </c>
      <c r="C352" s="151"/>
      <c r="D352" s="151" t="s">
        <v>728</v>
      </c>
      <c r="E352" s="443">
        <f>SUM(E353)</f>
        <v>9820960</v>
      </c>
      <c r="F352" s="443">
        <f t="shared" ref="F352:P352" si="410">SUM(F353)</f>
        <v>9820960</v>
      </c>
      <c r="G352" s="443">
        <f t="shared" si="410"/>
        <v>7650520</v>
      </c>
      <c r="H352" s="443">
        <f t="shared" si="410"/>
        <v>103980</v>
      </c>
      <c r="I352" s="443">
        <f t="shared" si="410"/>
        <v>0</v>
      </c>
      <c r="J352" s="443">
        <f t="shared" si="410"/>
        <v>40000</v>
      </c>
      <c r="K352" s="443">
        <f t="shared" si="410"/>
        <v>40000</v>
      </c>
      <c r="L352" s="443">
        <f t="shared" si="410"/>
        <v>0</v>
      </c>
      <c r="M352" s="443">
        <f t="shared" si="410"/>
        <v>0</v>
      </c>
      <c r="N352" s="443">
        <f t="shared" si="410"/>
        <v>0</v>
      </c>
      <c r="O352" s="443">
        <f t="shared" si="410"/>
        <v>40000</v>
      </c>
      <c r="P352" s="443">
        <f t="shared" si="410"/>
        <v>9860960</v>
      </c>
      <c r="Q352" s="628"/>
      <c r="R352" s="291"/>
    </row>
    <row r="353" spans="1:19" ht="230.25" thickTop="1" thickBot="1" x14ac:dyDescent="0.25">
      <c r="A353" s="224" t="s">
        <v>434</v>
      </c>
      <c r="B353" s="224" t="s">
        <v>248</v>
      </c>
      <c r="C353" s="224" t="s">
        <v>246</v>
      </c>
      <c r="D353" s="224" t="s">
        <v>247</v>
      </c>
      <c r="E353" s="443">
        <f>F353</f>
        <v>9820960</v>
      </c>
      <c r="F353" s="444">
        <v>9820960</v>
      </c>
      <c r="G353" s="444">
        <v>7650520</v>
      </c>
      <c r="H353" s="444">
        <f>82000+2000+19980</f>
        <v>103980</v>
      </c>
      <c r="I353" s="444"/>
      <c r="J353" s="443">
        <f>L353+O353</f>
        <v>40000</v>
      </c>
      <c r="K353" s="444">
        <v>40000</v>
      </c>
      <c r="L353" s="444"/>
      <c r="M353" s="444"/>
      <c r="N353" s="444"/>
      <c r="O353" s="445">
        <f>K353</f>
        <v>40000</v>
      </c>
      <c r="P353" s="443">
        <f>E353+J353</f>
        <v>9860960</v>
      </c>
      <c r="R353" s="291"/>
    </row>
    <row r="354" spans="1:19" ht="47.25" thickTop="1" thickBot="1" x14ac:dyDescent="0.25">
      <c r="A354" s="151" t="s">
        <v>885</v>
      </c>
      <c r="B354" s="151" t="s">
        <v>792</v>
      </c>
      <c r="C354" s="533"/>
      <c r="D354" s="151" t="s">
        <v>839</v>
      </c>
      <c r="E354" s="530">
        <f t="shared" ref="E354:P354" si="411">E355+E357</f>
        <v>300000</v>
      </c>
      <c r="F354" s="530">
        <f t="shared" si="411"/>
        <v>300000</v>
      </c>
      <c r="G354" s="530">
        <f t="shared" si="411"/>
        <v>0</v>
      </c>
      <c r="H354" s="530">
        <f t="shared" si="411"/>
        <v>0</v>
      </c>
      <c r="I354" s="530">
        <f t="shared" si="411"/>
        <v>0</v>
      </c>
      <c r="J354" s="530">
        <f t="shared" si="411"/>
        <v>450000</v>
      </c>
      <c r="K354" s="530">
        <f t="shared" si="411"/>
        <v>450000</v>
      </c>
      <c r="L354" s="530">
        <f t="shared" si="411"/>
        <v>0</v>
      </c>
      <c r="M354" s="530">
        <f t="shared" si="411"/>
        <v>0</v>
      </c>
      <c r="N354" s="530">
        <f t="shared" si="411"/>
        <v>0</v>
      </c>
      <c r="O354" s="530">
        <f t="shared" si="411"/>
        <v>450000</v>
      </c>
      <c r="P354" s="530">
        <f t="shared" si="411"/>
        <v>750000</v>
      </c>
      <c r="R354" s="293"/>
    </row>
    <row r="355" spans="1:19" ht="91.5" thickTop="1" thickBot="1" x14ac:dyDescent="0.25">
      <c r="A355" s="467" t="s">
        <v>886</v>
      </c>
      <c r="B355" s="467" t="s">
        <v>887</v>
      </c>
      <c r="C355" s="467"/>
      <c r="D355" s="467" t="s">
        <v>888</v>
      </c>
      <c r="E355" s="468">
        <f>SUM(E356)</f>
        <v>300000</v>
      </c>
      <c r="F355" s="468">
        <f t="shared" ref="F355:P355" si="412">SUM(F356)</f>
        <v>300000</v>
      </c>
      <c r="G355" s="468">
        <f t="shared" si="412"/>
        <v>0</v>
      </c>
      <c r="H355" s="468">
        <f t="shared" si="412"/>
        <v>0</v>
      </c>
      <c r="I355" s="468">
        <f t="shared" si="412"/>
        <v>0</v>
      </c>
      <c r="J355" s="468">
        <f t="shared" si="412"/>
        <v>400000</v>
      </c>
      <c r="K355" s="468">
        <f t="shared" si="412"/>
        <v>400000</v>
      </c>
      <c r="L355" s="468">
        <f t="shared" si="412"/>
        <v>0</v>
      </c>
      <c r="M355" s="468">
        <f t="shared" si="412"/>
        <v>0</v>
      </c>
      <c r="N355" s="468">
        <f t="shared" si="412"/>
        <v>0</v>
      </c>
      <c r="O355" s="468">
        <f t="shared" si="412"/>
        <v>400000</v>
      </c>
      <c r="P355" s="468">
        <f t="shared" si="412"/>
        <v>700000</v>
      </c>
      <c r="R355" s="293"/>
    </row>
    <row r="356" spans="1:19" ht="93" thickTop="1" thickBot="1" x14ac:dyDescent="0.25">
      <c r="A356" s="533" t="s">
        <v>319</v>
      </c>
      <c r="B356" s="533" t="s">
        <v>320</v>
      </c>
      <c r="C356" s="533" t="s">
        <v>321</v>
      </c>
      <c r="D356" s="533" t="s">
        <v>479</v>
      </c>
      <c r="E356" s="530">
        <f>F356</f>
        <v>300000</v>
      </c>
      <c r="F356" s="444">
        <v>300000</v>
      </c>
      <c r="G356" s="444"/>
      <c r="H356" s="444"/>
      <c r="I356" s="444"/>
      <c r="J356" s="530">
        <f>L356+O356</f>
        <v>400000</v>
      </c>
      <c r="K356" s="444">
        <v>400000</v>
      </c>
      <c r="L356" s="444"/>
      <c r="M356" s="444"/>
      <c r="N356" s="444"/>
      <c r="O356" s="535">
        <f>K356</f>
        <v>400000</v>
      </c>
      <c r="P356" s="530">
        <f>E356+J356</f>
        <v>700000</v>
      </c>
      <c r="R356" s="291"/>
    </row>
    <row r="357" spans="1:19" ht="136.5" thickTop="1" thickBot="1" x14ac:dyDescent="0.25">
      <c r="A357" s="467" t="s">
        <v>889</v>
      </c>
      <c r="B357" s="467" t="s">
        <v>734</v>
      </c>
      <c r="C357" s="533"/>
      <c r="D357" s="467" t="s">
        <v>890</v>
      </c>
      <c r="E357" s="468">
        <f>SUM(E358)</f>
        <v>0</v>
      </c>
      <c r="F357" s="468">
        <f t="shared" ref="F357:P357" si="413">SUM(F358)</f>
        <v>0</v>
      </c>
      <c r="G357" s="468">
        <f t="shared" si="413"/>
        <v>0</v>
      </c>
      <c r="H357" s="468">
        <f t="shared" si="413"/>
        <v>0</v>
      </c>
      <c r="I357" s="468">
        <f t="shared" si="413"/>
        <v>0</v>
      </c>
      <c r="J357" s="468">
        <f t="shared" si="413"/>
        <v>50000</v>
      </c>
      <c r="K357" s="468">
        <f t="shared" si="413"/>
        <v>50000</v>
      </c>
      <c r="L357" s="468">
        <f t="shared" si="413"/>
        <v>0</v>
      </c>
      <c r="M357" s="468">
        <f t="shared" si="413"/>
        <v>0</v>
      </c>
      <c r="N357" s="468">
        <f t="shared" si="413"/>
        <v>0</v>
      </c>
      <c r="O357" s="468">
        <f t="shared" si="413"/>
        <v>50000</v>
      </c>
      <c r="P357" s="468">
        <f t="shared" si="413"/>
        <v>50000</v>
      </c>
    </row>
    <row r="358" spans="1:19" ht="138.75" thickTop="1" thickBot="1" x14ac:dyDescent="0.25">
      <c r="A358" s="533" t="s">
        <v>382</v>
      </c>
      <c r="B358" s="533" t="s">
        <v>383</v>
      </c>
      <c r="C358" s="533" t="s">
        <v>178</v>
      </c>
      <c r="D358" s="533" t="s">
        <v>384</v>
      </c>
      <c r="E358" s="530">
        <f>F358</f>
        <v>0</v>
      </c>
      <c r="F358" s="444"/>
      <c r="G358" s="444"/>
      <c r="H358" s="444"/>
      <c r="I358" s="444"/>
      <c r="J358" s="530">
        <f>L358+O358</f>
        <v>50000</v>
      </c>
      <c r="K358" s="444">
        <v>50000</v>
      </c>
      <c r="L358" s="444"/>
      <c r="M358" s="444"/>
      <c r="N358" s="444"/>
      <c r="O358" s="535">
        <f>K358</f>
        <v>50000</v>
      </c>
      <c r="P358" s="530">
        <f>E358+J358</f>
        <v>50000</v>
      </c>
      <c r="R358" s="291"/>
    </row>
    <row r="359" spans="1:19" ht="136.5" thickTop="1" thickBot="1" x14ac:dyDescent="0.25">
      <c r="A359" s="828" t="s">
        <v>176</v>
      </c>
      <c r="B359" s="828"/>
      <c r="C359" s="828"/>
      <c r="D359" s="829" t="s">
        <v>27</v>
      </c>
      <c r="E359" s="830">
        <f>E360</f>
        <v>128881189.37</v>
      </c>
      <c r="F359" s="831">
        <f t="shared" ref="F359:G359" si="414">F360</f>
        <v>128881189.37</v>
      </c>
      <c r="G359" s="831">
        <f t="shared" si="414"/>
        <v>8023550</v>
      </c>
      <c r="H359" s="831">
        <f>H360</f>
        <v>254660</v>
      </c>
      <c r="I359" s="831">
        <f t="shared" ref="I359" si="415">I360</f>
        <v>0</v>
      </c>
      <c r="J359" s="830">
        <f>J360</f>
        <v>0</v>
      </c>
      <c r="K359" s="831">
        <f>K360</f>
        <v>0</v>
      </c>
      <c r="L359" s="831">
        <f>L360</f>
        <v>0</v>
      </c>
      <c r="M359" s="831">
        <f t="shared" ref="M359" si="416">M360</f>
        <v>0</v>
      </c>
      <c r="N359" s="831">
        <f>N360</f>
        <v>0</v>
      </c>
      <c r="O359" s="830">
        <f>O360</f>
        <v>0</v>
      </c>
      <c r="P359" s="831">
        <f t="shared" ref="P359" si="417">P360</f>
        <v>128881189.37</v>
      </c>
    </row>
    <row r="360" spans="1:19" ht="136.5" thickTop="1" thickBot="1" x14ac:dyDescent="0.25">
      <c r="A360" s="832" t="s">
        <v>177</v>
      </c>
      <c r="B360" s="832"/>
      <c r="C360" s="832"/>
      <c r="D360" s="833" t="s">
        <v>42</v>
      </c>
      <c r="E360" s="834">
        <f>E361+E367+E374+E364</f>
        <v>128881189.37</v>
      </c>
      <c r="F360" s="834">
        <f t="shared" ref="F360:P360" si="418">F361+F367+F374+F364</f>
        <v>128881189.37</v>
      </c>
      <c r="G360" s="834">
        <f t="shared" si="418"/>
        <v>8023550</v>
      </c>
      <c r="H360" s="834">
        <f t="shared" si="418"/>
        <v>254660</v>
      </c>
      <c r="I360" s="834">
        <f t="shared" si="418"/>
        <v>0</v>
      </c>
      <c r="J360" s="834">
        <f t="shared" si="418"/>
        <v>0</v>
      </c>
      <c r="K360" s="834">
        <f t="shared" si="418"/>
        <v>0</v>
      </c>
      <c r="L360" s="834">
        <f t="shared" si="418"/>
        <v>0</v>
      </c>
      <c r="M360" s="834">
        <f t="shared" si="418"/>
        <v>0</v>
      </c>
      <c r="N360" s="834">
        <f t="shared" si="418"/>
        <v>0</v>
      </c>
      <c r="O360" s="834">
        <f t="shared" si="418"/>
        <v>0</v>
      </c>
      <c r="P360" s="834">
        <f t="shared" si="418"/>
        <v>128881189.37</v>
      </c>
      <c r="Q360" s="628" t="b">
        <f>P360=P368+P370+P376+P362+P363+P373+P366</f>
        <v>1</v>
      </c>
      <c r="R360" s="291"/>
    </row>
    <row r="361" spans="1:19" ht="47.25" thickTop="1" thickBot="1" x14ac:dyDescent="0.25">
      <c r="A361" s="151" t="s">
        <v>891</v>
      </c>
      <c r="B361" s="151" t="s">
        <v>727</v>
      </c>
      <c r="C361" s="151"/>
      <c r="D361" s="151" t="s">
        <v>728</v>
      </c>
      <c r="E361" s="443">
        <f>SUM(E362:E363)</f>
        <v>10351190</v>
      </c>
      <c r="F361" s="443">
        <f t="shared" ref="F361:P361" si="419">SUM(F362:F363)</f>
        <v>10351190</v>
      </c>
      <c r="G361" s="443">
        <f t="shared" si="419"/>
        <v>8023550</v>
      </c>
      <c r="H361" s="443">
        <f t="shared" si="419"/>
        <v>254660</v>
      </c>
      <c r="I361" s="443">
        <f t="shared" si="419"/>
        <v>0</v>
      </c>
      <c r="J361" s="443">
        <f t="shared" si="419"/>
        <v>0</v>
      </c>
      <c r="K361" s="443">
        <f t="shared" si="419"/>
        <v>0</v>
      </c>
      <c r="L361" s="443">
        <f t="shared" si="419"/>
        <v>0</v>
      </c>
      <c r="M361" s="443">
        <f t="shared" si="419"/>
        <v>0</v>
      </c>
      <c r="N361" s="443">
        <f t="shared" si="419"/>
        <v>0</v>
      </c>
      <c r="O361" s="443">
        <f t="shared" si="419"/>
        <v>0</v>
      </c>
      <c r="P361" s="443">
        <f t="shared" si="419"/>
        <v>10351190</v>
      </c>
      <c r="Q361" s="628"/>
      <c r="R361" s="297"/>
    </row>
    <row r="362" spans="1:19" ht="230.25" thickTop="1" thickBot="1" x14ac:dyDescent="0.25">
      <c r="A362" s="224" t="s">
        <v>436</v>
      </c>
      <c r="B362" s="224" t="s">
        <v>248</v>
      </c>
      <c r="C362" s="224" t="s">
        <v>246</v>
      </c>
      <c r="D362" s="224" t="s">
        <v>247</v>
      </c>
      <c r="E362" s="443">
        <f>F362</f>
        <v>10344190</v>
      </c>
      <c r="F362" s="444">
        <v>10344190</v>
      </c>
      <c r="G362" s="444">
        <v>8023550</v>
      </c>
      <c r="H362" s="444">
        <f>144480+4120+99060+7000</f>
        <v>254660</v>
      </c>
      <c r="I362" s="444"/>
      <c r="J362" s="443">
        <f>L362+O362</f>
        <v>0</v>
      </c>
      <c r="K362" s="444"/>
      <c r="L362" s="444"/>
      <c r="M362" s="444"/>
      <c r="N362" s="444"/>
      <c r="O362" s="445">
        <f>K362</f>
        <v>0</v>
      </c>
      <c r="P362" s="443">
        <f>E362+J362</f>
        <v>10344190</v>
      </c>
      <c r="Q362" s="628" t="b">
        <f>K362='d6'!J100</f>
        <v>1</v>
      </c>
      <c r="R362" s="297"/>
      <c r="S362" s="293">
        <f>'d6'!J100</f>
        <v>0</v>
      </c>
    </row>
    <row r="363" spans="1:19" ht="184.5" thickTop="1" thickBot="1" x14ac:dyDescent="0.25">
      <c r="A363" s="224" t="s">
        <v>676</v>
      </c>
      <c r="B363" s="224" t="s">
        <v>376</v>
      </c>
      <c r="C363" s="224" t="s">
        <v>662</v>
      </c>
      <c r="D363" s="224" t="s">
        <v>663</v>
      </c>
      <c r="E363" s="446">
        <f>F363</f>
        <v>7000</v>
      </c>
      <c r="F363" s="447">
        <v>7000</v>
      </c>
      <c r="G363" s="447"/>
      <c r="H363" s="447"/>
      <c r="I363" s="447"/>
      <c r="J363" s="443">
        <f t="shared" ref="J363" si="420">L363+O363</f>
        <v>0</v>
      </c>
      <c r="K363" s="447"/>
      <c r="L363" s="459"/>
      <c r="M363" s="459"/>
      <c r="N363" s="459"/>
      <c r="O363" s="445">
        <f t="shared" ref="O363" si="421">K363</f>
        <v>0</v>
      </c>
      <c r="P363" s="443">
        <f t="shared" ref="P363" si="422">+J363+E363</f>
        <v>7000</v>
      </c>
      <c r="Q363" s="628"/>
      <c r="R363" s="297"/>
    </row>
    <row r="364" spans="1:19" s="779" customFormat="1" ht="136.5" thickTop="1" thickBot="1" x14ac:dyDescent="0.25">
      <c r="A364" s="467" t="s">
        <v>1376</v>
      </c>
      <c r="B364" s="467" t="s">
        <v>734</v>
      </c>
      <c r="C364" s="467"/>
      <c r="D364" s="467" t="s">
        <v>732</v>
      </c>
      <c r="E364" s="610">
        <f>E365</f>
        <v>2500000</v>
      </c>
      <c r="F364" s="610">
        <f t="shared" ref="F364:P365" si="423">F365</f>
        <v>2500000</v>
      </c>
      <c r="G364" s="610">
        <f t="shared" si="423"/>
        <v>0</v>
      </c>
      <c r="H364" s="610">
        <f t="shared" si="423"/>
        <v>0</v>
      </c>
      <c r="I364" s="610">
        <f t="shared" si="423"/>
        <v>0</v>
      </c>
      <c r="J364" s="610">
        <f t="shared" si="423"/>
        <v>0</v>
      </c>
      <c r="K364" s="610">
        <f t="shared" si="423"/>
        <v>0</v>
      </c>
      <c r="L364" s="610">
        <f t="shared" si="423"/>
        <v>0</v>
      </c>
      <c r="M364" s="610">
        <f t="shared" si="423"/>
        <v>0</v>
      </c>
      <c r="N364" s="610">
        <f t="shared" si="423"/>
        <v>0</v>
      </c>
      <c r="O364" s="610">
        <f t="shared" si="423"/>
        <v>0</v>
      </c>
      <c r="P364" s="610">
        <f t="shared" si="423"/>
        <v>2500000</v>
      </c>
      <c r="Q364" s="628"/>
      <c r="R364" s="297"/>
    </row>
    <row r="365" spans="1:19" s="779" customFormat="1" ht="48" thickTop="1" thickBot="1" x14ac:dyDescent="0.25">
      <c r="A365" s="489" t="s">
        <v>1377</v>
      </c>
      <c r="B365" s="489" t="s">
        <v>737</v>
      </c>
      <c r="C365" s="489"/>
      <c r="D365" s="489" t="s">
        <v>735</v>
      </c>
      <c r="E365" s="472">
        <f>E366</f>
        <v>2500000</v>
      </c>
      <c r="F365" s="472">
        <f t="shared" si="423"/>
        <v>2500000</v>
      </c>
      <c r="G365" s="472">
        <f t="shared" si="423"/>
        <v>0</v>
      </c>
      <c r="H365" s="472">
        <f t="shared" si="423"/>
        <v>0</v>
      </c>
      <c r="I365" s="472">
        <f t="shared" si="423"/>
        <v>0</v>
      </c>
      <c r="J365" s="472">
        <f t="shared" si="423"/>
        <v>0</v>
      </c>
      <c r="K365" s="472">
        <f t="shared" si="423"/>
        <v>0</v>
      </c>
      <c r="L365" s="472">
        <f t="shared" si="423"/>
        <v>0</v>
      </c>
      <c r="M365" s="472">
        <f t="shared" si="423"/>
        <v>0</v>
      </c>
      <c r="N365" s="472">
        <f t="shared" si="423"/>
        <v>0</v>
      </c>
      <c r="O365" s="472">
        <f t="shared" si="423"/>
        <v>0</v>
      </c>
      <c r="P365" s="472">
        <f t="shared" si="423"/>
        <v>2500000</v>
      </c>
      <c r="Q365" s="628"/>
      <c r="R365" s="297"/>
    </row>
    <row r="366" spans="1:19" s="779" customFormat="1" ht="93" thickTop="1" thickBot="1" x14ac:dyDescent="0.25">
      <c r="A366" s="815" t="s">
        <v>1378</v>
      </c>
      <c r="B366" s="815" t="s">
        <v>269</v>
      </c>
      <c r="C366" s="815" t="s">
        <v>178</v>
      </c>
      <c r="D366" s="815" t="s">
        <v>267</v>
      </c>
      <c r="E366" s="817">
        <f t="shared" ref="E366" si="424">F366</f>
        <v>2500000</v>
      </c>
      <c r="F366" s="444">
        <v>2500000</v>
      </c>
      <c r="G366" s="444"/>
      <c r="H366" s="444"/>
      <c r="I366" s="444"/>
      <c r="J366" s="817">
        <f t="shared" ref="J366" si="425">L366+O366</f>
        <v>0</v>
      </c>
      <c r="K366" s="444"/>
      <c r="L366" s="444"/>
      <c r="M366" s="444"/>
      <c r="N366" s="444"/>
      <c r="O366" s="816">
        <f>K366</f>
        <v>0</v>
      </c>
      <c r="P366" s="817">
        <f t="shared" ref="P366" si="426">E366+J366</f>
        <v>2500000</v>
      </c>
      <c r="Q366" s="628"/>
      <c r="R366" s="297"/>
    </row>
    <row r="367" spans="1:19" ht="47.25" thickTop="1" thickBot="1" x14ac:dyDescent="0.25">
      <c r="A367" s="151" t="s">
        <v>892</v>
      </c>
      <c r="B367" s="151" t="s">
        <v>739</v>
      </c>
      <c r="C367" s="151"/>
      <c r="D367" s="151" t="s">
        <v>740</v>
      </c>
      <c r="E367" s="446">
        <f t="shared" ref="E367:P367" si="427">E368+E369+E371</f>
        <v>24317099.369999997</v>
      </c>
      <c r="F367" s="446">
        <f t="shared" si="427"/>
        <v>24317099.369999997</v>
      </c>
      <c r="G367" s="446">
        <f t="shared" si="427"/>
        <v>0</v>
      </c>
      <c r="H367" s="446">
        <f t="shared" si="427"/>
        <v>0</v>
      </c>
      <c r="I367" s="446">
        <f t="shared" si="427"/>
        <v>0</v>
      </c>
      <c r="J367" s="446">
        <f t="shared" si="427"/>
        <v>0</v>
      </c>
      <c r="K367" s="446">
        <f t="shared" si="427"/>
        <v>0</v>
      </c>
      <c r="L367" s="446">
        <f t="shared" si="427"/>
        <v>0</v>
      </c>
      <c r="M367" s="446">
        <f t="shared" si="427"/>
        <v>0</v>
      </c>
      <c r="N367" s="446">
        <f t="shared" si="427"/>
        <v>0</v>
      </c>
      <c r="O367" s="446">
        <f t="shared" si="427"/>
        <v>0</v>
      </c>
      <c r="P367" s="446">
        <f t="shared" si="427"/>
        <v>24317099.369999997</v>
      </c>
      <c r="Q367" s="628"/>
      <c r="R367" s="297"/>
    </row>
    <row r="368" spans="1:19" ht="91.5" thickTop="1" thickBot="1" x14ac:dyDescent="0.25">
      <c r="A368" s="591">
        <v>3718600</v>
      </c>
      <c r="B368" s="591">
        <v>8600</v>
      </c>
      <c r="C368" s="467" t="s">
        <v>376</v>
      </c>
      <c r="D368" s="591" t="s">
        <v>470</v>
      </c>
      <c r="E368" s="468">
        <f>F368</f>
        <v>9112018</v>
      </c>
      <c r="F368" s="468">
        <f>(8838983)+273035</f>
        <v>9112018</v>
      </c>
      <c r="G368" s="468"/>
      <c r="H368" s="468"/>
      <c r="I368" s="468"/>
      <c r="J368" s="468">
        <f>L368+O368</f>
        <v>0</v>
      </c>
      <c r="K368" s="468"/>
      <c r="L368" s="468"/>
      <c r="M368" s="468"/>
      <c r="N368" s="468"/>
      <c r="O368" s="593">
        <f>K368</f>
        <v>0</v>
      </c>
      <c r="P368" s="468">
        <f>E368+J368</f>
        <v>9112018</v>
      </c>
    </row>
    <row r="369" spans="1:18" ht="47.25" thickTop="1" thickBot="1" x14ac:dyDescent="0.25">
      <c r="A369" s="591">
        <v>3718700</v>
      </c>
      <c r="B369" s="591">
        <v>8700</v>
      </c>
      <c r="C369" s="467"/>
      <c r="D369" s="591" t="s">
        <v>893</v>
      </c>
      <c r="E369" s="468">
        <f t="shared" ref="E369:P369" si="428">E370</f>
        <v>15205081.369999997</v>
      </c>
      <c r="F369" s="468">
        <f t="shared" si="428"/>
        <v>15205081.369999997</v>
      </c>
      <c r="G369" s="468">
        <f t="shared" si="428"/>
        <v>0</v>
      </c>
      <c r="H369" s="468">
        <f t="shared" si="428"/>
        <v>0</v>
      </c>
      <c r="I369" s="468">
        <f t="shared" si="428"/>
        <v>0</v>
      </c>
      <c r="J369" s="468">
        <f t="shared" si="428"/>
        <v>0</v>
      </c>
      <c r="K369" s="468">
        <f t="shared" si="428"/>
        <v>0</v>
      </c>
      <c r="L369" s="468">
        <f t="shared" si="428"/>
        <v>0</v>
      </c>
      <c r="M369" s="468">
        <f t="shared" si="428"/>
        <v>0</v>
      </c>
      <c r="N369" s="468">
        <f t="shared" si="428"/>
        <v>0</v>
      </c>
      <c r="O369" s="468">
        <f t="shared" si="428"/>
        <v>0</v>
      </c>
      <c r="P369" s="468">
        <f t="shared" si="428"/>
        <v>15205081.369999997</v>
      </c>
    </row>
    <row r="370" spans="1:18" ht="93" thickTop="1" thickBot="1" x14ac:dyDescent="0.25">
      <c r="A370" s="562">
        <v>3718710</v>
      </c>
      <c r="B370" s="562">
        <v>8710</v>
      </c>
      <c r="C370" s="533" t="s">
        <v>44</v>
      </c>
      <c r="D370" s="499" t="s">
        <v>682</v>
      </c>
      <c r="E370" s="530">
        <f>F370</f>
        <v>15205081.369999997</v>
      </c>
      <c r="F370" s="444">
        <f>(((((((3000000-1000000)+45085944.68)-7585175)-3513325)-3000000+3748848.69)-735866)-16016872)-4778474</f>
        <v>15205081.369999997</v>
      </c>
      <c r="G370" s="444"/>
      <c r="H370" s="444"/>
      <c r="I370" s="444"/>
      <c r="J370" s="530">
        <f>L370+O370</f>
        <v>0</v>
      </c>
      <c r="K370" s="444"/>
      <c r="L370" s="444"/>
      <c r="M370" s="444"/>
      <c r="N370" s="444"/>
      <c r="O370" s="535">
        <f>K370</f>
        <v>0</v>
      </c>
      <c r="P370" s="530">
        <f>E370+J370</f>
        <v>15205081.369999997</v>
      </c>
    </row>
    <row r="371" spans="1:18" ht="47.25" hidden="1" thickTop="1" thickBot="1" x14ac:dyDescent="0.25">
      <c r="A371" s="591">
        <v>3718800</v>
      </c>
      <c r="B371" s="591">
        <v>8800</v>
      </c>
      <c r="C371" s="467"/>
      <c r="D371" s="591" t="s">
        <v>901</v>
      </c>
      <c r="E371" s="468">
        <f>E372</f>
        <v>0</v>
      </c>
      <c r="F371" s="468">
        <f>F372</f>
        <v>0</v>
      </c>
      <c r="G371" s="468">
        <f t="shared" ref="G371:P372" si="429">G372</f>
        <v>0</v>
      </c>
      <c r="H371" s="468">
        <f t="shared" si="429"/>
        <v>0</v>
      </c>
      <c r="I371" s="468">
        <f t="shared" si="429"/>
        <v>0</v>
      </c>
      <c r="J371" s="468">
        <f t="shared" si="429"/>
        <v>0</v>
      </c>
      <c r="K371" s="468">
        <f t="shared" si="429"/>
        <v>0</v>
      </c>
      <c r="L371" s="468">
        <f t="shared" si="429"/>
        <v>0</v>
      </c>
      <c r="M371" s="468">
        <f t="shared" si="429"/>
        <v>0</v>
      </c>
      <c r="N371" s="468">
        <f t="shared" si="429"/>
        <v>0</v>
      </c>
      <c r="O371" s="468">
        <f t="shared" si="429"/>
        <v>0</v>
      </c>
      <c r="P371" s="468">
        <f t="shared" si="429"/>
        <v>0</v>
      </c>
    </row>
    <row r="372" spans="1:18" ht="184.5" hidden="1" thickTop="1" thickBot="1" x14ac:dyDescent="0.25">
      <c r="A372" s="592">
        <v>3718880</v>
      </c>
      <c r="B372" s="592">
        <v>8880</v>
      </c>
      <c r="C372" s="489"/>
      <c r="D372" s="482" t="s">
        <v>1299</v>
      </c>
      <c r="E372" s="472">
        <f>E373</f>
        <v>0</v>
      </c>
      <c r="F372" s="472">
        <f t="shared" ref="F372" si="430">F373</f>
        <v>0</v>
      </c>
      <c r="G372" s="472">
        <f t="shared" si="429"/>
        <v>0</v>
      </c>
      <c r="H372" s="472">
        <f t="shared" si="429"/>
        <v>0</v>
      </c>
      <c r="I372" s="472">
        <f t="shared" si="429"/>
        <v>0</v>
      </c>
      <c r="J372" s="472">
        <f t="shared" si="429"/>
        <v>0</v>
      </c>
      <c r="K372" s="472">
        <f t="shared" si="429"/>
        <v>0</v>
      </c>
      <c r="L372" s="472">
        <f t="shared" si="429"/>
        <v>0</v>
      </c>
      <c r="M372" s="472">
        <f t="shared" si="429"/>
        <v>0</v>
      </c>
      <c r="N372" s="472">
        <f t="shared" si="429"/>
        <v>0</v>
      </c>
      <c r="O372" s="472">
        <f t="shared" si="429"/>
        <v>0</v>
      </c>
      <c r="P372" s="472">
        <f t="shared" si="429"/>
        <v>0</v>
      </c>
    </row>
    <row r="373" spans="1:18" ht="230.25" hidden="1" thickTop="1" thickBot="1" x14ac:dyDescent="0.25">
      <c r="A373" s="533">
        <v>3718881</v>
      </c>
      <c r="B373" s="533">
        <v>8881</v>
      </c>
      <c r="C373" s="533" t="s">
        <v>178</v>
      </c>
      <c r="D373" s="533" t="s">
        <v>1300</v>
      </c>
      <c r="E373" s="446">
        <f>F373</f>
        <v>0</v>
      </c>
      <c r="F373" s="447">
        <f>(2500000)-2500000</f>
        <v>0</v>
      </c>
      <c r="G373" s="447"/>
      <c r="H373" s="447"/>
      <c r="I373" s="447"/>
      <c r="J373" s="530">
        <f t="shared" ref="J373" si="431">L373+O373</f>
        <v>0</v>
      </c>
      <c r="K373" s="447"/>
      <c r="L373" s="459"/>
      <c r="M373" s="459"/>
      <c r="N373" s="459"/>
      <c r="O373" s="535">
        <f t="shared" ref="O373" si="432">K373</f>
        <v>0</v>
      </c>
      <c r="P373" s="530">
        <f t="shared" ref="P373" si="433">+J373+E373</f>
        <v>0</v>
      </c>
    </row>
    <row r="374" spans="1:18" ht="47.25" thickTop="1" thickBot="1" x14ac:dyDescent="0.25">
      <c r="A374" s="151" t="s">
        <v>894</v>
      </c>
      <c r="B374" s="151" t="s">
        <v>745</v>
      </c>
      <c r="C374" s="151"/>
      <c r="D374" s="151" t="s">
        <v>746</v>
      </c>
      <c r="E374" s="530">
        <f>E375</f>
        <v>91712900</v>
      </c>
      <c r="F374" s="530">
        <f t="shared" ref="F374:P375" si="434">F375</f>
        <v>91712900</v>
      </c>
      <c r="G374" s="530">
        <f t="shared" si="434"/>
        <v>0</v>
      </c>
      <c r="H374" s="530">
        <f t="shared" si="434"/>
        <v>0</v>
      </c>
      <c r="I374" s="530">
        <f t="shared" si="434"/>
        <v>0</v>
      </c>
      <c r="J374" s="530">
        <f t="shared" si="434"/>
        <v>0</v>
      </c>
      <c r="K374" s="530">
        <f t="shared" si="434"/>
        <v>0</v>
      </c>
      <c r="L374" s="530">
        <f t="shared" si="434"/>
        <v>0</v>
      </c>
      <c r="M374" s="530">
        <f t="shared" si="434"/>
        <v>0</v>
      </c>
      <c r="N374" s="530">
        <f t="shared" si="434"/>
        <v>0</v>
      </c>
      <c r="O374" s="530">
        <f t="shared" si="434"/>
        <v>0</v>
      </c>
      <c r="P374" s="530">
        <f t="shared" si="434"/>
        <v>91712900</v>
      </c>
    </row>
    <row r="375" spans="1:18" ht="91.5" thickTop="1" thickBot="1" x14ac:dyDescent="0.25">
      <c r="A375" s="591">
        <v>3719100</v>
      </c>
      <c r="B375" s="467" t="s">
        <v>896</v>
      </c>
      <c r="C375" s="467"/>
      <c r="D375" s="467" t="s">
        <v>895</v>
      </c>
      <c r="E375" s="468">
        <f>E376</f>
        <v>91712900</v>
      </c>
      <c r="F375" s="468">
        <f t="shared" si="434"/>
        <v>91712900</v>
      </c>
      <c r="G375" s="468">
        <f t="shared" si="434"/>
        <v>0</v>
      </c>
      <c r="H375" s="468">
        <f t="shared" si="434"/>
        <v>0</v>
      </c>
      <c r="I375" s="468">
        <f t="shared" si="434"/>
        <v>0</v>
      </c>
      <c r="J375" s="468">
        <f t="shared" si="434"/>
        <v>0</v>
      </c>
      <c r="K375" s="468">
        <f t="shared" si="434"/>
        <v>0</v>
      </c>
      <c r="L375" s="468">
        <f t="shared" si="434"/>
        <v>0</v>
      </c>
      <c r="M375" s="468">
        <f t="shared" si="434"/>
        <v>0</v>
      </c>
      <c r="N375" s="468">
        <f t="shared" si="434"/>
        <v>0</v>
      </c>
      <c r="O375" s="468">
        <f t="shared" si="434"/>
        <v>0</v>
      </c>
      <c r="P375" s="468">
        <f t="shared" si="434"/>
        <v>91712900</v>
      </c>
    </row>
    <row r="376" spans="1:18" ht="48" thickTop="1" thickBot="1" x14ac:dyDescent="0.25">
      <c r="A376" s="562">
        <v>3719110</v>
      </c>
      <c r="B376" s="562">
        <v>9110</v>
      </c>
      <c r="C376" s="533" t="s">
        <v>45</v>
      </c>
      <c r="D376" s="499" t="s">
        <v>469</v>
      </c>
      <c r="E376" s="530">
        <f>F376</f>
        <v>91712900</v>
      </c>
      <c r="F376" s="444">
        <v>91712900</v>
      </c>
      <c r="G376" s="444"/>
      <c r="H376" s="444"/>
      <c r="I376" s="444"/>
      <c r="J376" s="530">
        <f>L376+O376</f>
        <v>0</v>
      </c>
      <c r="K376" s="444"/>
      <c r="L376" s="444"/>
      <c r="M376" s="444"/>
      <c r="N376" s="444"/>
      <c r="O376" s="535">
        <f>K376</f>
        <v>0</v>
      </c>
      <c r="P376" s="530">
        <f>E376+J376</f>
        <v>91712900</v>
      </c>
    </row>
    <row r="377" spans="1:18" ht="159.75" customHeight="1" thickTop="1" thickBot="1" x14ac:dyDescent="0.25">
      <c r="A377" s="441" t="s">
        <v>396</v>
      </c>
      <c r="B377" s="441" t="s">
        <v>396</v>
      </c>
      <c r="C377" s="441" t="s">
        <v>396</v>
      </c>
      <c r="D377" s="441" t="s">
        <v>406</v>
      </c>
      <c r="E377" s="442">
        <f>E16+E44+E199+E92+E120+E178++E285+E308+E360+E330+E343+E351+E316+E254+E232</f>
        <v>3294554403.6700001</v>
      </c>
      <c r="F377" s="442">
        <f>F16+F44+F199+F92+F120+F178++F285+F308+F360+F330+F343+F351+F316+F254+F232</f>
        <v>3294554403.6700001</v>
      </c>
      <c r="G377" s="442">
        <f>G16+G44+G199+G92+G120+G178++G285+G308+G360+G330+G343+G351+G316+G254+G232</f>
        <v>1567041024</v>
      </c>
      <c r="H377" s="442">
        <f>H16+H44+H199+H92+H120+H178++H285+H308+H360+H330+H343+H351+H316+H254+H232</f>
        <v>222556754</v>
      </c>
      <c r="I377" s="442">
        <f>I16+I44+I199+I92+I120+I178++I285+I308+I360+I330+I343+I351+I316+I254+I232</f>
        <v>0</v>
      </c>
      <c r="J377" s="442">
        <f>J16+J44+J199+J92+J120+J178++J285+J308+J360+J330+J343+J351+J316+J254+J232</f>
        <v>418543594.96000004</v>
      </c>
      <c r="K377" s="442">
        <f>K16+K44+K199+K92+K120+K178++K285+K308+K360+K330+K343+K351+K316+K254+K232</f>
        <v>227408129.59</v>
      </c>
      <c r="L377" s="442">
        <f>L16+L44+L199+L92+L120+L178++L285+L308+L360+L330+L343+L351+L316+L254+L232</f>
        <v>185628937.37</v>
      </c>
      <c r="M377" s="442">
        <f>M16+M44+M199+M92+M120+M178++M285+M308+M360+M330+M343+M351+M316+M254+M232</f>
        <v>55225789</v>
      </c>
      <c r="N377" s="442">
        <f>N16+N44+N199+N92+N120+N178++N285+N308+N360+N330+N343+N351+N316+N254+N232</f>
        <v>15509364</v>
      </c>
      <c r="O377" s="442">
        <f>O16+O44+O199+O92+O120+O178++O285+O308+O360+O330+O343+O351+O316+O254+O232</f>
        <v>232914657.59</v>
      </c>
      <c r="P377" s="442">
        <f>P16+P44+P199+P92+P120+P178++P285+P308+P360+P330+P343+P351+P316+P254+P232</f>
        <v>3713097998.6300001</v>
      </c>
      <c r="Q377" s="612" t="b">
        <f>P377=J377+E377</f>
        <v>1</v>
      </c>
    </row>
    <row r="378" spans="1:18" ht="46.5" thickTop="1" x14ac:dyDescent="0.2">
      <c r="A378" s="952" t="s">
        <v>1230</v>
      </c>
      <c r="B378" s="953"/>
      <c r="C378" s="953"/>
      <c r="D378" s="953"/>
      <c r="E378" s="953"/>
      <c r="F378" s="953"/>
      <c r="G378" s="953"/>
      <c r="H378" s="953"/>
      <c r="I378" s="953"/>
      <c r="J378" s="953"/>
      <c r="K378" s="953"/>
      <c r="L378" s="953"/>
      <c r="M378" s="953"/>
      <c r="N378" s="953"/>
      <c r="O378" s="953"/>
      <c r="P378" s="953"/>
      <c r="Q378" s="634"/>
    </row>
    <row r="379" spans="1:18" ht="60.75" hidden="1" x14ac:dyDescent="0.2">
      <c r="A379" s="185"/>
      <c r="B379" s="186"/>
      <c r="C379" s="186"/>
      <c r="D379" s="186"/>
      <c r="E379" s="1079">
        <f>F379</f>
        <v>3294554403.6700001</v>
      </c>
      <c r="F379" s="1079">
        <f>((((((((3193579493+15000000-'d4'!F20)+11441007)-8903408)+86371703.98)-74000)-73325965)+4807848.69-3000000+47600000)-5736952)+27294676</f>
        <v>3294554403.6700001</v>
      </c>
      <c r="G379" s="1079">
        <f>((1769990+50998970+103167225+34055950+2551300+1241065255+97388110+91862005+24500+3924850)-59767131)</f>
        <v>1567041024</v>
      </c>
      <c r="H379" s="1079">
        <f>((((64305+4537205+7734640+2175525+152010+198230190-5980497+5754505+3107172+6628199)+118900)+120000)+15430)+127866+71304-300000</f>
        <v>222556754</v>
      </c>
      <c r="I379" s="1079">
        <v>0</v>
      </c>
      <c r="J379" s="1079">
        <f>((((((((506071198+'d2'!E37)+1701336)+8903408)+5545498.37)+74000)-170420)+80000+3000000-47600000)-16299664.41+22773610)-25708361</f>
        <v>418543594.95999998</v>
      </c>
      <c r="K379" s="1079">
        <f>((((((((506071198-181772123-6000000-700000+'d2'!F37)+1701336)+8903408)+(5545498.37-2663342.37))+74000)-170420)+80000+3000000-47600000)-16299664.41+22773610)-25708361</f>
        <v>227408129.59</v>
      </c>
      <c r="L379" s="1079">
        <f>(((3616000+652000)+(163345550-3275910)+(9712850-109080)+(6580704-60368)+(2133019-79170))+2663342.37)+450000</f>
        <v>185628937.37</v>
      </c>
      <c r="M379" s="1079">
        <f>(45127299+7102670+1953040+1042780)</f>
        <v>55225789</v>
      </c>
      <c r="N379" s="1079">
        <f>(12370056+306880+465600+353328+2000000)+13500</f>
        <v>15509364</v>
      </c>
      <c r="O379" s="1079">
        <f>(((((((((2384000+48000+3275910+109080+60368+79170)+(506071198+'d2'!F37-181772123-6000000-700000)+1701336)+8903408)+(5545498.37-2663342.37))+74000)-450000)-170420)+80000+3000000-47600000)-16299664.41+22773610)-25708361</f>
        <v>232914657.59</v>
      </c>
      <c r="P379" s="1079">
        <f>((((((3699650691+15000000+'d2'!E37-'d4'!Q20)+13142343)+91917202.35)-73496385)+4887848.69)-16299664.41-5736952+22773610)+1586315</f>
        <v>3713097998.6300001</v>
      </c>
      <c r="Q379" s="612" t="b">
        <f>E379+J379=P379</f>
        <v>1</v>
      </c>
      <c r="R379" s="309"/>
    </row>
    <row r="380" spans="1:18" ht="60.75" x14ac:dyDescent="0.2">
      <c r="A380" s="185"/>
      <c r="B380" s="186"/>
      <c r="C380" s="186"/>
      <c r="D380" s="186"/>
      <c r="E380" s="187"/>
      <c r="F380" s="187"/>
      <c r="G380" s="187"/>
      <c r="H380" s="187"/>
      <c r="I380" s="187"/>
      <c r="J380" s="187"/>
      <c r="K380" s="187"/>
      <c r="L380" s="187"/>
      <c r="M380" s="187"/>
      <c r="N380" s="187"/>
      <c r="O380" s="187"/>
      <c r="P380" s="187"/>
      <c r="Q380" s="612"/>
      <c r="R380" s="309"/>
    </row>
    <row r="381" spans="1:18" ht="75.75" customHeight="1" x14ac:dyDescent="0.65">
      <c r="A381" s="185"/>
      <c r="B381" s="186"/>
      <c r="C381" s="186"/>
      <c r="D381" s="439" t="s">
        <v>1363</v>
      </c>
      <c r="E381" s="782"/>
      <c r="F381" s="782"/>
      <c r="G381" s="183"/>
      <c r="H381" s="439"/>
      <c r="I381" s="438"/>
      <c r="J381" s="439"/>
      <c r="K381" s="439" t="s">
        <v>1364</v>
      </c>
      <c r="L381" s="438"/>
      <c r="M381" s="438"/>
      <c r="N381" s="438"/>
      <c r="O381" s="438"/>
      <c r="P381" s="438"/>
      <c r="Q381" s="634"/>
    </row>
    <row r="382" spans="1:18" ht="12.75" customHeight="1" x14ac:dyDescent="0.65">
      <c r="A382" s="185"/>
      <c r="B382" s="186"/>
      <c r="C382" s="186"/>
      <c r="D382" s="921"/>
      <c r="E382" s="921"/>
      <c r="F382" s="921"/>
      <c r="G382" s="921"/>
      <c r="H382" s="921"/>
      <c r="I382" s="921"/>
      <c r="J382" s="921"/>
      <c r="K382" s="921"/>
      <c r="L382" s="921"/>
      <c r="M382" s="921"/>
      <c r="N382" s="921"/>
      <c r="O382" s="921"/>
      <c r="P382" s="921"/>
      <c r="Q382" s="634"/>
    </row>
    <row r="383" spans="1:18" ht="46.5" thickBot="1" x14ac:dyDescent="0.7">
      <c r="A383" s="185"/>
      <c r="B383" s="186"/>
      <c r="C383" s="186"/>
      <c r="D383" s="439" t="s">
        <v>544</v>
      </c>
      <c r="E383" s="437"/>
      <c r="F383" s="437"/>
      <c r="G383" s="437"/>
      <c r="H383" s="439"/>
      <c r="I383" s="438"/>
      <c r="J383" s="438"/>
      <c r="K383" s="439" t="s">
        <v>545</v>
      </c>
      <c r="L383" s="438"/>
      <c r="M383" s="438"/>
      <c r="N383" s="438"/>
      <c r="O383" s="438"/>
      <c r="P383" s="438"/>
      <c r="Q383" s="634"/>
    </row>
    <row r="384" spans="1:18" ht="47.25" thickTop="1" thickBot="1" x14ac:dyDescent="0.7">
      <c r="A384" s="246"/>
      <c r="B384" s="246"/>
      <c r="C384" s="246"/>
      <c r="D384" s="951"/>
      <c r="E384" s="951"/>
      <c r="F384" s="951"/>
      <c r="G384" s="951"/>
      <c r="H384" s="951"/>
      <c r="I384" s="951"/>
      <c r="J384" s="951"/>
      <c r="K384" s="951"/>
      <c r="L384" s="951"/>
      <c r="M384" s="951"/>
      <c r="N384" s="951"/>
      <c r="O384" s="951"/>
      <c r="P384" s="951"/>
      <c r="Q384" s="635"/>
    </row>
    <row r="385" spans="1:18" ht="150.75" hidden="1" customHeight="1" x14ac:dyDescent="0.65">
      <c r="D385" s="951" t="s">
        <v>546</v>
      </c>
      <c r="E385" s="951"/>
      <c r="F385" s="951"/>
      <c r="G385" s="951"/>
      <c r="H385" s="951"/>
      <c r="I385" s="951"/>
      <c r="J385" s="951"/>
      <c r="K385" s="951"/>
      <c r="L385" s="951"/>
      <c r="M385" s="951"/>
      <c r="N385" s="951"/>
      <c r="O385" s="951"/>
      <c r="P385" s="951"/>
    </row>
    <row r="386" spans="1:18" ht="95.25" customHeight="1" thickTop="1" x14ac:dyDescent="0.55000000000000004">
      <c r="G386" s="311"/>
      <c r="H386" s="311"/>
      <c r="I386" s="655"/>
      <c r="J386" s="656"/>
      <c r="K386" s="656"/>
      <c r="L386" s="655"/>
      <c r="M386" s="655"/>
      <c r="N386" s="655"/>
      <c r="O386" s="655"/>
      <c r="P386" s="656"/>
      <c r="Q386" s="625"/>
    </row>
    <row r="387" spans="1:18" hidden="1" x14ac:dyDescent="0.2">
      <c r="E387" s="312"/>
      <c r="F387" s="313"/>
      <c r="G387" s="311"/>
      <c r="H387" s="311"/>
      <c r="I387" s="655"/>
      <c r="J387" s="657"/>
      <c r="K387" s="657"/>
      <c r="L387" s="655"/>
      <c r="M387" s="655"/>
      <c r="N387" s="655"/>
      <c r="O387" s="655"/>
      <c r="P387" s="656"/>
    </row>
    <row r="388" spans="1:18" hidden="1" x14ac:dyDescent="0.2">
      <c r="E388" s="312"/>
      <c r="F388" s="313"/>
      <c r="G388" s="311"/>
      <c r="H388" s="311"/>
      <c r="I388" s="655"/>
      <c r="J388" s="657"/>
      <c r="K388" s="657"/>
      <c r="L388" s="655"/>
      <c r="M388" s="655"/>
      <c r="N388" s="655"/>
      <c r="O388" s="655"/>
      <c r="P388" s="656"/>
    </row>
    <row r="389" spans="1:18" ht="60.75" x14ac:dyDescent="0.2">
      <c r="E389" s="612" t="b">
        <f>E379=E377</f>
        <v>1</v>
      </c>
      <c r="F389" s="612" t="b">
        <f>F379=F377</f>
        <v>1</v>
      </c>
      <c r="G389" s="612" t="b">
        <f>G379=G377</f>
        <v>1</v>
      </c>
      <c r="H389" s="612" t="b">
        <f t="shared" ref="H389:O389" si="435">H379=H377</f>
        <v>1</v>
      </c>
      <c r="I389" s="612" t="b">
        <f>I379=I377</f>
        <v>1</v>
      </c>
      <c r="J389" s="612" t="b">
        <f>J377=J379</f>
        <v>1</v>
      </c>
      <c r="K389" s="612" t="b">
        <f>K379=K377</f>
        <v>1</v>
      </c>
      <c r="L389" s="612" t="b">
        <f t="shared" si="435"/>
        <v>1</v>
      </c>
      <c r="M389" s="612" t="b">
        <f t="shared" si="435"/>
        <v>1</v>
      </c>
      <c r="N389" s="612" t="b">
        <f>N379=N377</f>
        <v>1</v>
      </c>
      <c r="O389" s="612" t="b">
        <f t="shared" si="435"/>
        <v>1</v>
      </c>
      <c r="P389" s="612" t="b">
        <f>P379=P377</f>
        <v>1</v>
      </c>
    </row>
    <row r="390" spans="1:18" ht="61.5" x14ac:dyDescent="0.2">
      <c r="E390" s="612" t="b">
        <f>E377=F377</f>
        <v>1</v>
      </c>
      <c r="F390" s="823">
        <f>F370/E377</f>
        <v>4.6152163561367062E-3</v>
      </c>
      <c r="G390" s="649"/>
      <c r="H390" s="650"/>
      <c r="I390" s="651"/>
      <c r="J390" s="612" t="b">
        <f>J379=L379+O379</f>
        <v>1</v>
      </c>
      <c r="K390" s="658"/>
      <c r="L390" s="612"/>
      <c r="M390" s="651"/>
      <c r="N390" s="651"/>
      <c r="O390" s="612"/>
      <c r="P390" s="612" t="b">
        <f>E377+J377=P377</f>
        <v>1</v>
      </c>
    </row>
    <row r="391" spans="1:18" ht="60.75" x14ac:dyDescent="0.2">
      <c r="E391" s="652"/>
      <c r="F391" s="653"/>
      <c r="G391" s="652"/>
      <c r="H391" s="654"/>
      <c r="I391" s="652"/>
      <c r="J391" s="312"/>
      <c r="K391" s="312"/>
    </row>
    <row r="392" spans="1:18" ht="61.5" x14ac:dyDescent="0.2">
      <c r="A392" s="248"/>
      <c r="B392" s="248"/>
      <c r="C392" s="248"/>
      <c r="D392" s="249"/>
      <c r="E392" s="248"/>
      <c r="F392" s="823">
        <f>400000/E377</f>
        <v>1.2141247373375174E-4</v>
      </c>
      <c r="G392" s="649"/>
      <c r="H392" s="314"/>
      <c r="I392" s="249"/>
      <c r="J392" s="280">
        <f>J377-J379</f>
        <v>0</v>
      </c>
      <c r="K392" s="280">
        <f>K377-K379</f>
        <v>0</v>
      </c>
      <c r="L392" s="280"/>
      <c r="M392" s="280"/>
      <c r="N392" s="280"/>
      <c r="O392" s="280">
        <f>O377-O379</f>
        <v>0</v>
      </c>
      <c r="P392" s="280"/>
    </row>
    <row r="393" spans="1:18" ht="61.5" x14ac:dyDescent="0.2">
      <c r="D393" s="249"/>
      <c r="E393" s="280"/>
      <c r="F393" s="316"/>
      <c r="G393" s="308"/>
      <c r="H393" s="314"/>
      <c r="I393" s="249"/>
      <c r="J393" s="280"/>
      <c r="K393" s="280"/>
      <c r="L393" s="317"/>
      <c r="P393" s="308"/>
      <c r="Q393" s="636"/>
      <c r="R393" s="318"/>
    </row>
    <row r="394" spans="1:18" ht="60.75" x14ac:dyDescent="0.2">
      <c r="A394" s="248"/>
      <c r="B394" s="248"/>
      <c r="C394" s="248"/>
      <c r="D394" s="249"/>
      <c r="E394" s="255"/>
      <c r="F394" s="255"/>
      <c r="G394" s="255"/>
      <c r="H394" s="255"/>
      <c r="I394" s="319"/>
      <c r="J394" s="255"/>
      <c r="K394" s="255"/>
      <c r="L394" s="255"/>
      <c r="M394" s="255"/>
      <c r="N394" s="255"/>
      <c r="O394" s="255"/>
      <c r="P394" s="255"/>
      <c r="Q394" s="636"/>
      <c r="R394" s="318"/>
    </row>
    <row r="395" spans="1:18" ht="60.75" x14ac:dyDescent="0.2">
      <c r="D395" s="249"/>
      <c r="E395" s="280"/>
      <c r="F395" s="320"/>
      <c r="G395" s="321"/>
      <c r="O395" s="308"/>
      <c r="P395" s="308"/>
    </row>
    <row r="396" spans="1:18" ht="60.75" x14ac:dyDescent="0.2">
      <c r="A396" s="248"/>
      <c r="B396" s="248"/>
      <c r="C396" s="248"/>
      <c r="D396" s="249"/>
      <c r="E396" s="280"/>
      <c r="F396" s="315"/>
      <c r="G396" s="317"/>
      <c r="I396" s="322"/>
      <c r="J396" s="312"/>
      <c r="K396" s="312"/>
      <c r="L396" s="248"/>
      <c r="M396" s="248"/>
      <c r="N396" s="248"/>
      <c r="O396" s="248"/>
      <c r="P396" s="308"/>
    </row>
    <row r="397" spans="1:18" ht="62.25" x14ac:dyDescent="0.8">
      <c r="A397" s="248"/>
      <c r="B397" s="248"/>
      <c r="C397" s="248"/>
      <c r="D397" s="248"/>
      <c r="E397" s="323"/>
      <c r="F397" s="315"/>
      <c r="J397" s="312"/>
      <c r="K397" s="312"/>
      <c r="L397" s="248"/>
      <c r="M397" s="248"/>
      <c r="N397" s="248"/>
      <c r="O397" s="248"/>
      <c r="P397" s="324"/>
    </row>
    <row r="398" spans="1:18" ht="45.75" x14ac:dyDescent="0.2">
      <c r="E398" s="325"/>
      <c r="F398" s="320"/>
    </row>
    <row r="399" spans="1:18" ht="45.75" x14ac:dyDescent="0.2">
      <c r="A399" s="248"/>
      <c r="B399" s="248"/>
      <c r="C399" s="248"/>
      <c r="D399" s="248"/>
      <c r="E399" s="323"/>
      <c r="F399" s="315"/>
      <c r="L399" s="248"/>
      <c r="M399" s="248"/>
      <c r="N399" s="248"/>
      <c r="O399" s="248"/>
      <c r="P399" s="248"/>
    </row>
    <row r="400" spans="1:18" ht="45.75" x14ac:dyDescent="0.2">
      <c r="E400" s="326"/>
      <c r="F400" s="320"/>
    </row>
    <row r="401" spans="1:16" ht="45.75" x14ac:dyDescent="0.2">
      <c r="E401" s="326"/>
      <c r="F401" s="320"/>
    </row>
    <row r="402" spans="1:16" ht="45.75" x14ac:dyDescent="0.2">
      <c r="E402" s="326"/>
      <c r="F402" s="320"/>
    </row>
    <row r="403" spans="1:16" ht="45.75" x14ac:dyDescent="0.2">
      <c r="A403" s="248"/>
      <c r="B403" s="248"/>
      <c r="C403" s="248"/>
      <c r="D403" s="248"/>
      <c r="E403" s="326"/>
      <c r="F403" s="320"/>
      <c r="G403" s="248"/>
      <c r="H403" s="248"/>
      <c r="I403" s="248"/>
      <c r="J403" s="248"/>
      <c r="K403" s="248"/>
      <c r="L403" s="248"/>
      <c r="M403" s="248"/>
      <c r="N403" s="248"/>
      <c r="O403" s="248"/>
      <c r="P403" s="248"/>
    </row>
    <row r="404" spans="1:16" ht="45.75" x14ac:dyDescent="0.2">
      <c r="A404" s="248"/>
      <c r="B404" s="248"/>
      <c r="C404" s="248"/>
      <c r="D404" s="248"/>
      <c r="E404" s="326"/>
      <c r="F404" s="320"/>
      <c r="G404" s="248"/>
      <c r="H404" s="248"/>
      <c r="I404" s="248"/>
      <c r="J404" s="248"/>
      <c r="K404" s="248"/>
      <c r="L404" s="248"/>
      <c r="M404" s="248"/>
      <c r="N404" s="248"/>
      <c r="O404" s="248"/>
      <c r="P404" s="248"/>
    </row>
    <row r="405" spans="1:16" ht="45.75" x14ac:dyDescent="0.2">
      <c r="A405" s="248"/>
      <c r="B405" s="248"/>
      <c r="C405" s="248"/>
      <c r="D405" s="248"/>
      <c r="E405" s="326"/>
      <c r="F405" s="320"/>
      <c r="G405" s="248"/>
      <c r="H405" s="248"/>
      <c r="I405" s="248"/>
      <c r="J405" s="248"/>
      <c r="K405" s="248"/>
      <c r="L405" s="248"/>
      <c r="M405" s="248"/>
      <c r="N405" s="248"/>
      <c r="O405" s="248"/>
      <c r="P405" s="248"/>
    </row>
    <row r="406" spans="1:16" ht="45.75" x14ac:dyDescent="0.2">
      <c r="A406" s="248"/>
      <c r="B406" s="248"/>
      <c r="C406" s="248"/>
      <c r="D406" s="248"/>
      <c r="E406" s="326"/>
      <c r="F406" s="320"/>
      <c r="G406" s="248"/>
      <c r="H406" s="248"/>
      <c r="I406" s="248"/>
      <c r="J406" s="248"/>
      <c r="K406" s="248"/>
      <c r="L406" s="248"/>
      <c r="M406" s="248"/>
      <c r="N406" s="248"/>
      <c r="O406" s="248"/>
      <c r="P406" s="248"/>
    </row>
  </sheetData>
  <mergeCells count="198">
    <mergeCell ref="D385:P385"/>
    <mergeCell ref="A378:P378"/>
    <mergeCell ref="D384:P384"/>
    <mergeCell ref="K29:K30"/>
    <mergeCell ref="L29:L30"/>
    <mergeCell ref="M29:M30"/>
    <mergeCell ref="N29:N30"/>
    <mergeCell ref="O29:O30"/>
    <mergeCell ref="P29:P30"/>
    <mergeCell ref="E251:E252"/>
    <mergeCell ref="F251:F252"/>
    <mergeCell ref="G251:G252"/>
    <mergeCell ref="H251:H252"/>
    <mergeCell ref="I251:I252"/>
    <mergeCell ref="J251:J252"/>
    <mergeCell ref="A29:A30"/>
    <mergeCell ref="E29:E30"/>
    <mergeCell ref="F29:F30"/>
    <mergeCell ref="G29:G30"/>
    <mergeCell ref="H29:H30"/>
    <mergeCell ref="J29:J30"/>
    <mergeCell ref="A276:A277"/>
    <mergeCell ref="A54:A55"/>
    <mergeCell ref="B54:B55"/>
    <mergeCell ref="N1:Q1"/>
    <mergeCell ref="N2:Q2"/>
    <mergeCell ref="O3:P3"/>
    <mergeCell ref="A5:P5"/>
    <mergeCell ref="A6:P6"/>
    <mergeCell ref="A8:B8"/>
    <mergeCell ref="J11:O11"/>
    <mergeCell ref="P11:P13"/>
    <mergeCell ref="E12:E13"/>
    <mergeCell ref="F12:F13"/>
    <mergeCell ref="G12:H12"/>
    <mergeCell ref="I12:I13"/>
    <mergeCell ref="J12:J13"/>
    <mergeCell ref="K12:K13"/>
    <mergeCell ref="L12:L13"/>
    <mergeCell ref="M12:N12"/>
    <mergeCell ref="O12:O13"/>
    <mergeCell ref="A9:B9"/>
    <mergeCell ref="A11:A13"/>
    <mergeCell ref="B11:B13"/>
    <mergeCell ref="C11:C13"/>
    <mergeCell ref="D11:D13"/>
    <mergeCell ref="E11:I11"/>
    <mergeCell ref="L54:L55"/>
    <mergeCell ref="M54:M55"/>
    <mergeCell ref="N54:N55"/>
    <mergeCell ref="G175:G176"/>
    <mergeCell ref="C54:C55"/>
    <mergeCell ref="E54:E55"/>
    <mergeCell ref="F54:F55"/>
    <mergeCell ref="H175:H176"/>
    <mergeCell ref="I175:I176"/>
    <mergeCell ref="C175:C176"/>
    <mergeCell ref="E175:E176"/>
    <mergeCell ref="F175:F176"/>
    <mergeCell ref="C73:C74"/>
    <mergeCell ref="D73:D74"/>
    <mergeCell ref="E73:E74"/>
    <mergeCell ref="C148:C150"/>
    <mergeCell ref="E148:E150"/>
    <mergeCell ref="F148:F150"/>
    <mergeCell ref="G148:G150"/>
    <mergeCell ref="H148:H150"/>
    <mergeCell ref="I148:I150"/>
    <mergeCell ref="K151:K154"/>
    <mergeCell ref="L151:L154"/>
    <mergeCell ref="M151:M154"/>
    <mergeCell ref="P251:P252"/>
    <mergeCell ref="K175:K176"/>
    <mergeCell ref="L175:L176"/>
    <mergeCell ref="M175:M176"/>
    <mergeCell ref="N175:N176"/>
    <mergeCell ref="O175:O176"/>
    <mergeCell ref="P175:P176"/>
    <mergeCell ref="K251:K252"/>
    <mergeCell ref="L251:L252"/>
    <mergeCell ref="M251:M252"/>
    <mergeCell ref="N251:N252"/>
    <mergeCell ref="O251:O252"/>
    <mergeCell ref="H276:H277"/>
    <mergeCell ref="I276:I277"/>
    <mergeCell ref="I29:I30"/>
    <mergeCell ref="B29:B30"/>
    <mergeCell ref="C29:C30"/>
    <mergeCell ref="J276:J277"/>
    <mergeCell ref="A251:A252"/>
    <mergeCell ref="B251:B252"/>
    <mergeCell ref="C251:C252"/>
    <mergeCell ref="J175:J176"/>
    <mergeCell ref="A175:A176"/>
    <mergeCell ref="B175:B176"/>
    <mergeCell ref="A73:A74"/>
    <mergeCell ref="B73:B74"/>
    <mergeCell ref="B148:B150"/>
    <mergeCell ref="A158:A160"/>
    <mergeCell ref="B158:B160"/>
    <mergeCell ref="I151:I154"/>
    <mergeCell ref="J151:J154"/>
    <mergeCell ref="P73:P74"/>
    <mergeCell ref="A148:A150"/>
    <mergeCell ref="D382:P382"/>
    <mergeCell ref="O54:O55"/>
    <mergeCell ref="P54:P55"/>
    <mergeCell ref="G54:G55"/>
    <mergeCell ref="H54:H55"/>
    <mergeCell ref="I54:I55"/>
    <mergeCell ref="J54:J55"/>
    <mergeCell ref="K54:K55"/>
    <mergeCell ref="O276:O277"/>
    <mergeCell ref="P276:P277"/>
    <mergeCell ref="K276:K277"/>
    <mergeCell ref="L276:L277"/>
    <mergeCell ref="M276:M277"/>
    <mergeCell ref="N276:N277"/>
    <mergeCell ref="K304:K305"/>
    <mergeCell ref="L304:L305"/>
    <mergeCell ref="M304:M305"/>
    <mergeCell ref="N304:N305"/>
    <mergeCell ref="O304:O305"/>
    <mergeCell ref="E276:E277"/>
    <mergeCell ref="F276:F277"/>
    <mergeCell ref="G276:G277"/>
    <mergeCell ref="Q148:Q150"/>
    <mergeCell ref="A151:A154"/>
    <mergeCell ref="P304:P305"/>
    <mergeCell ref="I73:I74"/>
    <mergeCell ref="J73:J74"/>
    <mergeCell ref="K73:K74"/>
    <mergeCell ref="L73:L74"/>
    <mergeCell ref="A304:A305"/>
    <mergeCell ref="B304:B305"/>
    <mergeCell ref="C304:C305"/>
    <mergeCell ref="E304:E305"/>
    <mergeCell ref="F304:F305"/>
    <mergeCell ref="G304:G305"/>
    <mergeCell ref="H304:H305"/>
    <mergeCell ref="I304:I305"/>
    <mergeCell ref="J304:J305"/>
    <mergeCell ref="F73:F74"/>
    <mergeCell ref="G73:G74"/>
    <mergeCell ref="H73:H74"/>
    <mergeCell ref="M73:M74"/>
    <mergeCell ref="N73:N74"/>
    <mergeCell ref="B276:B277"/>
    <mergeCell ref="C276:C277"/>
    <mergeCell ref="O73:O74"/>
    <mergeCell ref="N151:N154"/>
    <mergeCell ref="O151:O154"/>
    <mergeCell ref="P151:P154"/>
    <mergeCell ref="J148:J150"/>
    <mergeCell ref="K148:K150"/>
    <mergeCell ref="L148:L150"/>
    <mergeCell ref="M148:M150"/>
    <mergeCell ref="N148:N150"/>
    <mergeCell ref="O148:O150"/>
    <mergeCell ref="P148:P150"/>
    <mergeCell ref="R148:R150"/>
    <mergeCell ref="R155:R157"/>
    <mergeCell ref="A155:A157"/>
    <mergeCell ref="B155:B157"/>
    <mergeCell ref="C155:C157"/>
    <mergeCell ref="E155:E157"/>
    <mergeCell ref="F155:F157"/>
    <mergeCell ref="G155:G157"/>
    <mergeCell ref="H155:H157"/>
    <mergeCell ref="I155:I157"/>
    <mergeCell ref="J155:J157"/>
    <mergeCell ref="K155:K157"/>
    <mergeCell ref="L155:L157"/>
    <mergeCell ref="M155:M157"/>
    <mergeCell ref="N155:N157"/>
    <mergeCell ref="O155:O157"/>
    <mergeCell ref="P155:P157"/>
    <mergeCell ref="R151:R154"/>
    <mergeCell ref="B151:B154"/>
    <mergeCell ref="C151:C154"/>
    <mergeCell ref="E151:E154"/>
    <mergeCell ref="F151:F154"/>
    <mergeCell ref="G151:G154"/>
    <mergeCell ref="H151:H154"/>
    <mergeCell ref="M158:M160"/>
    <mergeCell ref="N158:N160"/>
    <mergeCell ref="O158:O160"/>
    <mergeCell ref="P158:P160"/>
    <mergeCell ref="R158:R160"/>
    <mergeCell ref="C158:C160"/>
    <mergeCell ref="E158:E160"/>
    <mergeCell ref="F158:F160"/>
    <mergeCell ref="G158:G160"/>
    <mergeCell ref="H158:H160"/>
    <mergeCell ref="I158:I160"/>
    <mergeCell ref="J158:J160"/>
    <mergeCell ref="K158:K160"/>
    <mergeCell ref="L158:L160"/>
  </mergeCells>
  <conditionalFormatting sqref="Q360:Q361 Q363:R367 R362:S362">
    <cfRule type="iconSet" priority="21">
      <iconSet iconSet="3Arrows">
        <cfvo type="percent" val="0"/>
        <cfvo type="percent" val="33"/>
        <cfvo type="percent" val="67"/>
      </iconSet>
    </cfRule>
  </conditionalFormatting>
  <conditionalFormatting sqref="R353:R355 Q351:R352">
    <cfRule type="iconSet" priority="20">
      <iconSet iconSet="3Arrows">
        <cfvo type="percent" val="0"/>
        <cfvo type="percent" val="33"/>
        <cfvo type="percent" val="67"/>
      </iconSet>
    </cfRule>
  </conditionalFormatting>
  <conditionalFormatting sqref="R361">
    <cfRule type="iconSet" priority="19">
      <iconSet iconSet="3Arrows">
        <cfvo type="percent" val="0"/>
        <cfvo type="percent" val="33"/>
        <cfvo type="percent" val="67"/>
      </iconSet>
    </cfRule>
  </conditionalFormatting>
  <conditionalFormatting sqref="Q330:R334">
    <cfRule type="iconSet" priority="23">
      <iconSet iconSet="3Arrows">
        <cfvo type="percent" val="0"/>
        <cfvo type="percent" val="33"/>
        <cfvo type="percent" val="67"/>
      </iconSet>
    </cfRule>
  </conditionalFormatting>
  <conditionalFormatting sqref="Q316:Q317">
    <cfRule type="iconSet" priority="16">
      <iconSet iconSet="3Arrows">
        <cfvo type="percent" val="0"/>
        <cfvo type="percent" val="33"/>
        <cfvo type="percent" val="67"/>
      </iconSet>
    </cfRule>
  </conditionalFormatting>
  <conditionalFormatting sqref="R316:R317">
    <cfRule type="iconSet" priority="15">
      <iconSet iconSet="3Arrows">
        <cfvo type="percent" val="0"/>
        <cfvo type="percent" val="33"/>
        <cfvo type="percent" val="67"/>
      </iconSet>
    </cfRule>
  </conditionalFormatting>
  <conditionalFormatting sqref="R308:R309">
    <cfRule type="iconSet" priority="13">
      <iconSet iconSet="3Arrows">
        <cfvo type="percent" val="0"/>
        <cfvo type="percent" val="33"/>
        <cfvo type="percent" val="67"/>
      </iconSet>
    </cfRule>
  </conditionalFormatting>
  <conditionalFormatting sqref="Q308:Q314">
    <cfRule type="iconSet" priority="28">
      <iconSet iconSet="3Arrows">
        <cfvo type="percent" val="0"/>
        <cfvo type="percent" val="33"/>
        <cfvo type="percent" val="67"/>
      </iconSet>
    </cfRule>
  </conditionalFormatting>
  <conditionalFormatting sqref="R310:R314">
    <cfRule type="iconSet" priority="12">
      <iconSet iconSet="3Arrows">
        <cfvo type="percent" val="0"/>
        <cfvo type="percent" val="33"/>
        <cfvo type="percent" val="67"/>
      </iconSet>
    </cfRule>
  </conditionalFormatting>
  <conditionalFormatting sqref="R343:R344">
    <cfRule type="iconSet" priority="11">
      <iconSet iconSet="3Arrows">
        <cfvo type="percent" val="0"/>
        <cfvo type="percent" val="33"/>
        <cfvo type="percent" val="67"/>
      </iconSet>
    </cfRule>
  </conditionalFormatting>
  <conditionalFormatting sqref="R335:R341">
    <cfRule type="iconSet" priority="38">
      <iconSet iconSet="3Arrows">
        <cfvo type="percent" val="0"/>
        <cfvo type="percent" val="33"/>
        <cfvo type="percent" val="67"/>
      </iconSet>
    </cfRule>
  </conditionalFormatting>
  <conditionalFormatting sqref="Q349">
    <cfRule type="iconSet" priority="7">
      <iconSet iconSet="3Arrows">
        <cfvo type="percent" val="0"/>
        <cfvo type="percent" val="33"/>
        <cfvo type="percent" val="67"/>
      </iconSet>
    </cfRule>
  </conditionalFormatting>
  <conditionalFormatting sqref="Q362">
    <cfRule type="iconSet" priority="4">
      <iconSet iconSet="3Arrows">
        <cfvo type="percent" val="0"/>
        <cfvo type="percent" val="33"/>
        <cfvo type="percent" val="67"/>
      </iconSet>
    </cfRule>
  </conditionalFormatting>
  <conditionalFormatting sqref="R360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R356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R358">
    <cfRule type="iconSet" priority="1">
      <iconSet iconSet="3Arrows">
        <cfvo type="percent" val="0"/>
        <cfvo type="percent" val="33"/>
        <cfvo type="percent" val="67"/>
      </iconSet>
    </cfRule>
  </conditionalFormatting>
  <conditionalFormatting sqref="R345:R348">
    <cfRule type="iconSet" priority="42">
      <iconSet iconSet="3Arrows">
        <cfvo type="percent" val="0"/>
        <cfvo type="percent" val="33"/>
        <cfvo type="percent" val="67"/>
      </iconSet>
    </cfRule>
  </conditionalFormatting>
  <conditionalFormatting sqref="Q343:Q348">
    <cfRule type="iconSet" priority="43">
      <iconSet iconSet="3Arrows">
        <cfvo type="percent" val="0"/>
        <cfvo type="percent" val="33"/>
        <cfvo type="percent" val="67"/>
      </iconSet>
    </cfRule>
  </conditionalFormatting>
  <conditionalFormatting sqref="Q318:Q328">
    <cfRule type="iconSet" priority="47">
      <iconSet iconSet="3Arrows">
        <cfvo type="percent" val="0"/>
        <cfvo type="percent" val="33"/>
        <cfvo type="percent" val="67"/>
      </iconSet>
    </cfRule>
  </conditionalFormatting>
  <conditionalFormatting sqref="R318:R328">
    <cfRule type="iconSet" priority="49">
      <iconSet iconSet="3Arrows">
        <cfvo type="percent" val="0"/>
        <cfvo type="percent" val="33"/>
        <cfvo type="percent" val="67"/>
      </iconSet>
    </cfRule>
  </conditionalFormatting>
  <pageMargins left="0.23622047244094491" right="0.27559055118110237" top="0.27559055118110237" bottom="0.15748031496062992" header="0.23622047244094491" footer="0.27559055118110237"/>
  <pageSetup paperSize="9" scale="15" orientation="landscape" horizontalDpi="4294967295" verticalDpi="4294967295" r:id="rId1"/>
  <headerFooter alignWithMargins="0">
    <oddFooter>&amp;C&amp;"Times New Roman Cyr,курсив"Сторінка &amp;P з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Аркуш4"/>
  <dimension ref="A1:R167"/>
  <sheetViews>
    <sheetView showGridLines="0" view="pageBreakPreview" topLeftCell="B4" zoomScale="85" zoomScaleNormal="85" zoomScaleSheetLayoutView="85" workbookViewId="0">
      <selection activeCell="E16" sqref="E16"/>
    </sheetView>
  </sheetViews>
  <sheetFormatPr defaultColWidth="7.85546875" defaultRowHeight="12.75" x14ac:dyDescent="0.2"/>
  <cols>
    <col min="1" max="1" width="0" style="7" hidden="1" customWidth="1"/>
    <col min="2" max="2" width="13" style="14" customWidth="1"/>
    <col min="3" max="3" width="13.5703125" style="14" customWidth="1"/>
    <col min="4" max="4" width="15.28515625" style="14" customWidth="1"/>
    <col min="5" max="5" width="38.85546875" style="14" customWidth="1"/>
    <col min="6" max="6" width="11.85546875" style="14" bestFit="1" customWidth="1"/>
    <col min="7" max="7" width="11.85546875" style="14" customWidth="1"/>
    <col min="8" max="8" width="13.28515625" style="14" customWidth="1"/>
    <col min="9" max="9" width="12.5703125" style="14" customWidth="1"/>
    <col min="10" max="10" width="12.140625" style="14" customWidth="1"/>
    <col min="11" max="11" width="18.140625" style="14" customWidth="1"/>
    <col min="12" max="12" width="13.5703125" style="14" customWidth="1"/>
    <col min="13" max="13" width="13" style="14" customWidth="1"/>
    <col min="14" max="14" width="11.42578125" style="14" customWidth="1"/>
    <col min="15" max="15" width="12.7109375" style="14" customWidth="1"/>
    <col min="16" max="16" width="12.5703125" style="14" customWidth="1"/>
    <col min="17" max="17" width="12.7109375" style="14" customWidth="1"/>
    <col min="18" max="18" width="10" style="109" bestFit="1" customWidth="1"/>
    <col min="19" max="16384" width="7.85546875" style="14"/>
  </cols>
  <sheetData>
    <row r="1" spans="1:18" x14ac:dyDescent="0.2"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</row>
    <row r="2" spans="1:18" ht="64.5" customHeight="1" x14ac:dyDescent="0.2">
      <c r="B2" s="67"/>
      <c r="C2" s="67"/>
      <c r="D2" s="67"/>
      <c r="E2" s="71"/>
      <c r="F2" s="71"/>
      <c r="G2" s="71"/>
      <c r="H2" s="71"/>
      <c r="I2" s="71"/>
      <c r="J2" s="71"/>
      <c r="K2" s="71"/>
      <c r="L2" s="71"/>
      <c r="M2" s="964" t="s">
        <v>1351</v>
      </c>
      <c r="N2" s="964"/>
      <c r="O2" s="964"/>
      <c r="P2" s="964"/>
      <c r="Q2" s="964"/>
    </row>
    <row r="3" spans="1:18" ht="18.75" x14ac:dyDescent="0.2">
      <c r="B3" s="967"/>
      <c r="C3" s="967"/>
      <c r="D3" s="67"/>
      <c r="E3" s="965" t="s">
        <v>598</v>
      </c>
      <c r="F3" s="965"/>
      <c r="G3" s="965"/>
      <c r="H3" s="965"/>
      <c r="I3" s="965"/>
      <c r="J3" s="965"/>
      <c r="K3" s="965"/>
      <c r="L3" s="965"/>
      <c r="M3" s="965"/>
      <c r="N3" s="392"/>
      <c r="O3" s="392"/>
      <c r="P3" s="392"/>
      <c r="Q3" s="392"/>
    </row>
    <row r="4" spans="1:18" s="99" customFormat="1" ht="21" customHeight="1" x14ac:dyDescent="0.2">
      <c r="A4" s="7"/>
      <c r="B4" s="393"/>
      <c r="C4" s="394"/>
      <c r="D4" s="395"/>
      <c r="E4" s="965" t="s">
        <v>1221</v>
      </c>
      <c r="F4" s="975"/>
      <c r="G4" s="975"/>
      <c r="H4" s="975"/>
      <c r="I4" s="975"/>
      <c r="J4" s="975"/>
      <c r="K4" s="975"/>
      <c r="L4" s="975"/>
      <c r="M4" s="975"/>
      <c r="N4" s="67"/>
      <c r="O4" s="67"/>
      <c r="P4" s="67"/>
      <c r="Q4" s="396"/>
      <c r="R4" s="109"/>
    </row>
    <row r="5" spans="1:18" s="60" customFormat="1" ht="12" customHeight="1" x14ac:dyDescent="0.2">
      <c r="A5" s="7"/>
      <c r="B5" s="968">
        <v>22564000000</v>
      </c>
      <c r="C5" s="969"/>
      <c r="D5" s="395"/>
      <c r="E5" s="397"/>
      <c r="F5" s="397"/>
      <c r="G5" s="397"/>
      <c r="H5" s="397"/>
      <c r="I5" s="397"/>
      <c r="J5" s="397"/>
      <c r="K5" s="397"/>
      <c r="L5" s="397"/>
      <c r="M5" s="397"/>
      <c r="N5" s="67"/>
      <c r="O5" s="67"/>
      <c r="P5" s="67"/>
      <c r="Q5" s="396"/>
      <c r="R5" s="109"/>
    </row>
    <row r="6" spans="1:18" s="60" customFormat="1" ht="12" customHeight="1" x14ac:dyDescent="0.2">
      <c r="A6" s="7"/>
      <c r="B6" s="970" t="s">
        <v>508</v>
      </c>
      <c r="C6" s="971"/>
      <c r="D6" s="395"/>
      <c r="E6" s="397"/>
      <c r="F6" s="397"/>
      <c r="G6" s="397"/>
      <c r="H6" s="397"/>
      <c r="I6" s="397"/>
      <c r="J6" s="397"/>
      <c r="K6" s="397"/>
      <c r="L6" s="397"/>
      <c r="M6" s="397"/>
      <c r="N6" s="67"/>
      <c r="O6" s="67"/>
      <c r="P6" s="67"/>
      <c r="Q6" s="396"/>
      <c r="R6" s="109"/>
    </row>
    <row r="7" spans="1:18" ht="21" customHeight="1" thickBot="1" x14ac:dyDescent="0.35">
      <c r="B7" s="398"/>
      <c r="C7" s="398"/>
      <c r="D7" s="395"/>
      <c r="E7" s="397"/>
      <c r="F7" s="397"/>
      <c r="G7" s="397"/>
      <c r="H7" s="397"/>
      <c r="I7" s="397"/>
      <c r="J7" s="397"/>
      <c r="K7" s="397"/>
      <c r="L7" s="397"/>
      <c r="M7" s="397"/>
      <c r="N7" s="67"/>
      <c r="O7" s="67"/>
      <c r="P7" s="67"/>
      <c r="Q7" s="399" t="s">
        <v>419</v>
      </c>
    </row>
    <row r="8" spans="1:18" ht="17.45" customHeight="1" thickTop="1" thickBot="1" x14ac:dyDescent="0.25">
      <c r="A8" s="400"/>
      <c r="B8" s="966" t="s">
        <v>509</v>
      </c>
      <c r="C8" s="973" t="s">
        <v>510</v>
      </c>
      <c r="D8" s="973" t="s">
        <v>405</v>
      </c>
      <c r="E8" s="973" t="s">
        <v>600</v>
      </c>
      <c r="F8" s="966" t="s">
        <v>131</v>
      </c>
      <c r="G8" s="966"/>
      <c r="H8" s="966"/>
      <c r="I8" s="966"/>
      <c r="J8" s="966" t="s">
        <v>132</v>
      </c>
      <c r="K8" s="966"/>
      <c r="L8" s="966"/>
      <c r="M8" s="966"/>
      <c r="N8" s="966" t="s">
        <v>404</v>
      </c>
      <c r="O8" s="966"/>
      <c r="P8" s="966"/>
      <c r="Q8" s="966"/>
    </row>
    <row r="9" spans="1:18" ht="28.5" customHeight="1" thickTop="1" thickBot="1" x14ac:dyDescent="0.25">
      <c r="A9" s="401"/>
      <c r="B9" s="966"/>
      <c r="C9" s="950"/>
      <c r="D9" s="950"/>
      <c r="E9" s="974"/>
      <c r="F9" s="961" t="s">
        <v>401</v>
      </c>
      <c r="G9" s="961" t="s">
        <v>402</v>
      </c>
      <c r="H9" s="962"/>
      <c r="I9" s="961" t="s">
        <v>403</v>
      </c>
      <c r="J9" s="961" t="s">
        <v>401</v>
      </c>
      <c r="K9" s="961" t="s">
        <v>402</v>
      </c>
      <c r="L9" s="962"/>
      <c r="M9" s="961" t="s">
        <v>403</v>
      </c>
      <c r="N9" s="961" t="s">
        <v>401</v>
      </c>
      <c r="O9" s="961" t="s">
        <v>402</v>
      </c>
      <c r="P9" s="962"/>
      <c r="Q9" s="961" t="s">
        <v>403</v>
      </c>
    </row>
    <row r="10" spans="1:18" ht="65.25" customHeight="1" thickTop="1" thickBot="1" x14ac:dyDescent="0.25">
      <c r="A10" s="71"/>
      <c r="B10" s="966"/>
      <c r="C10" s="950"/>
      <c r="D10" s="950"/>
      <c r="E10" s="950"/>
      <c r="F10" s="961"/>
      <c r="G10" s="404" t="s">
        <v>399</v>
      </c>
      <c r="H10" s="404" t="s">
        <v>400</v>
      </c>
      <c r="I10" s="961"/>
      <c r="J10" s="961"/>
      <c r="K10" s="404" t="s">
        <v>399</v>
      </c>
      <c r="L10" s="404" t="s">
        <v>400</v>
      </c>
      <c r="M10" s="961"/>
      <c r="N10" s="961"/>
      <c r="O10" s="404" t="s">
        <v>399</v>
      </c>
      <c r="P10" s="404" t="s">
        <v>400</v>
      </c>
      <c r="Q10" s="961"/>
    </row>
    <row r="11" spans="1:18" ht="15" customHeight="1" thickTop="1" thickBot="1" x14ac:dyDescent="0.25">
      <c r="A11" s="71"/>
      <c r="B11" s="402">
        <v>1</v>
      </c>
      <c r="C11" s="403">
        <v>2</v>
      </c>
      <c r="D11" s="402">
        <v>3</v>
      </c>
      <c r="E11" s="403">
        <v>4</v>
      </c>
      <c r="F11" s="402">
        <v>5</v>
      </c>
      <c r="G11" s="403">
        <v>6</v>
      </c>
      <c r="H11" s="402">
        <v>7</v>
      </c>
      <c r="I11" s="403">
        <v>8</v>
      </c>
      <c r="J11" s="402">
        <v>9</v>
      </c>
      <c r="K11" s="403">
        <v>10</v>
      </c>
      <c r="L11" s="402">
        <v>11</v>
      </c>
      <c r="M11" s="403">
        <v>12</v>
      </c>
      <c r="N11" s="402">
        <v>13</v>
      </c>
      <c r="O11" s="403">
        <v>14</v>
      </c>
      <c r="P11" s="402">
        <v>15</v>
      </c>
      <c r="Q11" s="403">
        <v>16</v>
      </c>
    </row>
    <row r="12" spans="1:18" s="16" customFormat="1" ht="46.5" thickTop="1" thickBot="1" x14ac:dyDescent="0.25">
      <c r="A12" s="15"/>
      <c r="B12" s="839" t="s">
        <v>22</v>
      </c>
      <c r="C12" s="839"/>
      <c r="D12" s="839"/>
      <c r="E12" s="840" t="s">
        <v>23</v>
      </c>
      <c r="F12" s="841">
        <f>F13</f>
        <v>500000</v>
      </c>
      <c r="G12" s="841">
        <f t="shared" ref="G12:Q12" si="0">G13</f>
        <v>150000</v>
      </c>
      <c r="H12" s="841">
        <f t="shared" si="0"/>
        <v>0</v>
      </c>
      <c r="I12" s="842">
        <f>I13</f>
        <v>650000</v>
      </c>
      <c r="J12" s="841">
        <f t="shared" si="0"/>
        <v>0</v>
      </c>
      <c r="K12" s="841">
        <f t="shared" si="0"/>
        <v>-150000</v>
      </c>
      <c r="L12" s="841">
        <f t="shared" si="0"/>
        <v>0</v>
      </c>
      <c r="M12" s="842">
        <f>M13</f>
        <v>-150000</v>
      </c>
      <c r="N12" s="841">
        <f t="shared" si="0"/>
        <v>500000</v>
      </c>
      <c r="O12" s="841">
        <f t="shared" si="0"/>
        <v>0</v>
      </c>
      <c r="P12" s="841">
        <f t="shared" si="0"/>
        <v>0</v>
      </c>
      <c r="Q12" s="842">
        <f t="shared" si="0"/>
        <v>500000</v>
      </c>
      <c r="R12" s="110"/>
    </row>
    <row r="13" spans="1:18" ht="44.25" thickTop="1" thickBot="1" x14ac:dyDescent="0.25">
      <c r="B13" s="843" t="s">
        <v>21</v>
      </c>
      <c r="C13" s="843"/>
      <c r="D13" s="843"/>
      <c r="E13" s="844" t="s">
        <v>37</v>
      </c>
      <c r="F13" s="845">
        <f t="shared" ref="F13:Q13" si="1">F18+F17+F19</f>
        <v>500000</v>
      </c>
      <c r="G13" s="845">
        <f t="shared" si="1"/>
        <v>150000</v>
      </c>
      <c r="H13" s="845">
        <f t="shared" si="1"/>
        <v>0</v>
      </c>
      <c r="I13" s="845">
        <f t="shared" si="1"/>
        <v>650000</v>
      </c>
      <c r="J13" s="845">
        <f t="shared" si="1"/>
        <v>0</v>
      </c>
      <c r="K13" s="845">
        <f t="shared" si="1"/>
        <v>-150000</v>
      </c>
      <c r="L13" s="845">
        <f t="shared" si="1"/>
        <v>0</v>
      </c>
      <c r="M13" s="845">
        <f t="shared" si="1"/>
        <v>-150000</v>
      </c>
      <c r="N13" s="846">
        <f t="shared" si="1"/>
        <v>500000</v>
      </c>
      <c r="O13" s="846">
        <f t="shared" si="1"/>
        <v>0</v>
      </c>
      <c r="P13" s="846">
        <f t="shared" si="1"/>
        <v>0</v>
      </c>
      <c r="Q13" s="845">
        <f t="shared" si="1"/>
        <v>500000</v>
      </c>
    </row>
    <row r="14" spans="1:18" s="150" customFormat="1" ht="15.75" thickTop="1" thickBot="1" x14ac:dyDescent="0.25">
      <c r="A14" s="7"/>
      <c r="B14" s="585" t="s">
        <v>897</v>
      </c>
      <c r="C14" s="585" t="s">
        <v>739</v>
      </c>
      <c r="D14" s="585"/>
      <c r="E14" s="586" t="s">
        <v>898</v>
      </c>
      <c r="F14" s="587">
        <f>F15</f>
        <v>500000</v>
      </c>
      <c r="G14" s="587">
        <f t="shared" ref="G14:Q15" si="2">G15</f>
        <v>150000</v>
      </c>
      <c r="H14" s="587">
        <f t="shared" si="2"/>
        <v>0</v>
      </c>
      <c r="I14" s="587">
        <f t="shared" si="2"/>
        <v>650000</v>
      </c>
      <c r="J14" s="587">
        <f t="shared" si="2"/>
        <v>0</v>
      </c>
      <c r="K14" s="587">
        <f t="shared" si="2"/>
        <v>-150000</v>
      </c>
      <c r="L14" s="587">
        <f t="shared" si="2"/>
        <v>0</v>
      </c>
      <c r="M14" s="587">
        <f t="shared" si="2"/>
        <v>-150000</v>
      </c>
      <c r="N14" s="587">
        <f t="shared" si="2"/>
        <v>500000</v>
      </c>
      <c r="O14" s="587">
        <f t="shared" si="2"/>
        <v>0</v>
      </c>
      <c r="P14" s="587">
        <f t="shared" si="2"/>
        <v>0</v>
      </c>
      <c r="Q14" s="587">
        <f t="shared" si="2"/>
        <v>500000</v>
      </c>
      <c r="R14" s="109"/>
    </row>
    <row r="15" spans="1:18" s="150" customFormat="1" ht="16.5" thickTop="1" thickBot="1" x14ac:dyDescent="0.25">
      <c r="A15" s="7"/>
      <c r="B15" s="582" t="s">
        <v>899</v>
      </c>
      <c r="C15" s="582" t="s">
        <v>900</v>
      </c>
      <c r="D15" s="582"/>
      <c r="E15" s="583" t="s">
        <v>901</v>
      </c>
      <c r="F15" s="584">
        <f>F16</f>
        <v>500000</v>
      </c>
      <c r="G15" s="584">
        <f t="shared" si="2"/>
        <v>150000</v>
      </c>
      <c r="H15" s="584">
        <f t="shared" si="2"/>
        <v>0</v>
      </c>
      <c r="I15" s="584">
        <f t="shared" si="2"/>
        <v>650000</v>
      </c>
      <c r="J15" s="584">
        <f t="shared" si="2"/>
        <v>0</v>
      </c>
      <c r="K15" s="584">
        <f t="shared" si="2"/>
        <v>-150000</v>
      </c>
      <c r="L15" s="584">
        <f t="shared" si="2"/>
        <v>0</v>
      </c>
      <c r="M15" s="584">
        <f t="shared" si="2"/>
        <v>-150000</v>
      </c>
      <c r="N15" s="584">
        <f t="shared" si="2"/>
        <v>500000</v>
      </c>
      <c r="O15" s="584">
        <f t="shared" si="2"/>
        <v>0</v>
      </c>
      <c r="P15" s="584">
        <f t="shared" si="2"/>
        <v>0</v>
      </c>
      <c r="Q15" s="584">
        <f t="shared" si="2"/>
        <v>500000</v>
      </c>
      <c r="R15" s="109"/>
    </row>
    <row r="16" spans="1:18" s="150" customFormat="1" ht="76.5" thickTop="1" thickBot="1" x14ac:dyDescent="0.25">
      <c r="A16" s="7"/>
      <c r="B16" s="580" t="s">
        <v>902</v>
      </c>
      <c r="C16" s="588" t="s">
        <v>903</v>
      </c>
      <c r="D16" s="588"/>
      <c r="E16" s="589" t="s">
        <v>928</v>
      </c>
      <c r="F16" s="590">
        <f>SUM(F17:F18)</f>
        <v>500000</v>
      </c>
      <c r="G16" s="590">
        <f t="shared" ref="G16:Q16" si="3">SUM(G17:G18)</f>
        <v>150000</v>
      </c>
      <c r="H16" s="590">
        <f t="shared" si="3"/>
        <v>0</v>
      </c>
      <c r="I16" s="590">
        <f t="shared" si="3"/>
        <v>650000</v>
      </c>
      <c r="J16" s="590">
        <f t="shared" si="3"/>
        <v>0</v>
      </c>
      <c r="K16" s="590">
        <f t="shared" si="3"/>
        <v>-150000</v>
      </c>
      <c r="L16" s="590">
        <f t="shared" si="3"/>
        <v>0</v>
      </c>
      <c r="M16" s="590">
        <f t="shared" si="3"/>
        <v>-150000</v>
      </c>
      <c r="N16" s="590">
        <f t="shared" si="3"/>
        <v>500000</v>
      </c>
      <c r="O16" s="590">
        <f t="shared" si="3"/>
        <v>0</v>
      </c>
      <c r="P16" s="590">
        <f t="shared" si="3"/>
        <v>0</v>
      </c>
      <c r="Q16" s="590">
        <f t="shared" si="3"/>
        <v>500000</v>
      </c>
      <c r="R16" s="109"/>
    </row>
    <row r="17" spans="1:18" ht="76.5" thickTop="1" thickBot="1" x14ac:dyDescent="0.25">
      <c r="B17" s="580" t="s">
        <v>475</v>
      </c>
      <c r="C17" s="580" t="s">
        <v>477</v>
      </c>
      <c r="D17" s="580" t="s">
        <v>52</v>
      </c>
      <c r="E17" s="131" t="s">
        <v>930</v>
      </c>
      <c r="F17" s="581">
        <v>500000</v>
      </c>
      <c r="G17" s="581">
        <v>150000</v>
      </c>
      <c r="H17" s="581">
        <v>0</v>
      </c>
      <c r="I17" s="581">
        <f>F17+G17</f>
        <v>650000</v>
      </c>
      <c r="J17" s="581">
        <v>0</v>
      </c>
      <c r="K17" s="581">
        <v>0</v>
      </c>
      <c r="L17" s="581"/>
      <c r="M17" s="581">
        <f>J17+K17</f>
        <v>0</v>
      </c>
      <c r="N17" s="581">
        <f>F17+J17</f>
        <v>500000</v>
      </c>
      <c r="O17" s="581">
        <f>G17+K17</f>
        <v>150000</v>
      </c>
      <c r="P17" s="581"/>
      <c r="Q17" s="581">
        <f>I17+M17</f>
        <v>650000</v>
      </c>
    </row>
    <row r="18" spans="1:18" ht="76.5" thickTop="1" thickBot="1" x14ac:dyDescent="0.25">
      <c r="B18" s="580" t="s">
        <v>476</v>
      </c>
      <c r="C18" s="580" t="s">
        <v>478</v>
      </c>
      <c r="D18" s="580" t="s">
        <v>52</v>
      </c>
      <c r="E18" s="131" t="s">
        <v>929</v>
      </c>
      <c r="F18" s="581"/>
      <c r="G18" s="581">
        <f>H18+I18</f>
        <v>0</v>
      </c>
      <c r="H18" s="581"/>
      <c r="I18" s="581"/>
      <c r="J18" s="581"/>
      <c r="K18" s="581">
        <v>-150000</v>
      </c>
      <c r="L18" s="581"/>
      <c r="M18" s="581">
        <f>J18+K18</f>
        <v>-150000</v>
      </c>
      <c r="N18" s="581">
        <f>F18+J18</f>
        <v>0</v>
      </c>
      <c r="O18" s="581">
        <f>G18+K18</f>
        <v>-150000</v>
      </c>
      <c r="P18" s="581"/>
      <c r="Q18" s="581">
        <f>I18+M18</f>
        <v>-150000</v>
      </c>
    </row>
    <row r="19" spans="1:18" s="65" customFormat="1" ht="61.5" hidden="1" thickTop="1" thickBot="1" x14ac:dyDescent="0.25">
      <c r="A19" s="7"/>
      <c r="B19" s="580" t="s">
        <v>521</v>
      </c>
      <c r="C19" s="580" t="s">
        <v>522</v>
      </c>
      <c r="D19" s="580" t="s">
        <v>52</v>
      </c>
      <c r="E19" s="131" t="s">
        <v>520</v>
      </c>
      <c r="F19" s="581"/>
      <c r="G19" s="581"/>
      <c r="H19" s="581"/>
      <c r="I19" s="581"/>
      <c r="J19" s="581"/>
      <c r="K19" s="581"/>
      <c r="L19" s="581"/>
      <c r="M19" s="581">
        <f>J19+K19</f>
        <v>0</v>
      </c>
      <c r="N19" s="581"/>
      <c r="O19" s="581">
        <f>G19+K19</f>
        <v>0</v>
      </c>
      <c r="P19" s="581"/>
      <c r="Q19" s="581">
        <f>I19+M19</f>
        <v>0</v>
      </c>
      <c r="R19" s="109"/>
    </row>
    <row r="20" spans="1:18" ht="27.75" customHeight="1" thickTop="1" thickBot="1" x14ac:dyDescent="0.25">
      <c r="B20" s="659" t="s">
        <v>396</v>
      </c>
      <c r="C20" s="659" t="s">
        <v>396</v>
      </c>
      <c r="D20" s="659" t="s">
        <v>396</v>
      </c>
      <c r="E20" s="659" t="s">
        <v>406</v>
      </c>
      <c r="F20" s="660">
        <f t="shared" ref="F20:M20" si="4">F12</f>
        <v>500000</v>
      </c>
      <c r="G20" s="660">
        <f t="shared" si="4"/>
        <v>150000</v>
      </c>
      <c r="H20" s="660">
        <f t="shared" si="4"/>
        <v>0</v>
      </c>
      <c r="I20" s="660">
        <f>I12</f>
        <v>650000</v>
      </c>
      <c r="J20" s="660">
        <f t="shared" si="4"/>
        <v>0</v>
      </c>
      <c r="K20" s="660">
        <f t="shared" si="4"/>
        <v>-150000</v>
      </c>
      <c r="L20" s="660">
        <f t="shared" si="4"/>
        <v>0</v>
      </c>
      <c r="M20" s="660">
        <f t="shared" si="4"/>
        <v>-150000</v>
      </c>
      <c r="N20" s="660">
        <f>N17+N18</f>
        <v>500000</v>
      </c>
      <c r="O20" s="660">
        <f>O17+O18</f>
        <v>0</v>
      </c>
      <c r="P20" s="660">
        <f>P17+P18</f>
        <v>0</v>
      </c>
      <c r="Q20" s="660">
        <f>Q17+Q18</f>
        <v>500000</v>
      </c>
    </row>
    <row r="21" spans="1:18" s="71" customFormat="1" ht="27.75" customHeight="1" thickTop="1" x14ac:dyDescent="0.2">
      <c r="A21" s="67"/>
      <c r="B21" s="69"/>
      <c r="C21" s="69"/>
      <c r="D21" s="69"/>
      <c r="E21" s="197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111"/>
    </row>
    <row r="22" spans="1:18" s="71" customFormat="1" ht="27.75" customHeight="1" x14ac:dyDescent="0.25">
      <c r="A22" s="67"/>
      <c r="B22" s="69"/>
      <c r="C22" s="69"/>
      <c r="D22" s="93" t="s">
        <v>1363</v>
      </c>
      <c r="E22" s="92"/>
      <c r="F22" s="92"/>
      <c r="G22" s="196"/>
      <c r="H22" s="93"/>
      <c r="I22" s="94"/>
      <c r="J22" s="93"/>
      <c r="K22" s="93" t="s">
        <v>1364</v>
      </c>
      <c r="L22" s="88"/>
      <c r="M22" s="88"/>
      <c r="N22" s="70"/>
      <c r="O22" s="70"/>
      <c r="P22" s="70"/>
      <c r="Q22" s="70"/>
      <c r="R22" s="111"/>
    </row>
    <row r="23" spans="1:18" s="71" customFormat="1" ht="27.75" customHeight="1" x14ac:dyDescent="0.25">
      <c r="A23" s="67"/>
      <c r="B23" s="69"/>
      <c r="C23" s="78"/>
      <c r="D23" s="91" t="s">
        <v>544</v>
      </c>
      <c r="E23" s="92"/>
      <c r="F23" s="92"/>
      <c r="G23" s="92"/>
      <c r="H23" s="91"/>
      <c r="I23" s="87"/>
      <c r="J23" s="87"/>
      <c r="K23" s="91" t="s">
        <v>545</v>
      </c>
      <c r="L23" s="88"/>
      <c r="M23" s="88"/>
      <c r="N23" s="79"/>
      <c r="O23" s="79"/>
      <c r="P23" s="79"/>
      <c r="Q23" s="70"/>
      <c r="R23" s="111"/>
    </row>
    <row r="24" spans="1:18" ht="39.75" hidden="1" customHeight="1" x14ac:dyDescent="0.25">
      <c r="B24" s="35"/>
      <c r="C24" s="77"/>
      <c r="D24" s="963" t="s">
        <v>547</v>
      </c>
      <c r="E24" s="963"/>
      <c r="F24" s="963"/>
      <c r="G24" s="963"/>
      <c r="H24" s="963"/>
      <c r="I24" s="963"/>
      <c r="J24" s="963"/>
      <c r="K24" s="963"/>
      <c r="L24" s="963"/>
      <c r="M24" s="963"/>
      <c r="N24" s="963"/>
      <c r="O24" s="963"/>
      <c r="P24" s="963"/>
      <c r="Q24" s="36"/>
    </row>
    <row r="25" spans="1:18" ht="15.75" customHeight="1" x14ac:dyDescent="0.25">
      <c r="B25" s="35"/>
      <c r="C25" s="35"/>
      <c r="D25" s="963"/>
      <c r="E25" s="963"/>
      <c r="F25" s="963"/>
      <c r="G25" s="963"/>
      <c r="H25" s="963"/>
      <c r="I25" s="963"/>
      <c r="J25" s="963"/>
      <c r="K25" s="963"/>
      <c r="L25" s="963"/>
      <c r="M25" s="963"/>
      <c r="N25" s="963"/>
      <c r="O25" s="963"/>
      <c r="P25" s="963"/>
      <c r="Q25" s="36"/>
    </row>
    <row r="26" spans="1:18" ht="15" x14ac:dyDescent="0.25">
      <c r="D26" s="963"/>
      <c r="E26" s="963"/>
      <c r="F26" s="963"/>
      <c r="G26" s="963"/>
      <c r="H26" s="963"/>
      <c r="I26" s="963"/>
      <c r="J26" s="963"/>
      <c r="K26" s="963"/>
      <c r="L26" s="963"/>
      <c r="M26" s="963"/>
      <c r="N26" s="963"/>
      <c r="O26" s="963"/>
      <c r="P26" s="963"/>
    </row>
    <row r="27" spans="1:18" ht="15" x14ac:dyDescent="0.25">
      <c r="D27" s="963"/>
      <c r="E27" s="963"/>
      <c r="F27" s="963"/>
      <c r="G27" s="963"/>
      <c r="H27" s="963"/>
      <c r="I27" s="963"/>
      <c r="J27" s="963"/>
      <c r="K27" s="963"/>
      <c r="L27" s="963"/>
      <c r="M27" s="963"/>
      <c r="N27" s="963"/>
      <c r="O27" s="963"/>
      <c r="P27" s="963"/>
    </row>
    <row r="28" spans="1:18" ht="15" x14ac:dyDescent="0.2">
      <c r="D28" s="37"/>
      <c r="E28" s="38"/>
      <c r="F28" s="39"/>
      <c r="G28" s="37"/>
      <c r="H28" s="37"/>
      <c r="I28" s="40"/>
      <c r="J28" s="38"/>
      <c r="K28" s="40"/>
      <c r="L28" s="37"/>
      <c r="M28" s="37"/>
      <c r="N28" s="40"/>
      <c r="O28" s="41"/>
      <c r="P28" s="42"/>
    </row>
    <row r="29" spans="1:18" ht="15" x14ac:dyDescent="0.25"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</row>
    <row r="54" spans="7:7" x14ac:dyDescent="0.2">
      <c r="G54" s="14">
        <f>H54+I54</f>
        <v>0</v>
      </c>
    </row>
    <row r="56" spans="7:7" x14ac:dyDescent="0.2">
      <c r="G56" s="14">
        <f t="shared" ref="G56:G74" si="5">H56+I56</f>
        <v>0</v>
      </c>
    </row>
    <row r="57" spans="7:7" x14ac:dyDescent="0.2">
      <c r="G57" s="14">
        <f t="shared" si="5"/>
        <v>0</v>
      </c>
    </row>
    <row r="58" spans="7:7" x14ac:dyDescent="0.2">
      <c r="G58" s="14">
        <f t="shared" si="5"/>
        <v>0</v>
      </c>
    </row>
    <row r="59" spans="7:7" x14ac:dyDescent="0.2">
      <c r="G59" s="14">
        <f t="shared" si="5"/>
        <v>0</v>
      </c>
    </row>
    <row r="60" spans="7:7" x14ac:dyDescent="0.2">
      <c r="G60" s="14">
        <f t="shared" si="5"/>
        <v>0</v>
      </c>
    </row>
    <row r="61" spans="7:7" x14ac:dyDescent="0.2">
      <c r="G61" s="14">
        <f t="shared" si="5"/>
        <v>0</v>
      </c>
    </row>
    <row r="62" spans="7:7" x14ac:dyDescent="0.2">
      <c r="G62" s="14">
        <f t="shared" si="5"/>
        <v>0</v>
      </c>
    </row>
    <row r="63" spans="7:7" x14ac:dyDescent="0.2">
      <c r="G63" s="14">
        <f t="shared" si="5"/>
        <v>0</v>
      </c>
    </row>
    <row r="64" spans="7:7" x14ac:dyDescent="0.2">
      <c r="G64" s="14">
        <f t="shared" si="5"/>
        <v>0</v>
      </c>
    </row>
    <row r="65" spans="7:7" x14ac:dyDescent="0.2">
      <c r="G65" s="14">
        <f t="shared" si="5"/>
        <v>0</v>
      </c>
    </row>
    <row r="66" spans="7:7" x14ac:dyDescent="0.2">
      <c r="G66" s="14">
        <f t="shared" si="5"/>
        <v>0</v>
      </c>
    </row>
    <row r="67" spans="7:7" x14ac:dyDescent="0.2">
      <c r="G67" s="14">
        <f t="shared" si="5"/>
        <v>0</v>
      </c>
    </row>
    <row r="68" spans="7:7" x14ac:dyDescent="0.2">
      <c r="G68" s="14">
        <f t="shared" si="5"/>
        <v>0</v>
      </c>
    </row>
    <row r="69" spans="7:7" x14ac:dyDescent="0.2">
      <c r="G69" s="14">
        <f t="shared" si="5"/>
        <v>0</v>
      </c>
    </row>
    <row r="70" spans="7:7" x14ac:dyDescent="0.2">
      <c r="G70" s="14">
        <f t="shared" si="5"/>
        <v>0</v>
      </c>
    </row>
    <row r="71" spans="7:7" x14ac:dyDescent="0.2">
      <c r="G71" s="14">
        <f t="shared" si="5"/>
        <v>0</v>
      </c>
    </row>
    <row r="72" spans="7:7" x14ac:dyDescent="0.2">
      <c r="G72" s="14">
        <f t="shared" si="5"/>
        <v>0</v>
      </c>
    </row>
    <row r="73" spans="7:7" x14ac:dyDescent="0.2">
      <c r="G73" s="14">
        <f t="shared" si="5"/>
        <v>0</v>
      </c>
    </row>
    <row r="74" spans="7:7" x14ac:dyDescent="0.2">
      <c r="G74" s="14">
        <f t="shared" si="5"/>
        <v>0</v>
      </c>
    </row>
    <row r="76" spans="7:7" x14ac:dyDescent="0.2">
      <c r="G76" s="14">
        <f>H76+I76</f>
        <v>0</v>
      </c>
    </row>
    <row r="77" spans="7:7" x14ac:dyDescent="0.2">
      <c r="G77" s="14">
        <f>H77+I77</f>
        <v>0</v>
      </c>
    </row>
    <row r="78" spans="7:7" x14ac:dyDescent="0.2">
      <c r="G78" s="14">
        <f>H78+I78</f>
        <v>0</v>
      </c>
    </row>
    <row r="79" spans="7:7" x14ac:dyDescent="0.2">
      <c r="G79" s="14">
        <f>H79+I79</f>
        <v>0</v>
      </c>
    </row>
    <row r="81" spans="7:7" x14ac:dyDescent="0.2">
      <c r="G81" s="14">
        <f>H81+I81</f>
        <v>0</v>
      </c>
    </row>
    <row r="84" spans="7:7" x14ac:dyDescent="0.2">
      <c r="G84" s="972"/>
    </row>
    <row r="85" spans="7:7" x14ac:dyDescent="0.2">
      <c r="G85" s="887"/>
    </row>
    <row r="121" spans="7:7" x14ac:dyDescent="0.2">
      <c r="G121" s="14">
        <f>H121+I121</f>
        <v>0</v>
      </c>
    </row>
    <row r="123" spans="7:7" x14ac:dyDescent="0.2">
      <c r="G123" s="14">
        <f t="shared" ref="G123:G133" si="6">H123+I123</f>
        <v>0</v>
      </c>
    </row>
    <row r="124" spans="7:7" x14ac:dyDescent="0.2">
      <c r="G124" s="14">
        <f t="shared" si="6"/>
        <v>0</v>
      </c>
    </row>
    <row r="125" spans="7:7" x14ac:dyDescent="0.2">
      <c r="G125" s="14">
        <f t="shared" si="6"/>
        <v>0</v>
      </c>
    </row>
    <row r="126" spans="7:7" x14ac:dyDescent="0.2">
      <c r="G126" s="14">
        <f t="shared" si="6"/>
        <v>0</v>
      </c>
    </row>
    <row r="127" spans="7:7" x14ac:dyDescent="0.2">
      <c r="G127" s="14">
        <f t="shared" si="6"/>
        <v>0</v>
      </c>
    </row>
    <row r="128" spans="7:7" x14ac:dyDescent="0.2">
      <c r="G128" s="14">
        <f t="shared" si="6"/>
        <v>0</v>
      </c>
    </row>
    <row r="129" spans="7:7" x14ac:dyDescent="0.2">
      <c r="G129" s="14">
        <f t="shared" si="6"/>
        <v>0</v>
      </c>
    </row>
    <row r="130" spans="7:7" x14ac:dyDescent="0.2">
      <c r="G130" s="14">
        <f t="shared" si="6"/>
        <v>0</v>
      </c>
    </row>
    <row r="131" spans="7:7" x14ac:dyDescent="0.2">
      <c r="G131" s="14">
        <f t="shared" si="6"/>
        <v>0</v>
      </c>
    </row>
    <row r="132" spans="7:7" x14ac:dyDescent="0.2">
      <c r="G132" s="14">
        <f t="shared" si="6"/>
        <v>0</v>
      </c>
    </row>
    <row r="133" spans="7:7" x14ac:dyDescent="0.2">
      <c r="G133" s="14">
        <f t="shared" si="6"/>
        <v>0</v>
      </c>
    </row>
    <row r="135" spans="7:7" x14ac:dyDescent="0.2">
      <c r="G135" s="14">
        <f>H136+I136</f>
        <v>0</v>
      </c>
    </row>
    <row r="136" spans="7:7" x14ac:dyDescent="0.2">
      <c r="G136" s="14">
        <f t="shared" ref="G136" si="7">H136+I136</f>
        <v>0</v>
      </c>
    </row>
    <row r="137" spans="7:7" x14ac:dyDescent="0.2">
      <c r="G137" s="14">
        <f>H137+I137</f>
        <v>0</v>
      </c>
    </row>
    <row r="138" spans="7:7" x14ac:dyDescent="0.2">
      <c r="G138" s="14">
        <f>H138+I138</f>
        <v>0</v>
      </c>
    </row>
    <row r="139" spans="7:7" x14ac:dyDescent="0.2">
      <c r="G139" s="14">
        <f>H139+I139</f>
        <v>0</v>
      </c>
    </row>
    <row r="140" spans="7:7" x14ac:dyDescent="0.2">
      <c r="G140" s="14">
        <f>H140+I140</f>
        <v>0</v>
      </c>
    </row>
    <row r="145" spans="7:10" ht="46.5" x14ac:dyDescent="0.65">
      <c r="J145" s="57"/>
    </row>
    <row r="148" spans="7:10" ht="46.5" x14ac:dyDescent="0.65">
      <c r="G148" s="57">
        <f>H148+I148</f>
        <v>0</v>
      </c>
      <c r="J148" s="57"/>
    </row>
    <row r="167" spans="11:11" ht="90" x14ac:dyDescent="1.1499999999999999">
      <c r="K167" s="55" t="b">
        <f>G167=H167+I167</f>
        <v>1</v>
      </c>
    </row>
  </sheetData>
  <mergeCells count="27">
    <mergeCell ref="B3:C3"/>
    <mergeCell ref="B5:C5"/>
    <mergeCell ref="B6:C6"/>
    <mergeCell ref="G84:G85"/>
    <mergeCell ref="B8:B10"/>
    <mergeCell ref="C8:C10"/>
    <mergeCell ref="D8:D10"/>
    <mergeCell ref="E8:E10"/>
    <mergeCell ref="F8:I8"/>
    <mergeCell ref="F9:F10"/>
    <mergeCell ref="I9:I10"/>
    <mergeCell ref="E4:M4"/>
    <mergeCell ref="O9:P9"/>
    <mergeCell ref="D27:P27"/>
    <mergeCell ref="D24:P24"/>
    <mergeCell ref="D26:P26"/>
    <mergeCell ref="M2:Q2"/>
    <mergeCell ref="E3:M3"/>
    <mergeCell ref="J8:M8"/>
    <mergeCell ref="N8:Q8"/>
    <mergeCell ref="Q9:Q10"/>
    <mergeCell ref="M9:M10"/>
    <mergeCell ref="N9:N10"/>
    <mergeCell ref="J9:J10"/>
    <mergeCell ref="D25:P25"/>
    <mergeCell ref="G9:H9"/>
    <mergeCell ref="K9:L9"/>
  </mergeCells>
  <printOptions horizontalCentered="1"/>
  <pageMargins left="0.19685039370078741" right="0" top="0.59055118110236227" bottom="0.39370078740157483" header="0.31496062992125984" footer="0.31496062992125984"/>
  <pageSetup paperSize="9" scale="55" fitToHeight="0" orientation="landscape" r:id="rId1"/>
  <headerFooter alignWithMargins="0"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09"/>
  <sheetViews>
    <sheetView view="pageBreakPreview" topLeftCell="A66" zoomScale="40" zoomScaleNormal="25" zoomScaleSheetLayoutView="40" zoomScalePageLayoutView="10" workbookViewId="0">
      <selection activeCell="D66" sqref="D66"/>
    </sheetView>
  </sheetViews>
  <sheetFormatPr defaultColWidth="9.140625" defaultRowHeight="12.75" x14ac:dyDescent="0.2"/>
  <cols>
    <col min="1" max="1" width="62.28515625" style="405" customWidth="1"/>
    <col min="2" max="2" width="49.140625" style="405" customWidth="1"/>
    <col min="3" max="3" width="150.140625" style="405" customWidth="1"/>
    <col min="4" max="4" width="69.7109375" style="405" customWidth="1"/>
    <col min="5" max="5" width="32.42578125" style="407" customWidth="1"/>
    <col min="6" max="6" width="34.85546875" style="407" customWidth="1"/>
    <col min="7" max="16384" width="9.140625" style="407"/>
  </cols>
  <sheetData>
    <row r="1" spans="1:15" ht="48.75" customHeight="1" x14ac:dyDescent="0.35">
      <c r="A1" s="386"/>
      <c r="B1" s="421"/>
      <c r="C1" s="421"/>
      <c r="D1" s="422" t="s">
        <v>625</v>
      </c>
      <c r="E1" s="406"/>
      <c r="F1" s="406"/>
      <c r="G1" s="406"/>
      <c r="H1" s="406"/>
    </row>
    <row r="2" spans="1:15" ht="84.75" customHeight="1" x14ac:dyDescent="0.35">
      <c r="A2" s="387"/>
      <c r="B2" s="421"/>
      <c r="C2" s="421"/>
      <c r="D2" s="422" t="s">
        <v>1352</v>
      </c>
      <c r="E2" s="406"/>
      <c r="F2" s="406"/>
      <c r="G2" s="406"/>
      <c r="H2" s="406"/>
    </row>
    <row r="3" spans="1:15" ht="40.700000000000003" customHeight="1" x14ac:dyDescent="0.2">
      <c r="A3" s="387"/>
      <c r="B3" s="387"/>
      <c r="C3" s="387"/>
      <c r="D3" s="388"/>
      <c r="N3" s="997"/>
      <c r="O3" s="997"/>
    </row>
    <row r="4" spans="1:15" ht="45.75" hidden="1" x14ac:dyDescent="0.2">
      <c r="A4" s="387"/>
      <c r="B4" s="387"/>
      <c r="C4" s="387"/>
      <c r="D4" s="388"/>
      <c r="N4" s="997"/>
      <c r="O4" s="998"/>
    </row>
    <row r="5" spans="1:15" ht="45.75" x14ac:dyDescent="0.2">
      <c r="A5" s="942" t="s">
        <v>1223</v>
      </c>
      <c r="B5" s="942"/>
      <c r="C5" s="942"/>
      <c r="D5" s="942"/>
      <c r="N5" s="997"/>
      <c r="O5" s="998"/>
    </row>
    <row r="6" spans="1:15" ht="45.75" x14ac:dyDescent="0.65">
      <c r="A6" s="943">
        <v>22564000000</v>
      </c>
      <c r="B6" s="880"/>
      <c r="C6" s="880"/>
      <c r="D6" s="880"/>
    </row>
    <row r="7" spans="1:15" ht="45.75" x14ac:dyDescent="0.2">
      <c r="A7" s="948" t="s">
        <v>508</v>
      </c>
      <c r="B7" s="880"/>
      <c r="C7" s="880"/>
      <c r="D7" s="880"/>
    </row>
    <row r="8" spans="1:15" ht="45.75" x14ac:dyDescent="0.2">
      <c r="A8" s="423"/>
      <c r="B8" s="374"/>
      <c r="C8" s="374"/>
      <c r="D8" s="374"/>
    </row>
    <row r="9" spans="1:15" ht="53.45" customHeight="1" x14ac:dyDescent="0.2">
      <c r="A9" s="989" t="s">
        <v>1224</v>
      </c>
      <c r="B9" s="990"/>
      <c r="C9" s="990"/>
      <c r="D9" s="990"/>
    </row>
    <row r="10" spans="1:15" ht="53.45" customHeight="1" thickBot="1" x14ac:dyDescent="0.25">
      <c r="A10" s="388"/>
      <c r="B10" s="388"/>
      <c r="C10" s="388"/>
      <c r="D10" s="390" t="s">
        <v>419</v>
      </c>
    </row>
    <row r="11" spans="1:15" ht="140.25" customHeight="1" thickTop="1" thickBot="1" x14ac:dyDescent="0.25">
      <c r="A11" s="391" t="s">
        <v>630</v>
      </c>
      <c r="B11" s="999" t="s">
        <v>629</v>
      </c>
      <c r="C11" s="1000"/>
      <c r="D11" s="391" t="s">
        <v>398</v>
      </c>
    </row>
    <row r="12" spans="1:15" s="408" customFormat="1" ht="47.25" thickTop="1" thickBot="1" x14ac:dyDescent="0.25">
      <c r="A12" s="224" t="s">
        <v>2</v>
      </c>
      <c r="B12" s="1001" t="s">
        <v>3</v>
      </c>
      <c r="C12" s="1002"/>
      <c r="D12" s="224" t="s">
        <v>14</v>
      </c>
    </row>
    <row r="13" spans="1:15" s="408" customFormat="1" ht="66.75" customHeight="1" thickTop="1" thickBot="1" x14ac:dyDescent="0.25">
      <c r="A13" s="976" t="s">
        <v>631</v>
      </c>
      <c r="B13" s="977"/>
      <c r="C13" s="977"/>
      <c r="D13" s="978"/>
    </row>
    <row r="14" spans="1:15" s="408" customFormat="1" ht="46.5" thickTop="1" thickBot="1" x14ac:dyDescent="0.25">
      <c r="A14" s="708" t="s">
        <v>641</v>
      </c>
      <c r="B14" s="1003" t="s">
        <v>455</v>
      </c>
      <c r="C14" s="1005"/>
      <c r="D14" s="709">
        <f>SUM(D15:D21)</f>
        <v>646350300</v>
      </c>
    </row>
    <row r="15" spans="1:15" s="408" customFormat="1" ht="47.25" hidden="1" customHeight="1" thickTop="1" thickBot="1" x14ac:dyDescent="0.25">
      <c r="A15" s="477" t="s">
        <v>1059</v>
      </c>
      <c r="B15" s="995" t="s">
        <v>1058</v>
      </c>
      <c r="C15" s="996"/>
      <c r="D15" s="710">
        <v>0</v>
      </c>
    </row>
    <row r="16" spans="1:15" s="408" customFormat="1" ht="47.25" hidden="1" customHeight="1" thickTop="1" thickBot="1" x14ac:dyDescent="0.25">
      <c r="A16" s="477" t="s">
        <v>1180</v>
      </c>
      <c r="B16" s="995" t="s">
        <v>1129</v>
      </c>
      <c r="C16" s="996"/>
      <c r="D16" s="710">
        <v>0</v>
      </c>
    </row>
    <row r="17" spans="1:5" s="408" customFormat="1" ht="47.25" thickTop="1" thickBot="1" x14ac:dyDescent="0.25">
      <c r="A17" s="477" t="s">
        <v>640</v>
      </c>
      <c r="B17" s="995" t="s">
        <v>654</v>
      </c>
      <c r="C17" s="996"/>
      <c r="D17" s="479">
        <f>(718166900)-71816600</f>
        <v>646350300</v>
      </c>
    </row>
    <row r="18" spans="1:5" s="408" customFormat="1" ht="47.25" hidden="1" customHeight="1" thickTop="1" thickBot="1" x14ac:dyDescent="0.25">
      <c r="A18" s="477" t="s">
        <v>1174</v>
      </c>
      <c r="B18" s="995" t="s">
        <v>1130</v>
      </c>
      <c r="C18" s="1006"/>
      <c r="D18" s="479">
        <v>0</v>
      </c>
    </row>
    <row r="19" spans="1:5" s="408" customFormat="1" ht="47.25" hidden="1" customHeight="1" thickTop="1" thickBot="1" x14ac:dyDescent="0.25">
      <c r="A19" s="477" t="s">
        <v>1061</v>
      </c>
      <c r="B19" s="995" t="s">
        <v>1060</v>
      </c>
      <c r="C19" s="996"/>
      <c r="D19" s="479">
        <v>0</v>
      </c>
    </row>
    <row r="20" spans="1:5" s="408" customFormat="1" ht="47.25" hidden="1" customHeight="1" thickTop="1" thickBot="1" x14ac:dyDescent="0.25">
      <c r="A20" s="477" t="s">
        <v>1071</v>
      </c>
      <c r="B20" s="995" t="s">
        <v>1072</v>
      </c>
      <c r="C20" s="996"/>
      <c r="D20" s="479">
        <v>0</v>
      </c>
    </row>
    <row r="21" spans="1:5" s="408" customFormat="1" ht="47.25" hidden="1" customHeight="1" thickTop="1" thickBot="1" x14ac:dyDescent="0.25">
      <c r="A21" s="477" t="s">
        <v>1050</v>
      </c>
      <c r="B21" s="995" t="s">
        <v>1049</v>
      </c>
      <c r="C21" s="996"/>
      <c r="D21" s="479">
        <v>0</v>
      </c>
    </row>
    <row r="22" spans="1:5" s="408" customFormat="1" ht="47.25" thickTop="1" thickBot="1" x14ac:dyDescent="0.25">
      <c r="A22" s="692" t="s">
        <v>931</v>
      </c>
      <c r="B22" s="981" t="s">
        <v>602</v>
      </c>
      <c r="C22" s="982"/>
      <c r="D22" s="463">
        <f>D14</f>
        <v>646350300</v>
      </c>
    </row>
    <row r="23" spans="1:5" s="408" customFormat="1" ht="46.5" thickTop="1" thickBot="1" x14ac:dyDescent="0.25">
      <c r="A23" s="708" t="s">
        <v>646</v>
      </c>
      <c r="B23" s="1003" t="s">
        <v>358</v>
      </c>
      <c r="C23" s="1004"/>
      <c r="D23" s="709">
        <f>D24</f>
        <v>6628199</v>
      </c>
    </row>
    <row r="24" spans="1:5" s="408" customFormat="1" ht="192" customHeight="1" thickTop="1" thickBot="1" x14ac:dyDescent="0.25">
      <c r="A24" s="477" t="s">
        <v>647</v>
      </c>
      <c r="B24" s="995" t="s">
        <v>655</v>
      </c>
      <c r="C24" s="996"/>
      <c r="D24" s="710">
        <v>6628199</v>
      </c>
    </row>
    <row r="25" spans="1:5" s="408" customFormat="1" ht="47.25" thickTop="1" thickBot="1" x14ac:dyDescent="0.25">
      <c r="A25" s="732" t="s">
        <v>644</v>
      </c>
      <c r="B25" s="981" t="s">
        <v>645</v>
      </c>
      <c r="C25" s="982"/>
      <c r="D25" s="731">
        <f>D24</f>
        <v>6628199</v>
      </c>
    </row>
    <row r="26" spans="1:5" s="408" customFormat="1" ht="123.75" customHeight="1" thickTop="1" thickBot="1" x14ac:dyDescent="0.25">
      <c r="A26" s="708" t="s">
        <v>648</v>
      </c>
      <c r="B26" s="1003" t="s">
        <v>649</v>
      </c>
      <c r="C26" s="1004"/>
      <c r="D26" s="709">
        <f>D43+D45</f>
        <v>15097515</v>
      </c>
      <c r="E26" s="645" t="b">
        <f>D26=D43+D45</f>
        <v>1</v>
      </c>
    </row>
    <row r="27" spans="1:5" s="408" customFormat="1" ht="21" hidden="1" customHeight="1" thickTop="1" thickBot="1" x14ac:dyDescent="0.7">
      <c r="A27" s="1007" t="s">
        <v>1183</v>
      </c>
      <c r="B27" s="991" t="s">
        <v>1181</v>
      </c>
      <c r="C27" s="992"/>
      <c r="D27" s="1008">
        <v>0</v>
      </c>
    </row>
    <row r="28" spans="1:5" s="408" customFormat="1" ht="13.7" hidden="1" customHeight="1" thickBot="1" x14ac:dyDescent="0.25">
      <c r="A28" s="916"/>
      <c r="B28" s="993" t="s">
        <v>1182</v>
      </c>
      <c r="C28" s="994"/>
      <c r="D28" s="916"/>
    </row>
    <row r="29" spans="1:5" s="408" customFormat="1" ht="21" hidden="1" customHeight="1" thickTop="1" thickBot="1" x14ac:dyDescent="0.7">
      <c r="A29" s="1007" t="s">
        <v>1175</v>
      </c>
      <c r="B29" s="991" t="s">
        <v>1176</v>
      </c>
      <c r="C29" s="992"/>
      <c r="D29" s="1008">
        <v>0</v>
      </c>
    </row>
    <row r="30" spans="1:5" s="408" customFormat="1" ht="13.7" hidden="1" customHeight="1" thickBot="1" x14ac:dyDescent="0.25">
      <c r="A30" s="916"/>
      <c r="B30" s="993" t="s">
        <v>1177</v>
      </c>
      <c r="C30" s="994"/>
      <c r="D30" s="916"/>
    </row>
    <row r="31" spans="1:5" s="408" customFormat="1" ht="21" hidden="1" customHeight="1" thickTop="1" thickBot="1" x14ac:dyDescent="0.7">
      <c r="A31" s="1007">
        <v>41050600</v>
      </c>
      <c r="B31" s="991" t="s">
        <v>1178</v>
      </c>
      <c r="C31" s="992"/>
      <c r="D31" s="1008">
        <v>0</v>
      </c>
    </row>
    <row r="32" spans="1:5" s="408" customFormat="1" ht="13.7" hidden="1" customHeight="1" thickBot="1" x14ac:dyDescent="0.25">
      <c r="A32" s="916"/>
      <c r="B32" s="993" t="s">
        <v>1179</v>
      </c>
      <c r="C32" s="994"/>
      <c r="D32" s="916"/>
    </row>
    <row r="33" spans="1:5" s="408" customFormat="1" ht="47.25" hidden="1" customHeight="1" thickTop="1" thickBot="1" x14ac:dyDescent="0.25">
      <c r="A33" s="477">
        <v>41050900</v>
      </c>
      <c r="B33" s="995" t="s">
        <v>1184</v>
      </c>
      <c r="C33" s="996"/>
      <c r="D33" s="479">
        <v>0</v>
      </c>
    </row>
    <row r="34" spans="1:5" s="408" customFormat="1" ht="142.5" customHeight="1" thickTop="1" thickBot="1" x14ac:dyDescent="0.25">
      <c r="A34" s="477" t="s">
        <v>650</v>
      </c>
      <c r="B34" s="995" t="s">
        <v>651</v>
      </c>
      <c r="C34" s="996"/>
      <c r="D34" s="479">
        <f>(4189832+5214100)-1030613</f>
        <v>8373319</v>
      </c>
    </row>
    <row r="35" spans="1:5" s="408" customFormat="1" ht="136.5" customHeight="1" thickTop="1" thickBot="1" x14ac:dyDescent="0.25">
      <c r="A35" s="477" t="s">
        <v>652</v>
      </c>
      <c r="B35" s="995" t="s">
        <v>1304</v>
      </c>
      <c r="C35" s="996"/>
      <c r="D35" s="710">
        <f>(5189600+1300044)-649172</f>
        <v>5840472</v>
      </c>
    </row>
    <row r="36" spans="1:5" s="408" customFormat="1" ht="47.25" hidden="1" customHeight="1" thickTop="1" thickBot="1" x14ac:dyDescent="0.25">
      <c r="A36" s="477" t="s">
        <v>1062</v>
      </c>
      <c r="B36" s="995" t="s">
        <v>1063</v>
      </c>
      <c r="C36" s="996"/>
      <c r="D36" s="710">
        <v>0</v>
      </c>
    </row>
    <row r="37" spans="1:5" s="408" customFormat="1" ht="47.25" hidden="1" customHeight="1" thickTop="1" thickBot="1" x14ac:dyDescent="0.25">
      <c r="A37" s="477" t="s">
        <v>1010</v>
      </c>
      <c r="B37" s="995" t="s">
        <v>1011</v>
      </c>
      <c r="C37" s="996"/>
      <c r="D37" s="710">
        <v>0</v>
      </c>
    </row>
    <row r="38" spans="1:5" s="408" customFormat="1" ht="47.25" thickTop="1" thickBot="1" x14ac:dyDescent="0.25">
      <c r="A38" s="477">
        <v>41053900</v>
      </c>
      <c r="B38" s="995" t="s">
        <v>378</v>
      </c>
      <c r="C38" s="996"/>
      <c r="D38" s="710">
        <v>883724</v>
      </c>
    </row>
    <row r="39" spans="1:5" s="408" customFormat="1" ht="21" hidden="1" customHeight="1" thickTop="1" thickBot="1" x14ac:dyDescent="0.7">
      <c r="A39" s="1007" t="s">
        <v>1185</v>
      </c>
      <c r="B39" s="991" t="s">
        <v>1186</v>
      </c>
      <c r="C39" s="992"/>
      <c r="D39" s="1008">
        <v>0</v>
      </c>
    </row>
    <row r="40" spans="1:5" s="408" customFormat="1" ht="13.7" hidden="1" customHeight="1" thickBot="1" x14ac:dyDescent="0.25">
      <c r="A40" s="916"/>
      <c r="B40" s="993" t="s">
        <v>1187</v>
      </c>
      <c r="C40" s="994"/>
      <c r="D40" s="916"/>
    </row>
    <row r="41" spans="1:5" s="408" customFormat="1" ht="47.25" hidden="1" customHeight="1" thickTop="1" thickBot="1" x14ac:dyDescent="0.25">
      <c r="A41" s="477" t="s">
        <v>653</v>
      </c>
      <c r="B41" s="995" t="s">
        <v>656</v>
      </c>
      <c r="C41" s="996"/>
      <c r="D41" s="710">
        <v>0</v>
      </c>
    </row>
    <row r="42" spans="1:5" s="408" customFormat="1" ht="47.25" hidden="1" customHeight="1" thickTop="1" thickBot="1" x14ac:dyDescent="0.25">
      <c r="A42" s="477" t="s">
        <v>1105</v>
      </c>
      <c r="B42" s="995" t="s">
        <v>1106</v>
      </c>
      <c r="C42" s="996"/>
      <c r="D42" s="690">
        <f>10623233.82-10623233.82</f>
        <v>0</v>
      </c>
    </row>
    <row r="43" spans="1:5" s="408" customFormat="1" ht="66.75" customHeight="1" thickTop="1" thickBot="1" x14ac:dyDescent="0.55000000000000004">
      <c r="A43" s="692" t="s">
        <v>644</v>
      </c>
      <c r="B43" s="981" t="s">
        <v>645</v>
      </c>
      <c r="C43" s="982"/>
      <c r="D43" s="690">
        <f>SUM(D27:D41)</f>
        <v>15097515</v>
      </c>
      <c r="E43" s="418"/>
    </row>
    <row r="44" spans="1:5" s="408" customFormat="1" ht="47.25" hidden="1" customHeight="1" thickTop="1" thickBot="1" x14ac:dyDescent="0.25">
      <c r="A44" s="411" t="s">
        <v>1209</v>
      </c>
      <c r="B44" s="985" t="s">
        <v>1210</v>
      </c>
      <c r="C44" s="986"/>
      <c r="D44" s="412">
        <v>0</v>
      </c>
    </row>
    <row r="45" spans="1:5" s="408" customFormat="1" ht="47.25" hidden="1" customHeight="1" thickTop="1" thickBot="1" x14ac:dyDescent="0.25">
      <c r="A45" s="414" t="s">
        <v>604</v>
      </c>
      <c r="B45" s="987" t="s">
        <v>605</v>
      </c>
      <c r="C45" s="988"/>
      <c r="D45" s="416">
        <f>D44</f>
        <v>0</v>
      </c>
    </row>
    <row r="46" spans="1:5" ht="61.5" customHeight="1" thickTop="1" thickBot="1" x14ac:dyDescent="0.25">
      <c r="A46" s="976" t="s">
        <v>632</v>
      </c>
      <c r="B46" s="977"/>
      <c r="C46" s="977"/>
      <c r="D46" s="978"/>
    </row>
    <row r="47" spans="1:5" ht="61.5" hidden="1" customHeight="1" thickTop="1" thickBot="1" x14ac:dyDescent="0.25">
      <c r="A47" s="409" t="s">
        <v>641</v>
      </c>
      <c r="B47" s="979" t="s">
        <v>455</v>
      </c>
      <c r="C47" s="1009"/>
      <c r="D47" s="410">
        <f>D48</f>
        <v>0</v>
      </c>
    </row>
    <row r="48" spans="1:5" ht="153.75" hidden="1" customHeight="1" thickTop="1" thickBot="1" x14ac:dyDescent="0.25">
      <c r="A48" s="411" t="s">
        <v>1174</v>
      </c>
      <c r="B48" s="985" t="s">
        <v>1130</v>
      </c>
      <c r="C48" s="986"/>
      <c r="D48" s="412">
        <v>0</v>
      </c>
    </row>
    <row r="49" spans="1:5" ht="47.25" hidden="1" thickTop="1" thickBot="1" x14ac:dyDescent="0.25">
      <c r="A49" s="414" t="s">
        <v>931</v>
      </c>
      <c r="B49" s="987" t="s">
        <v>602</v>
      </c>
      <c r="C49" s="988"/>
      <c r="D49" s="415">
        <f>D47</f>
        <v>0</v>
      </c>
    </row>
    <row r="50" spans="1:5" ht="121.7" hidden="1" customHeight="1" thickTop="1" thickBot="1" x14ac:dyDescent="0.25">
      <c r="A50" s="409" t="s">
        <v>648</v>
      </c>
      <c r="B50" s="979" t="s">
        <v>649</v>
      </c>
      <c r="C50" s="980"/>
      <c r="D50" s="410">
        <f>D53+D55</f>
        <v>0</v>
      </c>
      <c r="E50" s="417" t="b">
        <f>D50=D51+D52+D54</f>
        <v>1</v>
      </c>
    </row>
    <row r="51" spans="1:5" ht="165.75" hidden="1" customHeight="1" thickTop="1" thickBot="1" x14ac:dyDescent="0.25">
      <c r="A51" s="411" t="s">
        <v>1012</v>
      </c>
      <c r="B51" s="985" t="s">
        <v>1015</v>
      </c>
      <c r="C51" s="986"/>
      <c r="D51" s="412">
        <v>0</v>
      </c>
    </row>
    <row r="52" spans="1:5" ht="147.75" hidden="1" customHeight="1" thickTop="1" thickBot="1" x14ac:dyDescent="0.25">
      <c r="A52" s="411">
        <v>41053900</v>
      </c>
      <c r="B52" s="985" t="s">
        <v>1016</v>
      </c>
      <c r="C52" s="986"/>
      <c r="D52" s="412">
        <v>0</v>
      </c>
    </row>
    <row r="53" spans="1:5" ht="47.25" hidden="1" thickTop="1" thickBot="1" x14ac:dyDescent="0.25">
      <c r="A53" s="414" t="s">
        <v>644</v>
      </c>
      <c r="B53" s="987" t="s">
        <v>645</v>
      </c>
      <c r="C53" s="988"/>
      <c r="D53" s="416">
        <f>D52+D51</f>
        <v>0</v>
      </c>
    </row>
    <row r="54" spans="1:5" ht="131.25" hidden="1" customHeight="1" thickTop="1" thickBot="1" x14ac:dyDescent="0.25">
      <c r="A54" s="411">
        <v>41053900</v>
      </c>
      <c r="B54" s="985" t="s">
        <v>1208</v>
      </c>
      <c r="C54" s="986"/>
      <c r="D54" s="412">
        <v>0</v>
      </c>
    </row>
    <row r="55" spans="1:5" ht="47.25" hidden="1" thickTop="1" thickBot="1" x14ac:dyDescent="0.25">
      <c r="A55" s="414" t="s">
        <v>604</v>
      </c>
      <c r="B55" s="987" t="s">
        <v>605</v>
      </c>
      <c r="C55" s="988"/>
      <c r="D55" s="416">
        <f>D54</f>
        <v>0</v>
      </c>
    </row>
    <row r="56" spans="1:5" ht="81" customHeight="1" thickTop="1" thickBot="1" x14ac:dyDescent="0.25">
      <c r="A56" s="847" t="s">
        <v>396</v>
      </c>
      <c r="B56" s="983" t="s">
        <v>633</v>
      </c>
      <c r="C56" s="984"/>
      <c r="D56" s="848">
        <f>D57+D58</f>
        <v>668076014</v>
      </c>
      <c r="E56" s="642" t="b">
        <f>D56='d1'!C105</f>
        <v>1</v>
      </c>
    </row>
    <row r="57" spans="1:5" ht="47.25" thickTop="1" thickBot="1" x14ac:dyDescent="0.25">
      <c r="A57" s="224" t="s">
        <v>396</v>
      </c>
      <c r="B57" s="981" t="s">
        <v>401</v>
      </c>
      <c r="C57" s="982"/>
      <c r="D57" s="690">
        <f>D43+D22+D25+D45</f>
        <v>668076014</v>
      </c>
      <c r="E57" s="642" t="b">
        <f>D57='d1'!D105</f>
        <v>1</v>
      </c>
    </row>
    <row r="58" spans="1:5" ht="47.25" thickTop="1" thickBot="1" x14ac:dyDescent="0.25">
      <c r="A58" s="224" t="s">
        <v>396</v>
      </c>
      <c r="B58" s="981" t="s">
        <v>402</v>
      </c>
      <c r="C58" s="982"/>
      <c r="D58" s="690">
        <f>D53+D49+D55</f>
        <v>0</v>
      </c>
      <c r="E58" s="642" t="b">
        <f>D58='d1'!E105</f>
        <v>1</v>
      </c>
    </row>
    <row r="59" spans="1:5" ht="31.7" customHeight="1" thickTop="1" x14ac:dyDescent="0.2">
      <c r="A59" s="185"/>
      <c r="B59" s="186"/>
      <c r="C59" s="186"/>
      <c r="D59" s="186"/>
    </row>
    <row r="60" spans="1:5" ht="31.7" customHeight="1" x14ac:dyDescent="0.2">
      <c r="A60" s="185"/>
      <c r="B60" s="186"/>
      <c r="C60" s="186"/>
      <c r="D60" s="186"/>
    </row>
    <row r="61" spans="1:5" ht="60" customHeight="1" x14ac:dyDescent="0.2">
      <c r="A61" s="989" t="s">
        <v>1225</v>
      </c>
      <c r="B61" s="990"/>
      <c r="C61" s="990"/>
      <c r="D61" s="990"/>
    </row>
    <row r="62" spans="1:5" ht="54" customHeight="1" thickBot="1" x14ac:dyDescent="0.25">
      <c r="A62" s="185"/>
      <c r="B62" s="186"/>
      <c r="C62" s="186"/>
      <c r="D62" s="390" t="s">
        <v>419</v>
      </c>
    </row>
    <row r="63" spans="1:5" ht="325.5" customHeight="1" thickTop="1" thickBot="1" x14ac:dyDescent="0.25">
      <c r="A63" s="391" t="s">
        <v>634</v>
      </c>
      <c r="B63" s="425" t="s">
        <v>510</v>
      </c>
      <c r="C63" s="391" t="s">
        <v>635</v>
      </c>
      <c r="D63" s="391" t="s">
        <v>398</v>
      </c>
    </row>
    <row r="64" spans="1:5" ht="50.25" customHeight="1" thickTop="1" thickBot="1" x14ac:dyDescent="0.25">
      <c r="A64" s="224" t="s">
        <v>2</v>
      </c>
      <c r="B64" s="224" t="s">
        <v>3</v>
      </c>
      <c r="C64" s="224" t="s">
        <v>14</v>
      </c>
      <c r="D64" s="224" t="s">
        <v>5</v>
      </c>
    </row>
    <row r="65" spans="1:9" ht="65.25" customHeight="1" thickTop="1" thickBot="1" x14ac:dyDescent="0.25">
      <c r="A65" s="976" t="s">
        <v>636</v>
      </c>
      <c r="B65" s="977"/>
      <c r="C65" s="977"/>
      <c r="D65" s="978"/>
    </row>
    <row r="66" spans="1:9" ht="184.5" thickTop="1" thickBot="1" x14ac:dyDescent="0.25">
      <c r="A66" s="477" t="s">
        <v>257</v>
      </c>
      <c r="B66" s="477" t="s">
        <v>258</v>
      </c>
      <c r="C66" s="478" t="s">
        <v>460</v>
      </c>
      <c r="D66" s="479">
        <f>SUM(D67:D68)</f>
        <v>600600</v>
      </c>
      <c r="E66" s="642" t="b">
        <f>D66='d3'!E40</f>
        <v>1</v>
      </c>
      <c r="F66" s="643"/>
      <c r="G66" s="644"/>
      <c r="H66" s="644"/>
      <c r="I66" s="644"/>
    </row>
    <row r="67" spans="1:9" ht="93" thickTop="1" thickBot="1" x14ac:dyDescent="0.25">
      <c r="A67" s="448" t="s">
        <v>601</v>
      </c>
      <c r="B67" s="448"/>
      <c r="C67" s="480" t="s">
        <v>606</v>
      </c>
      <c r="D67" s="463">
        <v>300300</v>
      </c>
      <c r="E67" s="643"/>
      <c r="F67" s="643"/>
      <c r="G67" s="644"/>
      <c r="H67" s="644"/>
      <c r="I67" s="644"/>
    </row>
    <row r="68" spans="1:9" ht="93" thickTop="1" thickBot="1" x14ac:dyDescent="0.25">
      <c r="A68" s="448" t="s">
        <v>607</v>
      </c>
      <c r="B68" s="448"/>
      <c r="C68" s="480" t="s">
        <v>608</v>
      </c>
      <c r="D68" s="463">
        <v>300300</v>
      </c>
      <c r="E68" s="643"/>
      <c r="F68" s="643"/>
      <c r="G68" s="644"/>
      <c r="H68" s="644"/>
      <c r="I68" s="644"/>
    </row>
    <row r="69" spans="1:9" ht="47.25" thickTop="1" thickBot="1" x14ac:dyDescent="0.25">
      <c r="A69" s="477" t="s">
        <v>603</v>
      </c>
      <c r="B69" s="477" t="s">
        <v>377</v>
      </c>
      <c r="C69" s="478" t="s">
        <v>378</v>
      </c>
      <c r="D69" s="479">
        <f>SUM(D70)</f>
        <v>132100</v>
      </c>
      <c r="E69" s="642" t="b">
        <f>D69='d3'!E41</f>
        <v>1</v>
      </c>
      <c r="F69" s="643"/>
      <c r="G69" s="644"/>
      <c r="H69" s="644"/>
      <c r="I69" s="644"/>
    </row>
    <row r="70" spans="1:9" ht="47.25" thickTop="1" thickBot="1" x14ac:dyDescent="0.25">
      <c r="A70" s="448" t="s">
        <v>604</v>
      </c>
      <c r="B70" s="448"/>
      <c r="C70" s="480" t="s">
        <v>605</v>
      </c>
      <c r="D70" s="463">
        <v>132100</v>
      </c>
      <c r="E70" s="643"/>
      <c r="F70" s="643"/>
      <c r="G70" s="644"/>
      <c r="H70" s="644"/>
      <c r="I70" s="644"/>
    </row>
    <row r="71" spans="1:9" ht="138.75" thickTop="1" thickBot="1" x14ac:dyDescent="0.25">
      <c r="A71" s="477" t="s">
        <v>531</v>
      </c>
      <c r="B71" s="477" t="s">
        <v>532</v>
      </c>
      <c r="C71" s="478" t="s">
        <v>533</v>
      </c>
      <c r="D71" s="479">
        <f>D72</f>
        <v>12721000</v>
      </c>
      <c r="E71" s="642" t="b">
        <f>D71='d3'!E42</f>
        <v>1</v>
      </c>
      <c r="F71" s="643"/>
      <c r="G71" s="644"/>
      <c r="H71" s="644"/>
      <c r="I71" s="644"/>
    </row>
    <row r="72" spans="1:9" ht="47.25" thickTop="1" thickBot="1" x14ac:dyDescent="0.25">
      <c r="A72" s="781" t="s">
        <v>931</v>
      </c>
      <c r="B72" s="781"/>
      <c r="C72" s="480" t="s">
        <v>602</v>
      </c>
      <c r="D72" s="463">
        <f>(((1906000+1800000+6065000+450000)+870000)+970000)+500000+160000</f>
        <v>12721000</v>
      </c>
      <c r="E72" s="643"/>
      <c r="F72" s="643"/>
      <c r="G72" s="644"/>
      <c r="H72" s="644"/>
      <c r="I72" s="644"/>
    </row>
    <row r="73" spans="1:9" ht="47.25" hidden="1" thickTop="1" thickBot="1" x14ac:dyDescent="0.25">
      <c r="A73" s="411" t="s">
        <v>618</v>
      </c>
      <c r="B73" s="411" t="s">
        <v>377</v>
      </c>
      <c r="C73" s="419" t="s">
        <v>378</v>
      </c>
      <c r="D73" s="413">
        <f>SUM(D74)</f>
        <v>0</v>
      </c>
      <c r="E73" s="642" t="b">
        <f>D73='d3'!E197</f>
        <v>1</v>
      </c>
      <c r="F73" s="643"/>
      <c r="G73" s="644"/>
      <c r="H73" s="644"/>
      <c r="I73" s="644"/>
    </row>
    <row r="74" spans="1:9" ht="93" hidden="1" thickTop="1" thickBot="1" x14ac:dyDescent="0.25">
      <c r="A74" s="414" t="s">
        <v>609</v>
      </c>
      <c r="B74" s="414"/>
      <c r="C74" s="420" t="s">
        <v>610</v>
      </c>
      <c r="D74" s="415">
        <v>0</v>
      </c>
      <c r="E74" s="643"/>
      <c r="F74" s="643"/>
      <c r="G74" s="644"/>
      <c r="H74" s="644"/>
      <c r="I74" s="644"/>
    </row>
    <row r="75" spans="1:9" ht="47.25" hidden="1" thickTop="1" thickBot="1" x14ac:dyDescent="0.25">
      <c r="A75" s="411" t="s">
        <v>1215</v>
      </c>
      <c r="B75" s="411" t="s">
        <v>377</v>
      </c>
      <c r="C75" s="419" t="s">
        <v>378</v>
      </c>
      <c r="D75" s="413">
        <v>0</v>
      </c>
      <c r="E75" s="642" t="b">
        <f>D75='d3'!E230</f>
        <v>1</v>
      </c>
      <c r="F75" s="643"/>
      <c r="G75" s="644"/>
      <c r="H75" s="644"/>
      <c r="I75" s="644"/>
    </row>
    <row r="76" spans="1:9" ht="47.25" hidden="1" thickTop="1" thickBot="1" x14ac:dyDescent="0.25">
      <c r="A76" s="411" t="s">
        <v>963</v>
      </c>
      <c r="B76" s="411" t="s">
        <v>377</v>
      </c>
      <c r="C76" s="419" t="s">
        <v>378</v>
      </c>
      <c r="D76" s="413">
        <v>0</v>
      </c>
      <c r="E76" s="642" t="b">
        <f>D76='d3'!E341</f>
        <v>1</v>
      </c>
      <c r="F76" s="643"/>
      <c r="G76" s="644"/>
      <c r="H76" s="644"/>
      <c r="I76" s="644"/>
    </row>
    <row r="77" spans="1:9" ht="47.25" hidden="1" thickTop="1" thickBot="1" x14ac:dyDescent="0.25">
      <c r="A77" s="414" t="s">
        <v>644</v>
      </c>
      <c r="B77" s="414"/>
      <c r="C77" s="420" t="s">
        <v>645</v>
      </c>
      <c r="D77" s="415">
        <f>SUM(D75:D76)</f>
        <v>0</v>
      </c>
      <c r="E77" s="643"/>
      <c r="F77" s="643"/>
      <c r="G77" s="644"/>
      <c r="H77" s="644"/>
      <c r="I77" s="644"/>
    </row>
    <row r="78" spans="1:9" ht="47.25" thickTop="1" thickBot="1" x14ac:dyDescent="0.25">
      <c r="A78" s="477" t="s">
        <v>638</v>
      </c>
      <c r="B78" s="477" t="s">
        <v>639</v>
      </c>
      <c r="C78" s="478" t="s">
        <v>469</v>
      </c>
      <c r="D78" s="479">
        <f>SUM(D79)</f>
        <v>91712900</v>
      </c>
      <c r="E78" s="642" t="b">
        <f>D78='d3'!E376</f>
        <v>1</v>
      </c>
      <c r="F78" s="643"/>
      <c r="G78" s="644"/>
      <c r="H78" s="644"/>
      <c r="I78" s="644"/>
    </row>
    <row r="79" spans="1:9" ht="47.25" thickTop="1" thickBot="1" x14ac:dyDescent="0.25">
      <c r="A79" s="532" t="s">
        <v>931</v>
      </c>
      <c r="B79" s="532"/>
      <c r="C79" s="480" t="s">
        <v>602</v>
      </c>
      <c r="D79" s="463">
        <v>91712900</v>
      </c>
      <c r="E79" s="643"/>
      <c r="F79" s="643"/>
      <c r="G79" s="644"/>
      <c r="H79" s="644"/>
      <c r="I79" s="644"/>
    </row>
    <row r="80" spans="1:9" ht="77.25" customHeight="1" thickTop="1" thickBot="1" x14ac:dyDescent="0.25">
      <c r="A80" s="976" t="s">
        <v>637</v>
      </c>
      <c r="B80" s="977"/>
      <c r="C80" s="977"/>
      <c r="D80" s="978"/>
      <c r="E80" s="643"/>
      <c r="F80" s="643"/>
      <c r="G80" s="644"/>
      <c r="H80" s="644"/>
      <c r="I80" s="644"/>
    </row>
    <row r="81" spans="1:12" ht="138.75" thickTop="1" thickBot="1" x14ac:dyDescent="0.25">
      <c r="A81" s="477" t="s">
        <v>531</v>
      </c>
      <c r="B81" s="477" t="s">
        <v>532</v>
      </c>
      <c r="C81" s="478" t="s">
        <v>533</v>
      </c>
      <c r="D81" s="479">
        <f>(((1000000)+74000)+80000)+700000+947711</f>
        <v>2801711</v>
      </c>
      <c r="E81" s="642" t="b">
        <f>D81='d3'!J42</f>
        <v>1</v>
      </c>
      <c r="F81" s="643"/>
      <c r="G81" s="644"/>
      <c r="H81" s="644"/>
      <c r="I81" s="644"/>
    </row>
    <row r="82" spans="1:12" ht="47.25" thickTop="1" thickBot="1" x14ac:dyDescent="0.25">
      <c r="A82" s="752" t="s">
        <v>931</v>
      </c>
      <c r="B82" s="752"/>
      <c r="C82" s="480" t="s">
        <v>602</v>
      </c>
      <c r="D82" s="463">
        <f>D81</f>
        <v>2801711</v>
      </c>
      <c r="E82" s="643"/>
      <c r="F82" s="643"/>
      <c r="G82" s="644"/>
      <c r="H82" s="644"/>
      <c r="I82" s="644"/>
    </row>
    <row r="83" spans="1:12" ht="47.25" hidden="1" thickTop="1" thickBot="1" x14ac:dyDescent="0.25">
      <c r="A83" s="411" t="s">
        <v>1113</v>
      </c>
      <c r="B83" s="411" t="s">
        <v>377</v>
      </c>
      <c r="C83" s="419" t="s">
        <v>378</v>
      </c>
      <c r="D83" s="413">
        <v>0</v>
      </c>
      <c r="E83" s="642" t="b">
        <f>D83='d3'!J90</f>
        <v>1</v>
      </c>
      <c r="F83" s="643"/>
      <c r="G83" s="644"/>
      <c r="H83" s="644"/>
      <c r="I83" s="644"/>
    </row>
    <row r="84" spans="1:12" ht="47.25" hidden="1" thickTop="1" thickBot="1" x14ac:dyDescent="0.25">
      <c r="A84" s="411" t="s">
        <v>1215</v>
      </c>
      <c r="B84" s="411" t="s">
        <v>377</v>
      </c>
      <c r="C84" s="419" t="s">
        <v>378</v>
      </c>
      <c r="D84" s="413">
        <v>0</v>
      </c>
      <c r="E84" s="642" t="b">
        <f>D84='d3'!J230</f>
        <v>1</v>
      </c>
      <c r="F84" s="643"/>
      <c r="G84" s="644"/>
      <c r="H84" s="644"/>
      <c r="I84" s="644"/>
    </row>
    <row r="85" spans="1:12" ht="47.25" hidden="1" thickTop="1" thickBot="1" x14ac:dyDescent="0.25">
      <c r="A85" s="411" t="s">
        <v>963</v>
      </c>
      <c r="B85" s="411" t="s">
        <v>377</v>
      </c>
      <c r="C85" s="419" t="s">
        <v>378</v>
      </c>
      <c r="D85" s="413">
        <v>0</v>
      </c>
      <c r="E85" s="642" t="b">
        <f>D85='d3'!J341</f>
        <v>1</v>
      </c>
      <c r="F85" s="643"/>
      <c r="G85" s="644"/>
      <c r="H85" s="644"/>
      <c r="I85" s="644"/>
    </row>
    <row r="86" spans="1:12" ht="47.25" hidden="1" thickTop="1" thickBot="1" x14ac:dyDescent="0.25">
      <c r="A86" s="414" t="s">
        <v>644</v>
      </c>
      <c r="B86" s="414"/>
      <c r="C86" s="420" t="s">
        <v>645</v>
      </c>
      <c r="D86" s="415">
        <f>SUM(D83:D85)</f>
        <v>0</v>
      </c>
      <c r="E86" s="643"/>
      <c r="F86" s="643"/>
      <c r="G86" s="644"/>
      <c r="H86" s="644"/>
      <c r="I86" s="644"/>
    </row>
    <row r="87" spans="1:12" ht="47.25" thickTop="1" thickBot="1" x14ac:dyDescent="0.25">
      <c r="A87" s="647"/>
      <c r="B87" s="647"/>
      <c r="C87" s="536"/>
      <c r="D87" s="648"/>
      <c r="E87" s="643"/>
      <c r="F87" s="643"/>
      <c r="G87" s="644"/>
      <c r="H87" s="644"/>
      <c r="I87" s="644"/>
    </row>
    <row r="88" spans="1:12" ht="84.75" customHeight="1" thickTop="1" thickBot="1" x14ac:dyDescent="0.25">
      <c r="A88" s="847" t="s">
        <v>396</v>
      </c>
      <c r="B88" s="847" t="s">
        <v>396</v>
      </c>
      <c r="C88" s="849" t="s">
        <v>633</v>
      </c>
      <c r="D88" s="848">
        <f>D67+D68+D70+D72+D74+D77+D79+D82+D86</f>
        <v>107968311</v>
      </c>
      <c r="E88" s="645" t="b">
        <f>D88=D89+D90</f>
        <v>1</v>
      </c>
      <c r="F88" s="645" t="b">
        <f>D88='d7'!G33+'d7'!G34+'d7'!G35+'d7'!G36+'d7'!G37+'d7'!G38+'d7'!G39+'d7'!G40+'d7'!G41+'d7'!G42+'d7'!G77+'d7'!G150+'d7'!G169+'d7'!G252+'d5'!D78</f>
        <v>1</v>
      </c>
      <c r="G88" s="644"/>
      <c r="H88" s="644"/>
      <c r="I88" s="644"/>
    </row>
    <row r="89" spans="1:12" ht="47.25" thickTop="1" thickBot="1" x14ac:dyDescent="0.25">
      <c r="A89" s="533" t="s">
        <v>396</v>
      </c>
      <c r="B89" s="533" t="s">
        <v>396</v>
      </c>
      <c r="C89" s="426" t="s">
        <v>401</v>
      </c>
      <c r="D89" s="531">
        <f>'d3'!E374+'d3'!E339+'d3'!E195+'d3'!E38+'d3'!E90+'d3'!E230</f>
        <v>105166600</v>
      </c>
      <c r="E89" s="645" t="b">
        <f>D89=D66+D69+D73+D76+D78+D71+D75</f>
        <v>1</v>
      </c>
      <c r="F89" s="646"/>
      <c r="G89" s="644"/>
      <c r="H89" s="644"/>
      <c r="I89" s="644"/>
    </row>
    <row r="90" spans="1:12" ht="47.25" thickTop="1" thickBot="1" x14ac:dyDescent="0.25">
      <c r="A90" s="533" t="s">
        <v>396</v>
      </c>
      <c r="B90" s="533" t="s">
        <v>396</v>
      </c>
      <c r="C90" s="426" t="s">
        <v>402</v>
      </c>
      <c r="D90" s="531">
        <f>'d3'!J38+'d3'!J195+'d3'!J339+'d3'!J374+'d3'!J90+'d3'!J230</f>
        <v>2801711</v>
      </c>
      <c r="E90" s="645" t="b">
        <f>D90=D86+D82</f>
        <v>1</v>
      </c>
      <c r="F90" s="646"/>
      <c r="G90" s="644"/>
      <c r="H90" s="644"/>
      <c r="I90" s="644"/>
    </row>
    <row r="91" spans="1:12" ht="31.7" customHeight="1" thickTop="1" x14ac:dyDescent="0.2">
      <c r="A91" s="528"/>
      <c r="B91" s="529"/>
      <c r="C91" s="529"/>
      <c r="D91" s="529"/>
      <c r="E91" s="613"/>
      <c r="F91" s="613"/>
      <c r="G91" s="644"/>
      <c r="H91" s="644"/>
      <c r="I91" s="644"/>
    </row>
    <row r="92" spans="1:12" ht="31.7" customHeight="1" x14ac:dyDescent="0.2">
      <c r="A92" s="528"/>
      <c r="B92" s="529"/>
      <c r="C92" s="529"/>
      <c r="D92" s="529"/>
      <c r="E92" s="613"/>
      <c r="F92" s="613"/>
      <c r="G92" s="644"/>
      <c r="H92" s="644"/>
      <c r="I92" s="644"/>
    </row>
    <row r="93" spans="1:12" ht="31.7" customHeight="1" x14ac:dyDescent="0.2">
      <c r="A93" s="528"/>
      <c r="B93" s="529"/>
      <c r="C93" s="529"/>
      <c r="D93" s="529"/>
      <c r="E93" s="640"/>
      <c r="F93" s="640"/>
    </row>
    <row r="94" spans="1:12" ht="45" customHeight="1" x14ac:dyDescent="0.65">
      <c r="A94" s="528"/>
      <c r="B94" s="439" t="s">
        <v>1363</v>
      </c>
      <c r="C94" s="792"/>
      <c r="D94" s="439" t="s">
        <v>1364</v>
      </c>
      <c r="E94" s="184"/>
      <c r="F94" s="439"/>
      <c r="G94" s="438"/>
      <c r="H94" s="439"/>
      <c r="I94" s="439"/>
      <c r="J94" s="793"/>
      <c r="K94" s="793"/>
      <c r="L94" s="793"/>
    </row>
    <row r="95" spans="1:12" ht="61.5" customHeight="1" x14ac:dyDescent="0.65">
      <c r="A95" s="534"/>
      <c r="B95" s="921"/>
      <c r="C95" s="921"/>
      <c r="D95" s="921"/>
      <c r="E95" s="640"/>
      <c r="F95" s="640"/>
    </row>
    <row r="96" spans="1:12" ht="45.75" x14ac:dyDescent="0.65">
      <c r="A96" s="386"/>
      <c r="B96" s="439" t="s">
        <v>544</v>
      </c>
      <c r="C96" s="439"/>
      <c r="D96" s="439" t="s">
        <v>545</v>
      </c>
      <c r="E96" s="640"/>
      <c r="F96" s="640"/>
    </row>
    <row r="97" spans="1:6" ht="45.75" x14ac:dyDescent="0.65">
      <c r="A97" s="386"/>
      <c r="B97" s="921"/>
      <c r="C97" s="921"/>
      <c r="D97" s="921"/>
      <c r="E97" s="640"/>
      <c r="F97" s="640"/>
    </row>
    <row r="100" spans="1:6" x14ac:dyDescent="0.2">
      <c r="A100" s="407"/>
      <c r="B100" s="407"/>
      <c r="C100" s="407"/>
    </row>
    <row r="102" spans="1:6" x14ac:dyDescent="0.2">
      <c r="A102" s="407"/>
      <c r="B102" s="407"/>
      <c r="C102" s="407"/>
    </row>
    <row r="106" spans="1:6" x14ac:dyDescent="0.2">
      <c r="A106" s="407"/>
      <c r="B106" s="407"/>
      <c r="C106" s="407"/>
      <c r="D106" s="407"/>
    </row>
    <row r="107" spans="1:6" x14ac:dyDescent="0.2">
      <c r="A107" s="407"/>
      <c r="B107" s="407"/>
      <c r="C107" s="407"/>
      <c r="D107" s="407"/>
    </row>
    <row r="108" spans="1:6" x14ac:dyDescent="0.2">
      <c r="A108" s="407"/>
      <c r="B108" s="407"/>
      <c r="C108" s="407"/>
      <c r="D108" s="407"/>
    </row>
    <row r="109" spans="1:6" x14ac:dyDescent="0.2">
      <c r="A109" s="407"/>
      <c r="B109" s="407"/>
      <c r="C109" s="407"/>
      <c r="D109" s="407"/>
    </row>
  </sheetData>
  <mergeCells count="68">
    <mergeCell ref="B49:C49"/>
    <mergeCell ref="B41:C41"/>
    <mergeCell ref="B52:C52"/>
    <mergeCell ref="A46:D46"/>
    <mergeCell ref="B43:C43"/>
    <mergeCell ref="B44:C44"/>
    <mergeCell ref="B45:C45"/>
    <mergeCell ref="B47:C47"/>
    <mergeCell ref="B48:C48"/>
    <mergeCell ref="A27:A28"/>
    <mergeCell ref="D27:D28"/>
    <mergeCell ref="B33:C33"/>
    <mergeCell ref="B39:C39"/>
    <mergeCell ref="A39:A40"/>
    <mergeCell ref="D39:D40"/>
    <mergeCell ref="B40:C40"/>
    <mergeCell ref="A29:A30"/>
    <mergeCell ref="D29:D30"/>
    <mergeCell ref="A31:A32"/>
    <mergeCell ref="D31:D32"/>
    <mergeCell ref="B35:C35"/>
    <mergeCell ref="B37:C37"/>
    <mergeCell ref="A9:D9"/>
    <mergeCell ref="A13:D13"/>
    <mergeCell ref="B11:C11"/>
    <mergeCell ref="B12:C12"/>
    <mergeCell ref="B26:C26"/>
    <mergeCell ref="B16:C16"/>
    <mergeCell ref="B14:C14"/>
    <mergeCell ref="B23:C23"/>
    <mergeCell ref="B24:C24"/>
    <mergeCell ref="B17:C17"/>
    <mergeCell ref="B21:C21"/>
    <mergeCell ref="B25:C25"/>
    <mergeCell ref="B15:C15"/>
    <mergeCell ref="B19:C19"/>
    <mergeCell ref="B20:C20"/>
    <mergeCell ref="B18:C18"/>
    <mergeCell ref="N3:O3"/>
    <mergeCell ref="N4:O4"/>
    <mergeCell ref="N5:O5"/>
    <mergeCell ref="A6:D6"/>
    <mergeCell ref="A7:D7"/>
    <mergeCell ref="A5:D5"/>
    <mergeCell ref="B22:C22"/>
    <mergeCell ref="B29:C29"/>
    <mergeCell ref="B30:C30"/>
    <mergeCell ref="B42:C42"/>
    <mergeCell ref="B34:C34"/>
    <mergeCell ref="B36:C36"/>
    <mergeCell ref="B38:C38"/>
    <mergeCell ref="B27:C27"/>
    <mergeCell ref="B28:C28"/>
    <mergeCell ref="B31:C31"/>
    <mergeCell ref="B32:C32"/>
    <mergeCell ref="B97:D97"/>
    <mergeCell ref="A65:D65"/>
    <mergeCell ref="A80:D80"/>
    <mergeCell ref="B50:C50"/>
    <mergeCell ref="B57:C57"/>
    <mergeCell ref="B58:C58"/>
    <mergeCell ref="B56:C56"/>
    <mergeCell ref="B51:C51"/>
    <mergeCell ref="B53:C53"/>
    <mergeCell ref="A61:D61"/>
    <mergeCell ref="B54:C54"/>
    <mergeCell ref="B55:C55"/>
    <mergeCell ref="B95:D95"/>
  </mergeCells>
  <pageMargins left="0.23622047244094491" right="0.27559055118110237" top="0.27559055118110237" bottom="0.15748031496062992" header="0.23622047244094491" footer="0.27559055118110237"/>
  <pageSetup paperSize="9" scale="30" fitToHeight="0" orientation="portrait" horizontalDpi="4294967295" verticalDpi="4294967295" r:id="rId1"/>
  <headerFooter alignWithMargins="0">
    <oddFooter>&amp;C&amp;"Times New Roman Cyr,курсив"Сторінка &amp;P з &amp;N</oddFooter>
  </headerFooter>
  <rowBreaks count="1" manualBreakCount="1">
    <brk id="96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141"/>
  <sheetViews>
    <sheetView view="pageBreakPreview" topLeftCell="B1" zoomScale="70" zoomScaleNormal="40" zoomScaleSheetLayoutView="70" workbookViewId="0">
      <pane ySplit="10" topLeftCell="A101" activePane="bottomLeft" state="frozen"/>
      <selection activeCell="F175" sqref="F175"/>
      <selection pane="bottomLeft" activeCell="F48" sqref="F48"/>
    </sheetView>
  </sheetViews>
  <sheetFormatPr defaultColWidth="7.85546875" defaultRowHeight="12.75" x14ac:dyDescent="0.2"/>
  <cols>
    <col min="1" max="1" width="3.28515625" style="125" hidden="1" customWidth="1"/>
    <col min="2" max="3" width="15.42578125" style="175" customWidth="1"/>
    <col min="4" max="4" width="16.85546875" style="175" customWidth="1"/>
    <col min="5" max="5" width="41.5703125" style="175" customWidth="1"/>
    <col min="6" max="6" width="38.5703125" style="175" customWidth="1"/>
    <col min="7" max="8" width="18.140625" style="179" customWidth="1"/>
    <col min="9" max="9" width="20.28515625" style="179" customWidth="1"/>
    <col min="10" max="10" width="23" style="179" customWidth="1"/>
    <col min="11" max="11" width="18.140625" style="179" customWidth="1"/>
    <col min="12" max="14" width="15.42578125" style="125" bestFit="1" customWidth="1"/>
    <col min="15" max="15" width="12.7109375" style="125" customWidth="1"/>
    <col min="16" max="16384" width="7.85546875" style="125"/>
  </cols>
  <sheetData>
    <row r="1" spans="1:18" s="6" customFormat="1" ht="22.7" customHeight="1" x14ac:dyDescent="0.25">
      <c r="B1" s="1016"/>
      <c r="C1" s="1016"/>
      <c r="D1" s="1016"/>
      <c r="E1" s="1016"/>
      <c r="F1" s="1016"/>
      <c r="G1" s="1016"/>
      <c r="H1" s="1016"/>
      <c r="I1" s="1016"/>
      <c r="J1" s="1016"/>
      <c r="K1" s="1016"/>
    </row>
    <row r="2" spans="1:18" ht="41.25" customHeight="1" x14ac:dyDescent="0.2">
      <c r="G2" s="1017" t="s">
        <v>1353</v>
      </c>
      <c r="H2" s="1017"/>
      <c r="I2" s="1017"/>
      <c r="J2" s="1017"/>
      <c r="K2" s="1017"/>
    </row>
    <row r="3" spans="1:18" ht="29.25" customHeight="1" x14ac:dyDescent="0.2">
      <c r="G3" s="194"/>
      <c r="H3" s="194"/>
      <c r="I3" s="194"/>
      <c r="J3" s="194"/>
      <c r="K3" s="194"/>
    </row>
    <row r="4" spans="1:18" ht="31.7" customHeight="1" x14ac:dyDescent="0.2">
      <c r="B4" s="1018" t="s">
        <v>1226</v>
      </c>
      <c r="C4" s="1019"/>
      <c r="D4" s="1019"/>
      <c r="E4" s="1019"/>
      <c r="F4" s="1019"/>
      <c r="G4" s="1019"/>
      <c r="H4" s="1019"/>
      <c r="I4" s="1019"/>
      <c r="J4" s="1019"/>
      <c r="K4" s="1019"/>
    </row>
    <row r="5" spans="1:18" ht="31.7" customHeight="1" x14ac:dyDescent="0.2">
      <c r="B5" s="1018" t="s">
        <v>1227</v>
      </c>
      <c r="C5" s="1019"/>
      <c r="D5" s="1019"/>
      <c r="E5" s="1019"/>
      <c r="F5" s="1019"/>
      <c r="G5" s="1019"/>
      <c r="H5" s="1019"/>
      <c r="I5" s="1019"/>
      <c r="J5" s="1019"/>
      <c r="K5" s="1019"/>
    </row>
    <row r="6" spans="1:18" ht="24.75" customHeight="1" x14ac:dyDescent="0.2">
      <c r="B6" s="1018" t="s">
        <v>1228</v>
      </c>
      <c r="C6" s="1019"/>
      <c r="D6" s="1019"/>
      <c r="E6" s="1019"/>
      <c r="F6" s="1019"/>
      <c r="G6" s="1019"/>
      <c r="H6" s="1019"/>
      <c r="I6" s="1019"/>
      <c r="J6" s="1019"/>
      <c r="K6" s="1019"/>
    </row>
    <row r="7" spans="1:18" ht="18.75" x14ac:dyDescent="0.2">
      <c r="B7" s="1020">
        <v>22564000000</v>
      </c>
      <c r="C7" s="1021"/>
      <c r="D7" s="193"/>
      <c r="E7" s="193"/>
      <c r="F7" s="193"/>
      <c r="G7" s="193"/>
      <c r="H7" s="193"/>
      <c r="I7" s="193"/>
      <c r="J7" s="193"/>
      <c r="K7" s="193"/>
    </row>
    <row r="8" spans="1:18" ht="19.5" thickBot="1" x14ac:dyDescent="0.25">
      <c r="B8" s="1014" t="s">
        <v>508</v>
      </c>
      <c r="C8" s="1015"/>
      <c r="D8" s="193"/>
      <c r="E8" s="193"/>
      <c r="F8" s="193"/>
      <c r="G8" s="193"/>
      <c r="H8" s="193"/>
      <c r="I8" s="193"/>
      <c r="J8" s="193"/>
      <c r="K8" s="193"/>
    </row>
    <row r="9" spans="1:18" ht="120" customHeight="1" thickTop="1" thickBot="1" x14ac:dyDescent="0.25">
      <c r="A9" s="427"/>
      <c r="B9" s="428" t="s">
        <v>509</v>
      </c>
      <c r="C9" s="428" t="s">
        <v>510</v>
      </c>
      <c r="D9" s="428" t="s">
        <v>405</v>
      </c>
      <c r="E9" s="428" t="s">
        <v>600</v>
      </c>
      <c r="F9" s="131" t="s">
        <v>1229</v>
      </c>
      <c r="G9" s="131" t="s">
        <v>1232</v>
      </c>
      <c r="H9" s="131" t="s">
        <v>1233</v>
      </c>
      <c r="I9" s="131" t="s">
        <v>1234</v>
      </c>
      <c r="J9" s="131" t="s">
        <v>1235</v>
      </c>
      <c r="K9" s="131" t="s">
        <v>1236</v>
      </c>
      <c r="L9" s="329"/>
      <c r="M9" s="329"/>
      <c r="N9" s="329"/>
      <c r="O9" s="329"/>
      <c r="P9" s="329"/>
      <c r="Q9" s="329"/>
      <c r="R9" s="329"/>
    </row>
    <row r="10" spans="1:18" ht="16.5" thickTop="1" thickBot="1" x14ac:dyDescent="0.25">
      <c r="A10" s="427"/>
      <c r="B10" s="428">
        <v>1</v>
      </c>
      <c r="C10" s="428">
        <v>2</v>
      </c>
      <c r="D10" s="428">
        <v>3</v>
      </c>
      <c r="E10" s="428">
        <v>4</v>
      </c>
      <c r="F10" s="428">
        <v>5</v>
      </c>
      <c r="G10" s="428">
        <v>6</v>
      </c>
      <c r="H10" s="428">
        <v>7</v>
      </c>
      <c r="I10" s="428">
        <v>8</v>
      </c>
      <c r="J10" s="428">
        <v>9</v>
      </c>
      <c r="K10" s="428">
        <v>10</v>
      </c>
      <c r="L10" s="329"/>
      <c r="M10" s="329"/>
      <c r="N10" s="329"/>
      <c r="O10" s="329"/>
      <c r="P10" s="329"/>
      <c r="Q10" s="329"/>
      <c r="R10" s="329"/>
    </row>
    <row r="11" spans="1:18" ht="31.5" hidden="1" thickTop="1" thickBot="1" x14ac:dyDescent="0.25">
      <c r="B11" s="493" t="s">
        <v>156</v>
      </c>
      <c r="C11" s="493"/>
      <c r="D11" s="493"/>
      <c r="E11" s="494" t="s">
        <v>158</v>
      </c>
      <c r="F11" s="493"/>
      <c r="G11" s="493"/>
      <c r="H11" s="493"/>
      <c r="I11" s="494"/>
      <c r="J11" s="497">
        <f>J12</f>
        <v>0</v>
      </c>
      <c r="K11" s="493"/>
      <c r="L11" s="329"/>
      <c r="M11" s="329"/>
      <c r="N11" s="329"/>
      <c r="O11" s="329"/>
      <c r="P11" s="329"/>
      <c r="Q11" s="329"/>
      <c r="R11" s="329"/>
    </row>
    <row r="12" spans="1:18" ht="44.25" hidden="1" thickTop="1" thickBot="1" x14ac:dyDescent="0.25">
      <c r="B12" s="495" t="s">
        <v>157</v>
      </c>
      <c r="C12" s="495"/>
      <c r="D12" s="495"/>
      <c r="E12" s="496" t="s">
        <v>159</v>
      </c>
      <c r="F12" s="495"/>
      <c r="G12" s="495"/>
      <c r="H12" s="495"/>
      <c r="I12" s="496"/>
      <c r="J12" s="498">
        <f>SUM(J13:J18)</f>
        <v>0</v>
      </c>
      <c r="K12" s="495"/>
      <c r="L12" s="329"/>
      <c r="M12" s="329"/>
      <c r="N12" s="329"/>
      <c r="O12" s="329"/>
      <c r="P12" s="329"/>
      <c r="Q12" s="329"/>
      <c r="R12" s="329"/>
    </row>
    <row r="13" spans="1:18" ht="76.5" hidden="1" thickTop="1" thickBot="1" x14ac:dyDescent="0.25">
      <c r="B13" s="330" t="s">
        <v>244</v>
      </c>
      <c r="C13" s="330" t="s">
        <v>245</v>
      </c>
      <c r="D13" s="330" t="s">
        <v>246</v>
      </c>
      <c r="E13" s="330" t="s">
        <v>243</v>
      </c>
      <c r="F13" s="331" t="s">
        <v>538</v>
      </c>
      <c r="G13" s="332"/>
      <c r="H13" s="333"/>
      <c r="I13" s="332"/>
      <c r="J13" s="334"/>
      <c r="K13" s="334"/>
      <c r="L13" s="329"/>
      <c r="M13" s="329"/>
      <c r="N13" s="329"/>
      <c r="O13" s="329"/>
      <c r="P13" s="329"/>
      <c r="Q13" s="329"/>
      <c r="R13" s="329"/>
    </row>
    <row r="14" spans="1:18" ht="91.5" hidden="1" thickTop="1" thickBot="1" x14ac:dyDescent="0.25">
      <c r="B14" s="330" t="s">
        <v>244</v>
      </c>
      <c r="C14" s="330" t="s">
        <v>245</v>
      </c>
      <c r="D14" s="330" t="s">
        <v>246</v>
      </c>
      <c r="E14" s="330" t="s">
        <v>243</v>
      </c>
      <c r="F14" s="331" t="s">
        <v>1197</v>
      </c>
      <c r="G14" s="335" t="s">
        <v>584</v>
      </c>
      <c r="H14" s="336"/>
      <c r="I14" s="337"/>
      <c r="J14" s="334"/>
      <c r="K14" s="337"/>
      <c r="L14" s="329"/>
      <c r="M14" s="329"/>
      <c r="N14" s="329"/>
      <c r="O14" s="329"/>
      <c r="P14" s="329"/>
      <c r="Q14" s="329"/>
      <c r="R14" s="329"/>
    </row>
    <row r="15" spans="1:18" ht="31.5" hidden="1" thickTop="1" thickBot="1" x14ac:dyDescent="0.25">
      <c r="B15" s="330" t="s">
        <v>250</v>
      </c>
      <c r="C15" s="330" t="s">
        <v>251</v>
      </c>
      <c r="D15" s="330" t="s">
        <v>252</v>
      </c>
      <c r="E15" s="330" t="s">
        <v>249</v>
      </c>
      <c r="F15" s="331" t="s">
        <v>538</v>
      </c>
      <c r="G15" s="332"/>
      <c r="H15" s="333"/>
      <c r="I15" s="332"/>
      <c r="J15" s="334"/>
      <c r="K15" s="334"/>
      <c r="L15" s="329"/>
      <c r="M15" s="329"/>
      <c r="N15" s="329"/>
      <c r="O15" s="329"/>
      <c r="P15" s="329"/>
      <c r="Q15" s="329"/>
      <c r="R15" s="329"/>
    </row>
    <row r="16" spans="1:18" ht="61.5" hidden="1" thickTop="1" thickBot="1" x14ac:dyDescent="0.25">
      <c r="B16" s="330" t="s">
        <v>531</v>
      </c>
      <c r="C16" s="330" t="s">
        <v>532</v>
      </c>
      <c r="D16" s="330" t="s">
        <v>45</v>
      </c>
      <c r="E16" s="330" t="s">
        <v>533</v>
      </c>
      <c r="F16" s="331" t="s">
        <v>538</v>
      </c>
      <c r="G16" s="332"/>
      <c r="H16" s="333"/>
      <c r="I16" s="332"/>
      <c r="J16" s="334"/>
      <c r="K16" s="334"/>
      <c r="L16" s="329"/>
      <c r="M16" s="329"/>
      <c r="N16" s="329"/>
      <c r="O16" s="329"/>
      <c r="P16" s="329"/>
      <c r="Q16" s="329"/>
      <c r="R16" s="329"/>
    </row>
    <row r="17" spans="1:18" ht="181.5" hidden="1" thickTop="1" thickBot="1" x14ac:dyDescent="0.25">
      <c r="B17" s="330" t="s">
        <v>531</v>
      </c>
      <c r="C17" s="330" t="s">
        <v>532</v>
      </c>
      <c r="D17" s="330" t="s">
        <v>45</v>
      </c>
      <c r="E17" s="330" t="s">
        <v>533</v>
      </c>
      <c r="F17" s="331" t="s">
        <v>1212</v>
      </c>
      <c r="G17" s="332"/>
      <c r="H17" s="333"/>
      <c r="I17" s="332"/>
      <c r="J17" s="334"/>
      <c r="K17" s="334"/>
      <c r="L17" s="329"/>
      <c r="M17" s="329"/>
      <c r="N17" s="329"/>
      <c r="O17" s="329"/>
      <c r="P17" s="329"/>
      <c r="Q17" s="329"/>
      <c r="R17" s="329"/>
    </row>
    <row r="18" spans="1:18" ht="61.5" hidden="1" thickTop="1" thickBot="1" x14ac:dyDescent="0.25">
      <c r="B18" s="330" t="s">
        <v>531</v>
      </c>
      <c r="C18" s="330" t="s">
        <v>532</v>
      </c>
      <c r="D18" s="330" t="s">
        <v>45</v>
      </c>
      <c r="E18" s="330" t="s">
        <v>533</v>
      </c>
      <c r="F18" s="331" t="s">
        <v>996</v>
      </c>
      <c r="G18" s="332"/>
      <c r="H18" s="333"/>
      <c r="I18" s="332"/>
      <c r="J18" s="334"/>
      <c r="K18" s="334"/>
      <c r="L18" s="329"/>
      <c r="M18" s="329"/>
      <c r="N18" s="329"/>
      <c r="O18" s="329"/>
      <c r="P18" s="329"/>
      <c r="Q18" s="329"/>
      <c r="R18" s="329"/>
    </row>
    <row r="19" spans="1:18" ht="46.5" thickTop="1" thickBot="1" x14ac:dyDescent="0.25">
      <c r="A19" s="176"/>
      <c r="B19" s="850" t="s">
        <v>160</v>
      </c>
      <c r="C19" s="850"/>
      <c r="D19" s="850"/>
      <c r="E19" s="851" t="s">
        <v>0</v>
      </c>
      <c r="F19" s="850"/>
      <c r="G19" s="850"/>
      <c r="H19" s="852">
        <f>H20</f>
        <v>7667780</v>
      </c>
      <c r="I19" s="852">
        <f>I20</f>
        <v>3275405.21</v>
      </c>
      <c r="J19" s="852">
        <f>J20</f>
        <v>950161</v>
      </c>
      <c r="K19" s="853"/>
      <c r="L19" s="329"/>
      <c r="M19" s="329"/>
      <c r="N19" s="329"/>
      <c r="O19" s="329"/>
      <c r="P19" s="329"/>
      <c r="Q19" s="329"/>
      <c r="R19" s="329"/>
    </row>
    <row r="20" spans="1:18" ht="44.25" thickTop="1" thickBot="1" x14ac:dyDescent="0.25">
      <c r="A20" s="176"/>
      <c r="B20" s="843" t="s">
        <v>161</v>
      </c>
      <c r="C20" s="843"/>
      <c r="D20" s="843"/>
      <c r="E20" s="844" t="s">
        <v>1</v>
      </c>
      <c r="F20" s="843"/>
      <c r="G20" s="843"/>
      <c r="H20" s="846">
        <f>SUM(H21:H22)</f>
        <v>7667780</v>
      </c>
      <c r="I20" s="846">
        <f>SUM(I21:I22)</f>
        <v>3275405.21</v>
      </c>
      <c r="J20" s="846">
        <f>SUM(J21:J22)</f>
        <v>950161</v>
      </c>
      <c r="K20" s="854"/>
      <c r="L20" s="329"/>
      <c r="M20" s="329"/>
      <c r="N20" s="329"/>
      <c r="O20" s="329"/>
      <c r="P20" s="329"/>
      <c r="Q20" s="329"/>
      <c r="R20" s="329"/>
    </row>
    <row r="21" spans="1:18" ht="76.5" thickTop="1" thickBot="1" x14ac:dyDescent="0.25">
      <c r="B21" s="500" t="s">
        <v>683</v>
      </c>
      <c r="C21" s="500" t="s">
        <v>684</v>
      </c>
      <c r="D21" s="500" t="s">
        <v>216</v>
      </c>
      <c r="E21" s="500" t="s">
        <v>685</v>
      </c>
      <c r="F21" s="538" t="s">
        <v>1211</v>
      </c>
      <c r="G21" s="539" t="s">
        <v>1266</v>
      </c>
      <c r="H21" s="503">
        <v>3488348</v>
      </c>
      <c r="I21" s="503">
        <f>1950923.21+1261682</f>
        <v>3212605.21</v>
      </c>
      <c r="J21" s="540">
        <v>250161</v>
      </c>
      <c r="K21" s="541">
        <v>1</v>
      </c>
      <c r="L21" s="340"/>
      <c r="M21" s="341"/>
      <c r="N21" s="329"/>
      <c r="O21" s="329"/>
      <c r="P21" s="329"/>
      <c r="Q21" s="329"/>
      <c r="R21" s="329"/>
    </row>
    <row r="22" spans="1:18" ht="61.5" thickTop="1" thickBot="1" x14ac:dyDescent="0.25">
      <c r="B22" s="500" t="s">
        <v>1206</v>
      </c>
      <c r="C22" s="500" t="s">
        <v>324</v>
      </c>
      <c r="D22" s="500" t="s">
        <v>317</v>
      </c>
      <c r="E22" s="500" t="s">
        <v>1207</v>
      </c>
      <c r="F22" s="538" t="s">
        <v>1267</v>
      </c>
      <c r="G22" s="539" t="s">
        <v>1070</v>
      </c>
      <c r="H22" s="542">
        <v>4179432</v>
      </c>
      <c r="I22" s="540">
        <f>(49000)+13800</f>
        <v>62800</v>
      </c>
      <c r="J22" s="540">
        <v>700000</v>
      </c>
      <c r="K22" s="541">
        <f>(J22+I22)/H22</f>
        <v>0.18251283906521268</v>
      </c>
      <c r="L22" s="339"/>
      <c r="M22" s="341"/>
      <c r="N22" s="329"/>
      <c r="O22" s="329"/>
      <c r="P22" s="329"/>
      <c r="Q22" s="329"/>
      <c r="R22" s="329"/>
    </row>
    <row r="23" spans="1:18" ht="46.5" thickTop="1" thickBot="1" x14ac:dyDescent="0.25">
      <c r="B23" s="850" t="s">
        <v>162</v>
      </c>
      <c r="C23" s="850"/>
      <c r="D23" s="850"/>
      <c r="E23" s="851" t="s">
        <v>18</v>
      </c>
      <c r="F23" s="850"/>
      <c r="G23" s="850"/>
      <c r="H23" s="852">
        <f>H24</f>
        <v>24879593</v>
      </c>
      <c r="I23" s="852">
        <f>I24</f>
        <v>6100000</v>
      </c>
      <c r="J23" s="852">
        <f>J24</f>
        <v>5300000</v>
      </c>
      <c r="K23" s="853"/>
      <c r="L23" s="329"/>
      <c r="M23" s="329"/>
      <c r="N23" s="329"/>
      <c r="O23" s="329"/>
      <c r="P23" s="329"/>
      <c r="Q23" s="329"/>
      <c r="R23" s="329"/>
    </row>
    <row r="24" spans="1:18" ht="44.25" thickTop="1" thickBot="1" x14ac:dyDescent="0.25">
      <c r="B24" s="843" t="s">
        <v>163</v>
      </c>
      <c r="C24" s="843"/>
      <c r="D24" s="843"/>
      <c r="E24" s="844" t="s">
        <v>38</v>
      </c>
      <c r="F24" s="843"/>
      <c r="G24" s="843"/>
      <c r="H24" s="846">
        <f>SUM(H25:H27)</f>
        <v>24879593</v>
      </c>
      <c r="I24" s="846">
        <f>SUM(I25:I27)</f>
        <v>6100000</v>
      </c>
      <c r="J24" s="846">
        <f>SUM(J25:J27)</f>
        <v>5300000</v>
      </c>
      <c r="K24" s="854"/>
      <c r="L24" s="329"/>
      <c r="M24" s="329"/>
      <c r="N24" s="329"/>
      <c r="O24" s="329"/>
      <c r="P24" s="329"/>
      <c r="Q24" s="329"/>
      <c r="R24" s="329"/>
    </row>
    <row r="25" spans="1:18" ht="91.5" hidden="1" thickTop="1" thickBot="1" x14ac:dyDescent="0.25">
      <c r="B25" s="330" t="s">
        <v>432</v>
      </c>
      <c r="C25" s="330" t="s">
        <v>248</v>
      </c>
      <c r="D25" s="330" t="s">
        <v>246</v>
      </c>
      <c r="E25" s="330" t="s">
        <v>247</v>
      </c>
      <c r="F25" s="331" t="s">
        <v>1198</v>
      </c>
      <c r="G25" s="335" t="s">
        <v>1199</v>
      </c>
      <c r="H25" s="336"/>
      <c r="I25" s="337"/>
      <c r="J25" s="334"/>
      <c r="K25" s="337"/>
      <c r="L25" s="329"/>
      <c r="M25" s="329"/>
      <c r="N25" s="329"/>
      <c r="O25" s="329"/>
      <c r="P25" s="329"/>
      <c r="Q25" s="329"/>
      <c r="R25" s="329"/>
    </row>
    <row r="26" spans="1:18" ht="91.5" thickTop="1" thickBot="1" x14ac:dyDescent="0.25">
      <c r="B26" s="500" t="s">
        <v>226</v>
      </c>
      <c r="C26" s="500" t="s">
        <v>223</v>
      </c>
      <c r="D26" s="500" t="s">
        <v>227</v>
      </c>
      <c r="E26" s="500" t="s">
        <v>19</v>
      </c>
      <c r="F26" s="501" t="s">
        <v>1241</v>
      </c>
      <c r="G26" s="502" t="s">
        <v>643</v>
      </c>
      <c r="H26" s="503">
        <v>24579593</v>
      </c>
      <c r="I26" s="503">
        <f>600000+5500000</f>
        <v>6100000</v>
      </c>
      <c r="J26" s="505">
        <v>5000000</v>
      </c>
      <c r="K26" s="504">
        <f>(J26+I26)/H26</f>
        <v>0.45159413339350246</v>
      </c>
      <c r="L26" s="329"/>
      <c r="M26" s="329"/>
      <c r="N26" s="329"/>
      <c r="O26" s="329"/>
      <c r="P26" s="329"/>
      <c r="Q26" s="329"/>
      <c r="R26" s="329"/>
    </row>
    <row r="27" spans="1:18" ht="106.5" thickTop="1" thickBot="1" x14ac:dyDescent="0.25">
      <c r="B27" s="500" t="s">
        <v>1333</v>
      </c>
      <c r="C27" s="500" t="s">
        <v>1335</v>
      </c>
      <c r="D27" s="500" t="s">
        <v>317</v>
      </c>
      <c r="E27" s="500" t="s">
        <v>1336</v>
      </c>
      <c r="F27" s="501" t="s">
        <v>1337</v>
      </c>
      <c r="G27" s="502" t="s">
        <v>1270</v>
      </c>
      <c r="H27" s="503">
        <v>300000</v>
      </c>
      <c r="I27" s="503">
        <v>0</v>
      </c>
      <c r="J27" s="505">
        <v>300000</v>
      </c>
      <c r="K27" s="504">
        <f>(J27+I27)/H27</f>
        <v>1</v>
      </c>
      <c r="L27" s="329"/>
      <c r="M27" s="329"/>
      <c r="N27" s="329"/>
      <c r="O27" s="329"/>
      <c r="P27" s="329"/>
      <c r="Q27" s="329"/>
      <c r="R27" s="329"/>
    </row>
    <row r="28" spans="1:18" ht="46.5" hidden="1" thickTop="1" thickBot="1" x14ac:dyDescent="0.25">
      <c r="B28" s="493" t="s">
        <v>164</v>
      </c>
      <c r="C28" s="493"/>
      <c r="D28" s="493"/>
      <c r="E28" s="494" t="s">
        <v>39</v>
      </c>
      <c r="F28" s="493"/>
      <c r="G28" s="493"/>
      <c r="H28" s="497">
        <f>H29</f>
        <v>0</v>
      </c>
      <c r="I28" s="497">
        <f>I29</f>
        <v>0</v>
      </c>
      <c r="J28" s="497">
        <f>J29</f>
        <v>0</v>
      </c>
      <c r="K28" s="543"/>
      <c r="L28" s="329"/>
      <c r="M28" s="329"/>
      <c r="N28" s="329"/>
      <c r="O28" s="329"/>
      <c r="P28" s="329"/>
      <c r="Q28" s="329"/>
      <c r="R28" s="329"/>
    </row>
    <row r="29" spans="1:18" ht="58.5" hidden="1" thickTop="1" thickBot="1" x14ac:dyDescent="0.25">
      <c r="B29" s="495" t="s">
        <v>165</v>
      </c>
      <c r="C29" s="495"/>
      <c r="D29" s="495"/>
      <c r="E29" s="496" t="s">
        <v>40</v>
      </c>
      <c r="F29" s="495"/>
      <c r="G29" s="495"/>
      <c r="H29" s="498">
        <f>SUM(H30:H30)</f>
        <v>0</v>
      </c>
      <c r="I29" s="498">
        <f>SUM(I30:I30)</f>
        <v>0</v>
      </c>
      <c r="J29" s="498">
        <f>SUM(J30:J30)</f>
        <v>0</v>
      </c>
      <c r="K29" s="544"/>
      <c r="L29" s="329"/>
      <c r="M29" s="329"/>
      <c r="N29" s="329"/>
      <c r="O29" s="329"/>
      <c r="P29" s="329"/>
      <c r="Q29" s="329"/>
      <c r="R29" s="329"/>
    </row>
    <row r="30" spans="1:18" ht="46.5" hidden="1" thickTop="1" thickBot="1" x14ac:dyDescent="0.25">
      <c r="B30" s="330" t="s">
        <v>431</v>
      </c>
      <c r="C30" s="330" t="s">
        <v>248</v>
      </c>
      <c r="D30" s="330" t="s">
        <v>246</v>
      </c>
      <c r="E30" s="330" t="s">
        <v>247</v>
      </c>
      <c r="F30" s="343"/>
      <c r="G30" s="335"/>
      <c r="H30" s="336"/>
      <c r="I30" s="335"/>
      <c r="J30" s="336"/>
      <c r="K30" s="336"/>
      <c r="L30" s="329"/>
      <c r="M30" s="329"/>
      <c r="N30" s="329"/>
      <c r="O30" s="329"/>
      <c r="P30" s="329"/>
      <c r="Q30" s="329"/>
      <c r="R30" s="329"/>
    </row>
    <row r="31" spans="1:18" ht="46.5" thickTop="1" thickBot="1" x14ac:dyDescent="0.25">
      <c r="A31" s="130"/>
      <c r="B31" s="850">
        <v>1000000</v>
      </c>
      <c r="C31" s="850"/>
      <c r="D31" s="850"/>
      <c r="E31" s="851" t="s">
        <v>24</v>
      </c>
      <c r="F31" s="850"/>
      <c r="G31" s="850"/>
      <c r="H31" s="852">
        <f>H32</f>
        <v>27064985</v>
      </c>
      <c r="I31" s="852">
        <f>I32</f>
        <v>19955037.289999999</v>
      </c>
      <c r="J31" s="852">
        <f>J32</f>
        <v>4652920</v>
      </c>
      <c r="K31" s="853"/>
      <c r="L31" s="329"/>
      <c r="M31" s="329"/>
      <c r="N31" s="329"/>
      <c r="O31" s="329"/>
      <c r="P31" s="329"/>
      <c r="Q31" s="329"/>
      <c r="R31" s="329"/>
    </row>
    <row r="32" spans="1:18" ht="44.25" thickTop="1" thickBot="1" x14ac:dyDescent="0.25">
      <c r="A32" s="130"/>
      <c r="B32" s="843">
        <v>1010000</v>
      </c>
      <c r="C32" s="843"/>
      <c r="D32" s="843"/>
      <c r="E32" s="844" t="s">
        <v>41</v>
      </c>
      <c r="F32" s="843"/>
      <c r="G32" s="843"/>
      <c r="H32" s="846">
        <f>SUM(H33:H34)</f>
        <v>27064985</v>
      </c>
      <c r="I32" s="846">
        <f>SUM(I33:I34)</f>
        <v>19955037.289999999</v>
      </c>
      <c r="J32" s="846">
        <f>SUM(J33:J34)</f>
        <v>4652920</v>
      </c>
      <c r="K32" s="854"/>
      <c r="L32" s="329"/>
      <c r="M32" s="329"/>
      <c r="N32" s="329"/>
      <c r="O32" s="329"/>
      <c r="P32" s="329"/>
      <c r="Q32" s="329"/>
      <c r="R32" s="329"/>
    </row>
    <row r="33" spans="1:18" ht="61.5" thickTop="1" thickBot="1" x14ac:dyDescent="0.25">
      <c r="A33" s="427"/>
      <c r="B33" s="500" t="s">
        <v>188</v>
      </c>
      <c r="C33" s="500" t="s">
        <v>189</v>
      </c>
      <c r="D33" s="500" t="s">
        <v>186</v>
      </c>
      <c r="E33" s="500" t="s">
        <v>481</v>
      </c>
      <c r="F33" s="538" t="s">
        <v>1001</v>
      </c>
      <c r="G33" s="542" t="s">
        <v>539</v>
      </c>
      <c r="H33" s="542">
        <v>27064985</v>
      </c>
      <c r="I33" s="542">
        <f>1430336+2994769.5+4929931.79+5600000+(3000000)+2000000</f>
        <v>19955037.289999999</v>
      </c>
      <c r="J33" s="542">
        <v>4652920</v>
      </c>
      <c r="K33" s="555">
        <f>(J33+I33)/H33</f>
        <v>0.90921747379501594</v>
      </c>
      <c r="L33" s="329"/>
      <c r="M33" s="329"/>
      <c r="N33" s="329"/>
      <c r="O33" s="329"/>
      <c r="P33" s="329"/>
      <c r="Q33" s="329"/>
      <c r="R33" s="329"/>
    </row>
    <row r="34" spans="1:18" ht="121.5" hidden="1" thickTop="1" thickBot="1" x14ac:dyDescent="0.25">
      <c r="A34" s="130"/>
      <c r="B34" s="330" t="s">
        <v>975</v>
      </c>
      <c r="C34" s="330" t="s">
        <v>209</v>
      </c>
      <c r="D34" s="330" t="s">
        <v>178</v>
      </c>
      <c r="E34" s="330" t="s">
        <v>36</v>
      </c>
      <c r="F34" s="343" t="s">
        <v>1009</v>
      </c>
      <c r="G34" s="335" t="s">
        <v>584</v>
      </c>
      <c r="H34" s="336"/>
      <c r="I34" s="337"/>
      <c r="J34" s="336"/>
      <c r="K34" s="337"/>
      <c r="L34" s="329"/>
      <c r="M34" s="329"/>
      <c r="N34" s="329"/>
      <c r="O34" s="329"/>
      <c r="P34" s="329"/>
      <c r="Q34" s="329"/>
      <c r="R34" s="329"/>
    </row>
    <row r="35" spans="1:18" ht="46.5" thickTop="1" thickBot="1" x14ac:dyDescent="0.25">
      <c r="B35" s="850" t="s">
        <v>22</v>
      </c>
      <c r="C35" s="850"/>
      <c r="D35" s="850"/>
      <c r="E35" s="851" t="s">
        <v>23</v>
      </c>
      <c r="F35" s="850"/>
      <c r="G35" s="850"/>
      <c r="H35" s="852">
        <f>H36</f>
        <v>22187664</v>
      </c>
      <c r="I35" s="852">
        <f>I36</f>
        <v>6649999</v>
      </c>
      <c r="J35" s="852">
        <f>J36</f>
        <v>5000000</v>
      </c>
      <c r="K35" s="853"/>
      <c r="L35" s="329"/>
      <c r="M35" s="329"/>
      <c r="N35" s="329"/>
      <c r="O35" s="329"/>
      <c r="P35" s="329"/>
      <c r="Q35" s="329"/>
      <c r="R35" s="329"/>
    </row>
    <row r="36" spans="1:18" ht="44.25" thickTop="1" thickBot="1" x14ac:dyDescent="0.25">
      <c r="B36" s="843" t="s">
        <v>21</v>
      </c>
      <c r="C36" s="843"/>
      <c r="D36" s="843"/>
      <c r="E36" s="844" t="s">
        <v>37</v>
      </c>
      <c r="F36" s="843"/>
      <c r="G36" s="843"/>
      <c r="H36" s="846">
        <f>SUM(H37:H37)</f>
        <v>22187664</v>
      </c>
      <c r="I36" s="846">
        <f>SUM(I37:I37)</f>
        <v>6649999</v>
      </c>
      <c r="J36" s="846">
        <f>SUM(J37:J37)</f>
        <v>5000000</v>
      </c>
      <c r="K36" s="854"/>
      <c r="L36" s="329"/>
      <c r="M36" s="329"/>
      <c r="N36" s="329"/>
      <c r="O36" s="329"/>
      <c r="P36" s="329"/>
      <c r="Q36" s="329"/>
      <c r="R36" s="329"/>
    </row>
    <row r="37" spans="1:18" s="32" customFormat="1" ht="76.5" thickTop="1" thickBot="1" x14ac:dyDescent="0.25">
      <c r="B37" s="500" t="s">
        <v>28</v>
      </c>
      <c r="C37" s="500" t="s">
        <v>204</v>
      </c>
      <c r="D37" s="500" t="s">
        <v>207</v>
      </c>
      <c r="E37" s="500" t="s">
        <v>50</v>
      </c>
      <c r="F37" s="574" t="s">
        <v>1298</v>
      </c>
      <c r="G37" s="539" t="s">
        <v>1070</v>
      </c>
      <c r="H37" s="542">
        <v>22187664</v>
      </c>
      <c r="I37" s="540">
        <f>3000000+(((405800-255801)+500000)+3000000)</f>
        <v>6649999</v>
      </c>
      <c r="J37" s="540">
        <v>5000000</v>
      </c>
      <c r="K37" s="541">
        <f>(J37+I37)/H37</f>
        <v>0.525066496409897</v>
      </c>
      <c r="L37" s="345"/>
      <c r="M37" s="345"/>
      <c r="N37" s="345"/>
      <c r="O37" s="345"/>
      <c r="P37" s="345"/>
      <c r="Q37" s="345"/>
      <c r="R37" s="345"/>
    </row>
    <row r="38" spans="1:18" s="32" customFormat="1" ht="46.5" thickTop="1" thickBot="1" x14ac:dyDescent="0.25">
      <c r="B38" s="850" t="s">
        <v>166</v>
      </c>
      <c r="C38" s="850"/>
      <c r="D38" s="850"/>
      <c r="E38" s="851" t="s">
        <v>587</v>
      </c>
      <c r="F38" s="850"/>
      <c r="G38" s="850"/>
      <c r="H38" s="852">
        <f t="shared" ref="H38:J39" si="0">H39</f>
        <v>4177606</v>
      </c>
      <c r="I38" s="852">
        <f t="shared" si="0"/>
        <v>0</v>
      </c>
      <c r="J38" s="852">
        <f t="shared" si="0"/>
        <v>1968726</v>
      </c>
      <c r="K38" s="853"/>
      <c r="L38" s="346"/>
      <c r="M38" s="345"/>
      <c r="N38" s="345"/>
      <c r="O38" s="345"/>
      <c r="P38" s="345"/>
      <c r="Q38" s="345"/>
      <c r="R38" s="345"/>
    </row>
    <row r="39" spans="1:18" s="32" customFormat="1" ht="44.25" thickTop="1" thickBot="1" x14ac:dyDescent="0.25">
      <c r="B39" s="843" t="s">
        <v>167</v>
      </c>
      <c r="C39" s="843"/>
      <c r="D39" s="843"/>
      <c r="E39" s="844" t="s">
        <v>588</v>
      </c>
      <c r="F39" s="843"/>
      <c r="G39" s="843"/>
      <c r="H39" s="846">
        <f>H40</f>
        <v>4177606</v>
      </c>
      <c r="I39" s="846">
        <f t="shared" si="0"/>
        <v>0</v>
      </c>
      <c r="J39" s="846">
        <f t="shared" si="0"/>
        <v>1968726</v>
      </c>
      <c r="K39" s="854"/>
      <c r="L39" s="346"/>
      <c r="M39" s="345"/>
      <c r="N39" s="345"/>
      <c r="O39" s="345"/>
      <c r="P39" s="345"/>
      <c r="Q39" s="345"/>
      <c r="R39" s="345"/>
    </row>
    <row r="40" spans="1:18" s="32" customFormat="1" ht="46.5" thickTop="1" thickBot="1" x14ac:dyDescent="0.25">
      <c r="B40" s="500" t="s">
        <v>1287</v>
      </c>
      <c r="C40" s="500" t="s">
        <v>318</v>
      </c>
      <c r="D40" s="500" t="s">
        <v>317</v>
      </c>
      <c r="E40" s="500" t="s">
        <v>1295</v>
      </c>
      <c r="F40" s="574" t="s">
        <v>1296</v>
      </c>
      <c r="G40" s="542" t="s">
        <v>1270</v>
      </c>
      <c r="H40" s="542">
        <v>4177606</v>
      </c>
      <c r="I40" s="542">
        <v>0</v>
      </c>
      <c r="J40" s="540">
        <v>1968726</v>
      </c>
      <c r="K40" s="510">
        <f>(I40+J40)/H40</f>
        <v>0.4712569830663782</v>
      </c>
      <c r="L40" s="346"/>
      <c r="M40" s="345"/>
      <c r="N40" s="345"/>
      <c r="O40" s="345"/>
      <c r="P40" s="345"/>
      <c r="Q40" s="345"/>
      <c r="R40" s="345"/>
    </row>
    <row r="41" spans="1:18" s="32" customFormat="1" ht="46.5" thickTop="1" thickBot="1" x14ac:dyDescent="0.25">
      <c r="B41" s="850" t="s">
        <v>566</v>
      </c>
      <c r="C41" s="850"/>
      <c r="D41" s="850"/>
      <c r="E41" s="851" t="s">
        <v>585</v>
      </c>
      <c r="F41" s="850"/>
      <c r="G41" s="850"/>
      <c r="H41" s="852">
        <f>H42</f>
        <v>192913179</v>
      </c>
      <c r="I41" s="852">
        <f>I42</f>
        <v>94089161.769999996</v>
      </c>
      <c r="J41" s="852">
        <f>J42</f>
        <v>23096993.59</v>
      </c>
      <c r="K41" s="853"/>
      <c r="L41" s="346"/>
      <c r="M41" s="345"/>
      <c r="N41" s="345"/>
      <c r="O41" s="345"/>
      <c r="P41" s="345"/>
      <c r="Q41" s="345"/>
      <c r="R41" s="345"/>
    </row>
    <row r="42" spans="1:18" s="32" customFormat="1" ht="44.25" thickTop="1" thickBot="1" x14ac:dyDescent="0.25">
      <c r="B42" s="843" t="s">
        <v>567</v>
      </c>
      <c r="C42" s="843"/>
      <c r="D42" s="843"/>
      <c r="E42" s="844" t="s">
        <v>586</v>
      </c>
      <c r="F42" s="843"/>
      <c r="G42" s="843"/>
      <c r="H42" s="846">
        <f>SUM(H43:H57)</f>
        <v>192913179</v>
      </c>
      <c r="I42" s="846">
        <f>SUM(I43:I57)</f>
        <v>94089161.769999996</v>
      </c>
      <c r="J42" s="846">
        <f>SUM(J43:J57)</f>
        <v>23096993.59</v>
      </c>
      <c r="K42" s="854"/>
      <c r="L42" s="346"/>
      <c r="M42" s="345"/>
      <c r="N42" s="345"/>
      <c r="O42" s="345"/>
      <c r="P42" s="345"/>
      <c r="Q42" s="345"/>
      <c r="R42" s="345"/>
    </row>
    <row r="43" spans="1:18" s="32" customFormat="1" ht="61.5" thickTop="1" thickBot="1" x14ac:dyDescent="0.25">
      <c r="A43" s="125"/>
      <c r="B43" s="556" t="s">
        <v>574</v>
      </c>
      <c r="C43" s="556" t="s">
        <v>318</v>
      </c>
      <c r="D43" s="556" t="s">
        <v>317</v>
      </c>
      <c r="E43" s="556" t="s">
        <v>487</v>
      </c>
      <c r="F43" s="558" t="s">
        <v>1268</v>
      </c>
      <c r="G43" s="503" t="s">
        <v>1070</v>
      </c>
      <c r="H43" s="503">
        <v>10423167</v>
      </c>
      <c r="I43" s="503">
        <v>2000000</v>
      </c>
      <c r="J43" s="503">
        <v>2000000</v>
      </c>
      <c r="K43" s="510">
        <f t="shared" ref="K43:K57" si="1">(I43+J43)/H43</f>
        <v>0.38376052115446296</v>
      </c>
      <c r="L43" s="346"/>
      <c r="M43" s="345"/>
      <c r="N43" s="345"/>
      <c r="O43" s="345"/>
      <c r="P43" s="345"/>
      <c r="Q43" s="345"/>
      <c r="R43" s="345"/>
    </row>
    <row r="44" spans="1:18" s="32" customFormat="1" ht="46.5" thickTop="1" thickBot="1" x14ac:dyDescent="0.25">
      <c r="A44" s="125"/>
      <c r="B44" s="556" t="s">
        <v>574</v>
      </c>
      <c r="C44" s="556" t="s">
        <v>318</v>
      </c>
      <c r="D44" s="556" t="s">
        <v>317</v>
      </c>
      <c r="E44" s="556" t="s">
        <v>487</v>
      </c>
      <c r="F44" s="558" t="s">
        <v>1269</v>
      </c>
      <c r="G44" s="503" t="s">
        <v>540</v>
      </c>
      <c r="H44" s="503">
        <v>19973126</v>
      </c>
      <c r="I44" s="503">
        <v>3000000</v>
      </c>
      <c r="J44" s="503">
        <f>2000000</f>
        <v>2000000</v>
      </c>
      <c r="K44" s="510">
        <f t="shared" si="1"/>
        <v>0.25033637698976113</v>
      </c>
      <c r="L44" s="346"/>
      <c r="M44" s="345"/>
      <c r="N44" s="345"/>
      <c r="O44" s="345"/>
      <c r="P44" s="345"/>
      <c r="Q44" s="345"/>
      <c r="R44" s="345"/>
    </row>
    <row r="45" spans="1:18" s="32" customFormat="1" ht="61.5" thickTop="1" thickBot="1" x14ac:dyDescent="0.25">
      <c r="A45" s="125"/>
      <c r="B45" s="556" t="s">
        <v>574</v>
      </c>
      <c r="C45" s="556" t="s">
        <v>318</v>
      </c>
      <c r="D45" s="556" t="s">
        <v>317</v>
      </c>
      <c r="E45" s="556" t="s">
        <v>487</v>
      </c>
      <c r="F45" s="558" t="s">
        <v>1324</v>
      </c>
      <c r="G45" s="503" t="s">
        <v>1270</v>
      </c>
      <c r="H45" s="503">
        <v>7326277</v>
      </c>
      <c r="I45" s="503">
        <v>0</v>
      </c>
      <c r="J45" s="503">
        <v>500000</v>
      </c>
      <c r="K45" s="510">
        <f t="shared" si="1"/>
        <v>6.8247487775851226E-2</v>
      </c>
      <c r="L45" s="346"/>
      <c r="M45" s="345"/>
      <c r="N45" s="345"/>
      <c r="O45" s="345"/>
      <c r="P45" s="345"/>
      <c r="Q45" s="345"/>
      <c r="R45" s="345"/>
    </row>
    <row r="46" spans="1:18" s="32" customFormat="1" ht="46.5" thickTop="1" thickBot="1" x14ac:dyDescent="0.25">
      <c r="A46" s="125"/>
      <c r="B46" s="556" t="s">
        <v>574</v>
      </c>
      <c r="C46" s="556" t="s">
        <v>318</v>
      </c>
      <c r="D46" s="556" t="s">
        <v>317</v>
      </c>
      <c r="E46" s="556" t="s">
        <v>487</v>
      </c>
      <c r="F46" s="558" t="s">
        <v>1278</v>
      </c>
      <c r="G46" s="503" t="s">
        <v>1270</v>
      </c>
      <c r="H46" s="503">
        <v>8650378</v>
      </c>
      <c r="I46" s="503">
        <v>0</v>
      </c>
      <c r="J46" s="503">
        <v>100000</v>
      </c>
      <c r="K46" s="510">
        <f t="shared" si="1"/>
        <v>1.1560188468064633E-2</v>
      </c>
      <c r="L46" s="346"/>
      <c r="M46" s="345"/>
      <c r="N46" s="345"/>
      <c r="O46" s="345"/>
      <c r="P46" s="345"/>
      <c r="Q46" s="345"/>
      <c r="R46" s="345"/>
    </row>
    <row r="47" spans="1:18" s="32" customFormat="1" ht="46.5" thickTop="1" thickBot="1" x14ac:dyDescent="0.25">
      <c r="A47" s="125"/>
      <c r="B47" s="556" t="s">
        <v>574</v>
      </c>
      <c r="C47" s="556" t="s">
        <v>318</v>
      </c>
      <c r="D47" s="556" t="s">
        <v>317</v>
      </c>
      <c r="E47" s="556" t="s">
        <v>487</v>
      </c>
      <c r="F47" s="558" t="s">
        <v>1279</v>
      </c>
      <c r="G47" s="503" t="s">
        <v>539</v>
      </c>
      <c r="H47" s="503">
        <v>68621716</v>
      </c>
      <c r="I47" s="503">
        <v>65923472</v>
      </c>
      <c r="J47" s="503">
        <v>100000</v>
      </c>
      <c r="K47" s="510">
        <f t="shared" si="1"/>
        <v>0.9621367090266294</v>
      </c>
      <c r="L47" s="346"/>
      <c r="M47" s="345"/>
      <c r="N47" s="345"/>
      <c r="O47" s="345"/>
      <c r="P47" s="345"/>
      <c r="Q47" s="345"/>
      <c r="R47" s="345"/>
    </row>
    <row r="48" spans="1:18" s="32" customFormat="1" ht="46.5" thickTop="1" thickBot="1" x14ac:dyDescent="0.25">
      <c r="A48" s="125"/>
      <c r="B48" s="556" t="s">
        <v>574</v>
      </c>
      <c r="C48" s="556" t="s">
        <v>318</v>
      </c>
      <c r="D48" s="556" t="s">
        <v>317</v>
      </c>
      <c r="E48" s="556" t="s">
        <v>487</v>
      </c>
      <c r="F48" s="558" t="s">
        <v>1308</v>
      </c>
      <c r="G48" s="503" t="s">
        <v>539</v>
      </c>
      <c r="H48" s="503">
        <v>18370999</v>
      </c>
      <c r="I48" s="503">
        <f>(300000+171778.77+2000000+2000000)</f>
        <v>4471778.7699999996</v>
      </c>
      <c r="J48" s="503">
        <v>1000000</v>
      </c>
      <c r="K48" s="510">
        <f>(I48+J48)/H48</f>
        <v>0.29784873266826695</v>
      </c>
      <c r="L48" s="346"/>
      <c r="M48" s="345"/>
      <c r="N48" s="345"/>
      <c r="O48" s="345"/>
      <c r="P48" s="345"/>
      <c r="Q48" s="345"/>
      <c r="R48" s="345"/>
    </row>
    <row r="49" spans="1:18" s="32" customFormat="1" ht="76.5" thickTop="1" thickBot="1" x14ac:dyDescent="0.25">
      <c r="A49" s="125"/>
      <c r="B49" s="556" t="s">
        <v>576</v>
      </c>
      <c r="C49" s="556" t="s">
        <v>224</v>
      </c>
      <c r="D49" s="556" t="s">
        <v>225</v>
      </c>
      <c r="E49" s="556" t="s">
        <v>43</v>
      </c>
      <c r="F49" s="559" t="s">
        <v>1271</v>
      </c>
      <c r="G49" s="502" t="s">
        <v>1277</v>
      </c>
      <c r="H49" s="557">
        <v>30859243</v>
      </c>
      <c r="I49" s="503">
        <v>16538911</v>
      </c>
      <c r="J49" s="503">
        <f>(12560000)+736993.59</f>
        <v>13296993.59</v>
      </c>
      <c r="K49" s="510">
        <f t="shared" si="1"/>
        <v>0.9668385122084816</v>
      </c>
      <c r="L49" s="346"/>
      <c r="M49" s="345"/>
      <c r="N49" s="345"/>
      <c r="O49" s="345"/>
      <c r="P49" s="345"/>
      <c r="Q49" s="345"/>
      <c r="R49" s="345"/>
    </row>
    <row r="50" spans="1:18" s="32" customFormat="1" ht="91.5" thickTop="1" thickBot="1" x14ac:dyDescent="0.25">
      <c r="A50" s="125"/>
      <c r="B50" s="556" t="s">
        <v>577</v>
      </c>
      <c r="C50" s="556" t="s">
        <v>209</v>
      </c>
      <c r="D50" s="556" t="s">
        <v>178</v>
      </c>
      <c r="E50" s="556" t="s">
        <v>36</v>
      </c>
      <c r="F50" s="559" t="s">
        <v>1272</v>
      </c>
      <c r="G50" s="502" t="s">
        <v>1266</v>
      </c>
      <c r="H50" s="503">
        <v>4730960</v>
      </c>
      <c r="I50" s="503">
        <f>5000</f>
        <v>5000</v>
      </c>
      <c r="J50" s="503">
        <v>100000</v>
      </c>
      <c r="K50" s="510">
        <f t="shared" si="1"/>
        <v>2.2194226964506146E-2</v>
      </c>
      <c r="L50" s="346"/>
      <c r="M50" s="345"/>
      <c r="N50" s="345"/>
      <c r="O50" s="345"/>
      <c r="P50" s="345"/>
      <c r="Q50" s="345"/>
      <c r="R50" s="345"/>
    </row>
    <row r="51" spans="1:18" s="32" customFormat="1" ht="61.5" hidden="1" thickTop="1" thickBot="1" x14ac:dyDescent="0.25">
      <c r="A51" s="125"/>
      <c r="B51" s="556" t="s">
        <v>577</v>
      </c>
      <c r="C51" s="556" t="s">
        <v>209</v>
      </c>
      <c r="D51" s="556" t="s">
        <v>178</v>
      </c>
      <c r="E51" s="556" t="s">
        <v>36</v>
      </c>
      <c r="F51" s="501" t="s">
        <v>1280</v>
      </c>
      <c r="G51" s="502" t="s">
        <v>1070</v>
      </c>
      <c r="H51" s="503">
        <v>3936902</v>
      </c>
      <c r="I51" s="503">
        <v>2000000</v>
      </c>
      <c r="J51" s="503">
        <f>(1600000)-1600000</f>
        <v>0</v>
      </c>
      <c r="K51" s="510">
        <f t="shared" si="1"/>
        <v>0.50801366150338512</v>
      </c>
      <c r="L51" s="346"/>
      <c r="M51" s="345"/>
      <c r="N51" s="345"/>
      <c r="O51" s="345"/>
      <c r="P51" s="345"/>
      <c r="Q51" s="345"/>
      <c r="R51" s="345"/>
    </row>
    <row r="52" spans="1:18" s="32" customFormat="1" ht="61.5" thickTop="1" thickBot="1" x14ac:dyDescent="0.25">
      <c r="A52" s="125"/>
      <c r="B52" s="556" t="s">
        <v>577</v>
      </c>
      <c r="C52" s="556" t="s">
        <v>209</v>
      </c>
      <c r="D52" s="556" t="s">
        <v>178</v>
      </c>
      <c r="E52" s="556" t="s">
        <v>36</v>
      </c>
      <c r="F52" s="559" t="s">
        <v>1273</v>
      </c>
      <c r="G52" s="502" t="s">
        <v>1270</v>
      </c>
      <c r="H52" s="503">
        <v>4607893</v>
      </c>
      <c r="I52" s="503">
        <v>0</v>
      </c>
      <c r="J52" s="503">
        <v>500000</v>
      </c>
      <c r="K52" s="510">
        <f t="shared" si="1"/>
        <v>0.1085094640869482</v>
      </c>
      <c r="L52" s="346"/>
      <c r="M52" s="345"/>
      <c r="N52" s="345"/>
      <c r="O52" s="345"/>
      <c r="P52" s="345"/>
      <c r="Q52" s="345"/>
      <c r="R52" s="345"/>
    </row>
    <row r="53" spans="1:18" s="32" customFormat="1" ht="76.5" thickTop="1" thickBot="1" x14ac:dyDescent="0.25">
      <c r="A53" s="125"/>
      <c r="B53" s="556" t="s">
        <v>577</v>
      </c>
      <c r="C53" s="556" t="s">
        <v>209</v>
      </c>
      <c r="D53" s="556" t="s">
        <v>178</v>
      </c>
      <c r="E53" s="556" t="s">
        <v>36</v>
      </c>
      <c r="F53" s="501" t="s">
        <v>1274</v>
      </c>
      <c r="G53" s="503" t="s">
        <v>1070</v>
      </c>
      <c r="H53" s="503">
        <v>2163176</v>
      </c>
      <c r="I53" s="503">
        <v>50000</v>
      </c>
      <c r="J53" s="503">
        <v>1000000</v>
      </c>
      <c r="K53" s="510">
        <f t="shared" si="1"/>
        <v>0.48539739716047148</v>
      </c>
      <c r="L53" s="346"/>
      <c r="M53" s="345"/>
      <c r="N53" s="345"/>
      <c r="O53" s="345"/>
      <c r="P53" s="345"/>
      <c r="Q53" s="345"/>
      <c r="R53" s="345"/>
    </row>
    <row r="54" spans="1:18" s="32" customFormat="1" ht="91.5" thickTop="1" thickBot="1" x14ac:dyDescent="0.25">
      <c r="A54" s="125"/>
      <c r="B54" s="556" t="s">
        <v>577</v>
      </c>
      <c r="C54" s="556" t="s">
        <v>209</v>
      </c>
      <c r="D54" s="556" t="s">
        <v>178</v>
      </c>
      <c r="E54" s="556" t="s">
        <v>36</v>
      </c>
      <c r="F54" s="501" t="s">
        <v>1281</v>
      </c>
      <c r="G54" s="503" t="s">
        <v>1270</v>
      </c>
      <c r="H54" s="503">
        <v>3387286</v>
      </c>
      <c r="I54" s="503">
        <v>0</v>
      </c>
      <c r="J54" s="503">
        <v>500000</v>
      </c>
      <c r="K54" s="510">
        <f t="shared" si="1"/>
        <v>0.14761080109562641</v>
      </c>
      <c r="L54" s="346"/>
      <c r="M54" s="345"/>
      <c r="N54" s="345"/>
      <c r="O54" s="345"/>
      <c r="P54" s="345"/>
      <c r="Q54" s="345"/>
      <c r="R54" s="345"/>
    </row>
    <row r="55" spans="1:18" s="32" customFormat="1" ht="91.5" thickTop="1" thickBot="1" x14ac:dyDescent="0.25">
      <c r="A55" s="125"/>
      <c r="B55" s="556" t="s">
        <v>577</v>
      </c>
      <c r="C55" s="556" t="s">
        <v>209</v>
      </c>
      <c r="D55" s="556" t="s">
        <v>178</v>
      </c>
      <c r="E55" s="556" t="s">
        <v>36</v>
      </c>
      <c r="F55" s="501" t="s">
        <v>1275</v>
      </c>
      <c r="G55" s="503" t="s">
        <v>1270</v>
      </c>
      <c r="H55" s="503">
        <v>5891152</v>
      </c>
      <c r="I55" s="503">
        <v>0</v>
      </c>
      <c r="J55" s="503">
        <v>1000000</v>
      </c>
      <c r="K55" s="510">
        <f t="shared" si="1"/>
        <v>0.16974608701320218</v>
      </c>
      <c r="L55" s="346"/>
      <c r="M55" s="345"/>
      <c r="N55" s="345"/>
      <c r="O55" s="345"/>
      <c r="P55" s="345"/>
      <c r="Q55" s="345"/>
      <c r="R55" s="345"/>
    </row>
    <row r="56" spans="1:18" s="32" customFormat="1" ht="74.25" customHeight="1" thickTop="1" thickBot="1" x14ac:dyDescent="0.25">
      <c r="A56" s="125"/>
      <c r="B56" s="556" t="s">
        <v>577</v>
      </c>
      <c r="C56" s="556" t="s">
        <v>209</v>
      </c>
      <c r="D56" s="556" t="s">
        <v>178</v>
      </c>
      <c r="E56" s="556" t="s">
        <v>36</v>
      </c>
      <c r="F56" s="501" t="s">
        <v>1276</v>
      </c>
      <c r="G56" s="503" t="s">
        <v>1270</v>
      </c>
      <c r="H56" s="503">
        <v>1046827</v>
      </c>
      <c r="I56" s="503">
        <v>0</v>
      </c>
      <c r="J56" s="503">
        <v>500000</v>
      </c>
      <c r="K56" s="510">
        <f t="shared" si="1"/>
        <v>0.47763384016652227</v>
      </c>
      <c r="L56" s="346"/>
      <c r="M56" s="345"/>
      <c r="N56" s="345"/>
      <c r="O56" s="345"/>
      <c r="P56" s="345"/>
      <c r="Q56" s="345"/>
      <c r="R56" s="345"/>
    </row>
    <row r="57" spans="1:18" s="32" customFormat="1" ht="76.5" thickTop="1" thickBot="1" x14ac:dyDescent="0.25">
      <c r="A57" s="125"/>
      <c r="B57" s="556" t="s">
        <v>577</v>
      </c>
      <c r="C57" s="556" t="s">
        <v>209</v>
      </c>
      <c r="D57" s="556" t="s">
        <v>178</v>
      </c>
      <c r="E57" s="556" t="s">
        <v>36</v>
      </c>
      <c r="F57" s="501" t="s">
        <v>960</v>
      </c>
      <c r="G57" s="502" t="s">
        <v>1070</v>
      </c>
      <c r="H57" s="503">
        <v>2924077</v>
      </c>
      <c r="I57" s="503">
        <v>100000</v>
      </c>
      <c r="J57" s="503">
        <v>500000</v>
      </c>
      <c r="K57" s="510">
        <f t="shared" si="1"/>
        <v>0.20519295490508629</v>
      </c>
      <c r="L57" s="346"/>
      <c r="M57" s="345"/>
      <c r="N57" s="345"/>
      <c r="O57" s="345"/>
      <c r="P57" s="345"/>
      <c r="Q57" s="345"/>
      <c r="R57" s="345"/>
    </row>
    <row r="58" spans="1:18" ht="63" customHeight="1" thickTop="1" thickBot="1" x14ac:dyDescent="0.25">
      <c r="B58" s="850" t="s">
        <v>25</v>
      </c>
      <c r="C58" s="850"/>
      <c r="D58" s="850"/>
      <c r="E58" s="851" t="s">
        <v>944</v>
      </c>
      <c r="F58" s="850"/>
      <c r="G58" s="850"/>
      <c r="H58" s="852">
        <f>H59</f>
        <v>1246806307</v>
      </c>
      <c r="I58" s="852">
        <f>I59</f>
        <v>407127048</v>
      </c>
      <c r="J58" s="852">
        <f>J59</f>
        <v>30166464</v>
      </c>
      <c r="K58" s="853"/>
      <c r="L58" s="347"/>
      <c r="M58" s="329"/>
      <c r="N58" s="329"/>
      <c r="O58" s="329"/>
      <c r="P58" s="329"/>
      <c r="Q58" s="329"/>
      <c r="R58" s="329"/>
    </row>
    <row r="59" spans="1:18" ht="63" customHeight="1" thickTop="1" thickBot="1" x14ac:dyDescent="0.25">
      <c r="B59" s="843" t="s">
        <v>26</v>
      </c>
      <c r="C59" s="843"/>
      <c r="D59" s="843"/>
      <c r="E59" s="844" t="s">
        <v>945</v>
      </c>
      <c r="F59" s="843"/>
      <c r="G59" s="843"/>
      <c r="H59" s="846">
        <f>SUM(H60:H75)</f>
        <v>1246806307</v>
      </c>
      <c r="I59" s="846">
        <f>SUM(I60:I75)</f>
        <v>407127048</v>
      </c>
      <c r="J59" s="846">
        <f>SUM(J60:J75)</f>
        <v>30166464</v>
      </c>
      <c r="K59" s="854"/>
      <c r="L59" s="347"/>
      <c r="M59" s="329"/>
      <c r="N59" s="329"/>
      <c r="O59" s="329"/>
      <c r="P59" s="329"/>
      <c r="Q59" s="329"/>
      <c r="R59" s="329"/>
    </row>
    <row r="60" spans="1:18" ht="91.5" thickTop="1" thickBot="1" x14ac:dyDescent="0.25">
      <c r="B60" s="508" t="s">
        <v>449</v>
      </c>
      <c r="C60" s="508" t="s">
        <v>450</v>
      </c>
      <c r="D60" s="508" t="s">
        <v>207</v>
      </c>
      <c r="E60" s="508" t="s">
        <v>1331</v>
      </c>
      <c r="F60" s="509" t="s">
        <v>1242</v>
      </c>
      <c r="G60" s="503" t="s">
        <v>453</v>
      </c>
      <c r="H60" s="503">
        <v>448128773</v>
      </c>
      <c r="I60" s="503">
        <f>122740174+164955840</f>
        <v>287696014</v>
      </c>
      <c r="J60" s="503">
        <v>20000000</v>
      </c>
      <c r="K60" s="510">
        <f>(I60+J60)/H60</f>
        <v>0.68662409677496872</v>
      </c>
      <c r="L60" s="347"/>
      <c r="M60" s="329"/>
      <c r="N60" s="329"/>
      <c r="O60" s="329"/>
      <c r="P60" s="329"/>
      <c r="Q60" s="329"/>
      <c r="R60" s="329"/>
    </row>
    <row r="61" spans="1:18" ht="61.5" thickTop="1" thickBot="1" x14ac:dyDescent="0.25">
      <c r="B61" s="508" t="s">
        <v>987</v>
      </c>
      <c r="C61" s="508" t="s">
        <v>318</v>
      </c>
      <c r="D61" s="508" t="s">
        <v>317</v>
      </c>
      <c r="E61" s="508" t="s">
        <v>487</v>
      </c>
      <c r="F61" s="511" t="s">
        <v>1243</v>
      </c>
      <c r="G61" s="503" t="s">
        <v>1110</v>
      </c>
      <c r="H61" s="503">
        <v>2388852</v>
      </c>
      <c r="I61" s="503">
        <f>1602164+80575</f>
        <v>1682739</v>
      </c>
      <c r="J61" s="503">
        <v>706113</v>
      </c>
      <c r="K61" s="510">
        <f t="shared" ref="K61:K75" si="2">(I61+J61)/H61</f>
        <v>1</v>
      </c>
      <c r="L61" s="347"/>
      <c r="M61" s="329"/>
      <c r="N61" s="329"/>
      <c r="O61" s="329"/>
      <c r="P61" s="329"/>
      <c r="Q61" s="329"/>
      <c r="R61" s="329"/>
    </row>
    <row r="62" spans="1:18" ht="55.5" customHeight="1" thickTop="1" thickBot="1" x14ac:dyDescent="0.25">
      <c r="B62" s="508" t="s">
        <v>323</v>
      </c>
      <c r="C62" s="508" t="s">
        <v>324</v>
      </c>
      <c r="D62" s="508" t="s">
        <v>317</v>
      </c>
      <c r="E62" s="508" t="s">
        <v>322</v>
      </c>
      <c r="F62" s="511" t="s">
        <v>1032</v>
      </c>
      <c r="G62" s="503" t="s">
        <v>981</v>
      </c>
      <c r="H62" s="503">
        <v>56437448</v>
      </c>
      <c r="I62" s="503">
        <f>28071676+15122869+2857360+1500000+1458181</f>
        <v>49010086</v>
      </c>
      <c r="J62" s="503">
        <v>341819</v>
      </c>
      <c r="K62" s="510">
        <f t="shared" si="2"/>
        <v>0.87445316450169752</v>
      </c>
      <c r="L62" s="347"/>
      <c r="M62" s="329"/>
      <c r="N62" s="329"/>
      <c r="O62" s="329"/>
      <c r="P62" s="329"/>
      <c r="Q62" s="329"/>
      <c r="R62" s="329"/>
    </row>
    <row r="63" spans="1:18" ht="76.5" thickTop="1" thickBot="1" x14ac:dyDescent="0.25">
      <c r="B63" s="508" t="s">
        <v>323</v>
      </c>
      <c r="C63" s="508" t="s">
        <v>324</v>
      </c>
      <c r="D63" s="508" t="s">
        <v>317</v>
      </c>
      <c r="E63" s="508" t="s">
        <v>322</v>
      </c>
      <c r="F63" s="511" t="s">
        <v>1002</v>
      </c>
      <c r="G63" s="503" t="s">
        <v>565</v>
      </c>
      <c r="H63" s="503">
        <f>9300000+10829899</f>
        <v>20129899</v>
      </c>
      <c r="I63" s="503">
        <f>6879598+693307</f>
        <v>7572905</v>
      </c>
      <c r="J63" s="503">
        <v>300000</v>
      </c>
      <c r="K63" s="510">
        <f t="shared" si="2"/>
        <v>0.39110504230547805</v>
      </c>
      <c r="L63" s="347"/>
      <c r="M63" s="329"/>
      <c r="N63" s="329"/>
      <c r="O63" s="329"/>
      <c r="P63" s="329"/>
      <c r="Q63" s="329"/>
      <c r="R63" s="329"/>
    </row>
    <row r="64" spans="1:18" ht="82.5" customHeight="1" thickTop="1" thickBot="1" x14ac:dyDescent="0.25">
      <c r="B64" s="508" t="s">
        <v>323</v>
      </c>
      <c r="C64" s="508" t="s">
        <v>324</v>
      </c>
      <c r="D64" s="508" t="s">
        <v>317</v>
      </c>
      <c r="E64" s="508" t="s">
        <v>322</v>
      </c>
      <c r="F64" s="511" t="s">
        <v>1244</v>
      </c>
      <c r="G64" s="503" t="s">
        <v>453</v>
      </c>
      <c r="H64" s="503">
        <v>34056704</v>
      </c>
      <c r="I64" s="503">
        <f>13051785+7748088+1427600+2095030-176100</f>
        <v>24146403</v>
      </c>
      <c r="J64" s="503">
        <v>575500</v>
      </c>
      <c r="K64" s="510">
        <f t="shared" si="2"/>
        <v>0.72590415678510756</v>
      </c>
      <c r="L64" s="347"/>
      <c r="M64" s="329"/>
      <c r="N64" s="329"/>
      <c r="O64" s="329"/>
      <c r="P64" s="329"/>
      <c r="Q64" s="329"/>
      <c r="R64" s="329"/>
    </row>
    <row r="65" spans="2:18" ht="61.5" thickTop="1" thickBot="1" x14ac:dyDescent="0.25">
      <c r="B65" s="508" t="s">
        <v>323</v>
      </c>
      <c r="C65" s="508" t="s">
        <v>324</v>
      </c>
      <c r="D65" s="508" t="s">
        <v>317</v>
      </c>
      <c r="E65" s="508" t="s">
        <v>322</v>
      </c>
      <c r="F65" s="511" t="s">
        <v>1245</v>
      </c>
      <c r="G65" s="542" t="s">
        <v>1004</v>
      </c>
      <c r="H65" s="503">
        <v>10648092</v>
      </c>
      <c r="I65" s="503">
        <f>438941+50000</f>
        <v>488941</v>
      </c>
      <c r="J65" s="503">
        <v>200000</v>
      </c>
      <c r="K65" s="510">
        <f t="shared" si="2"/>
        <v>6.4700887257548106E-2</v>
      </c>
      <c r="L65" s="347"/>
      <c r="M65" s="329"/>
      <c r="N65" s="329"/>
      <c r="O65" s="329"/>
      <c r="P65" s="329"/>
      <c r="Q65" s="329"/>
      <c r="R65" s="329"/>
    </row>
    <row r="66" spans="2:18" ht="61.5" thickTop="1" thickBot="1" x14ac:dyDescent="0.25">
      <c r="B66" s="508" t="s">
        <v>534</v>
      </c>
      <c r="C66" s="508" t="s">
        <v>535</v>
      </c>
      <c r="D66" s="508" t="s">
        <v>317</v>
      </c>
      <c r="E66" s="508" t="s">
        <v>770</v>
      </c>
      <c r="F66" s="511" t="s">
        <v>541</v>
      </c>
      <c r="G66" s="503" t="s">
        <v>1004</v>
      </c>
      <c r="H66" s="503">
        <v>21098584</v>
      </c>
      <c r="I66" s="503">
        <f>529041+200000</f>
        <v>729041</v>
      </c>
      <c r="J66" s="503">
        <v>1248491</v>
      </c>
      <c r="K66" s="510">
        <f t="shared" si="2"/>
        <v>9.372818573985818E-2</v>
      </c>
      <c r="L66" s="347"/>
      <c r="M66" s="329"/>
      <c r="N66" s="329"/>
      <c r="O66" s="329"/>
      <c r="P66" s="329"/>
      <c r="Q66" s="329"/>
      <c r="R66" s="329"/>
    </row>
    <row r="67" spans="2:18" ht="76.5" thickTop="1" thickBot="1" x14ac:dyDescent="0.25">
      <c r="B67" s="508" t="s">
        <v>325</v>
      </c>
      <c r="C67" s="508" t="s">
        <v>326</v>
      </c>
      <c r="D67" s="508" t="s">
        <v>317</v>
      </c>
      <c r="E67" s="508" t="s">
        <v>1246</v>
      </c>
      <c r="F67" s="511" t="s">
        <v>1247</v>
      </c>
      <c r="G67" s="503" t="s">
        <v>1248</v>
      </c>
      <c r="H67" s="503">
        <v>114917587</v>
      </c>
      <c r="I67" s="503">
        <f>778735</f>
        <v>778735</v>
      </c>
      <c r="J67" s="503">
        <v>1000000</v>
      </c>
      <c r="K67" s="510">
        <f t="shared" si="2"/>
        <v>1.5478353195842861E-2</v>
      </c>
      <c r="L67" s="347"/>
      <c r="M67" s="329"/>
      <c r="N67" s="329"/>
      <c r="O67" s="329"/>
      <c r="P67" s="329"/>
      <c r="Q67" s="329"/>
      <c r="R67" s="329"/>
    </row>
    <row r="68" spans="2:18" ht="46.5" thickTop="1" thickBot="1" x14ac:dyDescent="0.25">
      <c r="B68" s="508" t="s">
        <v>325</v>
      </c>
      <c r="C68" s="508" t="s">
        <v>326</v>
      </c>
      <c r="D68" s="508" t="s">
        <v>317</v>
      </c>
      <c r="E68" s="508" t="s">
        <v>1246</v>
      </c>
      <c r="F68" s="511" t="s">
        <v>1249</v>
      </c>
      <c r="G68" s="503" t="s">
        <v>1250</v>
      </c>
      <c r="H68" s="503">
        <v>291782434</v>
      </c>
      <c r="I68" s="503">
        <f>921939</f>
        <v>921939</v>
      </c>
      <c r="J68" s="503">
        <v>300000</v>
      </c>
      <c r="K68" s="510">
        <f t="shared" si="2"/>
        <v>4.187842918604209E-3</v>
      </c>
      <c r="L68" s="347"/>
      <c r="M68" s="329"/>
      <c r="N68" s="329"/>
      <c r="O68" s="329"/>
      <c r="P68" s="329"/>
      <c r="Q68" s="329"/>
      <c r="R68" s="329"/>
    </row>
    <row r="69" spans="2:18" ht="61.5" thickTop="1" thickBot="1" x14ac:dyDescent="0.25">
      <c r="B69" s="508" t="s">
        <v>327</v>
      </c>
      <c r="C69" s="508" t="s">
        <v>328</v>
      </c>
      <c r="D69" s="508" t="s">
        <v>317</v>
      </c>
      <c r="E69" s="508" t="s">
        <v>480</v>
      </c>
      <c r="F69" s="512" t="s">
        <v>1251</v>
      </c>
      <c r="G69" s="503" t="s">
        <v>1005</v>
      </c>
      <c r="H69" s="503">
        <v>15423995</v>
      </c>
      <c r="I69" s="503">
        <f>111262+100000</f>
        <v>211262</v>
      </c>
      <c r="J69" s="503">
        <v>450782</v>
      </c>
      <c r="K69" s="510">
        <f t="shared" si="2"/>
        <v>4.2922991092774601E-2</v>
      </c>
      <c r="L69" s="347"/>
      <c r="M69" s="329"/>
      <c r="N69" s="329"/>
      <c r="O69" s="329"/>
      <c r="P69" s="329"/>
      <c r="Q69" s="329"/>
      <c r="R69" s="329"/>
    </row>
    <row r="70" spans="2:18" ht="104.25" customHeight="1" thickTop="1" thickBot="1" x14ac:dyDescent="0.25">
      <c r="B70" s="508" t="s">
        <v>327</v>
      </c>
      <c r="C70" s="508" t="s">
        <v>328</v>
      </c>
      <c r="D70" s="508" t="s">
        <v>317</v>
      </c>
      <c r="E70" s="508" t="s">
        <v>480</v>
      </c>
      <c r="F70" s="512" t="s">
        <v>1252</v>
      </c>
      <c r="G70" s="503" t="s">
        <v>453</v>
      </c>
      <c r="H70" s="503">
        <v>10111121</v>
      </c>
      <c r="I70" s="503">
        <f>7825155+425816</f>
        <v>8250971</v>
      </c>
      <c r="J70" s="503">
        <v>1724087</v>
      </c>
      <c r="K70" s="510">
        <f t="shared" si="2"/>
        <v>0.98654323294123369</v>
      </c>
      <c r="L70" s="347"/>
      <c r="M70" s="329"/>
      <c r="N70" s="329"/>
      <c r="O70" s="329"/>
      <c r="P70" s="329"/>
      <c r="Q70" s="329"/>
      <c r="R70" s="329"/>
    </row>
    <row r="71" spans="2:18" ht="46.5" thickTop="1" thickBot="1" x14ac:dyDescent="0.25">
      <c r="B71" s="508" t="s">
        <v>327</v>
      </c>
      <c r="C71" s="508" t="s">
        <v>328</v>
      </c>
      <c r="D71" s="508" t="s">
        <v>317</v>
      </c>
      <c r="E71" s="508" t="s">
        <v>480</v>
      </c>
      <c r="F71" s="512" t="s">
        <v>1253</v>
      </c>
      <c r="G71" s="503" t="s">
        <v>1003</v>
      </c>
      <c r="H71" s="503">
        <v>53314687</v>
      </c>
      <c r="I71" s="503">
        <f>1368674+50000+200000</f>
        <v>1618674</v>
      </c>
      <c r="J71" s="503">
        <v>319672</v>
      </c>
      <c r="K71" s="510">
        <f t="shared" si="2"/>
        <v>3.6356698483477917E-2</v>
      </c>
      <c r="L71" s="347"/>
      <c r="M71" s="329"/>
      <c r="N71" s="329"/>
      <c r="O71" s="329"/>
      <c r="P71" s="329"/>
      <c r="Q71" s="329"/>
      <c r="R71" s="329"/>
    </row>
    <row r="72" spans="2:18" ht="46.5" thickTop="1" thickBot="1" x14ac:dyDescent="0.25">
      <c r="B72" s="508" t="s">
        <v>327</v>
      </c>
      <c r="C72" s="508" t="s">
        <v>328</v>
      </c>
      <c r="D72" s="508" t="s">
        <v>317</v>
      </c>
      <c r="E72" s="508" t="s">
        <v>480</v>
      </c>
      <c r="F72" s="513" t="s">
        <v>1254</v>
      </c>
      <c r="G72" s="503" t="s">
        <v>542</v>
      </c>
      <c r="H72" s="503">
        <v>65017720</v>
      </c>
      <c r="I72" s="503">
        <f>4855726+17628058</f>
        <v>22483784</v>
      </c>
      <c r="J72" s="503">
        <v>1000000</v>
      </c>
      <c r="K72" s="510">
        <f t="shared" si="2"/>
        <v>0.36119051852325795</v>
      </c>
      <c r="L72" s="347"/>
      <c r="M72" s="329"/>
      <c r="N72" s="329"/>
      <c r="O72" s="329"/>
      <c r="P72" s="329"/>
      <c r="Q72" s="329"/>
      <c r="R72" s="329"/>
    </row>
    <row r="73" spans="2:18" ht="61.5" thickTop="1" thickBot="1" x14ac:dyDescent="0.25">
      <c r="B73" s="508" t="s">
        <v>327</v>
      </c>
      <c r="C73" s="508" t="s">
        <v>328</v>
      </c>
      <c r="D73" s="508" t="s">
        <v>317</v>
      </c>
      <c r="E73" s="508" t="s">
        <v>480</v>
      </c>
      <c r="F73" s="513" t="s">
        <v>1255</v>
      </c>
      <c r="G73" s="503" t="s">
        <v>1069</v>
      </c>
      <c r="H73" s="503">
        <v>25748963</v>
      </c>
      <c r="I73" s="503">
        <f>551682+120000</f>
        <v>671682</v>
      </c>
      <c r="J73" s="503">
        <v>100000</v>
      </c>
      <c r="K73" s="510">
        <f t="shared" si="2"/>
        <v>2.9969439934338326E-2</v>
      </c>
      <c r="L73" s="347"/>
      <c r="M73" s="329"/>
      <c r="N73" s="329"/>
      <c r="O73" s="329"/>
      <c r="P73" s="329"/>
      <c r="Q73" s="329"/>
      <c r="R73" s="329"/>
    </row>
    <row r="74" spans="2:18" ht="102" customHeight="1" thickTop="1" thickBot="1" x14ac:dyDescent="0.25">
      <c r="B74" s="508" t="s">
        <v>327</v>
      </c>
      <c r="C74" s="508" t="s">
        <v>328</v>
      </c>
      <c r="D74" s="508" t="s">
        <v>317</v>
      </c>
      <c r="E74" s="508" t="s">
        <v>480</v>
      </c>
      <c r="F74" s="513" t="s">
        <v>1256</v>
      </c>
      <c r="G74" s="542" t="s">
        <v>1294</v>
      </c>
      <c r="H74" s="503">
        <v>1739798</v>
      </c>
      <c r="I74" s="503">
        <f>89803+12991</f>
        <v>102794</v>
      </c>
      <c r="J74" s="503">
        <f>1000000-100000</f>
        <v>900000</v>
      </c>
      <c r="K74" s="510">
        <f t="shared" si="2"/>
        <v>0.57638530450086733</v>
      </c>
      <c r="L74" s="347"/>
      <c r="M74" s="329"/>
      <c r="N74" s="329"/>
      <c r="O74" s="329"/>
      <c r="P74" s="329"/>
      <c r="Q74" s="329"/>
      <c r="R74" s="329"/>
    </row>
    <row r="75" spans="2:18" ht="76.5" thickTop="1" thickBot="1" x14ac:dyDescent="0.25">
      <c r="B75" s="508" t="s">
        <v>327</v>
      </c>
      <c r="C75" s="508" t="s">
        <v>328</v>
      </c>
      <c r="D75" s="508" t="s">
        <v>317</v>
      </c>
      <c r="E75" s="508" t="s">
        <v>480</v>
      </c>
      <c r="F75" s="513" t="s">
        <v>1257</v>
      </c>
      <c r="G75" s="542" t="s">
        <v>1004</v>
      </c>
      <c r="H75" s="503">
        <v>75861650</v>
      </c>
      <c r="I75" s="503">
        <f>4088+756990</f>
        <v>761078</v>
      </c>
      <c r="J75" s="503">
        <v>1000000</v>
      </c>
      <c r="K75" s="510">
        <f t="shared" si="2"/>
        <v>2.321433820645873E-2</v>
      </c>
      <c r="L75" s="347"/>
      <c r="M75" s="329"/>
      <c r="N75" s="329"/>
      <c r="O75" s="329"/>
      <c r="P75" s="329"/>
      <c r="Q75" s="329"/>
      <c r="R75" s="329"/>
    </row>
    <row r="76" spans="2:18" ht="46.5" hidden="1" thickTop="1" thickBot="1" x14ac:dyDescent="0.25">
      <c r="B76" s="493" t="s">
        <v>168</v>
      </c>
      <c r="C76" s="493"/>
      <c r="D76" s="493"/>
      <c r="E76" s="494" t="s">
        <v>946</v>
      </c>
      <c r="F76" s="493"/>
      <c r="G76" s="493"/>
      <c r="H76" s="493"/>
      <c r="I76" s="494"/>
      <c r="J76" s="497">
        <f>J77</f>
        <v>0</v>
      </c>
      <c r="K76" s="493"/>
      <c r="L76" s="338"/>
      <c r="M76" s="329"/>
      <c r="N76" s="329"/>
      <c r="O76" s="329"/>
      <c r="P76" s="329"/>
      <c r="Q76" s="329"/>
      <c r="R76" s="329"/>
    </row>
    <row r="77" spans="2:18" ht="58.5" hidden="1" thickTop="1" thickBot="1" x14ac:dyDescent="0.25">
      <c r="B77" s="495" t="s">
        <v>169</v>
      </c>
      <c r="C77" s="495"/>
      <c r="D77" s="495"/>
      <c r="E77" s="496" t="s">
        <v>952</v>
      </c>
      <c r="F77" s="495"/>
      <c r="G77" s="495"/>
      <c r="H77" s="495"/>
      <c r="I77" s="496"/>
      <c r="J77" s="498">
        <f>SUM(J78:J81)</f>
        <v>0</v>
      </c>
      <c r="K77" s="495"/>
      <c r="L77" s="338"/>
      <c r="M77" s="329"/>
      <c r="N77" s="329"/>
      <c r="O77" s="329"/>
      <c r="P77" s="329"/>
      <c r="Q77" s="329"/>
      <c r="R77" s="329"/>
    </row>
    <row r="78" spans="2:18" ht="61.5" hidden="1" thickTop="1" thickBot="1" x14ac:dyDescent="0.25">
      <c r="B78" s="330" t="s">
        <v>435</v>
      </c>
      <c r="C78" s="330" t="s">
        <v>248</v>
      </c>
      <c r="D78" s="330" t="s">
        <v>246</v>
      </c>
      <c r="E78" s="330" t="s">
        <v>247</v>
      </c>
      <c r="F78" s="331" t="s">
        <v>538</v>
      </c>
      <c r="G78" s="336"/>
      <c r="H78" s="336"/>
      <c r="I78" s="344"/>
      <c r="J78" s="336"/>
      <c r="K78" s="344"/>
      <c r="L78" s="338"/>
      <c r="M78" s="329"/>
      <c r="N78" s="329"/>
      <c r="O78" s="329"/>
      <c r="P78" s="329"/>
      <c r="Q78" s="329"/>
      <c r="R78" s="329"/>
    </row>
    <row r="79" spans="2:18" ht="91.5" hidden="1" thickTop="1" thickBot="1" x14ac:dyDescent="0.25">
      <c r="B79" s="330" t="s">
        <v>967</v>
      </c>
      <c r="C79" s="330" t="s">
        <v>968</v>
      </c>
      <c r="D79" s="330" t="s">
        <v>317</v>
      </c>
      <c r="E79" s="330" t="s">
        <v>969</v>
      </c>
      <c r="F79" s="331" t="s">
        <v>970</v>
      </c>
      <c r="G79" s="336" t="s">
        <v>584</v>
      </c>
      <c r="H79" s="336"/>
      <c r="I79" s="344"/>
      <c r="J79" s="336"/>
      <c r="K79" s="344">
        <v>1</v>
      </c>
      <c r="L79" s="338"/>
      <c r="M79" s="329"/>
      <c r="N79" s="329"/>
      <c r="O79" s="329"/>
      <c r="P79" s="329"/>
      <c r="Q79" s="329"/>
      <c r="R79" s="329"/>
    </row>
    <row r="80" spans="2:18" ht="61.5" hidden="1" thickTop="1" thickBot="1" x14ac:dyDescent="0.25">
      <c r="B80" s="330" t="s">
        <v>967</v>
      </c>
      <c r="C80" s="330" t="s">
        <v>968</v>
      </c>
      <c r="D80" s="330" t="s">
        <v>317</v>
      </c>
      <c r="E80" s="330" t="s">
        <v>969</v>
      </c>
      <c r="F80" s="349" t="s">
        <v>971</v>
      </c>
      <c r="G80" s="336" t="s">
        <v>584</v>
      </c>
      <c r="H80" s="336"/>
      <c r="I80" s="344"/>
      <c r="J80" s="350"/>
      <c r="K80" s="344">
        <v>1</v>
      </c>
      <c r="L80" s="338"/>
      <c r="M80" s="329"/>
      <c r="N80" s="329"/>
      <c r="O80" s="329"/>
      <c r="P80" s="329"/>
      <c r="Q80" s="329"/>
      <c r="R80" s="329"/>
    </row>
    <row r="81" spans="1:18" ht="61.5" hidden="1" thickTop="1" thickBot="1" x14ac:dyDescent="0.25">
      <c r="B81" s="330" t="s">
        <v>967</v>
      </c>
      <c r="C81" s="330" t="s">
        <v>968</v>
      </c>
      <c r="D81" s="330" t="s">
        <v>317</v>
      </c>
      <c r="E81" s="330" t="s">
        <v>969</v>
      </c>
      <c r="F81" s="351" t="s">
        <v>1051</v>
      </c>
      <c r="G81" s="336" t="s">
        <v>584</v>
      </c>
      <c r="H81" s="336"/>
      <c r="I81" s="344"/>
      <c r="J81" s="342"/>
      <c r="K81" s="344">
        <v>1</v>
      </c>
      <c r="L81" s="338"/>
      <c r="M81" s="329"/>
      <c r="N81" s="329"/>
      <c r="O81" s="329"/>
      <c r="P81" s="329"/>
      <c r="Q81" s="329"/>
      <c r="R81" s="329"/>
    </row>
    <row r="82" spans="1:18" ht="46.5" hidden="1" thickTop="1" thickBot="1" x14ac:dyDescent="0.25">
      <c r="B82" s="493" t="s">
        <v>461</v>
      </c>
      <c r="C82" s="493"/>
      <c r="D82" s="493"/>
      <c r="E82" s="494" t="s">
        <v>463</v>
      </c>
      <c r="F82" s="493"/>
      <c r="G82" s="493"/>
      <c r="H82" s="493"/>
      <c r="I82" s="494"/>
      <c r="J82" s="497">
        <f>J83</f>
        <v>0</v>
      </c>
      <c r="K82" s="493"/>
      <c r="L82" s="329"/>
      <c r="M82" s="329"/>
      <c r="N82" s="329"/>
      <c r="O82" s="329"/>
      <c r="P82" s="329"/>
      <c r="Q82" s="329"/>
      <c r="R82" s="329"/>
    </row>
    <row r="83" spans="1:18" ht="44.25" hidden="1" thickTop="1" thickBot="1" x14ac:dyDescent="0.25">
      <c r="B83" s="495" t="s">
        <v>462</v>
      </c>
      <c r="C83" s="495"/>
      <c r="D83" s="495"/>
      <c r="E83" s="496" t="s">
        <v>464</v>
      </c>
      <c r="F83" s="495"/>
      <c r="G83" s="495"/>
      <c r="H83" s="495"/>
      <c r="I83" s="496"/>
      <c r="J83" s="498">
        <f>J84</f>
        <v>0</v>
      </c>
      <c r="K83" s="495"/>
      <c r="L83" s="329"/>
      <c r="M83" s="329"/>
      <c r="N83" s="329"/>
      <c r="O83" s="329"/>
      <c r="P83" s="329"/>
      <c r="Q83" s="329"/>
      <c r="R83" s="329"/>
    </row>
    <row r="84" spans="1:18" ht="61.5" hidden="1" thickTop="1" thickBot="1" x14ac:dyDescent="0.25">
      <c r="B84" s="330" t="s">
        <v>465</v>
      </c>
      <c r="C84" s="330" t="s">
        <v>248</v>
      </c>
      <c r="D84" s="330" t="s">
        <v>246</v>
      </c>
      <c r="E84" s="330" t="s">
        <v>247</v>
      </c>
      <c r="F84" s="331" t="s">
        <v>538</v>
      </c>
      <c r="G84" s="332"/>
      <c r="H84" s="333"/>
      <c r="I84" s="332"/>
      <c r="J84" s="334"/>
      <c r="K84" s="334"/>
      <c r="L84" s="329"/>
      <c r="M84" s="329"/>
      <c r="N84" s="329"/>
      <c r="O84" s="329"/>
      <c r="P84" s="329"/>
      <c r="Q84" s="329"/>
      <c r="R84" s="329"/>
    </row>
    <row r="85" spans="1:18" ht="31.5" hidden="1" thickTop="1" thickBot="1" x14ac:dyDescent="0.25">
      <c r="A85" s="177"/>
      <c r="B85" s="493" t="s">
        <v>174</v>
      </c>
      <c r="C85" s="493"/>
      <c r="D85" s="493"/>
      <c r="E85" s="494" t="s">
        <v>368</v>
      </c>
      <c r="F85" s="493"/>
      <c r="G85" s="493"/>
      <c r="H85" s="493"/>
      <c r="I85" s="494"/>
      <c r="J85" s="497">
        <f>J86</f>
        <v>0</v>
      </c>
      <c r="K85" s="493"/>
      <c r="L85" s="329"/>
      <c r="M85" s="329"/>
      <c r="N85" s="329"/>
      <c r="O85" s="329"/>
      <c r="P85" s="329"/>
      <c r="Q85" s="329"/>
      <c r="R85" s="329"/>
    </row>
    <row r="86" spans="1:18" ht="44.25" hidden="1" thickTop="1" thickBot="1" x14ac:dyDescent="0.25">
      <c r="A86" s="177"/>
      <c r="B86" s="495" t="s">
        <v>175</v>
      </c>
      <c r="C86" s="495"/>
      <c r="D86" s="495"/>
      <c r="E86" s="496" t="s">
        <v>369</v>
      </c>
      <c r="F86" s="495"/>
      <c r="G86" s="495"/>
      <c r="H86" s="495"/>
      <c r="I86" s="496"/>
      <c r="J86" s="498">
        <f>SUM(J87:J88)</f>
        <v>0</v>
      </c>
      <c r="K86" s="495"/>
      <c r="L86" s="329"/>
      <c r="M86" s="329"/>
      <c r="N86" s="329"/>
      <c r="O86" s="329"/>
      <c r="P86" s="329"/>
      <c r="Q86" s="329"/>
      <c r="R86" s="329"/>
    </row>
    <row r="87" spans="1:18" ht="31.5" hidden="1" thickTop="1" thickBot="1" x14ac:dyDescent="0.25">
      <c r="B87" s="330" t="s">
        <v>268</v>
      </c>
      <c r="C87" s="330" t="s">
        <v>269</v>
      </c>
      <c r="D87" s="330" t="s">
        <v>178</v>
      </c>
      <c r="E87" s="330" t="s">
        <v>267</v>
      </c>
      <c r="F87" s="335" t="s">
        <v>58</v>
      </c>
      <c r="G87" s="335"/>
      <c r="H87" s="336"/>
      <c r="I87" s="335"/>
      <c r="J87" s="336"/>
      <c r="K87" s="336"/>
      <c r="L87" s="329"/>
      <c r="M87" s="329"/>
      <c r="N87" s="329"/>
      <c r="O87" s="329"/>
      <c r="P87" s="329"/>
      <c r="Q87" s="329"/>
      <c r="R87" s="329"/>
    </row>
    <row r="88" spans="1:18" ht="91.5" hidden="1" thickTop="1" thickBot="1" x14ac:dyDescent="0.25">
      <c r="B88" s="330" t="s">
        <v>963</v>
      </c>
      <c r="C88" s="330" t="s">
        <v>377</v>
      </c>
      <c r="D88" s="330" t="s">
        <v>45</v>
      </c>
      <c r="E88" s="330" t="s">
        <v>378</v>
      </c>
      <c r="F88" s="331" t="s">
        <v>964</v>
      </c>
      <c r="G88" s="335"/>
      <c r="H88" s="336"/>
      <c r="I88" s="335"/>
      <c r="J88" s="336"/>
      <c r="K88" s="336"/>
      <c r="L88" s="329"/>
      <c r="M88" s="329"/>
      <c r="N88" s="329"/>
      <c r="O88" s="329"/>
      <c r="P88" s="329"/>
      <c r="Q88" s="329"/>
      <c r="R88" s="329"/>
    </row>
    <row r="89" spans="1:18" ht="61.5" hidden="1" thickTop="1" thickBot="1" x14ac:dyDescent="0.25">
      <c r="B89" s="493" t="s">
        <v>172</v>
      </c>
      <c r="C89" s="493"/>
      <c r="D89" s="493"/>
      <c r="E89" s="494" t="s">
        <v>939</v>
      </c>
      <c r="F89" s="493"/>
      <c r="G89" s="493"/>
      <c r="H89" s="493"/>
      <c r="I89" s="494"/>
      <c r="J89" s="497">
        <f>J90</f>
        <v>0</v>
      </c>
      <c r="K89" s="493"/>
      <c r="L89" s="329"/>
      <c r="M89" s="329"/>
      <c r="N89" s="329"/>
      <c r="O89" s="329"/>
      <c r="P89" s="329"/>
      <c r="Q89" s="329"/>
      <c r="R89" s="329"/>
    </row>
    <row r="90" spans="1:18" ht="58.5" hidden="1" thickTop="1" thickBot="1" x14ac:dyDescent="0.25">
      <c r="B90" s="495" t="s">
        <v>173</v>
      </c>
      <c r="C90" s="495"/>
      <c r="D90" s="495"/>
      <c r="E90" s="496" t="s">
        <v>940</v>
      </c>
      <c r="F90" s="495"/>
      <c r="G90" s="495"/>
      <c r="H90" s="495"/>
      <c r="I90" s="496"/>
      <c r="J90" s="498">
        <f>J91</f>
        <v>0</v>
      </c>
      <c r="K90" s="495"/>
      <c r="L90" s="329"/>
      <c r="M90" s="329"/>
      <c r="N90" s="329"/>
      <c r="O90" s="329"/>
      <c r="P90" s="329"/>
      <c r="Q90" s="329"/>
      <c r="R90" s="329"/>
    </row>
    <row r="91" spans="1:18" ht="61.5" hidden="1" thickTop="1" thickBot="1" x14ac:dyDescent="0.25">
      <c r="B91" s="330" t="s">
        <v>438</v>
      </c>
      <c r="C91" s="330" t="s">
        <v>248</v>
      </c>
      <c r="D91" s="330" t="s">
        <v>246</v>
      </c>
      <c r="E91" s="330" t="s">
        <v>247</v>
      </c>
      <c r="F91" s="331" t="s">
        <v>538</v>
      </c>
      <c r="G91" s="335"/>
      <c r="H91" s="336"/>
      <c r="I91" s="335"/>
      <c r="J91" s="334"/>
      <c r="K91" s="336"/>
      <c r="L91" s="329"/>
      <c r="M91" s="329"/>
      <c r="N91" s="329"/>
      <c r="O91" s="329"/>
      <c r="P91" s="329"/>
      <c r="Q91" s="329"/>
      <c r="R91" s="329"/>
    </row>
    <row r="92" spans="1:18" ht="46.5" hidden="1" thickTop="1" thickBot="1" x14ac:dyDescent="0.25">
      <c r="B92" s="493" t="s">
        <v>170</v>
      </c>
      <c r="C92" s="493"/>
      <c r="D92" s="493"/>
      <c r="E92" s="494" t="s">
        <v>948</v>
      </c>
      <c r="F92" s="493"/>
      <c r="G92" s="493"/>
      <c r="H92" s="493"/>
      <c r="I92" s="494"/>
      <c r="J92" s="497">
        <f>J93</f>
        <v>0</v>
      </c>
      <c r="K92" s="493"/>
      <c r="L92" s="329"/>
      <c r="M92" s="329"/>
      <c r="N92" s="329"/>
      <c r="O92" s="329"/>
      <c r="P92" s="329"/>
      <c r="Q92" s="329"/>
      <c r="R92" s="329"/>
    </row>
    <row r="93" spans="1:18" ht="44.25" hidden="1" thickTop="1" thickBot="1" x14ac:dyDescent="0.25">
      <c r="B93" s="495" t="s">
        <v>171</v>
      </c>
      <c r="C93" s="495"/>
      <c r="D93" s="495"/>
      <c r="E93" s="496" t="s">
        <v>949</v>
      </c>
      <c r="F93" s="495"/>
      <c r="G93" s="495"/>
      <c r="H93" s="495"/>
      <c r="I93" s="496"/>
      <c r="J93" s="498">
        <f>SUM(J94:J97)</f>
        <v>0</v>
      </c>
      <c r="K93" s="495"/>
      <c r="L93" s="329"/>
      <c r="M93" s="329"/>
      <c r="N93" s="329"/>
      <c r="O93" s="329"/>
      <c r="P93" s="329"/>
      <c r="Q93" s="329"/>
      <c r="R93" s="329"/>
    </row>
    <row r="94" spans="1:18" ht="61.5" hidden="1" thickTop="1" thickBot="1" x14ac:dyDescent="0.25">
      <c r="B94" s="330" t="s">
        <v>434</v>
      </c>
      <c r="C94" s="330" t="s">
        <v>248</v>
      </c>
      <c r="D94" s="330" t="s">
        <v>246</v>
      </c>
      <c r="E94" s="330" t="s">
        <v>247</v>
      </c>
      <c r="F94" s="331" t="s">
        <v>538</v>
      </c>
      <c r="G94" s="335"/>
      <c r="H94" s="336"/>
      <c r="I94" s="335"/>
      <c r="J94" s="334"/>
      <c r="K94" s="336"/>
      <c r="L94" s="329"/>
      <c r="M94" s="329"/>
      <c r="N94" s="329"/>
      <c r="O94" s="329"/>
      <c r="P94" s="329"/>
      <c r="Q94" s="329"/>
      <c r="R94" s="329"/>
    </row>
    <row r="95" spans="1:18" ht="31.5" hidden="1" thickTop="1" thickBot="1" x14ac:dyDescent="0.25">
      <c r="B95" s="330" t="s">
        <v>319</v>
      </c>
      <c r="C95" s="330" t="s">
        <v>320</v>
      </c>
      <c r="D95" s="330" t="s">
        <v>321</v>
      </c>
      <c r="E95" s="330" t="s">
        <v>479</v>
      </c>
      <c r="F95" s="348" t="s">
        <v>34</v>
      </c>
      <c r="G95" s="335"/>
      <c r="H95" s="336"/>
      <c r="I95" s="335"/>
      <c r="J95" s="334"/>
      <c r="K95" s="336"/>
      <c r="L95" s="329"/>
      <c r="M95" s="329"/>
      <c r="N95" s="329"/>
      <c r="O95" s="329"/>
      <c r="P95" s="329"/>
      <c r="Q95" s="329"/>
      <c r="R95" s="329"/>
    </row>
    <row r="96" spans="1:18" ht="31.5" hidden="1" thickTop="1" thickBot="1" x14ac:dyDescent="0.25">
      <c r="B96" s="330" t="s">
        <v>319</v>
      </c>
      <c r="C96" s="330" t="s">
        <v>320</v>
      </c>
      <c r="D96" s="330" t="s">
        <v>321</v>
      </c>
      <c r="E96" s="330" t="s">
        <v>479</v>
      </c>
      <c r="F96" s="348" t="s">
        <v>35</v>
      </c>
      <c r="G96" s="335"/>
      <c r="H96" s="336"/>
      <c r="I96" s="335"/>
      <c r="J96" s="334"/>
      <c r="K96" s="336"/>
      <c r="L96" s="329"/>
      <c r="M96" s="329"/>
      <c r="N96" s="329"/>
      <c r="O96" s="329"/>
      <c r="P96" s="329"/>
      <c r="Q96" s="329"/>
      <c r="R96" s="329"/>
    </row>
    <row r="97" spans="1:18" ht="61.5" hidden="1" thickTop="1" thickBot="1" x14ac:dyDescent="0.25">
      <c r="B97" s="330" t="s">
        <v>382</v>
      </c>
      <c r="C97" s="330" t="s">
        <v>383</v>
      </c>
      <c r="D97" s="330" t="s">
        <v>178</v>
      </c>
      <c r="E97" s="330" t="s">
        <v>384</v>
      </c>
      <c r="F97" s="348" t="s">
        <v>332</v>
      </c>
      <c r="G97" s="335"/>
      <c r="H97" s="336"/>
      <c r="I97" s="335"/>
      <c r="J97" s="334"/>
      <c r="K97" s="336"/>
      <c r="L97" s="329"/>
      <c r="M97" s="329"/>
      <c r="N97" s="329"/>
      <c r="O97" s="329"/>
      <c r="P97" s="329"/>
      <c r="Q97" s="329"/>
      <c r="R97" s="329"/>
    </row>
    <row r="98" spans="1:18" ht="31.5" hidden="1" thickTop="1" thickBot="1" x14ac:dyDescent="0.25">
      <c r="B98" s="493" t="s">
        <v>176</v>
      </c>
      <c r="C98" s="493"/>
      <c r="D98" s="493"/>
      <c r="E98" s="494" t="s">
        <v>27</v>
      </c>
      <c r="F98" s="493"/>
      <c r="G98" s="493"/>
      <c r="H98" s="493"/>
      <c r="I98" s="494"/>
      <c r="J98" s="497">
        <f>J99</f>
        <v>0</v>
      </c>
      <c r="K98" s="493"/>
      <c r="L98" s="329"/>
      <c r="M98" s="329"/>
      <c r="N98" s="329"/>
      <c r="O98" s="329"/>
      <c r="P98" s="329"/>
      <c r="Q98" s="329"/>
      <c r="R98" s="329"/>
    </row>
    <row r="99" spans="1:18" ht="44.25" hidden="1" thickTop="1" thickBot="1" x14ac:dyDescent="0.25">
      <c r="B99" s="495" t="s">
        <v>177</v>
      </c>
      <c r="C99" s="495"/>
      <c r="D99" s="495"/>
      <c r="E99" s="496" t="s">
        <v>42</v>
      </c>
      <c r="F99" s="495"/>
      <c r="G99" s="495"/>
      <c r="H99" s="495"/>
      <c r="I99" s="496"/>
      <c r="J99" s="498">
        <f>J100</f>
        <v>0</v>
      </c>
      <c r="K99" s="495"/>
      <c r="L99" s="329"/>
      <c r="M99" s="329"/>
      <c r="N99" s="329"/>
      <c r="O99" s="329"/>
      <c r="P99" s="329"/>
      <c r="Q99" s="329"/>
      <c r="R99" s="329"/>
    </row>
    <row r="100" spans="1:18" ht="61.5" hidden="1" thickTop="1" thickBot="1" x14ac:dyDescent="0.25">
      <c r="B100" s="330" t="s">
        <v>436</v>
      </c>
      <c r="C100" s="330" t="s">
        <v>248</v>
      </c>
      <c r="D100" s="330" t="s">
        <v>246</v>
      </c>
      <c r="E100" s="330" t="s">
        <v>247</v>
      </c>
      <c r="F100" s="331" t="s">
        <v>538</v>
      </c>
      <c r="G100" s="335"/>
      <c r="H100" s="336"/>
      <c r="I100" s="335"/>
      <c r="J100" s="334"/>
      <c r="K100" s="336"/>
      <c r="L100" s="329"/>
      <c r="M100" s="329"/>
      <c r="N100" s="329"/>
      <c r="O100" s="329"/>
      <c r="P100" s="329"/>
      <c r="Q100" s="329"/>
      <c r="R100" s="329"/>
    </row>
    <row r="101" spans="1:18" ht="21.75" thickTop="1" thickBot="1" x14ac:dyDescent="0.25">
      <c r="A101" s="176"/>
      <c r="B101" s="611" t="s">
        <v>396</v>
      </c>
      <c r="C101" s="611" t="s">
        <v>396</v>
      </c>
      <c r="D101" s="611" t="s">
        <v>396</v>
      </c>
      <c r="E101" s="611" t="s">
        <v>398</v>
      </c>
      <c r="F101" s="611" t="s">
        <v>396</v>
      </c>
      <c r="G101" s="611" t="s">
        <v>396</v>
      </c>
      <c r="H101" s="611">
        <f>H58+H41+H38+H35+H31+H23+H19</f>
        <v>1525697114</v>
      </c>
      <c r="I101" s="611">
        <f>I58+I41+I38+I35+I31+I23+I19</f>
        <v>537196651.26999998</v>
      </c>
      <c r="J101" s="611">
        <f>J58+J41+J38+J35+J31+J23+J19</f>
        <v>71135264.590000004</v>
      </c>
      <c r="K101" s="611" t="s">
        <v>396</v>
      </c>
      <c r="L101" s="641" t="b">
        <f>H101=H75+H74+H73+H72+H71+H70+H69+H68+H67+H66+H65+H64+H63+H62+H61+H60+H57+H56+H55+H54+H53+H52+H51+H50+H49+H47+H46+H45+H44+H43+H40+H37+H33+H26+H22+H21+H48+H27</f>
        <v>1</v>
      </c>
      <c r="M101" s="641" t="b">
        <f>I101=I75+I74+I73+I72+I71+I70+I69+I68+I67+I66+I65+I64+I63+I62+I61+I60+I57+I56+I55+I54+I53+I52+I51+I50+I49+I47+I46+I45+I44+I43+I40+I37+I33+I26+I22+I21+I48+I27</f>
        <v>1</v>
      </c>
      <c r="N101" s="641" t="b">
        <f>J101=J75+J74+J73+J72+J71+J70+J69+J68+J67+J66+J65+J64+J63+J62+J61+J60+J57+J56+J55+J54+J53+J52+J51+J50+J49+J47+J46+J45+J44+J43+J40+J37+J33+J26+J22+J21+J48+J27</f>
        <v>1</v>
      </c>
      <c r="O101" s="329"/>
      <c r="P101" s="329"/>
      <c r="Q101" s="329"/>
      <c r="R101" s="329"/>
    </row>
    <row r="102" spans="1:18" ht="16.5" thickTop="1" x14ac:dyDescent="0.2">
      <c r="B102" s="1010" t="s">
        <v>1231</v>
      </c>
      <c r="C102" s="1011"/>
      <c r="D102" s="1011"/>
      <c r="E102" s="1011"/>
      <c r="F102" s="1011"/>
      <c r="G102" s="1011"/>
      <c r="H102" s="1011"/>
      <c r="I102" s="1011"/>
      <c r="J102" s="1011"/>
      <c r="K102" s="1011"/>
      <c r="L102" s="1012"/>
      <c r="M102" s="1012"/>
      <c r="N102" s="1012"/>
      <c r="O102" s="1012"/>
      <c r="P102" s="1012"/>
      <c r="Q102" s="1012"/>
      <c r="R102" s="1012"/>
    </row>
    <row r="103" spans="1:18" ht="12" customHeight="1" x14ac:dyDescent="0.2">
      <c r="B103" s="1013"/>
      <c r="C103" s="1013"/>
      <c r="D103" s="1013"/>
      <c r="E103" s="1013"/>
      <c r="F103" s="1013"/>
      <c r="G103" s="1013"/>
      <c r="H103" s="1013"/>
      <c r="I103" s="1013"/>
      <c r="J103" s="1013"/>
      <c r="K103" s="1013"/>
    </row>
    <row r="104" spans="1:18" ht="26.45" hidden="1" customHeight="1" x14ac:dyDescent="0.2">
      <c r="B104" s="195"/>
      <c r="C104" s="195"/>
      <c r="D104" s="195" t="s">
        <v>548</v>
      </c>
      <c r="E104" s="195"/>
      <c r="F104" s="195"/>
      <c r="G104" s="195"/>
      <c r="H104" s="195"/>
      <c r="I104" s="195"/>
      <c r="J104" s="195" t="s">
        <v>543</v>
      </c>
      <c r="K104" s="195"/>
    </row>
    <row r="105" spans="1:18" ht="15" customHeight="1" x14ac:dyDescent="0.25">
      <c r="D105" s="93" t="s">
        <v>1363</v>
      </c>
      <c r="E105" s="92"/>
      <c r="F105" s="93"/>
      <c r="G105" s="93" t="s">
        <v>1364</v>
      </c>
      <c r="H105" s="206"/>
      <c r="I105" s="94"/>
      <c r="J105" s="94"/>
      <c r="K105" s="93"/>
    </row>
    <row r="106" spans="1:18" ht="15" x14ac:dyDescent="0.25">
      <c r="D106" s="91"/>
      <c r="E106" s="206"/>
      <c r="F106" s="188"/>
      <c r="G106" s="206"/>
      <c r="H106" s="206"/>
      <c r="I106" s="206"/>
      <c r="J106" s="178"/>
      <c r="K106" s="178"/>
    </row>
    <row r="107" spans="1:18" ht="15" x14ac:dyDescent="0.25">
      <c r="D107" s="91" t="s">
        <v>544</v>
      </c>
      <c r="E107" s="206"/>
      <c r="F107" s="188"/>
      <c r="G107" s="93" t="s">
        <v>545</v>
      </c>
      <c r="H107" s="93"/>
      <c r="I107" s="94"/>
      <c r="J107" s="94"/>
      <c r="K107" s="93"/>
    </row>
    <row r="119" spans="7:11" ht="46.5" x14ac:dyDescent="0.2">
      <c r="K119" s="66"/>
    </row>
    <row r="122" spans="7:11" ht="46.5" x14ac:dyDescent="0.2">
      <c r="G122" s="66"/>
      <c r="K122" s="66"/>
    </row>
    <row r="141" spans="12:12" ht="90" x14ac:dyDescent="1.1499999999999999">
      <c r="L141" s="55"/>
    </row>
  </sheetData>
  <mergeCells count="9">
    <mergeCell ref="B102:R102"/>
    <mergeCell ref="B103:K103"/>
    <mergeCell ref="B8:C8"/>
    <mergeCell ref="B1:K1"/>
    <mergeCell ref="G2:K2"/>
    <mergeCell ref="B4:K4"/>
    <mergeCell ref="B5:K5"/>
    <mergeCell ref="B7:C7"/>
    <mergeCell ref="B6:K6"/>
  </mergeCells>
  <printOptions horizontalCentered="1"/>
  <pageMargins left="0.82677165354330717" right="0" top="0.31496062992125984" bottom="0.31496062992125984" header="0.23622047244094491" footer="0.19685039370078741"/>
  <pageSetup paperSize="9" scale="61" fitToHeight="0" orientation="landscape" r:id="rId1"/>
  <headerFooter alignWithMargins="0">
    <oddFooter>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286"/>
  <sheetViews>
    <sheetView view="pageBreakPreview" zoomScale="25" zoomScaleNormal="25" zoomScaleSheetLayoutView="25" zoomScalePageLayoutView="10" workbookViewId="0">
      <pane ySplit="14" topLeftCell="A267" activePane="bottomLeft" state="frozen"/>
      <selection activeCell="F175" sqref="F175"/>
      <selection pane="bottomLeft" activeCell="H30" sqref="H30"/>
    </sheetView>
  </sheetViews>
  <sheetFormatPr defaultColWidth="9.140625" defaultRowHeight="12.75" x14ac:dyDescent="0.2"/>
  <cols>
    <col min="1" max="1" width="48" style="1" customWidth="1"/>
    <col min="2" max="2" width="52.5703125" style="1" customWidth="1"/>
    <col min="3" max="3" width="65.7109375" style="1" customWidth="1"/>
    <col min="4" max="4" width="137.7109375" style="1" customWidth="1"/>
    <col min="5" max="5" width="136.7109375" style="5" customWidth="1"/>
    <col min="6" max="6" width="114" style="1" customWidth="1"/>
    <col min="7" max="7" width="55.42578125" style="1" customWidth="1"/>
    <col min="8" max="8" width="63.5703125" style="1" customWidth="1"/>
    <col min="9" max="9" width="62.140625" style="1" customWidth="1"/>
    <col min="10" max="10" width="70.28515625" style="5" customWidth="1"/>
    <col min="11" max="11" width="100.28515625" style="724" customWidth="1"/>
    <col min="12" max="13" width="71.5703125" style="724" bestFit="1" customWidth="1"/>
    <col min="14" max="14" width="71.5703125" style="105" bestFit="1" customWidth="1"/>
    <col min="15" max="15" width="52.140625" style="105" bestFit="1" customWidth="1"/>
    <col min="16" max="16" width="9.140625" style="105"/>
    <col min="17" max="17" width="70.28515625" style="105" customWidth="1"/>
    <col min="18" max="16384" width="9.140625" style="81"/>
  </cols>
  <sheetData>
    <row r="1" spans="1:17" ht="45.75" x14ac:dyDescent="0.2">
      <c r="D1" s="83"/>
      <c r="E1" s="84"/>
      <c r="F1" s="82"/>
      <c r="G1" s="84"/>
      <c r="H1" s="84"/>
      <c r="I1" s="1029" t="s">
        <v>626</v>
      </c>
      <c r="J1" s="1029"/>
    </row>
    <row r="2" spans="1:17" ht="45.75" x14ac:dyDescent="0.2">
      <c r="A2" s="83"/>
      <c r="B2" s="83"/>
      <c r="C2" s="83"/>
      <c r="D2" s="83"/>
      <c r="E2" s="84"/>
      <c r="F2" s="82"/>
      <c r="G2" s="84"/>
      <c r="H2" s="84"/>
      <c r="I2" s="1029" t="s">
        <v>1354</v>
      </c>
      <c r="J2" s="1030"/>
    </row>
    <row r="3" spans="1:17" ht="40.700000000000003" customHeight="1" x14ac:dyDescent="0.2">
      <c r="A3" s="83"/>
      <c r="B3" s="83"/>
      <c r="C3" s="83"/>
      <c r="D3" s="83"/>
      <c r="E3" s="84"/>
      <c r="F3" s="82"/>
      <c r="G3" s="84"/>
      <c r="H3" s="84"/>
      <c r="I3" s="1029"/>
      <c r="J3" s="1030"/>
    </row>
    <row r="4" spans="1:17" ht="45.75" hidden="1" x14ac:dyDescent="0.2">
      <c r="A4" s="83"/>
      <c r="B4" s="83"/>
      <c r="C4" s="83"/>
      <c r="D4" s="83"/>
      <c r="E4" s="84"/>
      <c r="F4" s="82"/>
      <c r="G4" s="84"/>
      <c r="H4" s="84"/>
      <c r="I4" s="83"/>
      <c r="J4" s="82"/>
    </row>
    <row r="5" spans="1:17" ht="45" x14ac:dyDescent="0.2">
      <c r="A5" s="942" t="s">
        <v>592</v>
      </c>
      <c r="B5" s="942"/>
      <c r="C5" s="942"/>
      <c r="D5" s="942"/>
      <c r="E5" s="942"/>
      <c r="F5" s="942"/>
      <c r="G5" s="942"/>
      <c r="H5" s="942"/>
      <c r="I5" s="942"/>
      <c r="J5" s="942"/>
    </row>
    <row r="6" spans="1:17" s="98" customFormat="1" ht="45" x14ac:dyDescent="0.2">
      <c r="A6" s="942" t="s">
        <v>1237</v>
      </c>
      <c r="B6" s="942"/>
      <c r="C6" s="942"/>
      <c r="D6" s="942"/>
      <c r="E6" s="942"/>
      <c r="F6" s="942"/>
      <c r="G6" s="942"/>
      <c r="H6" s="942"/>
      <c r="I6" s="942"/>
      <c r="J6" s="942"/>
      <c r="K6" s="724"/>
      <c r="L6" s="724"/>
      <c r="M6" s="724"/>
      <c r="N6" s="105"/>
      <c r="O6" s="105"/>
      <c r="P6" s="105"/>
      <c r="Q6" s="105"/>
    </row>
    <row r="7" spans="1:17" ht="45" x14ac:dyDescent="0.2">
      <c r="A7" s="942" t="s">
        <v>1238</v>
      </c>
      <c r="B7" s="942"/>
      <c r="C7" s="942"/>
      <c r="D7" s="942"/>
      <c r="E7" s="942"/>
      <c r="F7" s="942"/>
      <c r="G7" s="942"/>
      <c r="H7" s="942"/>
      <c r="I7" s="942"/>
      <c r="J7" s="942"/>
    </row>
    <row r="8" spans="1:17" ht="45" x14ac:dyDescent="0.2">
      <c r="A8" s="942"/>
      <c r="B8" s="942"/>
      <c r="C8" s="942"/>
      <c r="D8" s="942"/>
      <c r="E8" s="942"/>
      <c r="F8" s="942"/>
      <c r="G8" s="942"/>
      <c r="H8" s="942"/>
      <c r="I8" s="942"/>
      <c r="J8" s="942"/>
    </row>
    <row r="9" spans="1:17" ht="45.75" x14ac:dyDescent="0.65">
      <c r="A9" s="943">
        <v>22564000000</v>
      </c>
      <c r="B9" s="944"/>
      <c r="C9" s="880"/>
      <c r="D9" s="880"/>
      <c r="E9" s="880"/>
      <c r="F9" s="880"/>
      <c r="G9" s="880"/>
      <c r="H9" s="880"/>
      <c r="I9" s="880"/>
      <c r="J9" s="880"/>
      <c r="K9" s="622"/>
      <c r="L9" s="622"/>
      <c r="M9" s="622"/>
    </row>
    <row r="10" spans="1:17" ht="45.75" x14ac:dyDescent="0.2">
      <c r="A10" s="948" t="s">
        <v>508</v>
      </c>
      <c r="B10" s="949"/>
      <c r="C10" s="880"/>
      <c r="D10" s="880"/>
      <c r="E10" s="880"/>
      <c r="F10" s="880"/>
      <c r="G10" s="880"/>
      <c r="H10" s="880"/>
      <c r="I10" s="880"/>
      <c r="J10" s="880"/>
      <c r="K10" s="622"/>
      <c r="L10" s="622"/>
      <c r="M10" s="622"/>
    </row>
    <row r="11" spans="1:17" ht="53.45" customHeight="1" thickBot="1" x14ac:dyDescent="0.25">
      <c r="A11" s="388"/>
      <c r="B11" s="388"/>
      <c r="C11" s="388"/>
      <c r="D11" s="388"/>
      <c r="E11" s="388"/>
      <c r="F11" s="389"/>
      <c r="G11" s="388"/>
      <c r="H11" s="388"/>
      <c r="I11" s="388"/>
      <c r="J11" s="390" t="s">
        <v>419</v>
      </c>
      <c r="K11" s="622"/>
      <c r="L11" s="622"/>
      <c r="M11" s="622"/>
    </row>
    <row r="12" spans="1:17" ht="104.25" customHeight="1" thickTop="1" thickBot="1" x14ac:dyDescent="0.25">
      <c r="A12" s="1027" t="s">
        <v>509</v>
      </c>
      <c r="B12" s="1027" t="s">
        <v>510</v>
      </c>
      <c r="C12" s="1027" t="s">
        <v>405</v>
      </c>
      <c r="D12" s="1027" t="s">
        <v>593</v>
      </c>
      <c r="E12" s="1027" t="s">
        <v>513</v>
      </c>
      <c r="F12" s="1027" t="s">
        <v>514</v>
      </c>
      <c r="G12" s="1027" t="s">
        <v>398</v>
      </c>
      <c r="H12" s="1027" t="s">
        <v>12</v>
      </c>
      <c r="I12" s="1028" t="s">
        <v>54</v>
      </c>
      <c r="J12" s="946"/>
      <c r="K12" s="622"/>
      <c r="L12" s="622"/>
      <c r="M12" s="622"/>
    </row>
    <row r="13" spans="1:17" ht="406.5" customHeight="1" thickTop="1" thickBot="1" x14ac:dyDescent="0.25">
      <c r="A13" s="1028"/>
      <c r="B13" s="946"/>
      <c r="C13" s="946"/>
      <c r="D13" s="1028"/>
      <c r="E13" s="1028"/>
      <c r="F13" s="1028"/>
      <c r="G13" s="1028"/>
      <c r="H13" s="1028"/>
      <c r="I13" s="424" t="s">
        <v>399</v>
      </c>
      <c r="J13" s="424" t="s">
        <v>400</v>
      </c>
      <c r="K13" s="622"/>
      <c r="L13" s="622"/>
      <c r="M13" s="622"/>
    </row>
    <row r="14" spans="1:17" s="2" customFormat="1" ht="47.25" thickTop="1" thickBot="1" x14ac:dyDescent="0.25">
      <c r="A14" s="224" t="s">
        <v>2</v>
      </c>
      <c r="B14" s="224" t="s">
        <v>3</v>
      </c>
      <c r="C14" s="224" t="s">
        <v>14</v>
      </c>
      <c r="D14" s="224" t="s">
        <v>5</v>
      </c>
      <c r="E14" s="224" t="s">
        <v>407</v>
      </c>
      <c r="F14" s="224" t="s">
        <v>408</v>
      </c>
      <c r="G14" s="224" t="s">
        <v>409</v>
      </c>
      <c r="H14" s="224" t="s">
        <v>410</v>
      </c>
      <c r="I14" s="224" t="s">
        <v>411</v>
      </c>
      <c r="J14" s="224" t="s">
        <v>412</v>
      </c>
      <c r="K14" s="619"/>
      <c r="L14" s="619"/>
      <c r="M14" s="619"/>
      <c r="N14" s="106"/>
      <c r="O14" s="106"/>
      <c r="P14" s="106"/>
      <c r="Q14" s="106"/>
    </row>
    <row r="15" spans="1:17" s="2" customFormat="1" ht="148.69999999999999" customHeight="1" thickTop="1" thickBot="1" x14ac:dyDescent="0.25">
      <c r="A15" s="828" t="s">
        <v>156</v>
      </c>
      <c r="B15" s="828"/>
      <c r="C15" s="828"/>
      <c r="D15" s="829" t="s">
        <v>158</v>
      </c>
      <c r="E15" s="828"/>
      <c r="F15" s="828"/>
      <c r="G15" s="831">
        <f>G16</f>
        <v>53939333.370000005</v>
      </c>
      <c r="H15" s="831">
        <f t="shared" ref="H15:J15" si="0">H16</f>
        <v>42927680</v>
      </c>
      <c r="I15" s="831">
        <f>I16</f>
        <v>11011653.370000001</v>
      </c>
      <c r="J15" s="831">
        <f t="shared" si="0"/>
        <v>4997311</v>
      </c>
      <c r="K15" s="711" t="b">
        <f>H16='d3'!F16-'d3'!F18-'d3'!F19+'d7'!H17+'d7'!H19</f>
        <v>1</v>
      </c>
      <c r="L15" s="711" t="b">
        <f>I16='d3'!J16-'d3'!J18-'d3'!J19+'d7'!I17+'d7'!I19+I18+I20</f>
        <v>1</v>
      </c>
      <c r="M15" s="711" t="b">
        <f>J16='d3'!K16-'d3'!K18-'d3'!K19+'d7'!J17+'d7'!J19+J18+J20</f>
        <v>1</v>
      </c>
      <c r="N15" s="106"/>
      <c r="O15" s="106"/>
      <c r="P15" s="106"/>
      <c r="Q15" s="106"/>
    </row>
    <row r="16" spans="1:17" s="2" customFormat="1" ht="157.69999999999999" customHeight="1" thickTop="1" thickBot="1" x14ac:dyDescent="0.25">
      <c r="A16" s="832" t="s">
        <v>157</v>
      </c>
      <c r="B16" s="832"/>
      <c r="C16" s="832"/>
      <c r="D16" s="833" t="s">
        <v>159</v>
      </c>
      <c r="E16" s="834"/>
      <c r="F16" s="834"/>
      <c r="G16" s="834">
        <f>SUM(G17:G42)</f>
        <v>53939333.370000005</v>
      </c>
      <c r="H16" s="834">
        <f>SUM(H17:H42)</f>
        <v>42927680</v>
      </c>
      <c r="I16" s="834">
        <f>SUM(I17:I42)</f>
        <v>11011653.370000001</v>
      </c>
      <c r="J16" s="834">
        <f>SUM(J17:J42)</f>
        <v>4997311</v>
      </c>
      <c r="K16" s="619"/>
      <c r="L16" s="619"/>
      <c r="M16" s="619"/>
      <c r="N16" s="106"/>
      <c r="O16" s="106"/>
      <c r="P16" s="106"/>
      <c r="Q16" s="106"/>
    </row>
    <row r="17" spans="1:17" ht="276" thickTop="1" thickBot="1" x14ac:dyDescent="0.25">
      <c r="A17" s="448" t="s">
        <v>244</v>
      </c>
      <c r="B17" s="448" t="s">
        <v>245</v>
      </c>
      <c r="C17" s="448" t="s">
        <v>246</v>
      </c>
      <c r="D17" s="448" t="s">
        <v>243</v>
      </c>
      <c r="E17" s="451" t="s">
        <v>1123</v>
      </c>
      <c r="F17" s="452" t="s">
        <v>904</v>
      </c>
      <c r="G17" s="463">
        <f t="shared" ref="G17:G27" si="1">H17+I17</f>
        <v>373000</v>
      </c>
      <c r="H17" s="464">
        <v>173000</v>
      </c>
      <c r="I17" s="463">
        <v>200000</v>
      </c>
      <c r="J17" s="463">
        <v>200000</v>
      </c>
      <c r="K17" s="711"/>
      <c r="L17" s="711" t="b">
        <f>I17+I19+I18+I20='d3'!J18</f>
        <v>1</v>
      </c>
      <c r="M17" s="711" t="b">
        <f>J17+J19+J18+J20='d3'!K18</f>
        <v>1</v>
      </c>
    </row>
    <row r="18" spans="1:17" s="218" customFormat="1" ht="367.5" hidden="1" thickTop="1" thickBot="1" x14ac:dyDescent="0.25">
      <c r="A18" s="264" t="s">
        <v>244</v>
      </c>
      <c r="B18" s="264" t="s">
        <v>245</v>
      </c>
      <c r="C18" s="264" t="s">
        <v>246</v>
      </c>
      <c r="D18" s="264" t="s">
        <v>243</v>
      </c>
      <c r="E18" s="328" t="s">
        <v>997</v>
      </c>
      <c r="F18" s="328" t="s">
        <v>906</v>
      </c>
      <c r="G18" s="327">
        <f t="shared" si="1"/>
        <v>0</v>
      </c>
      <c r="H18" s="353"/>
      <c r="I18" s="327"/>
      <c r="J18" s="327"/>
      <c r="K18" s="712"/>
      <c r="L18" s="712"/>
      <c r="M18" s="712"/>
      <c r="N18" s="219"/>
      <c r="O18" s="219"/>
      <c r="P18" s="219"/>
      <c r="Q18" s="219"/>
    </row>
    <row r="19" spans="1:17" s="103" customFormat="1" ht="276" hidden="1" thickTop="1" thickBot="1" x14ac:dyDescent="0.25">
      <c r="A19" s="264" t="s">
        <v>244</v>
      </c>
      <c r="B19" s="264" t="s">
        <v>245</v>
      </c>
      <c r="C19" s="264" t="s">
        <v>246</v>
      </c>
      <c r="D19" s="264" t="s">
        <v>243</v>
      </c>
      <c r="E19" s="352" t="s">
        <v>922</v>
      </c>
      <c r="F19" s="328" t="s">
        <v>923</v>
      </c>
      <c r="G19" s="327">
        <f t="shared" si="1"/>
        <v>0</v>
      </c>
      <c r="H19" s="353"/>
      <c r="I19" s="327"/>
      <c r="J19" s="327"/>
      <c r="K19" s="713"/>
      <c r="L19" s="629"/>
      <c r="M19" s="622"/>
      <c r="N19" s="105"/>
      <c r="O19" s="105"/>
      <c r="P19" s="105"/>
      <c r="Q19" s="105"/>
    </row>
    <row r="20" spans="1:17" s="429" customFormat="1" ht="276" thickTop="1" thickBot="1" x14ac:dyDescent="0.25">
      <c r="A20" s="473" t="s">
        <v>244</v>
      </c>
      <c r="B20" s="473" t="s">
        <v>245</v>
      </c>
      <c r="C20" s="473" t="s">
        <v>246</v>
      </c>
      <c r="D20" s="473" t="s">
        <v>243</v>
      </c>
      <c r="E20" s="451" t="s">
        <v>1293</v>
      </c>
      <c r="F20" s="486" t="s">
        <v>1292</v>
      </c>
      <c r="G20" s="463">
        <f t="shared" si="1"/>
        <v>300000</v>
      </c>
      <c r="H20" s="464"/>
      <c r="I20" s="463">
        <v>300000</v>
      </c>
      <c r="J20" s="463">
        <v>300000</v>
      </c>
      <c r="K20" s="713"/>
      <c r="L20" s="629"/>
      <c r="M20" s="622"/>
      <c r="N20" s="436"/>
      <c r="O20" s="436"/>
      <c r="P20" s="436"/>
      <c r="Q20" s="436"/>
    </row>
    <row r="21" spans="1:17" s="137" customFormat="1" ht="367.5" thickTop="1" thickBot="1" x14ac:dyDescent="0.25">
      <c r="A21" s="448" t="s">
        <v>661</v>
      </c>
      <c r="B21" s="448" t="s">
        <v>376</v>
      </c>
      <c r="C21" s="448" t="s">
        <v>662</v>
      </c>
      <c r="D21" s="448" t="s">
        <v>663</v>
      </c>
      <c r="E21" s="451" t="s">
        <v>1328</v>
      </c>
      <c r="F21" s="751" t="s">
        <v>1329</v>
      </c>
      <c r="G21" s="463">
        <f t="shared" si="1"/>
        <v>49000</v>
      </c>
      <c r="H21" s="464">
        <f>'d3'!E20</f>
        <v>49000</v>
      </c>
      <c r="I21" s="463"/>
      <c r="J21" s="463"/>
      <c r="K21" s="713"/>
      <c r="L21" s="629"/>
      <c r="M21" s="622"/>
      <c r="N21" s="138"/>
      <c r="O21" s="138"/>
      <c r="P21" s="138"/>
      <c r="Q21" s="138"/>
    </row>
    <row r="22" spans="1:17" ht="138.75" thickTop="1" thickBot="1" x14ac:dyDescent="0.25">
      <c r="A22" s="448" t="s">
        <v>259</v>
      </c>
      <c r="B22" s="448" t="s">
        <v>45</v>
      </c>
      <c r="C22" s="448" t="s">
        <v>44</v>
      </c>
      <c r="D22" s="448" t="s">
        <v>260</v>
      </c>
      <c r="E22" s="451" t="s">
        <v>1314</v>
      </c>
      <c r="F22" s="735" t="s">
        <v>1313</v>
      </c>
      <c r="G22" s="463">
        <f t="shared" si="1"/>
        <v>1380600</v>
      </c>
      <c r="H22" s="464">
        <v>1380600</v>
      </c>
      <c r="I22" s="463"/>
      <c r="J22" s="463"/>
      <c r="K22" s="1025" t="b">
        <f>H22+H23='d3'!E21</f>
        <v>1</v>
      </c>
      <c r="L22" s="1025"/>
      <c r="M22" s="1025"/>
    </row>
    <row r="23" spans="1:17" ht="184.7" customHeight="1" thickTop="1" thickBot="1" x14ac:dyDescent="0.25">
      <c r="A23" s="448" t="s">
        <v>259</v>
      </c>
      <c r="B23" s="448" t="s">
        <v>45</v>
      </c>
      <c r="C23" s="448" t="s">
        <v>44</v>
      </c>
      <c r="D23" s="448" t="s">
        <v>260</v>
      </c>
      <c r="E23" s="451" t="s">
        <v>1309</v>
      </c>
      <c r="F23" s="735" t="s">
        <v>1310</v>
      </c>
      <c r="G23" s="463">
        <f t="shared" si="1"/>
        <v>1918680</v>
      </c>
      <c r="H23" s="464">
        <f>90000+1828680</f>
        <v>1918680</v>
      </c>
      <c r="I23" s="463"/>
      <c r="J23" s="463"/>
      <c r="K23" s="1026"/>
      <c r="L23" s="1026"/>
      <c r="M23" s="1026"/>
    </row>
    <row r="24" spans="1:17" ht="138.75" thickTop="1" thickBot="1" x14ac:dyDescent="0.25">
      <c r="A24" s="448" t="s">
        <v>250</v>
      </c>
      <c r="B24" s="448" t="s">
        <v>251</v>
      </c>
      <c r="C24" s="448" t="s">
        <v>252</v>
      </c>
      <c r="D24" s="448" t="s">
        <v>249</v>
      </c>
      <c r="E24" s="451" t="s">
        <v>1123</v>
      </c>
      <c r="F24" s="452" t="s">
        <v>904</v>
      </c>
      <c r="G24" s="463">
        <f t="shared" si="1"/>
        <v>5612300</v>
      </c>
      <c r="H24" s="463">
        <f>'d3'!E24</f>
        <v>4612300</v>
      </c>
      <c r="I24" s="463">
        <f>'d3'!J24</f>
        <v>1000000</v>
      </c>
      <c r="J24" s="463">
        <f>'d3'!K24</f>
        <v>1000000</v>
      </c>
      <c r="K24" s="711" t="b">
        <f>H24='d3'!E24</f>
        <v>1</v>
      </c>
      <c r="L24" s="714" t="b">
        <f>I24='d3'!J24</f>
        <v>1</v>
      </c>
      <c r="M24" s="725" t="b">
        <f>J24='d3'!K24</f>
        <v>1</v>
      </c>
    </row>
    <row r="25" spans="1:17" s="198" customFormat="1" ht="184.5" hidden="1" thickTop="1" thickBot="1" x14ac:dyDescent="0.25">
      <c r="A25" s="264" t="s">
        <v>1052</v>
      </c>
      <c r="B25" s="264" t="s">
        <v>1053</v>
      </c>
      <c r="C25" s="264" t="s">
        <v>252</v>
      </c>
      <c r="D25" s="264" t="s">
        <v>1054</v>
      </c>
      <c r="E25" s="352" t="s">
        <v>1123</v>
      </c>
      <c r="F25" s="328" t="s">
        <v>904</v>
      </c>
      <c r="G25" s="327">
        <f t="shared" si="1"/>
        <v>0</v>
      </c>
      <c r="H25" s="327">
        <f>'d3'!E25</f>
        <v>0</v>
      </c>
      <c r="I25" s="327">
        <f>'d3'!J25</f>
        <v>0</v>
      </c>
      <c r="J25" s="327">
        <f>'d3'!K25</f>
        <v>0</v>
      </c>
      <c r="K25" s="711" t="b">
        <f>H25='d3'!E25</f>
        <v>1</v>
      </c>
      <c r="L25" s="714" t="b">
        <f>I25='d3'!J25</f>
        <v>1</v>
      </c>
      <c r="M25" s="725" t="b">
        <f>J25='d3'!K25</f>
        <v>1</v>
      </c>
      <c r="N25" s="199"/>
      <c r="O25" s="199"/>
      <c r="P25" s="199"/>
      <c r="Q25" s="199"/>
    </row>
    <row r="26" spans="1:17" ht="138.75" thickTop="1" thickBot="1" x14ac:dyDescent="0.25">
      <c r="A26" s="448" t="s">
        <v>312</v>
      </c>
      <c r="B26" s="448" t="s">
        <v>313</v>
      </c>
      <c r="C26" s="448" t="s">
        <v>178</v>
      </c>
      <c r="D26" s="448" t="s">
        <v>459</v>
      </c>
      <c r="E26" s="451" t="s">
        <v>1309</v>
      </c>
      <c r="F26" s="735" t="s">
        <v>1310</v>
      </c>
      <c r="G26" s="463">
        <f t="shared" si="1"/>
        <v>380000</v>
      </c>
      <c r="H26" s="463">
        <f>'d3'!E27</f>
        <v>380000</v>
      </c>
      <c r="I26" s="463">
        <f>'d3'!J27</f>
        <v>0</v>
      </c>
      <c r="J26" s="463">
        <f>'d3'!K27</f>
        <v>0</v>
      </c>
      <c r="K26" s="711" t="b">
        <f>H26='d3'!E27</f>
        <v>1</v>
      </c>
      <c r="L26" s="714" t="b">
        <f>I26='d3'!J27</f>
        <v>1</v>
      </c>
      <c r="M26" s="725" t="b">
        <f>J26='d3'!K27</f>
        <v>1</v>
      </c>
    </row>
    <row r="27" spans="1:17" ht="364.7" customHeight="1" thickTop="1" thickBot="1" x14ac:dyDescent="0.7">
      <c r="A27" s="930" t="s">
        <v>353</v>
      </c>
      <c r="B27" s="930" t="s">
        <v>352</v>
      </c>
      <c r="C27" s="930" t="s">
        <v>178</v>
      </c>
      <c r="D27" s="474" t="s">
        <v>457</v>
      </c>
      <c r="E27" s="930" t="s">
        <v>1309</v>
      </c>
      <c r="F27" s="930" t="s">
        <v>1310</v>
      </c>
      <c r="G27" s="928">
        <f t="shared" si="1"/>
        <v>6014342.3700000001</v>
      </c>
      <c r="H27" s="928">
        <f>'d3'!E29</f>
        <v>0</v>
      </c>
      <c r="I27" s="928">
        <f>'d3'!J29</f>
        <v>6014342.3700000001</v>
      </c>
      <c r="J27" s="928">
        <f>'d3'!K29</f>
        <v>0</v>
      </c>
      <c r="K27" s="711" t="b">
        <f>H27='d3'!E29</f>
        <v>1</v>
      </c>
      <c r="L27" s="714" t="b">
        <f>I27='d3'!J29</f>
        <v>1</v>
      </c>
      <c r="M27" s="725" t="b">
        <f>J27='d3'!K29</f>
        <v>1</v>
      </c>
    </row>
    <row r="28" spans="1:17" ht="138.75" thickTop="1" thickBot="1" x14ac:dyDescent="0.25">
      <c r="A28" s="931"/>
      <c r="B28" s="931"/>
      <c r="C28" s="931"/>
      <c r="D28" s="476" t="s">
        <v>458</v>
      </c>
      <c r="E28" s="931"/>
      <c r="F28" s="931"/>
      <c r="G28" s="1031"/>
      <c r="H28" s="1031"/>
      <c r="I28" s="1031"/>
      <c r="J28" s="1031"/>
      <c r="K28" s="622"/>
      <c r="L28" s="622"/>
      <c r="M28" s="622"/>
    </row>
    <row r="29" spans="1:17" s="161" customFormat="1" ht="184.5" thickTop="1" thickBot="1" x14ac:dyDescent="0.25">
      <c r="A29" s="224" t="s">
        <v>972</v>
      </c>
      <c r="B29" s="224" t="s">
        <v>269</v>
      </c>
      <c r="C29" s="224" t="s">
        <v>178</v>
      </c>
      <c r="D29" s="224" t="s">
        <v>267</v>
      </c>
      <c r="E29" s="690" t="s">
        <v>1323</v>
      </c>
      <c r="F29" s="562" t="s">
        <v>1322</v>
      </c>
      <c r="G29" s="463">
        <f>H29+I29</f>
        <v>2178890</v>
      </c>
      <c r="H29" s="463">
        <f>'d3'!E31</f>
        <v>2178890</v>
      </c>
      <c r="I29" s="463">
        <f>'d3'!J31</f>
        <v>0</v>
      </c>
      <c r="J29" s="463">
        <f>'d3'!K31</f>
        <v>0</v>
      </c>
      <c r="K29" s="622"/>
      <c r="L29" s="622"/>
      <c r="M29" s="622"/>
      <c r="N29" s="162"/>
      <c r="O29" s="162"/>
      <c r="P29" s="162"/>
      <c r="Q29" s="162"/>
    </row>
    <row r="30" spans="1:17" s="857" customFormat="1" ht="367.5" thickTop="1" thickBot="1" x14ac:dyDescent="0.25">
      <c r="A30" s="862" t="s">
        <v>1386</v>
      </c>
      <c r="B30" s="862" t="s">
        <v>1387</v>
      </c>
      <c r="C30" s="862" t="s">
        <v>1343</v>
      </c>
      <c r="D30" s="862" t="s">
        <v>1388</v>
      </c>
      <c r="E30" s="861" t="s">
        <v>1384</v>
      </c>
      <c r="F30" s="861" t="s">
        <v>906</v>
      </c>
      <c r="G30" s="463">
        <f>H30+I30</f>
        <v>600000</v>
      </c>
      <c r="H30" s="463">
        <f>'d3'!E34</f>
        <v>600000</v>
      </c>
      <c r="I30" s="463">
        <f>'d3'!J34</f>
        <v>0</v>
      </c>
      <c r="J30" s="463">
        <f>'d3'!K34</f>
        <v>0</v>
      </c>
      <c r="K30" s="622"/>
      <c r="L30" s="622"/>
      <c r="M30" s="622"/>
      <c r="N30" s="878"/>
      <c r="O30" s="878"/>
      <c r="P30" s="878"/>
      <c r="Q30" s="878"/>
    </row>
    <row r="31" spans="1:17" s="754" customFormat="1" ht="184.5" thickTop="1" thickBot="1" x14ac:dyDescent="0.25">
      <c r="A31" s="759" t="s">
        <v>1344</v>
      </c>
      <c r="B31" s="759" t="s">
        <v>1345</v>
      </c>
      <c r="C31" s="759" t="s">
        <v>1343</v>
      </c>
      <c r="D31" s="759" t="s">
        <v>1342</v>
      </c>
      <c r="E31" s="759" t="s">
        <v>1360</v>
      </c>
      <c r="F31" s="562" t="s">
        <v>1357</v>
      </c>
      <c r="G31" s="463">
        <f>H31+I31</f>
        <v>11563915</v>
      </c>
      <c r="H31" s="463">
        <f>'d3'!E35</f>
        <v>10868315</v>
      </c>
      <c r="I31" s="463">
        <f>'d3'!J35</f>
        <v>695600</v>
      </c>
      <c r="J31" s="463">
        <f>'d3'!K35</f>
        <v>695600</v>
      </c>
      <c r="K31" s="622"/>
      <c r="L31" s="622"/>
      <c r="M31" s="622"/>
      <c r="N31" s="764"/>
      <c r="O31" s="764"/>
      <c r="P31" s="764"/>
      <c r="Q31" s="764"/>
    </row>
    <row r="32" spans="1:17" ht="255.75" customHeight="1" thickTop="1" thickBot="1" x14ac:dyDescent="0.25">
      <c r="A32" s="448" t="s">
        <v>253</v>
      </c>
      <c r="B32" s="448" t="s">
        <v>254</v>
      </c>
      <c r="C32" s="448" t="s">
        <v>255</v>
      </c>
      <c r="D32" s="448" t="s">
        <v>256</v>
      </c>
      <c r="E32" s="463" t="s">
        <v>941</v>
      </c>
      <c r="F32" s="452" t="s">
        <v>942</v>
      </c>
      <c r="G32" s="463">
        <f>H32+I32</f>
        <v>7313195</v>
      </c>
      <c r="H32" s="463">
        <f>'d3'!E37</f>
        <v>7313195</v>
      </c>
      <c r="I32" s="463">
        <f>'d3'!J37</f>
        <v>0</v>
      </c>
      <c r="J32" s="463">
        <f>'d3'!K37</f>
        <v>0</v>
      </c>
      <c r="K32" s="711" t="b">
        <f>H32='d3'!E37</f>
        <v>1</v>
      </c>
      <c r="L32" s="714" t="b">
        <f>I32='d3'!J37</f>
        <v>1</v>
      </c>
      <c r="M32" s="725" t="b">
        <f>J32='d3'!K37</f>
        <v>1</v>
      </c>
    </row>
    <row r="33" spans="1:17" ht="230.25" thickTop="1" thickBot="1" x14ac:dyDescent="0.25">
      <c r="A33" s="224" t="s">
        <v>257</v>
      </c>
      <c r="B33" s="224" t="s">
        <v>258</v>
      </c>
      <c r="C33" s="224" t="s">
        <v>45</v>
      </c>
      <c r="D33" s="224" t="s">
        <v>460</v>
      </c>
      <c r="E33" s="451" t="s">
        <v>1309</v>
      </c>
      <c r="F33" s="735" t="s">
        <v>1310</v>
      </c>
      <c r="G33" s="452">
        <f>H33+I33</f>
        <v>600600</v>
      </c>
      <c r="H33" s="457">
        <f>'d3'!E40</f>
        <v>600600</v>
      </c>
      <c r="I33" s="452">
        <f>'d3'!J40</f>
        <v>0</v>
      </c>
      <c r="J33" s="452">
        <f>'d3'!K40</f>
        <v>0</v>
      </c>
      <c r="K33" s="711" t="b">
        <f>H33='d3'!E40</f>
        <v>1</v>
      </c>
      <c r="L33" s="714" t="b">
        <f>I33='d3'!J40</f>
        <v>1</v>
      </c>
      <c r="M33" s="714" t="b">
        <f>J33='d3'!K40</f>
        <v>1</v>
      </c>
    </row>
    <row r="34" spans="1:17" s="104" customFormat="1" ht="138.75" thickTop="1" thickBot="1" x14ac:dyDescent="0.25">
      <c r="A34" s="224" t="s">
        <v>603</v>
      </c>
      <c r="B34" s="224" t="s">
        <v>377</v>
      </c>
      <c r="C34" s="224" t="s">
        <v>45</v>
      </c>
      <c r="D34" s="224" t="s">
        <v>378</v>
      </c>
      <c r="E34" s="451" t="s">
        <v>1309</v>
      </c>
      <c r="F34" s="735" t="s">
        <v>1310</v>
      </c>
      <c r="G34" s="452">
        <f>H34+I34</f>
        <v>132100</v>
      </c>
      <c r="H34" s="457">
        <f>'d3'!E41</f>
        <v>132100</v>
      </c>
      <c r="I34" s="452">
        <f>'d3'!J41</f>
        <v>0</v>
      </c>
      <c r="J34" s="452">
        <f>'d3'!K41</f>
        <v>0</v>
      </c>
      <c r="K34" s="711" t="b">
        <f>H34='d3'!E41</f>
        <v>1</v>
      </c>
      <c r="L34" s="714" t="b">
        <f>I34='d3'!J41</f>
        <v>1</v>
      </c>
      <c r="M34" s="714" t="b">
        <f>J34='d3'!K41</f>
        <v>1</v>
      </c>
      <c r="N34" s="112"/>
      <c r="O34" s="112"/>
      <c r="P34" s="112"/>
      <c r="Q34" s="112"/>
    </row>
    <row r="35" spans="1:17" ht="276" thickTop="1" thickBot="1" x14ac:dyDescent="0.25">
      <c r="A35" s="753" t="s">
        <v>531</v>
      </c>
      <c r="B35" s="753" t="s">
        <v>532</v>
      </c>
      <c r="C35" s="753" t="s">
        <v>45</v>
      </c>
      <c r="D35" s="753" t="s">
        <v>533</v>
      </c>
      <c r="E35" s="751" t="s">
        <v>1359</v>
      </c>
      <c r="F35" s="562" t="s">
        <v>1358</v>
      </c>
      <c r="G35" s="751">
        <f t="shared" ref="G35:G42" si="2">H35+I35</f>
        <v>11915000</v>
      </c>
      <c r="H35" s="751">
        <f>(((((0)+1906000)+6065000+450000)+870000)+970000)+500000</f>
        <v>10761000</v>
      </c>
      <c r="I35" s="751">
        <f>((1000000)+74000)+80000</f>
        <v>1154000</v>
      </c>
      <c r="J35" s="774">
        <f>((1000000)+74000)+80000</f>
        <v>1154000</v>
      </c>
      <c r="K35" s="711" t="b">
        <f>H35+H36+H37+H38+H39+H40+H42+H41='d3'!E42</f>
        <v>1</v>
      </c>
      <c r="L35" s="714" t="b">
        <f>I35+I36+I37+I38+I39+I40+I42='d3'!J42</f>
        <v>1</v>
      </c>
      <c r="M35" s="714" t="b">
        <f>J35+J36+J37+J38+J39+J40+J42='d3'!K42</f>
        <v>1</v>
      </c>
    </row>
    <row r="36" spans="1:17" s="171" customFormat="1" ht="367.5" thickTop="1" thickBot="1" x14ac:dyDescent="0.25">
      <c r="A36" s="786" t="s">
        <v>531</v>
      </c>
      <c r="B36" s="786" t="s">
        <v>532</v>
      </c>
      <c r="C36" s="786" t="s">
        <v>45</v>
      </c>
      <c r="D36" s="786" t="s">
        <v>533</v>
      </c>
      <c r="E36" s="788" t="s">
        <v>1384</v>
      </c>
      <c r="F36" s="788" t="s">
        <v>906</v>
      </c>
      <c r="G36" s="788">
        <f t="shared" si="2"/>
        <v>1347711</v>
      </c>
      <c r="H36" s="788">
        <v>400000</v>
      </c>
      <c r="I36" s="788">
        <f>(0)+947711</f>
        <v>947711</v>
      </c>
      <c r="J36" s="861">
        <f>(0)+947711</f>
        <v>947711</v>
      </c>
      <c r="K36" s="711"/>
      <c r="L36" s="714"/>
      <c r="M36" s="725"/>
      <c r="N36" s="172"/>
      <c r="O36" s="172"/>
      <c r="P36" s="172"/>
      <c r="Q36" s="172"/>
    </row>
    <row r="37" spans="1:17" s="171" customFormat="1" ht="276" thickTop="1" thickBot="1" x14ac:dyDescent="0.25">
      <c r="A37" s="806" t="s">
        <v>531</v>
      </c>
      <c r="B37" s="806" t="s">
        <v>532</v>
      </c>
      <c r="C37" s="806" t="s">
        <v>45</v>
      </c>
      <c r="D37" s="806" t="s">
        <v>533</v>
      </c>
      <c r="E37" s="808" t="s">
        <v>1128</v>
      </c>
      <c r="F37" s="808" t="s">
        <v>998</v>
      </c>
      <c r="G37" s="808">
        <f t="shared" si="2"/>
        <v>1800000</v>
      </c>
      <c r="H37" s="808">
        <f>600000+500000</f>
        <v>1100000</v>
      </c>
      <c r="I37" s="808">
        <f>(0)+700000</f>
        <v>700000</v>
      </c>
      <c r="J37" s="861">
        <f>(0)+700000</f>
        <v>700000</v>
      </c>
      <c r="K37" s="711"/>
      <c r="L37" s="714"/>
      <c r="M37" s="725"/>
      <c r="N37" s="172"/>
      <c r="O37" s="172"/>
      <c r="P37" s="172"/>
      <c r="Q37" s="172"/>
    </row>
    <row r="38" spans="1:17" s="171" customFormat="1" ht="184.5" hidden="1" thickTop="1" thickBot="1" x14ac:dyDescent="0.25">
      <c r="A38" s="259" t="s">
        <v>531</v>
      </c>
      <c r="B38" s="259" t="s">
        <v>532</v>
      </c>
      <c r="C38" s="259" t="s">
        <v>45</v>
      </c>
      <c r="D38" s="259" t="s">
        <v>533</v>
      </c>
      <c r="E38" s="328" t="s">
        <v>1017</v>
      </c>
      <c r="F38" s="328" t="s">
        <v>1018</v>
      </c>
      <c r="G38" s="328">
        <f t="shared" si="2"/>
        <v>0</v>
      </c>
      <c r="H38" s="328"/>
      <c r="I38" s="328"/>
      <c r="J38" s="328"/>
      <c r="K38" s="711"/>
      <c r="L38" s="714"/>
      <c r="M38" s="725"/>
      <c r="N38" s="172"/>
      <c r="O38" s="172"/>
      <c r="P38" s="172"/>
      <c r="Q38" s="172"/>
    </row>
    <row r="39" spans="1:17" s="171" customFormat="1" ht="367.5" thickTop="1" thickBot="1" x14ac:dyDescent="0.25">
      <c r="A39" s="814" t="s">
        <v>531</v>
      </c>
      <c r="B39" s="814" t="s">
        <v>532</v>
      </c>
      <c r="C39" s="814" t="s">
        <v>45</v>
      </c>
      <c r="D39" s="814" t="s">
        <v>533</v>
      </c>
      <c r="E39" s="813" t="s">
        <v>1375</v>
      </c>
      <c r="F39" s="813" t="s">
        <v>1019</v>
      </c>
      <c r="G39" s="813">
        <f t="shared" si="2"/>
        <v>300000</v>
      </c>
      <c r="H39" s="813">
        <v>300000</v>
      </c>
      <c r="I39" s="813">
        <v>0</v>
      </c>
      <c r="J39" s="813">
        <v>0</v>
      </c>
      <c r="K39" s="711"/>
      <c r="L39" s="714"/>
      <c r="M39" s="725"/>
      <c r="N39" s="172"/>
      <c r="O39" s="172"/>
      <c r="P39" s="172"/>
      <c r="Q39" s="172"/>
    </row>
    <row r="40" spans="1:17" s="171" customFormat="1" ht="276" thickTop="1" thickBot="1" x14ac:dyDescent="0.25">
      <c r="A40" s="864" t="s">
        <v>531</v>
      </c>
      <c r="B40" s="864" t="s">
        <v>532</v>
      </c>
      <c r="C40" s="864" t="s">
        <v>45</v>
      </c>
      <c r="D40" s="864" t="s">
        <v>533</v>
      </c>
      <c r="E40" s="861" t="s">
        <v>1385</v>
      </c>
      <c r="F40" s="861" t="s">
        <v>1020</v>
      </c>
      <c r="G40" s="861">
        <f>H40+I40</f>
        <v>160000</v>
      </c>
      <c r="H40" s="861">
        <v>160000</v>
      </c>
      <c r="I40" s="861">
        <v>0</v>
      </c>
      <c r="J40" s="861">
        <v>0</v>
      </c>
      <c r="K40" s="711"/>
      <c r="L40" s="714"/>
      <c r="M40" s="725"/>
      <c r="N40" s="172"/>
      <c r="O40" s="172"/>
      <c r="P40" s="172"/>
      <c r="Q40" s="172"/>
    </row>
    <row r="41" spans="1:17" s="202" customFormat="1" ht="321.75" hidden="1" thickTop="1" thickBot="1" x14ac:dyDescent="0.25">
      <c r="A41" s="259" t="s">
        <v>531</v>
      </c>
      <c r="B41" s="259" t="s">
        <v>532</v>
      </c>
      <c r="C41" s="259" t="s">
        <v>45</v>
      </c>
      <c r="D41" s="259" t="s">
        <v>533</v>
      </c>
      <c r="E41" s="328" t="s">
        <v>1122</v>
      </c>
      <c r="F41" s="328" t="s">
        <v>1124</v>
      </c>
      <c r="G41" s="328">
        <f t="shared" si="2"/>
        <v>0</v>
      </c>
      <c r="H41" s="328"/>
      <c r="I41" s="328"/>
      <c r="J41" s="328"/>
      <c r="K41" s="711"/>
      <c r="L41" s="714"/>
      <c r="M41" s="725"/>
      <c r="N41" s="203"/>
      <c r="O41" s="203"/>
      <c r="P41" s="203"/>
      <c r="Q41" s="203"/>
    </row>
    <row r="42" spans="1:17" s="171" customFormat="1" ht="184.5" hidden="1" thickTop="1" thickBot="1" x14ac:dyDescent="0.25">
      <c r="A42" s="259" t="s">
        <v>531</v>
      </c>
      <c r="B42" s="259" t="s">
        <v>532</v>
      </c>
      <c r="C42" s="259" t="s">
        <v>45</v>
      </c>
      <c r="D42" s="259" t="s">
        <v>533</v>
      </c>
      <c r="E42" s="328" t="s">
        <v>1021</v>
      </c>
      <c r="F42" s="328" t="s">
        <v>1022</v>
      </c>
      <c r="G42" s="328">
        <f t="shared" si="2"/>
        <v>0</v>
      </c>
      <c r="H42" s="328"/>
      <c r="I42" s="328"/>
      <c r="J42" s="328"/>
      <c r="K42" s="711"/>
      <c r="L42" s="714"/>
      <c r="M42" s="725"/>
      <c r="N42" s="172"/>
      <c r="O42" s="172"/>
      <c r="P42" s="172"/>
      <c r="Q42" s="172"/>
    </row>
    <row r="43" spans="1:17" ht="136.5" thickTop="1" thickBot="1" x14ac:dyDescent="0.25">
      <c r="A43" s="828" t="s">
        <v>160</v>
      </c>
      <c r="B43" s="828"/>
      <c r="C43" s="828"/>
      <c r="D43" s="829" t="s">
        <v>0</v>
      </c>
      <c r="E43" s="828"/>
      <c r="F43" s="828"/>
      <c r="G43" s="831">
        <f>G44</f>
        <v>2037456531.3</v>
      </c>
      <c r="H43" s="831">
        <f t="shared" ref="H43:J43" si="3">H44</f>
        <v>1801832661.3</v>
      </c>
      <c r="I43" s="831">
        <f t="shared" si="3"/>
        <v>235623870</v>
      </c>
      <c r="J43" s="831">
        <f t="shared" si="3"/>
        <v>72278320</v>
      </c>
      <c r="K43" s="711" t="b">
        <f>H43='d3'!E44</f>
        <v>1</v>
      </c>
      <c r="L43" s="714" t="b">
        <f>I43='d3'!J44</f>
        <v>1</v>
      </c>
      <c r="M43" s="725" t="b">
        <f>J43='d3'!K43</f>
        <v>1</v>
      </c>
    </row>
    <row r="44" spans="1:17" ht="172.5" customHeight="1" thickTop="1" thickBot="1" x14ac:dyDescent="0.25">
      <c r="A44" s="832" t="s">
        <v>161</v>
      </c>
      <c r="B44" s="832"/>
      <c r="C44" s="832"/>
      <c r="D44" s="833" t="s">
        <v>1</v>
      </c>
      <c r="E44" s="834"/>
      <c r="F44" s="834"/>
      <c r="G44" s="834">
        <f>SUM(G45:G77)</f>
        <v>2037456531.3</v>
      </c>
      <c r="H44" s="834">
        <f>SUM(H45:H77)</f>
        <v>1801832661.3</v>
      </c>
      <c r="I44" s="834">
        <f>SUM(I45:I77)</f>
        <v>235623870</v>
      </c>
      <c r="J44" s="834">
        <f>SUM(J45:J77)</f>
        <v>72278320</v>
      </c>
      <c r="K44" s="622"/>
      <c r="L44" s="622"/>
      <c r="M44" s="622"/>
    </row>
    <row r="45" spans="1:17" ht="138.75" thickTop="1" thickBot="1" x14ac:dyDescent="0.25">
      <c r="A45" s="483" t="s">
        <v>210</v>
      </c>
      <c r="B45" s="483" t="s">
        <v>211</v>
      </c>
      <c r="C45" s="483" t="s">
        <v>213</v>
      </c>
      <c r="D45" s="483" t="s">
        <v>214</v>
      </c>
      <c r="E45" s="453" t="s">
        <v>1318</v>
      </c>
      <c r="F45" s="735" t="s">
        <v>1319</v>
      </c>
      <c r="G45" s="486">
        <f t="shared" ref="G45:G58" si="4">H45+I45</f>
        <v>608147969</v>
      </c>
      <c r="H45" s="486">
        <f>'d3'!E46-H46</f>
        <v>535792955</v>
      </c>
      <c r="I45" s="486">
        <f>'d3'!J46-I46</f>
        <v>72355014</v>
      </c>
      <c r="J45" s="486">
        <f>'d3'!K46-J46</f>
        <v>1517164</v>
      </c>
      <c r="K45" s="711" t="b">
        <f>H45+H46='d3'!E46</f>
        <v>1</v>
      </c>
      <c r="L45" s="714" t="b">
        <f>I45+I46='d3'!J46</f>
        <v>1</v>
      </c>
      <c r="M45" s="714" t="b">
        <f>J45+J46='d3'!K46</f>
        <v>1</v>
      </c>
    </row>
    <row r="46" spans="1:17" s="123" customFormat="1" ht="184.5" hidden="1" thickTop="1" thickBot="1" x14ac:dyDescent="0.25">
      <c r="A46" s="259" t="s">
        <v>210</v>
      </c>
      <c r="B46" s="259" t="s">
        <v>211</v>
      </c>
      <c r="C46" s="259" t="s">
        <v>213</v>
      </c>
      <c r="D46" s="259" t="s">
        <v>214</v>
      </c>
      <c r="E46" s="355" t="s">
        <v>467</v>
      </c>
      <c r="F46" s="296" t="s">
        <v>468</v>
      </c>
      <c r="G46" s="328">
        <f>H46+I46</f>
        <v>0</v>
      </c>
      <c r="H46" s="328">
        <v>0</v>
      </c>
      <c r="I46" s="328">
        <f>(30333+15000)-45333</f>
        <v>0</v>
      </c>
      <c r="J46" s="328">
        <f>(30333+15000)-45333</f>
        <v>0</v>
      </c>
      <c r="K46" s="622"/>
      <c r="L46" s="622"/>
      <c r="M46" s="622"/>
      <c r="N46" s="124"/>
      <c r="O46" s="124"/>
      <c r="P46" s="124"/>
      <c r="Q46" s="124"/>
    </row>
    <row r="47" spans="1:17" ht="138.75" thickTop="1" thickBot="1" x14ac:dyDescent="0.25">
      <c r="A47" s="483" t="s">
        <v>683</v>
      </c>
      <c r="B47" s="483" t="s">
        <v>684</v>
      </c>
      <c r="C47" s="483" t="s">
        <v>216</v>
      </c>
      <c r="D47" s="483" t="s">
        <v>685</v>
      </c>
      <c r="E47" s="453" t="s">
        <v>1318</v>
      </c>
      <c r="F47" s="735" t="s">
        <v>1319</v>
      </c>
      <c r="G47" s="486">
        <f t="shared" si="4"/>
        <v>432995061.30000001</v>
      </c>
      <c r="H47" s="486">
        <f>'d3'!E48-H48-H49</f>
        <v>358143446.30000001</v>
      </c>
      <c r="I47" s="486">
        <f>'d3'!J48-I48-I49</f>
        <v>74851615</v>
      </c>
      <c r="J47" s="486">
        <f>'d3'!K48-J48-J49</f>
        <v>11189615</v>
      </c>
      <c r="K47" s="711" t="b">
        <f>H47+H48+H49='d3'!E48</f>
        <v>1</v>
      </c>
      <c r="L47" s="714" t="b">
        <f>I47+I48+I49='d3'!J48</f>
        <v>1</v>
      </c>
      <c r="M47" s="714" t="b">
        <f>J47+J48+J49='d3'!K48</f>
        <v>1</v>
      </c>
    </row>
    <row r="48" spans="1:17" ht="138.75" hidden="1" thickTop="1" thickBot="1" x14ac:dyDescent="0.25">
      <c r="A48" s="259" t="s">
        <v>683</v>
      </c>
      <c r="B48" s="259" t="s">
        <v>684</v>
      </c>
      <c r="C48" s="259" t="s">
        <v>216</v>
      </c>
      <c r="D48" s="259" t="s">
        <v>685</v>
      </c>
      <c r="E48" s="453" t="s">
        <v>1318</v>
      </c>
      <c r="F48" s="735" t="s">
        <v>1319</v>
      </c>
      <c r="G48" s="328">
        <f t="shared" si="4"/>
        <v>0</v>
      </c>
      <c r="H48" s="328"/>
      <c r="I48" s="328">
        <v>0</v>
      </c>
      <c r="J48" s="328">
        <v>0</v>
      </c>
      <c r="K48" s="715" t="s">
        <v>589</v>
      </c>
      <c r="L48" s="622"/>
      <c r="M48" s="622"/>
    </row>
    <row r="49" spans="1:17" ht="138.75" hidden="1" thickTop="1" thickBot="1" x14ac:dyDescent="0.25">
      <c r="A49" s="259" t="s">
        <v>683</v>
      </c>
      <c r="B49" s="259" t="s">
        <v>684</v>
      </c>
      <c r="C49" s="259" t="s">
        <v>216</v>
      </c>
      <c r="D49" s="259" t="s">
        <v>685</v>
      </c>
      <c r="E49" s="453" t="s">
        <v>1318</v>
      </c>
      <c r="F49" s="735" t="s">
        <v>1319</v>
      </c>
      <c r="G49" s="328">
        <f>H49+I49</f>
        <v>0</v>
      </c>
      <c r="H49" s="328">
        <v>0</v>
      </c>
      <c r="I49" s="328">
        <v>0</v>
      </c>
      <c r="J49" s="328">
        <v>0</v>
      </c>
      <c r="K49" s="622"/>
      <c r="L49" s="622"/>
      <c r="M49" s="622"/>
    </row>
    <row r="50" spans="1:17" ht="230.25" thickTop="1" thickBot="1" x14ac:dyDescent="0.25">
      <c r="A50" s="483" t="s">
        <v>693</v>
      </c>
      <c r="B50" s="483" t="s">
        <v>694</v>
      </c>
      <c r="C50" s="483" t="s">
        <v>219</v>
      </c>
      <c r="D50" s="483" t="s">
        <v>515</v>
      </c>
      <c r="E50" s="453" t="s">
        <v>1318</v>
      </c>
      <c r="F50" s="735" t="s">
        <v>1319</v>
      </c>
      <c r="G50" s="486">
        <f t="shared" si="4"/>
        <v>24863105</v>
      </c>
      <c r="H50" s="486">
        <f>'d3'!E49-H51</f>
        <v>24772605</v>
      </c>
      <c r="I50" s="486">
        <f>'d3'!J49-I51</f>
        <v>90500</v>
      </c>
      <c r="J50" s="486">
        <f>'d3'!K49-J51</f>
        <v>0</v>
      </c>
      <c r="K50" s="711" t="b">
        <f>H50+H51='d3'!E49</f>
        <v>1</v>
      </c>
      <c r="L50" s="711" t="b">
        <f>I50+I51='d3'!J49</f>
        <v>1</v>
      </c>
      <c r="M50" s="711" t="b">
        <f>J50+J51='d3'!K49</f>
        <v>1</v>
      </c>
    </row>
    <row r="51" spans="1:17" ht="230.25" hidden="1" thickTop="1" thickBot="1" x14ac:dyDescent="0.25">
      <c r="A51" s="259" t="s">
        <v>693</v>
      </c>
      <c r="B51" s="259" t="s">
        <v>694</v>
      </c>
      <c r="C51" s="259" t="s">
        <v>219</v>
      </c>
      <c r="D51" s="259" t="s">
        <v>515</v>
      </c>
      <c r="E51" s="355" t="s">
        <v>612</v>
      </c>
      <c r="F51" s="328" t="s">
        <v>423</v>
      </c>
      <c r="G51" s="328">
        <f t="shared" si="4"/>
        <v>0</v>
      </c>
      <c r="H51" s="328">
        <v>0</v>
      </c>
      <c r="I51" s="328"/>
      <c r="J51" s="328"/>
      <c r="K51" s="715" t="s">
        <v>590</v>
      </c>
      <c r="L51" s="622"/>
      <c r="M51" s="622"/>
    </row>
    <row r="52" spans="1:17" s="200" customFormat="1" ht="138.75" thickTop="1" thickBot="1" x14ac:dyDescent="0.25">
      <c r="A52" s="483" t="s">
        <v>1073</v>
      </c>
      <c r="B52" s="483" t="s">
        <v>1074</v>
      </c>
      <c r="C52" s="483" t="s">
        <v>219</v>
      </c>
      <c r="D52" s="483" t="s">
        <v>1075</v>
      </c>
      <c r="E52" s="453" t="s">
        <v>1318</v>
      </c>
      <c r="F52" s="735" t="s">
        <v>1319</v>
      </c>
      <c r="G52" s="486">
        <f t="shared" si="4"/>
        <v>18543450</v>
      </c>
      <c r="H52" s="486">
        <f>'d3'!E50</f>
        <v>18543450</v>
      </c>
      <c r="I52" s="486">
        <f>'d3'!J50</f>
        <v>0</v>
      </c>
      <c r="J52" s="486">
        <f>'d3'!K50</f>
        <v>0</v>
      </c>
      <c r="K52" s="716"/>
      <c r="L52" s="622"/>
      <c r="M52" s="622"/>
      <c r="N52" s="201"/>
      <c r="O52" s="201"/>
      <c r="P52" s="201"/>
      <c r="Q52" s="201"/>
    </row>
    <row r="53" spans="1:17" s="145" customFormat="1" ht="138.75" thickTop="1" thickBot="1" x14ac:dyDescent="0.25">
      <c r="A53" s="483" t="s">
        <v>702</v>
      </c>
      <c r="B53" s="483" t="s">
        <v>703</v>
      </c>
      <c r="C53" s="483" t="s">
        <v>216</v>
      </c>
      <c r="D53" s="483" t="s">
        <v>685</v>
      </c>
      <c r="E53" s="453" t="s">
        <v>1318</v>
      </c>
      <c r="F53" s="735" t="s">
        <v>1319</v>
      </c>
      <c r="G53" s="486">
        <f t="shared" si="4"/>
        <v>628868833</v>
      </c>
      <c r="H53" s="486">
        <f>'d3'!E52</f>
        <v>628868833</v>
      </c>
      <c r="I53" s="486">
        <f>'d3'!J52</f>
        <v>0</v>
      </c>
      <c r="J53" s="486">
        <f>'d3'!K52</f>
        <v>0</v>
      </c>
      <c r="K53" s="716"/>
      <c r="L53" s="622"/>
      <c r="M53" s="622"/>
      <c r="N53" s="146"/>
      <c r="O53" s="146"/>
      <c r="P53" s="146"/>
      <c r="Q53" s="146"/>
    </row>
    <row r="54" spans="1:17" s="429" customFormat="1" ht="138.75" thickTop="1" thickBot="1" x14ac:dyDescent="0.25">
      <c r="A54" s="483" t="s">
        <v>1263</v>
      </c>
      <c r="B54" s="483" t="s">
        <v>1264</v>
      </c>
      <c r="C54" s="483" t="s">
        <v>219</v>
      </c>
      <c r="D54" s="483" t="s">
        <v>1265</v>
      </c>
      <c r="E54" s="453" t="s">
        <v>1318</v>
      </c>
      <c r="F54" s="735" t="s">
        <v>1319</v>
      </c>
      <c r="G54" s="486">
        <f t="shared" ref="G54" si="5">H54+I54</f>
        <v>3835000</v>
      </c>
      <c r="H54" s="486">
        <f>'d3'!E53</f>
        <v>3835000</v>
      </c>
      <c r="I54" s="486">
        <f>'d3'!J53</f>
        <v>0</v>
      </c>
      <c r="J54" s="486">
        <f>'d3'!K53</f>
        <v>0</v>
      </c>
      <c r="K54" s="716"/>
      <c r="L54" s="622"/>
      <c r="M54" s="622"/>
      <c r="N54" s="436"/>
      <c r="O54" s="436"/>
      <c r="P54" s="436"/>
      <c r="Q54" s="436"/>
    </row>
    <row r="55" spans="1:17" s="169" customFormat="1" ht="138.75" hidden="1" thickTop="1" thickBot="1" x14ac:dyDescent="0.25">
      <c r="A55" s="483" t="s">
        <v>991</v>
      </c>
      <c r="B55" s="483" t="s">
        <v>992</v>
      </c>
      <c r="C55" s="483" t="s">
        <v>216</v>
      </c>
      <c r="D55" s="483" t="s">
        <v>995</v>
      </c>
      <c r="E55" s="454" t="s">
        <v>1305</v>
      </c>
      <c r="F55" s="455"/>
      <c r="G55" s="486">
        <f t="shared" si="4"/>
        <v>0</v>
      </c>
      <c r="H55" s="486">
        <f>'d3'!E56</f>
        <v>0</v>
      </c>
      <c r="I55" s="486">
        <f>'d3'!J56</f>
        <v>0</v>
      </c>
      <c r="J55" s="486">
        <f>'d3'!K56</f>
        <v>0</v>
      </c>
      <c r="K55" s="717"/>
      <c r="L55" s="622"/>
      <c r="M55" s="622"/>
      <c r="N55" s="170"/>
      <c r="O55" s="170"/>
      <c r="P55" s="170"/>
      <c r="Q55" s="170"/>
    </row>
    <row r="56" spans="1:17" ht="138.75" thickTop="1" thickBot="1" x14ac:dyDescent="0.25">
      <c r="A56" s="483" t="s">
        <v>704</v>
      </c>
      <c r="B56" s="483" t="s">
        <v>218</v>
      </c>
      <c r="C56" s="483" t="s">
        <v>193</v>
      </c>
      <c r="D56" s="483" t="s">
        <v>517</v>
      </c>
      <c r="E56" s="453" t="s">
        <v>1318</v>
      </c>
      <c r="F56" s="735" t="s">
        <v>1319</v>
      </c>
      <c r="G56" s="486">
        <f t="shared" si="4"/>
        <v>35257950</v>
      </c>
      <c r="H56" s="486">
        <f>'d3'!E57</f>
        <v>33399580</v>
      </c>
      <c r="I56" s="486">
        <f>'d3'!J57</f>
        <v>1858370</v>
      </c>
      <c r="J56" s="486">
        <f>'d3'!K57</f>
        <v>1000000</v>
      </c>
      <c r="K56" s="622"/>
      <c r="L56" s="622"/>
      <c r="M56" s="622"/>
    </row>
    <row r="57" spans="1:17" s="147" customFormat="1" ht="184.5" thickTop="1" thickBot="1" x14ac:dyDescent="0.25">
      <c r="A57" s="483" t="s">
        <v>705</v>
      </c>
      <c r="B57" s="483" t="s">
        <v>706</v>
      </c>
      <c r="C57" s="483" t="s">
        <v>221</v>
      </c>
      <c r="D57" s="483" t="s">
        <v>707</v>
      </c>
      <c r="E57" s="453" t="s">
        <v>1318</v>
      </c>
      <c r="F57" s="735" t="s">
        <v>1319</v>
      </c>
      <c r="G57" s="486">
        <f t="shared" si="4"/>
        <v>167171460</v>
      </c>
      <c r="H57" s="486">
        <f>'d3'!E59</f>
        <v>137467895</v>
      </c>
      <c r="I57" s="486">
        <f>'d3'!J59</f>
        <v>29703565</v>
      </c>
      <c r="J57" s="486">
        <f>'d3'!K59</f>
        <v>2182625</v>
      </c>
      <c r="K57" s="622"/>
      <c r="L57" s="622"/>
      <c r="M57" s="622"/>
      <c r="N57" s="148"/>
      <c r="O57" s="148"/>
      <c r="P57" s="148"/>
      <c r="Q57" s="148"/>
    </row>
    <row r="58" spans="1:17" s="147" customFormat="1" ht="184.5" thickTop="1" thickBot="1" x14ac:dyDescent="0.25">
      <c r="A58" s="483" t="s">
        <v>709</v>
      </c>
      <c r="B58" s="483" t="s">
        <v>708</v>
      </c>
      <c r="C58" s="483" t="s">
        <v>221</v>
      </c>
      <c r="D58" s="483" t="s">
        <v>710</v>
      </c>
      <c r="E58" s="453" t="s">
        <v>1318</v>
      </c>
      <c r="F58" s="735" t="s">
        <v>1319</v>
      </c>
      <c r="G58" s="486">
        <f t="shared" si="4"/>
        <v>17417316</v>
      </c>
      <c r="H58" s="486">
        <f>'d3'!E60</f>
        <v>17417316</v>
      </c>
      <c r="I58" s="486">
        <f>'d3'!J60</f>
        <v>0</v>
      </c>
      <c r="J58" s="486">
        <f>'d3'!K60</f>
        <v>0</v>
      </c>
      <c r="K58" s="622"/>
      <c r="L58" s="622"/>
      <c r="M58" s="622"/>
      <c r="N58" s="148"/>
      <c r="O58" s="148"/>
      <c r="P58" s="148"/>
      <c r="Q58" s="148"/>
    </row>
    <row r="59" spans="1:17" s="147" customFormat="1" ht="138.75" thickTop="1" thickBot="1" x14ac:dyDescent="0.25">
      <c r="A59" s="483" t="s">
        <v>714</v>
      </c>
      <c r="B59" s="483" t="s">
        <v>715</v>
      </c>
      <c r="C59" s="483" t="s">
        <v>222</v>
      </c>
      <c r="D59" s="483" t="s">
        <v>519</v>
      </c>
      <c r="E59" s="453" t="s">
        <v>1318</v>
      </c>
      <c r="F59" s="735" t="s">
        <v>1319</v>
      </c>
      <c r="G59" s="486">
        <f t="shared" ref="G59" si="6">H59+I59</f>
        <v>31620765</v>
      </c>
      <c r="H59" s="486">
        <f>'d3'!E62</f>
        <v>30284875</v>
      </c>
      <c r="I59" s="486">
        <f>'d3'!J62</f>
        <v>1335890</v>
      </c>
      <c r="J59" s="486">
        <f>'d3'!K62</f>
        <v>960000</v>
      </c>
      <c r="K59" s="622"/>
      <c r="L59" s="622"/>
      <c r="M59" s="622"/>
      <c r="N59" s="148"/>
      <c r="O59" s="148"/>
      <c r="P59" s="148"/>
      <c r="Q59" s="148"/>
    </row>
    <row r="60" spans="1:17" s="147" customFormat="1" ht="138.75" thickTop="1" thickBot="1" x14ac:dyDescent="0.25">
      <c r="A60" s="483" t="s">
        <v>716</v>
      </c>
      <c r="B60" s="483" t="s">
        <v>717</v>
      </c>
      <c r="C60" s="483" t="s">
        <v>222</v>
      </c>
      <c r="D60" s="483" t="s">
        <v>351</v>
      </c>
      <c r="E60" s="453" t="s">
        <v>1318</v>
      </c>
      <c r="F60" s="735" t="s">
        <v>1319</v>
      </c>
      <c r="G60" s="486">
        <f>H60+I60</f>
        <v>218010</v>
      </c>
      <c r="H60" s="486">
        <f>'d3'!E63-H61</f>
        <v>218010</v>
      </c>
      <c r="I60" s="486">
        <f>'d3'!J63-I61</f>
        <v>0</v>
      </c>
      <c r="J60" s="486">
        <f>'d3'!K63-J61</f>
        <v>0</v>
      </c>
      <c r="K60" s="718" t="b">
        <f>H60+H61='d3'!E63</f>
        <v>1</v>
      </c>
      <c r="L60" s="719" t="b">
        <f>I60+I61='d3'!J63</f>
        <v>1</v>
      </c>
      <c r="M60" s="719" t="b">
        <f>J60+J61='d3'!K63</f>
        <v>1</v>
      </c>
      <c r="N60" s="148"/>
      <c r="O60" s="148"/>
      <c r="P60" s="148"/>
      <c r="Q60" s="148"/>
    </row>
    <row r="61" spans="1:17" s="147" customFormat="1" ht="230.25" hidden="1" customHeight="1" thickTop="1" thickBot="1" x14ac:dyDescent="0.25">
      <c r="A61" s="259" t="s">
        <v>716</v>
      </c>
      <c r="B61" s="259" t="s">
        <v>717</v>
      </c>
      <c r="C61" s="259" t="s">
        <v>222</v>
      </c>
      <c r="D61" s="259" t="s">
        <v>351</v>
      </c>
      <c r="E61" s="453" t="s">
        <v>1318</v>
      </c>
      <c r="F61" s="735" t="s">
        <v>1319</v>
      </c>
      <c r="G61" s="328">
        <f>H61+I61</f>
        <v>0</v>
      </c>
      <c r="H61" s="328"/>
      <c r="I61" s="328"/>
      <c r="J61" s="328"/>
      <c r="K61" s="715" t="s">
        <v>591</v>
      </c>
      <c r="L61" s="622"/>
      <c r="M61" s="622"/>
      <c r="N61" s="148"/>
      <c r="O61" s="148"/>
      <c r="P61" s="148"/>
      <c r="Q61" s="148"/>
    </row>
    <row r="62" spans="1:17" s="147" customFormat="1" ht="138.75" thickTop="1" thickBot="1" x14ac:dyDescent="0.25">
      <c r="A62" s="483" t="s">
        <v>720</v>
      </c>
      <c r="B62" s="483" t="s">
        <v>721</v>
      </c>
      <c r="C62" s="483" t="s">
        <v>222</v>
      </c>
      <c r="D62" s="483" t="s">
        <v>722</v>
      </c>
      <c r="E62" s="453" t="s">
        <v>1318</v>
      </c>
      <c r="F62" s="735" t="s">
        <v>1319</v>
      </c>
      <c r="G62" s="486">
        <f t="shared" ref="G62:G63" si="7">H62+I62</f>
        <v>1120505</v>
      </c>
      <c r="H62" s="486">
        <f>'d3'!E65</f>
        <v>1120505</v>
      </c>
      <c r="I62" s="486">
        <f>'d3'!J65</f>
        <v>0</v>
      </c>
      <c r="J62" s="486">
        <f>'d3'!K65</f>
        <v>0</v>
      </c>
      <c r="K62" s="622"/>
      <c r="L62" s="622"/>
      <c r="M62" s="622"/>
      <c r="N62" s="148"/>
      <c r="O62" s="148"/>
      <c r="P62" s="148"/>
      <c r="Q62" s="148"/>
    </row>
    <row r="63" spans="1:17" s="147" customFormat="1" ht="138.75" thickTop="1" thickBot="1" x14ac:dyDescent="0.25">
      <c r="A63" s="688" t="s">
        <v>723</v>
      </c>
      <c r="B63" s="688" t="s">
        <v>724</v>
      </c>
      <c r="C63" s="688" t="s">
        <v>222</v>
      </c>
      <c r="D63" s="688" t="s">
        <v>725</v>
      </c>
      <c r="E63" s="453" t="s">
        <v>1318</v>
      </c>
      <c r="F63" s="735" t="s">
        <v>1319</v>
      </c>
      <c r="G63" s="690">
        <f t="shared" si="7"/>
        <v>4602470</v>
      </c>
      <c r="H63" s="690">
        <f>'d3'!E66</f>
        <v>4602470</v>
      </c>
      <c r="I63" s="690">
        <f>'d3'!J66</f>
        <v>0</v>
      </c>
      <c r="J63" s="690">
        <f>'d3'!K66</f>
        <v>0</v>
      </c>
      <c r="K63" s="622"/>
      <c r="L63" s="622"/>
      <c r="M63" s="622"/>
      <c r="N63" s="148"/>
      <c r="O63" s="148"/>
      <c r="P63" s="148"/>
      <c r="Q63" s="148"/>
    </row>
    <row r="64" spans="1:17" s="143" customFormat="1" ht="138.75" thickTop="1" thickBot="1" x14ac:dyDescent="0.25">
      <c r="A64" s="483" t="s">
        <v>690</v>
      </c>
      <c r="B64" s="483" t="s">
        <v>691</v>
      </c>
      <c r="C64" s="483" t="s">
        <v>222</v>
      </c>
      <c r="D64" s="483" t="s">
        <v>692</v>
      </c>
      <c r="E64" s="453" t="s">
        <v>1318</v>
      </c>
      <c r="F64" s="735" t="s">
        <v>1319</v>
      </c>
      <c r="G64" s="486">
        <f t="shared" ref="G64:G65" si="8">H64+I64</f>
        <v>3056165</v>
      </c>
      <c r="H64" s="486">
        <f>'d3'!E67</f>
        <v>3056165</v>
      </c>
      <c r="I64" s="486">
        <f>'d3'!J67</f>
        <v>0</v>
      </c>
      <c r="J64" s="486">
        <f>'d3'!K67</f>
        <v>0</v>
      </c>
      <c r="K64" s="622"/>
      <c r="L64" s="622"/>
      <c r="M64" s="622"/>
      <c r="N64" s="144"/>
      <c r="O64" s="144"/>
      <c r="P64" s="144"/>
      <c r="Q64" s="144"/>
    </row>
    <row r="65" spans="1:17" s="58" customFormat="1" ht="367.5" hidden="1" customHeight="1" thickTop="1" thickBot="1" x14ac:dyDescent="0.25">
      <c r="A65" s="259" t="s">
        <v>698</v>
      </c>
      <c r="B65" s="259" t="s">
        <v>699</v>
      </c>
      <c r="C65" s="259" t="s">
        <v>222</v>
      </c>
      <c r="D65" s="259" t="s">
        <v>700</v>
      </c>
      <c r="E65" s="453" t="s">
        <v>1318</v>
      </c>
      <c r="F65" s="735" t="s">
        <v>1319</v>
      </c>
      <c r="G65" s="328">
        <f t="shared" si="8"/>
        <v>0</v>
      </c>
      <c r="H65" s="328">
        <f>'d3'!E69</f>
        <v>0</v>
      </c>
      <c r="I65" s="328">
        <f>'d3'!J69</f>
        <v>0</v>
      </c>
      <c r="J65" s="328">
        <f>'d3'!K69</f>
        <v>0</v>
      </c>
      <c r="K65" s="622"/>
      <c r="L65" s="622"/>
      <c r="M65" s="622"/>
      <c r="N65" s="149"/>
      <c r="O65" s="149"/>
      <c r="P65" s="149"/>
      <c r="Q65" s="149"/>
    </row>
    <row r="66" spans="1:17" s="58" customFormat="1" ht="321.75" hidden="1" customHeight="1" thickTop="1" thickBot="1" x14ac:dyDescent="0.25">
      <c r="A66" s="259" t="s">
        <v>1055</v>
      </c>
      <c r="B66" s="259" t="s">
        <v>1056</v>
      </c>
      <c r="C66" s="259" t="s">
        <v>222</v>
      </c>
      <c r="D66" s="259" t="s">
        <v>1057</v>
      </c>
      <c r="E66" s="453" t="s">
        <v>1318</v>
      </c>
      <c r="F66" s="735" t="s">
        <v>1319</v>
      </c>
      <c r="G66" s="328">
        <f t="shared" ref="G66" si="9">H66+I66</f>
        <v>0</v>
      </c>
      <c r="H66" s="328">
        <f>'d3'!E70</f>
        <v>0</v>
      </c>
      <c r="I66" s="328">
        <f>'d3'!J70</f>
        <v>0</v>
      </c>
      <c r="J66" s="328">
        <f>'d3'!K70</f>
        <v>0</v>
      </c>
      <c r="K66" s="622"/>
      <c r="L66" s="622"/>
      <c r="M66" s="622"/>
      <c r="N66" s="199"/>
      <c r="O66" s="199"/>
      <c r="P66" s="199"/>
      <c r="Q66" s="199"/>
    </row>
    <row r="67" spans="1:17" s="58" customFormat="1" ht="409.6" hidden="1" customHeight="1" thickTop="1" thickBot="1" x14ac:dyDescent="0.25">
      <c r="A67" s="259" t="s">
        <v>1077</v>
      </c>
      <c r="B67" s="259" t="s">
        <v>1079</v>
      </c>
      <c r="C67" s="259" t="s">
        <v>222</v>
      </c>
      <c r="D67" s="259" t="s">
        <v>1081</v>
      </c>
      <c r="E67" s="453" t="s">
        <v>1318</v>
      </c>
      <c r="F67" s="735" t="s">
        <v>1319</v>
      </c>
      <c r="G67" s="328">
        <f>H67+I67</f>
        <v>0</v>
      </c>
      <c r="H67" s="328">
        <f>'d3'!E72</f>
        <v>0</v>
      </c>
      <c r="I67" s="328">
        <f>'d3'!J72</f>
        <v>0</v>
      </c>
      <c r="J67" s="328">
        <f>'d3'!K72</f>
        <v>0</v>
      </c>
      <c r="K67" s="622"/>
      <c r="L67" s="622"/>
      <c r="M67" s="622"/>
      <c r="N67" s="201"/>
      <c r="O67" s="201"/>
      <c r="P67" s="201"/>
      <c r="Q67" s="201"/>
    </row>
    <row r="68" spans="1:17" s="58" customFormat="1" ht="409.6" hidden="1" customHeight="1" thickTop="1" x14ac:dyDescent="0.2">
      <c r="A68" s="911" t="s">
        <v>1097</v>
      </c>
      <c r="B68" s="911" t="s">
        <v>1098</v>
      </c>
      <c r="C68" s="911" t="s">
        <v>222</v>
      </c>
      <c r="D68" s="911" t="s">
        <v>1099</v>
      </c>
      <c r="E68" s="453" t="s">
        <v>1318</v>
      </c>
      <c r="F68" s="735" t="s">
        <v>1319</v>
      </c>
      <c r="G68" s="1032">
        <f>H68+I68</f>
        <v>0</v>
      </c>
      <c r="H68" s="1032">
        <f>'d3'!E73</f>
        <v>0</v>
      </c>
      <c r="I68" s="1032">
        <f>'d3'!J73</f>
        <v>0</v>
      </c>
      <c r="J68" s="1032">
        <f>'d3'!K73</f>
        <v>0</v>
      </c>
      <c r="K68" s="622"/>
      <c r="L68" s="622"/>
      <c r="M68" s="622"/>
      <c r="N68" s="203"/>
      <c r="O68" s="203"/>
      <c r="P68" s="203"/>
      <c r="Q68" s="203"/>
    </row>
    <row r="69" spans="1:17" s="58" customFormat="1" ht="122.25" hidden="1" customHeight="1" thickBot="1" x14ac:dyDescent="0.25">
      <c r="A69" s="905"/>
      <c r="B69" s="905"/>
      <c r="C69" s="905"/>
      <c r="D69" s="905"/>
      <c r="E69" s="453" t="s">
        <v>1318</v>
      </c>
      <c r="F69" s="735" t="s">
        <v>1319</v>
      </c>
      <c r="G69" s="905"/>
      <c r="H69" s="905"/>
      <c r="I69" s="905">
        <f>'d3'!J74</f>
        <v>0</v>
      </c>
      <c r="J69" s="905">
        <f>'d3'!K74</f>
        <v>0</v>
      </c>
      <c r="K69" s="622"/>
      <c r="L69" s="622"/>
      <c r="M69" s="622"/>
      <c r="N69" s="203"/>
      <c r="O69" s="203"/>
      <c r="P69" s="203"/>
      <c r="Q69" s="203"/>
    </row>
    <row r="70" spans="1:17" s="143" customFormat="1" ht="230.25" thickTop="1" thickBot="1" x14ac:dyDescent="0.25">
      <c r="A70" s="733" t="s">
        <v>687</v>
      </c>
      <c r="B70" s="733" t="s">
        <v>688</v>
      </c>
      <c r="C70" s="733" t="s">
        <v>222</v>
      </c>
      <c r="D70" s="733" t="s">
        <v>689</v>
      </c>
      <c r="E70" s="453" t="s">
        <v>1318</v>
      </c>
      <c r="F70" s="735" t="s">
        <v>1319</v>
      </c>
      <c r="G70" s="731">
        <f t="shared" ref="G70:G77" si="10">H70+I70</f>
        <v>5840472</v>
      </c>
      <c r="H70" s="731">
        <f>'d3'!E75</f>
        <v>4309556</v>
      </c>
      <c r="I70" s="731">
        <f>'d3'!J75</f>
        <v>1530916</v>
      </c>
      <c r="J70" s="731">
        <f>'d3'!K75</f>
        <v>1530916</v>
      </c>
      <c r="K70" s="622"/>
      <c r="L70" s="622"/>
      <c r="M70" s="622"/>
      <c r="N70" s="144"/>
      <c r="O70" s="144"/>
      <c r="P70" s="144"/>
      <c r="Q70" s="144"/>
    </row>
    <row r="71" spans="1:17" s="181" customFormat="1" ht="230.25" hidden="1" thickTop="1" thickBot="1" x14ac:dyDescent="0.25">
      <c r="A71" s="259" t="s">
        <v>1006</v>
      </c>
      <c r="B71" s="259" t="s">
        <v>1007</v>
      </c>
      <c r="C71" s="259" t="s">
        <v>222</v>
      </c>
      <c r="D71" s="259" t="s">
        <v>1008</v>
      </c>
      <c r="E71" s="355" t="s">
        <v>611</v>
      </c>
      <c r="F71" s="328" t="s">
        <v>427</v>
      </c>
      <c r="G71" s="328">
        <f t="shared" si="10"/>
        <v>0</v>
      </c>
      <c r="H71" s="328">
        <f>'d3'!E76</f>
        <v>0</v>
      </c>
      <c r="I71" s="328">
        <f>'d3'!J76</f>
        <v>0</v>
      </c>
      <c r="J71" s="328">
        <f>'d3'!K76</f>
        <v>0</v>
      </c>
      <c r="K71" s="622"/>
      <c r="L71" s="622"/>
      <c r="M71" s="622"/>
      <c r="N71" s="182"/>
      <c r="O71" s="182"/>
      <c r="P71" s="182"/>
      <c r="Q71" s="182"/>
    </row>
    <row r="72" spans="1:17" s="200" customFormat="1" ht="276" hidden="1" thickTop="1" thickBot="1" x14ac:dyDescent="0.25">
      <c r="A72" s="259" t="s">
        <v>1083</v>
      </c>
      <c r="B72" s="259" t="s">
        <v>1085</v>
      </c>
      <c r="C72" s="259" t="s">
        <v>222</v>
      </c>
      <c r="D72" s="259" t="s">
        <v>1087</v>
      </c>
      <c r="E72" s="355" t="s">
        <v>611</v>
      </c>
      <c r="F72" s="328" t="s">
        <v>427</v>
      </c>
      <c r="G72" s="328">
        <f t="shared" si="10"/>
        <v>0</v>
      </c>
      <c r="H72" s="328">
        <f>'d3'!E80</f>
        <v>0</v>
      </c>
      <c r="I72" s="328">
        <f>'d3'!J80</f>
        <v>0</v>
      </c>
      <c r="J72" s="328">
        <f>'d3'!K80</f>
        <v>0</v>
      </c>
      <c r="K72" s="622"/>
      <c r="L72" s="622"/>
      <c r="M72" s="622"/>
      <c r="N72" s="201"/>
      <c r="O72" s="201"/>
      <c r="P72" s="201"/>
      <c r="Q72" s="201"/>
    </row>
    <row r="73" spans="1:17" s="214" customFormat="1" ht="230.25" hidden="1" thickTop="1" thickBot="1" x14ac:dyDescent="0.25">
      <c r="A73" s="259" t="s">
        <v>1138</v>
      </c>
      <c r="B73" s="259" t="s">
        <v>1139</v>
      </c>
      <c r="C73" s="259" t="s">
        <v>222</v>
      </c>
      <c r="D73" s="259" t="s">
        <v>1137</v>
      </c>
      <c r="E73" s="355" t="s">
        <v>611</v>
      </c>
      <c r="F73" s="328" t="s">
        <v>427</v>
      </c>
      <c r="G73" s="328">
        <f t="shared" si="10"/>
        <v>0</v>
      </c>
      <c r="H73" s="328">
        <f>'d3'!E81</f>
        <v>0</v>
      </c>
      <c r="I73" s="328">
        <f>'d3'!J81</f>
        <v>0</v>
      </c>
      <c r="J73" s="328">
        <f>'d3'!K81</f>
        <v>0</v>
      </c>
      <c r="K73" s="622"/>
      <c r="L73" s="622"/>
      <c r="M73" s="622"/>
      <c r="N73" s="215"/>
      <c r="O73" s="215"/>
      <c r="P73" s="215"/>
      <c r="Q73" s="215"/>
    </row>
    <row r="74" spans="1:17" ht="230.25" hidden="1" thickTop="1" thickBot="1" x14ac:dyDescent="0.25">
      <c r="A74" s="259" t="s">
        <v>447</v>
      </c>
      <c r="B74" s="259" t="s">
        <v>448</v>
      </c>
      <c r="C74" s="259" t="s">
        <v>197</v>
      </c>
      <c r="D74" s="259" t="s">
        <v>446</v>
      </c>
      <c r="E74" s="355" t="s">
        <v>612</v>
      </c>
      <c r="F74" s="328" t="s">
        <v>423</v>
      </c>
      <c r="G74" s="328">
        <f t="shared" si="10"/>
        <v>0</v>
      </c>
      <c r="H74" s="328">
        <f>'d3'!E78</f>
        <v>0</v>
      </c>
      <c r="I74" s="328">
        <f>'d3'!J78</f>
        <v>0</v>
      </c>
      <c r="J74" s="328">
        <f>'d3'!K78</f>
        <v>0</v>
      </c>
      <c r="K74" s="622"/>
      <c r="L74" s="622"/>
      <c r="M74" s="622"/>
    </row>
    <row r="75" spans="1:17" s="218" customFormat="1" ht="138.75" thickTop="1" thickBot="1" x14ac:dyDescent="0.25">
      <c r="A75" s="483" t="s">
        <v>1206</v>
      </c>
      <c r="B75" s="483" t="s">
        <v>324</v>
      </c>
      <c r="C75" s="483" t="s">
        <v>317</v>
      </c>
      <c r="D75" s="483" t="s">
        <v>665</v>
      </c>
      <c r="E75" s="453" t="s">
        <v>1318</v>
      </c>
      <c r="F75" s="735" t="s">
        <v>1319</v>
      </c>
      <c r="G75" s="486">
        <f t="shared" si="10"/>
        <v>3068000</v>
      </c>
      <c r="H75" s="486">
        <f>'d3'!E85</f>
        <v>0</v>
      </c>
      <c r="I75" s="486">
        <f>'d3'!J85</f>
        <v>3068000</v>
      </c>
      <c r="J75" s="486">
        <f>'d3'!K85</f>
        <v>3068000</v>
      </c>
      <c r="K75" s="622"/>
      <c r="L75" s="622"/>
      <c r="M75" s="622"/>
      <c r="N75" s="219"/>
      <c r="O75" s="219"/>
      <c r="P75" s="219"/>
      <c r="Q75" s="219"/>
    </row>
    <row r="76" spans="1:17" s="218" customFormat="1" ht="138.75" thickTop="1" thickBot="1" x14ac:dyDescent="0.25">
      <c r="A76" s="483" t="s">
        <v>1196</v>
      </c>
      <c r="B76" s="483" t="s">
        <v>224</v>
      </c>
      <c r="C76" s="483" t="s">
        <v>225</v>
      </c>
      <c r="D76" s="483" t="s">
        <v>43</v>
      </c>
      <c r="E76" s="453" t="s">
        <v>1318</v>
      </c>
      <c r="F76" s="735" t="s">
        <v>1319</v>
      </c>
      <c r="G76" s="486">
        <f t="shared" si="10"/>
        <v>50830000</v>
      </c>
      <c r="H76" s="486">
        <f>'d3'!E87</f>
        <v>0</v>
      </c>
      <c r="I76" s="486">
        <f>'d3'!J87</f>
        <v>50830000</v>
      </c>
      <c r="J76" s="486">
        <f>'d3'!K87</f>
        <v>50830000</v>
      </c>
      <c r="K76" s="622"/>
      <c r="L76" s="622"/>
      <c r="M76" s="622"/>
      <c r="N76" s="219"/>
      <c r="O76" s="219"/>
      <c r="P76" s="219"/>
      <c r="Q76" s="219"/>
    </row>
    <row r="77" spans="1:17" s="209" customFormat="1" ht="138.75" hidden="1" thickTop="1" thickBot="1" x14ac:dyDescent="0.25">
      <c r="A77" s="259" t="s">
        <v>1113</v>
      </c>
      <c r="B77" s="259" t="s">
        <v>377</v>
      </c>
      <c r="C77" s="259" t="s">
        <v>45</v>
      </c>
      <c r="D77" s="259" t="s">
        <v>378</v>
      </c>
      <c r="E77" s="355" t="s">
        <v>611</v>
      </c>
      <c r="F77" s="328" t="s">
        <v>427</v>
      </c>
      <c r="G77" s="328">
        <f t="shared" si="10"/>
        <v>0</v>
      </c>
      <c r="H77" s="328">
        <f>'d3'!E90</f>
        <v>0</v>
      </c>
      <c r="I77" s="328">
        <f>'d3'!J90</f>
        <v>0</v>
      </c>
      <c r="J77" s="328">
        <f>'d3'!K90</f>
        <v>0</v>
      </c>
      <c r="K77" s="622"/>
      <c r="L77" s="622"/>
      <c r="M77" s="622"/>
      <c r="N77" s="210"/>
      <c r="O77" s="210"/>
      <c r="P77" s="210"/>
      <c r="Q77" s="210"/>
    </row>
    <row r="78" spans="1:17" ht="136.5" thickTop="1" thickBot="1" x14ac:dyDescent="0.25">
      <c r="A78" s="828" t="s">
        <v>162</v>
      </c>
      <c r="B78" s="828"/>
      <c r="C78" s="828"/>
      <c r="D78" s="829" t="s">
        <v>18</v>
      </c>
      <c r="E78" s="828"/>
      <c r="F78" s="828"/>
      <c r="G78" s="831">
        <f>G79</f>
        <v>111541126</v>
      </c>
      <c r="H78" s="831">
        <f t="shared" ref="H78:J78" si="11">H79</f>
        <v>100820270</v>
      </c>
      <c r="I78" s="831">
        <f t="shared" si="11"/>
        <v>10720856</v>
      </c>
      <c r="J78" s="831">
        <f t="shared" si="11"/>
        <v>10720856</v>
      </c>
      <c r="K78" s="711" t="b">
        <f>H78='d3'!E91-'d3'!F94</f>
        <v>1</v>
      </c>
      <c r="L78" s="714" t="b">
        <f>I78='d3'!J91-'d3'!J94</f>
        <v>1</v>
      </c>
      <c r="M78" s="714" t="b">
        <f>J78='d3'!K91-'d3'!K94</f>
        <v>1</v>
      </c>
    </row>
    <row r="79" spans="1:17" ht="172.5" customHeight="1" thickTop="1" thickBot="1" x14ac:dyDescent="0.25">
      <c r="A79" s="832" t="s">
        <v>163</v>
      </c>
      <c r="B79" s="832"/>
      <c r="C79" s="832"/>
      <c r="D79" s="833" t="s">
        <v>38</v>
      </c>
      <c r="E79" s="834"/>
      <c r="F79" s="834"/>
      <c r="G79" s="834">
        <f>SUM(G80:G96)</f>
        <v>111541126</v>
      </c>
      <c r="H79" s="834">
        <f>SUM(H80:H96)</f>
        <v>100820270</v>
      </c>
      <c r="I79" s="834">
        <f>SUM(I80:I96)</f>
        <v>10720856</v>
      </c>
      <c r="J79" s="834">
        <f>SUM(J80:J96)</f>
        <v>10720856</v>
      </c>
      <c r="K79" s="622"/>
      <c r="L79" s="622"/>
      <c r="M79" s="622"/>
    </row>
    <row r="80" spans="1:17" ht="386.25" thickTop="1" thickBot="1" x14ac:dyDescent="0.25">
      <c r="A80" s="224" t="s">
        <v>226</v>
      </c>
      <c r="B80" s="224" t="s">
        <v>223</v>
      </c>
      <c r="C80" s="224" t="s">
        <v>227</v>
      </c>
      <c r="D80" s="224" t="s">
        <v>19</v>
      </c>
      <c r="E80" s="506" t="s">
        <v>1373</v>
      </c>
      <c r="F80" s="452" t="s">
        <v>921</v>
      </c>
      <c r="G80" s="507">
        <f>H80+I80</f>
        <v>42467561</v>
      </c>
      <c r="H80" s="507">
        <f>'d3'!E96</f>
        <v>35402605</v>
      </c>
      <c r="I80" s="507">
        <f>'d3'!J96</f>
        <v>7064956</v>
      </c>
      <c r="J80" s="507">
        <f>'d3'!K96</f>
        <v>7064956</v>
      </c>
      <c r="K80" s="622"/>
      <c r="L80" s="622"/>
      <c r="M80" s="622"/>
    </row>
    <row r="81" spans="1:17" ht="386.25" thickTop="1" thickBot="1" x14ac:dyDescent="0.25">
      <c r="A81" s="224" t="s">
        <v>523</v>
      </c>
      <c r="B81" s="224" t="s">
        <v>526</v>
      </c>
      <c r="C81" s="224" t="s">
        <v>525</v>
      </c>
      <c r="D81" s="224" t="s">
        <v>524</v>
      </c>
      <c r="E81" s="506" t="s">
        <v>1373</v>
      </c>
      <c r="F81" s="452" t="s">
        <v>921</v>
      </c>
      <c r="G81" s="507">
        <f>H81+I81</f>
        <v>15747350</v>
      </c>
      <c r="H81" s="507">
        <f>'d3'!E97</f>
        <v>13091450</v>
      </c>
      <c r="I81" s="507">
        <f>'d3'!J97</f>
        <v>2655900</v>
      </c>
      <c r="J81" s="507">
        <f>'d3'!K97</f>
        <v>2655900</v>
      </c>
      <c r="K81" s="622"/>
      <c r="L81" s="622"/>
      <c r="M81" s="622"/>
    </row>
    <row r="82" spans="1:17" ht="386.25" thickTop="1" thickBot="1" x14ac:dyDescent="0.25">
      <c r="A82" s="224" t="s">
        <v>228</v>
      </c>
      <c r="B82" s="224" t="s">
        <v>229</v>
      </c>
      <c r="C82" s="224" t="s">
        <v>230</v>
      </c>
      <c r="D82" s="224" t="s">
        <v>231</v>
      </c>
      <c r="E82" s="506" t="s">
        <v>1373</v>
      </c>
      <c r="F82" s="452" t="s">
        <v>921</v>
      </c>
      <c r="G82" s="507">
        <f t="shared" ref="G82:G88" si="12">H82+I82</f>
        <v>9629950</v>
      </c>
      <c r="H82" s="507">
        <f>'d3'!E98</f>
        <v>9129950</v>
      </c>
      <c r="I82" s="507">
        <f>'d3'!J98</f>
        <v>500000</v>
      </c>
      <c r="J82" s="507">
        <f>'d3'!K98</f>
        <v>500000</v>
      </c>
      <c r="K82" s="622"/>
      <c r="L82" s="622"/>
      <c r="M82" s="622"/>
    </row>
    <row r="83" spans="1:17" ht="386.25" thickTop="1" thickBot="1" x14ac:dyDescent="0.25">
      <c r="A83" s="224" t="s">
        <v>232</v>
      </c>
      <c r="B83" s="224" t="s">
        <v>233</v>
      </c>
      <c r="C83" s="224" t="s">
        <v>234</v>
      </c>
      <c r="D83" s="224" t="s">
        <v>359</v>
      </c>
      <c r="E83" s="506" t="s">
        <v>1373</v>
      </c>
      <c r="F83" s="452" t="s">
        <v>921</v>
      </c>
      <c r="G83" s="507">
        <f t="shared" si="12"/>
        <v>13726470</v>
      </c>
      <c r="H83" s="507">
        <f>'d3'!E99</f>
        <v>13726470</v>
      </c>
      <c r="I83" s="507">
        <f>'d3'!J99</f>
        <v>0</v>
      </c>
      <c r="J83" s="507">
        <f>'d3'!K99</f>
        <v>0</v>
      </c>
      <c r="K83" s="622"/>
      <c r="L83" s="622"/>
      <c r="M83" s="622"/>
    </row>
    <row r="84" spans="1:17" ht="409.6" customHeight="1" thickTop="1" thickBot="1" x14ac:dyDescent="0.25">
      <c r="A84" s="224" t="s">
        <v>235</v>
      </c>
      <c r="B84" s="224" t="s">
        <v>236</v>
      </c>
      <c r="C84" s="224" t="s">
        <v>237</v>
      </c>
      <c r="D84" s="224" t="s">
        <v>238</v>
      </c>
      <c r="E84" s="506" t="s">
        <v>1373</v>
      </c>
      <c r="F84" s="452" t="s">
        <v>921</v>
      </c>
      <c r="G84" s="507">
        <f t="shared" si="12"/>
        <v>6468700</v>
      </c>
      <c r="H84" s="507">
        <f>'d3'!E100-H85</f>
        <v>6268700</v>
      </c>
      <c r="I84" s="507">
        <f>'d3'!J100-I85</f>
        <v>200000</v>
      </c>
      <c r="J84" s="507">
        <f>'d3'!K100-J85</f>
        <v>200000</v>
      </c>
      <c r="K84" s="622"/>
      <c r="L84" s="622"/>
      <c r="M84" s="622"/>
    </row>
    <row r="85" spans="1:17" ht="184.5" thickTop="1" thickBot="1" x14ac:dyDescent="0.25">
      <c r="A85" s="224" t="s">
        <v>235</v>
      </c>
      <c r="B85" s="224" t="s">
        <v>236</v>
      </c>
      <c r="C85" s="224" t="s">
        <v>237</v>
      </c>
      <c r="D85" s="224" t="s">
        <v>238</v>
      </c>
      <c r="E85" s="453" t="s">
        <v>1330</v>
      </c>
      <c r="F85" s="452" t="s">
        <v>917</v>
      </c>
      <c r="G85" s="452">
        <f t="shared" si="12"/>
        <v>1287600</v>
      </c>
      <c r="H85" s="452">
        <v>1287600</v>
      </c>
      <c r="I85" s="452"/>
      <c r="J85" s="452"/>
      <c r="K85" s="622"/>
      <c r="L85" s="622"/>
      <c r="M85" s="622"/>
    </row>
    <row r="86" spans="1:17" ht="386.25" thickTop="1" thickBot="1" x14ac:dyDescent="0.25">
      <c r="A86" s="224" t="s">
        <v>239</v>
      </c>
      <c r="B86" s="224" t="s">
        <v>240</v>
      </c>
      <c r="C86" s="224" t="s">
        <v>360</v>
      </c>
      <c r="D86" s="224" t="s">
        <v>241</v>
      </c>
      <c r="E86" s="506" t="s">
        <v>1373</v>
      </c>
      <c r="F86" s="452" t="s">
        <v>921</v>
      </c>
      <c r="G86" s="507">
        <f t="shared" si="12"/>
        <v>14204885</v>
      </c>
      <c r="H86" s="507">
        <f>'d3'!E102</f>
        <v>14204885</v>
      </c>
      <c r="I86" s="507">
        <f>'d3'!J102</f>
        <v>0</v>
      </c>
      <c r="J86" s="507">
        <f>'d3'!K102</f>
        <v>0</v>
      </c>
      <c r="K86" s="622"/>
      <c r="L86" s="622"/>
      <c r="M86" s="622"/>
    </row>
    <row r="87" spans="1:17" ht="386.25" hidden="1" thickTop="1" thickBot="1" x14ac:dyDescent="0.25">
      <c r="A87" s="259" t="s">
        <v>493</v>
      </c>
      <c r="B87" s="259" t="s">
        <v>494</v>
      </c>
      <c r="C87" s="259" t="s">
        <v>242</v>
      </c>
      <c r="D87" s="259" t="s">
        <v>495</v>
      </c>
      <c r="E87" s="356" t="s">
        <v>920</v>
      </c>
      <c r="F87" s="328" t="s">
        <v>921</v>
      </c>
      <c r="G87" s="359">
        <f t="shared" si="12"/>
        <v>0</v>
      </c>
      <c r="H87" s="359">
        <f>'d3'!E104</f>
        <v>0</v>
      </c>
      <c r="I87" s="359">
        <f>'d3'!J104</f>
        <v>0</v>
      </c>
      <c r="J87" s="359">
        <f>'d3'!K104</f>
        <v>0</v>
      </c>
      <c r="K87" s="622"/>
      <c r="L87" s="622"/>
      <c r="M87" s="622"/>
    </row>
    <row r="88" spans="1:17" s="24" customFormat="1" ht="409.6" customHeight="1" thickTop="1" thickBot="1" x14ac:dyDescent="0.25">
      <c r="A88" s="224" t="s">
        <v>335</v>
      </c>
      <c r="B88" s="224" t="s">
        <v>337</v>
      </c>
      <c r="C88" s="224" t="s">
        <v>242</v>
      </c>
      <c r="D88" s="499" t="s">
        <v>333</v>
      </c>
      <c r="E88" s="506" t="s">
        <v>1373</v>
      </c>
      <c r="F88" s="452" t="s">
        <v>921</v>
      </c>
      <c r="G88" s="507">
        <f t="shared" si="12"/>
        <v>3474610</v>
      </c>
      <c r="H88" s="507">
        <f>'d3'!E106</f>
        <v>3474610</v>
      </c>
      <c r="I88" s="507">
        <f>'d3'!J106</f>
        <v>0</v>
      </c>
      <c r="J88" s="507">
        <f>'d3'!K106</f>
        <v>0</v>
      </c>
      <c r="K88" s="621"/>
      <c r="L88" s="621"/>
      <c r="M88" s="621"/>
      <c r="N88" s="107"/>
      <c r="O88" s="107"/>
      <c r="P88" s="107"/>
      <c r="Q88" s="107"/>
    </row>
    <row r="89" spans="1:17" s="24" customFormat="1" ht="386.25" thickTop="1" thickBot="1" x14ac:dyDescent="0.25">
      <c r="A89" s="224" t="s">
        <v>336</v>
      </c>
      <c r="B89" s="224" t="s">
        <v>338</v>
      </c>
      <c r="C89" s="224" t="s">
        <v>242</v>
      </c>
      <c r="D89" s="499" t="s">
        <v>334</v>
      </c>
      <c r="E89" s="506" t="s">
        <v>1373</v>
      </c>
      <c r="F89" s="452" t="s">
        <v>921</v>
      </c>
      <c r="G89" s="763">
        <f>H89+I89</f>
        <v>4134000</v>
      </c>
      <c r="H89" s="763">
        <f>'d3'!E107</f>
        <v>4134000</v>
      </c>
      <c r="I89" s="763">
        <f>'d3'!J107</f>
        <v>0</v>
      </c>
      <c r="J89" s="763">
        <f>'d3'!K107</f>
        <v>0</v>
      </c>
      <c r="K89" s="621"/>
      <c r="L89" s="621"/>
      <c r="M89" s="621"/>
      <c r="N89" s="107"/>
      <c r="O89" s="107"/>
      <c r="P89" s="107"/>
      <c r="Q89" s="107"/>
    </row>
    <row r="90" spans="1:17" s="24" customFormat="1" ht="386.25" thickTop="1" thickBot="1" x14ac:dyDescent="0.25">
      <c r="A90" s="806" t="s">
        <v>1370</v>
      </c>
      <c r="B90" s="806" t="s">
        <v>1371</v>
      </c>
      <c r="C90" s="806" t="s">
        <v>218</v>
      </c>
      <c r="D90" s="499" t="s">
        <v>1372</v>
      </c>
      <c r="E90" s="506" t="s">
        <v>1373</v>
      </c>
      <c r="F90" s="808" t="s">
        <v>921</v>
      </c>
      <c r="G90" s="811">
        <f>H90+I90</f>
        <v>100000</v>
      </c>
      <c r="H90" s="811">
        <f>'d3'!E109</f>
        <v>100000</v>
      </c>
      <c r="I90" s="811">
        <f>'d3'!J109</f>
        <v>0</v>
      </c>
      <c r="J90" s="811">
        <f>'d3'!K109</f>
        <v>0</v>
      </c>
      <c r="K90" s="621"/>
      <c r="L90" s="621"/>
      <c r="M90" s="621"/>
      <c r="N90" s="107"/>
      <c r="O90" s="107"/>
      <c r="P90" s="107"/>
      <c r="Q90" s="107"/>
    </row>
    <row r="91" spans="1:17" s="24" customFormat="1" ht="386.25" thickTop="1" thickBot="1" x14ac:dyDescent="0.25">
      <c r="A91" s="755" t="s">
        <v>1333</v>
      </c>
      <c r="B91" s="755" t="s">
        <v>1335</v>
      </c>
      <c r="C91" s="755" t="s">
        <v>317</v>
      </c>
      <c r="D91" s="755" t="s">
        <v>1332</v>
      </c>
      <c r="E91" s="506" t="s">
        <v>1373</v>
      </c>
      <c r="F91" s="757" t="s">
        <v>921</v>
      </c>
      <c r="G91" s="763">
        <f>H91+I91</f>
        <v>300000</v>
      </c>
      <c r="H91" s="763">
        <f>'d3'!E113</f>
        <v>0</v>
      </c>
      <c r="I91" s="763">
        <f>'d3'!J113</f>
        <v>300000</v>
      </c>
      <c r="J91" s="763">
        <f>'d3'!K113</f>
        <v>300000</v>
      </c>
      <c r="K91" s="621"/>
      <c r="L91" s="621"/>
      <c r="M91" s="621"/>
      <c r="N91" s="107"/>
      <c r="O91" s="107"/>
      <c r="P91" s="107"/>
      <c r="Q91" s="107"/>
    </row>
    <row r="92" spans="1:17" s="24" customFormat="1" ht="386.25" hidden="1" thickTop="1" thickBot="1" x14ac:dyDescent="0.25">
      <c r="A92" s="259" t="s">
        <v>1144</v>
      </c>
      <c r="B92" s="259" t="s">
        <v>1145</v>
      </c>
      <c r="C92" s="259" t="s">
        <v>178</v>
      </c>
      <c r="D92" s="259" t="s">
        <v>1146</v>
      </c>
      <c r="E92" s="356" t="s">
        <v>920</v>
      </c>
      <c r="F92" s="328" t="s">
        <v>921</v>
      </c>
      <c r="G92" s="357">
        <f>H92+I92</f>
        <v>0</v>
      </c>
      <c r="H92" s="357">
        <f>'d3'!E115</f>
        <v>0</v>
      </c>
      <c r="I92" s="357">
        <f>'d3'!J115</f>
        <v>0</v>
      </c>
      <c r="J92" s="357">
        <f>'d3'!K115</f>
        <v>0</v>
      </c>
      <c r="K92" s="621"/>
      <c r="L92" s="621"/>
      <c r="M92" s="621"/>
      <c r="N92" s="107"/>
      <c r="O92" s="107"/>
      <c r="P92" s="107"/>
      <c r="Q92" s="107"/>
    </row>
    <row r="93" spans="1:17" s="24" customFormat="1" ht="138.75" hidden="1" thickTop="1" thickBot="1" x14ac:dyDescent="0.25">
      <c r="A93" s="259" t="s">
        <v>451</v>
      </c>
      <c r="B93" s="259" t="s">
        <v>209</v>
      </c>
      <c r="C93" s="259" t="s">
        <v>178</v>
      </c>
      <c r="D93" s="259" t="s">
        <v>36</v>
      </c>
      <c r="E93" s="328" t="s">
        <v>452</v>
      </c>
      <c r="F93" s="328" t="s">
        <v>426</v>
      </c>
      <c r="G93" s="1032">
        <f>H93+I93</f>
        <v>0</v>
      </c>
      <c r="H93" s="1032">
        <v>0</v>
      </c>
      <c r="I93" s="1032">
        <f>'d3'!J117-I95</f>
        <v>0</v>
      </c>
      <c r="J93" s="1032">
        <f>'d3'!K117-J95</f>
        <v>0</v>
      </c>
      <c r="K93" s="621"/>
      <c r="L93" s="621"/>
      <c r="M93" s="621"/>
      <c r="N93" s="107"/>
      <c r="O93" s="107"/>
      <c r="P93" s="107"/>
      <c r="Q93" s="107"/>
    </row>
    <row r="94" spans="1:17" s="24" customFormat="1" ht="386.25" hidden="1" thickTop="1" thickBot="1" x14ac:dyDescent="0.25">
      <c r="A94" s="259" t="s">
        <v>451</v>
      </c>
      <c r="B94" s="259" t="s">
        <v>209</v>
      </c>
      <c r="C94" s="259" t="s">
        <v>178</v>
      </c>
      <c r="D94" s="259" t="s">
        <v>36</v>
      </c>
      <c r="E94" s="356" t="s">
        <v>920</v>
      </c>
      <c r="F94" s="328" t="s">
        <v>921</v>
      </c>
      <c r="G94" s="1033"/>
      <c r="H94" s="1033"/>
      <c r="I94" s="1033"/>
      <c r="J94" s="1033"/>
      <c r="K94" s="621"/>
      <c r="L94" s="621"/>
      <c r="M94" s="621"/>
      <c r="N94" s="107"/>
      <c r="O94" s="107"/>
      <c r="P94" s="107"/>
      <c r="Q94" s="107"/>
    </row>
    <row r="95" spans="1:17" s="24" customFormat="1" ht="184.5" hidden="1" thickTop="1" thickBot="1" x14ac:dyDescent="0.25">
      <c r="A95" s="259" t="s">
        <v>451</v>
      </c>
      <c r="B95" s="259" t="s">
        <v>209</v>
      </c>
      <c r="C95" s="259" t="s">
        <v>178</v>
      </c>
      <c r="D95" s="259" t="s">
        <v>36</v>
      </c>
      <c r="E95" s="355" t="s">
        <v>467</v>
      </c>
      <c r="F95" s="296" t="s">
        <v>468</v>
      </c>
      <c r="G95" s="328">
        <f>H95+I95</f>
        <v>0</v>
      </c>
      <c r="H95" s="328">
        <v>0</v>
      </c>
      <c r="I95" s="328"/>
      <c r="J95" s="328"/>
      <c r="K95" s="621"/>
      <c r="L95" s="621"/>
      <c r="M95" s="621"/>
      <c r="N95" s="107"/>
      <c r="O95" s="107"/>
      <c r="P95" s="107"/>
      <c r="Q95" s="107"/>
    </row>
    <row r="96" spans="1:17" s="24" customFormat="1" ht="138.75" hidden="1" thickTop="1" thickBot="1" x14ac:dyDescent="0.25">
      <c r="A96" s="287" t="s">
        <v>527</v>
      </c>
      <c r="B96" s="287" t="s">
        <v>377</v>
      </c>
      <c r="C96" s="287" t="s">
        <v>45</v>
      </c>
      <c r="D96" s="287" t="s">
        <v>378</v>
      </c>
      <c r="E96" s="358" t="s">
        <v>452</v>
      </c>
      <c r="F96" s="358" t="s">
        <v>426</v>
      </c>
      <c r="G96" s="358">
        <f>H96+I96</f>
        <v>0</v>
      </c>
      <c r="H96" s="358">
        <f>'d3'!F118</f>
        <v>0</v>
      </c>
      <c r="I96" s="358">
        <f>'d3'!J118</f>
        <v>0</v>
      </c>
      <c r="J96" s="358">
        <f>'d3'!K118</f>
        <v>0</v>
      </c>
      <c r="K96" s="621"/>
      <c r="L96" s="621"/>
      <c r="M96" s="621"/>
      <c r="N96" s="107"/>
      <c r="O96" s="107"/>
      <c r="P96" s="107"/>
      <c r="Q96" s="107"/>
    </row>
    <row r="97" spans="1:17" ht="241.5" customHeight="1" thickTop="1" thickBot="1" x14ac:dyDescent="0.25">
      <c r="A97" s="828" t="s">
        <v>164</v>
      </c>
      <c r="B97" s="828"/>
      <c r="C97" s="828"/>
      <c r="D97" s="829" t="s">
        <v>39</v>
      </c>
      <c r="E97" s="828"/>
      <c r="F97" s="828"/>
      <c r="G97" s="831">
        <f>G98</f>
        <v>180138054</v>
      </c>
      <c r="H97" s="831">
        <f t="shared" ref="H97:J97" si="13">H98</f>
        <v>161161822</v>
      </c>
      <c r="I97" s="831">
        <f t="shared" si="13"/>
        <v>18976232</v>
      </c>
      <c r="J97" s="831">
        <f t="shared" si="13"/>
        <v>11930528</v>
      </c>
      <c r="K97" s="711" t="b">
        <f>H97='d3'!E120-'d3'!E122+H99+H100</f>
        <v>1</v>
      </c>
      <c r="L97" s="714" t="b">
        <f>I97='d3'!J120-'d3'!J122-'d3'!J147+'d7'!I99+I100</f>
        <v>1</v>
      </c>
      <c r="M97" s="714" t="b">
        <f>J97='d3'!K120-'d3'!K122-'d3'!K147+'d7'!J99+J100</f>
        <v>1</v>
      </c>
    </row>
    <row r="98" spans="1:17" ht="181.5" thickTop="1" thickBot="1" x14ac:dyDescent="0.25">
      <c r="A98" s="832" t="s">
        <v>165</v>
      </c>
      <c r="B98" s="832"/>
      <c r="C98" s="832"/>
      <c r="D98" s="833" t="s">
        <v>40</v>
      </c>
      <c r="E98" s="834"/>
      <c r="F98" s="834"/>
      <c r="G98" s="834">
        <f>SUM(G99:G131)</f>
        <v>180138054</v>
      </c>
      <c r="H98" s="834">
        <f>SUM(H99:H131)</f>
        <v>161161822</v>
      </c>
      <c r="I98" s="834">
        <f>SUM(I99:I131)</f>
        <v>18976232</v>
      </c>
      <c r="J98" s="834">
        <f>SUM(J99:J131)</f>
        <v>11930528</v>
      </c>
      <c r="K98" s="622"/>
      <c r="L98" s="628"/>
      <c r="M98" s="622"/>
    </row>
    <row r="99" spans="1:17" ht="184.5" thickTop="1" thickBot="1" x14ac:dyDescent="0.25">
      <c r="A99" s="224" t="s">
        <v>431</v>
      </c>
      <c r="B99" s="224" t="s">
        <v>248</v>
      </c>
      <c r="C99" s="224" t="s">
        <v>246</v>
      </c>
      <c r="D99" s="224" t="s">
        <v>247</v>
      </c>
      <c r="E99" s="451" t="s">
        <v>1123</v>
      </c>
      <c r="F99" s="452" t="s">
        <v>904</v>
      </c>
      <c r="G99" s="452">
        <f t="shared" ref="G99:G129" si="14">H99+I99</f>
        <v>299300</v>
      </c>
      <c r="H99" s="452">
        <v>0</v>
      </c>
      <c r="I99" s="452">
        <v>299300</v>
      </c>
      <c r="J99" s="452">
        <v>299300</v>
      </c>
      <c r="K99" s="622"/>
      <c r="L99" s="628"/>
      <c r="M99" s="622"/>
    </row>
    <row r="100" spans="1:17" s="169" customFormat="1" ht="184.5" hidden="1" thickTop="1" thickBot="1" x14ac:dyDescent="0.25">
      <c r="A100" s="259" t="s">
        <v>431</v>
      </c>
      <c r="B100" s="259" t="s">
        <v>248</v>
      </c>
      <c r="C100" s="259" t="s">
        <v>246</v>
      </c>
      <c r="D100" s="259" t="s">
        <v>247</v>
      </c>
      <c r="E100" s="355" t="s">
        <v>612</v>
      </c>
      <c r="F100" s="328" t="s">
        <v>423</v>
      </c>
      <c r="G100" s="328">
        <f t="shared" si="14"/>
        <v>0</v>
      </c>
      <c r="H100" s="328"/>
      <c r="I100" s="328"/>
      <c r="J100" s="328"/>
      <c r="K100" s="622"/>
      <c r="L100" s="628"/>
      <c r="M100" s="622"/>
      <c r="N100" s="170"/>
      <c r="O100" s="170"/>
      <c r="P100" s="170"/>
      <c r="Q100" s="170"/>
    </row>
    <row r="101" spans="1:17" s="141" customFormat="1" ht="367.5" thickTop="1" thickBot="1" x14ac:dyDescent="0.25">
      <c r="A101" s="224" t="s">
        <v>670</v>
      </c>
      <c r="B101" s="224" t="s">
        <v>376</v>
      </c>
      <c r="C101" s="224" t="s">
        <v>662</v>
      </c>
      <c r="D101" s="224" t="s">
        <v>663</v>
      </c>
      <c r="E101" s="451" t="s">
        <v>1328</v>
      </c>
      <c r="F101" s="751" t="s">
        <v>1329</v>
      </c>
      <c r="G101" s="452">
        <f t="shared" si="14"/>
        <v>50000</v>
      </c>
      <c r="H101" s="452">
        <f>'d3'!E123</f>
        <v>50000</v>
      </c>
      <c r="I101" s="452">
        <f>'d3'!J123</f>
        <v>0</v>
      </c>
      <c r="J101" s="452">
        <f>'d3'!K123</f>
        <v>0</v>
      </c>
      <c r="K101" s="622"/>
      <c r="L101" s="628"/>
      <c r="M101" s="622"/>
      <c r="N101" s="142"/>
      <c r="O101" s="142"/>
      <c r="P101" s="142"/>
      <c r="Q101" s="142"/>
    </row>
    <row r="102" spans="1:17" s="167" customFormat="1" ht="138.75" thickTop="1" thickBot="1" x14ac:dyDescent="0.25">
      <c r="A102" s="532" t="s">
        <v>977</v>
      </c>
      <c r="B102" s="532" t="s">
        <v>45</v>
      </c>
      <c r="C102" s="532" t="s">
        <v>44</v>
      </c>
      <c r="D102" s="532" t="s">
        <v>260</v>
      </c>
      <c r="E102" s="451" t="s">
        <v>1028</v>
      </c>
      <c r="F102" s="531" t="s">
        <v>1023</v>
      </c>
      <c r="G102" s="531">
        <f t="shared" si="14"/>
        <v>30000</v>
      </c>
      <c r="H102" s="531">
        <f>'d3'!E124</f>
        <v>30000</v>
      </c>
      <c r="I102" s="531">
        <f>'d3'!J124</f>
        <v>0</v>
      </c>
      <c r="J102" s="531">
        <f>'d3'!K124</f>
        <v>0</v>
      </c>
      <c r="K102" s="622"/>
      <c r="L102" s="628"/>
      <c r="M102" s="622"/>
      <c r="N102" s="168"/>
      <c r="O102" s="168"/>
      <c r="P102" s="168"/>
      <c r="Q102" s="168"/>
    </row>
    <row r="103" spans="1:17" s="24" customFormat="1" ht="138.75" thickTop="1" thickBot="1" x14ac:dyDescent="0.25">
      <c r="A103" s="533" t="s">
        <v>281</v>
      </c>
      <c r="B103" s="533" t="s">
        <v>282</v>
      </c>
      <c r="C103" s="533" t="s">
        <v>217</v>
      </c>
      <c r="D103" s="562" t="s">
        <v>283</v>
      </c>
      <c r="E103" s="453" t="s">
        <v>1361</v>
      </c>
      <c r="F103" s="735" t="s">
        <v>1317</v>
      </c>
      <c r="G103" s="531">
        <f t="shared" si="14"/>
        <v>420000</v>
      </c>
      <c r="H103" s="531">
        <f>'d3'!E127</f>
        <v>270000</v>
      </c>
      <c r="I103" s="531">
        <f>'d3'!J127</f>
        <v>150000</v>
      </c>
      <c r="J103" s="531">
        <f>'d3'!K127</f>
        <v>150000</v>
      </c>
      <c r="K103" s="621"/>
      <c r="L103" s="621"/>
      <c r="M103" s="621"/>
      <c r="N103" s="107"/>
      <c r="O103" s="107"/>
      <c r="P103" s="107"/>
      <c r="Q103" s="107"/>
    </row>
    <row r="104" spans="1:17" s="24" customFormat="1" ht="138.75" thickTop="1" thickBot="1" x14ac:dyDescent="0.25">
      <c r="A104" s="533" t="s">
        <v>284</v>
      </c>
      <c r="B104" s="533" t="s">
        <v>285</v>
      </c>
      <c r="C104" s="533" t="s">
        <v>218</v>
      </c>
      <c r="D104" s="533" t="s">
        <v>6</v>
      </c>
      <c r="E104" s="453" t="s">
        <v>1361</v>
      </c>
      <c r="F104" s="735" t="s">
        <v>1317</v>
      </c>
      <c r="G104" s="531">
        <f t="shared" si="14"/>
        <v>900000</v>
      </c>
      <c r="H104" s="531">
        <f>'d3'!E128</f>
        <v>900000</v>
      </c>
      <c r="I104" s="531">
        <f>'d3'!J128</f>
        <v>0</v>
      </c>
      <c r="J104" s="531">
        <f>'d3'!K128</f>
        <v>0</v>
      </c>
      <c r="K104" s="621"/>
      <c r="L104" s="621"/>
      <c r="M104" s="621"/>
      <c r="N104" s="107"/>
      <c r="O104" s="107"/>
      <c r="P104" s="107"/>
      <c r="Q104" s="107"/>
    </row>
    <row r="105" spans="1:17" s="24" customFormat="1" ht="138.75" thickTop="1" thickBot="1" x14ac:dyDescent="0.25">
      <c r="A105" s="533" t="s">
        <v>287</v>
      </c>
      <c r="B105" s="533" t="s">
        <v>288</v>
      </c>
      <c r="C105" s="533" t="s">
        <v>218</v>
      </c>
      <c r="D105" s="533" t="s">
        <v>7</v>
      </c>
      <c r="E105" s="453" t="s">
        <v>1361</v>
      </c>
      <c r="F105" s="735" t="s">
        <v>1317</v>
      </c>
      <c r="G105" s="531">
        <f t="shared" si="14"/>
        <v>15600000</v>
      </c>
      <c r="H105" s="531">
        <f>'d3'!E129</f>
        <v>15600000</v>
      </c>
      <c r="I105" s="531">
        <f>'d3'!J129</f>
        <v>0</v>
      </c>
      <c r="J105" s="531">
        <f>'d3'!K129</f>
        <v>0</v>
      </c>
      <c r="K105" s="621"/>
      <c r="L105" s="621"/>
      <c r="M105" s="621"/>
      <c r="N105" s="107"/>
      <c r="O105" s="107"/>
      <c r="P105" s="107"/>
      <c r="Q105" s="107"/>
    </row>
    <row r="106" spans="1:17" s="24" customFormat="1" ht="138.75" thickTop="1" thickBot="1" x14ac:dyDescent="0.25">
      <c r="A106" s="533" t="s">
        <v>289</v>
      </c>
      <c r="B106" s="533" t="s">
        <v>286</v>
      </c>
      <c r="C106" s="533" t="s">
        <v>218</v>
      </c>
      <c r="D106" s="533" t="s">
        <v>8</v>
      </c>
      <c r="E106" s="453" t="s">
        <v>1361</v>
      </c>
      <c r="F106" s="735" t="s">
        <v>1317</v>
      </c>
      <c r="G106" s="531">
        <f t="shared" si="14"/>
        <v>900000</v>
      </c>
      <c r="H106" s="531">
        <f>'d3'!E130</f>
        <v>900000</v>
      </c>
      <c r="I106" s="531">
        <f>'d3'!J130</f>
        <v>0</v>
      </c>
      <c r="J106" s="531">
        <f>'d3'!K130</f>
        <v>0</v>
      </c>
      <c r="K106" s="621"/>
      <c r="L106" s="621"/>
      <c r="M106" s="621"/>
      <c r="N106" s="107"/>
      <c r="O106" s="107"/>
      <c r="P106" s="107"/>
      <c r="Q106" s="107"/>
    </row>
    <row r="107" spans="1:17" s="24" customFormat="1" ht="138.75" thickTop="1" thickBot="1" x14ac:dyDescent="0.25">
      <c r="A107" s="533" t="s">
        <v>290</v>
      </c>
      <c r="B107" s="533" t="s">
        <v>291</v>
      </c>
      <c r="C107" s="533" t="s">
        <v>218</v>
      </c>
      <c r="D107" s="533" t="s">
        <v>9</v>
      </c>
      <c r="E107" s="453" t="s">
        <v>1361</v>
      </c>
      <c r="F107" s="735" t="s">
        <v>1317</v>
      </c>
      <c r="G107" s="531">
        <f t="shared" si="14"/>
        <v>46868000</v>
      </c>
      <c r="H107" s="531">
        <f>'d3'!E131</f>
        <v>46868000</v>
      </c>
      <c r="I107" s="531">
        <f>'d3'!J131</f>
        <v>0</v>
      </c>
      <c r="J107" s="531">
        <f>'d3'!K131</f>
        <v>0</v>
      </c>
      <c r="K107" s="621"/>
      <c r="L107" s="621"/>
      <c r="M107" s="621"/>
      <c r="N107" s="107"/>
      <c r="O107" s="107"/>
      <c r="P107" s="107"/>
      <c r="Q107" s="107"/>
    </row>
    <row r="108" spans="1:17" s="24" customFormat="1" ht="138.75" thickTop="1" thickBot="1" x14ac:dyDescent="0.25">
      <c r="A108" s="666" t="s">
        <v>496</v>
      </c>
      <c r="B108" s="666" t="s">
        <v>497</v>
      </c>
      <c r="C108" s="666" t="s">
        <v>218</v>
      </c>
      <c r="D108" s="666" t="s">
        <v>498</v>
      </c>
      <c r="E108" s="453" t="s">
        <v>1361</v>
      </c>
      <c r="F108" s="735" t="s">
        <v>1317</v>
      </c>
      <c r="G108" s="665">
        <f t="shared" si="14"/>
        <v>226297</v>
      </c>
      <c r="H108" s="665">
        <f>'d3'!E132</f>
        <v>226297</v>
      </c>
      <c r="I108" s="665">
        <f>'d3'!J132</f>
        <v>0</v>
      </c>
      <c r="J108" s="665">
        <f>'d3'!K132</f>
        <v>0</v>
      </c>
      <c r="K108" s="621"/>
      <c r="L108" s="621"/>
      <c r="M108" s="621"/>
      <c r="N108" s="107"/>
      <c r="O108" s="107"/>
      <c r="P108" s="107"/>
      <c r="Q108" s="107"/>
    </row>
    <row r="109" spans="1:17" s="24" customFormat="1" ht="138.75" thickTop="1" thickBot="1" x14ac:dyDescent="0.25">
      <c r="A109" s="533" t="s">
        <v>978</v>
      </c>
      <c r="B109" s="533" t="s">
        <v>979</v>
      </c>
      <c r="C109" s="533" t="s">
        <v>218</v>
      </c>
      <c r="D109" s="533" t="s">
        <v>980</v>
      </c>
      <c r="E109" s="453" t="s">
        <v>1361</v>
      </c>
      <c r="F109" s="735" t="s">
        <v>1317</v>
      </c>
      <c r="G109" s="531">
        <f t="shared" ref="G109" si="15">H109+I109</f>
        <v>179985</v>
      </c>
      <c r="H109" s="531">
        <f>'d3'!E133</f>
        <v>179985</v>
      </c>
      <c r="I109" s="531">
        <f>'d3'!J133</f>
        <v>0</v>
      </c>
      <c r="J109" s="531">
        <f>'d3'!K133</f>
        <v>0</v>
      </c>
      <c r="K109" s="621"/>
      <c r="L109" s="621"/>
      <c r="M109" s="621"/>
      <c r="N109" s="107"/>
      <c r="O109" s="107"/>
      <c r="P109" s="107"/>
      <c r="Q109" s="107"/>
    </row>
    <row r="110" spans="1:17" s="24" customFormat="1" ht="138.75" thickTop="1" thickBot="1" x14ac:dyDescent="0.25">
      <c r="A110" s="666" t="s">
        <v>499</v>
      </c>
      <c r="B110" s="666" t="s">
        <v>500</v>
      </c>
      <c r="C110" s="666" t="s">
        <v>217</v>
      </c>
      <c r="D110" s="666" t="s">
        <v>501</v>
      </c>
      <c r="E110" s="453" t="s">
        <v>1361</v>
      </c>
      <c r="F110" s="735" t="s">
        <v>1317</v>
      </c>
      <c r="G110" s="665">
        <f t="shared" si="14"/>
        <v>498130</v>
      </c>
      <c r="H110" s="665">
        <f>'d3'!E134</f>
        <v>498130</v>
      </c>
      <c r="I110" s="665">
        <f>'d3'!J134</f>
        <v>0</v>
      </c>
      <c r="J110" s="665">
        <f>'d3'!K134</f>
        <v>0</v>
      </c>
      <c r="K110" s="621"/>
      <c r="L110" s="621"/>
      <c r="M110" s="621"/>
      <c r="N110" s="107"/>
      <c r="O110" s="107"/>
      <c r="P110" s="107"/>
      <c r="Q110" s="107"/>
    </row>
    <row r="111" spans="1:17" ht="184.5" thickTop="1" thickBot="1" x14ac:dyDescent="0.25">
      <c r="A111" s="533" t="s">
        <v>279</v>
      </c>
      <c r="B111" s="533" t="s">
        <v>277</v>
      </c>
      <c r="C111" s="533" t="s">
        <v>212</v>
      </c>
      <c r="D111" s="533" t="s">
        <v>17</v>
      </c>
      <c r="E111" s="453" t="s">
        <v>1361</v>
      </c>
      <c r="F111" s="735" t="s">
        <v>1317</v>
      </c>
      <c r="G111" s="531">
        <f t="shared" si="14"/>
        <v>36244700</v>
      </c>
      <c r="H111" s="531">
        <f>'d3'!E136</f>
        <v>35694700</v>
      </c>
      <c r="I111" s="531">
        <f>'d3'!J136</f>
        <v>550000</v>
      </c>
      <c r="J111" s="531">
        <f>'d3'!K136</f>
        <v>0</v>
      </c>
      <c r="K111" s="622"/>
      <c r="L111" s="622"/>
      <c r="M111" s="622"/>
    </row>
    <row r="112" spans="1:17" ht="138.75" thickTop="1" thickBot="1" x14ac:dyDescent="0.25">
      <c r="A112" s="533" t="s">
        <v>280</v>
      </c>
      <c r="B112" s="533" t="s">
        <v>278</v>
      </c>
      <c r="C112" s="533" t="s">
        <v>211</v>
      </c>
      <c r="D112" s="533" t="s">
        <v>473</v>
      </c>
      <c r="E112" s="453" t="s">
        <v>1361</v>
      </c>
      <c r="F112" s="735" t="s">
        <v>1317</v>
      </c>
      <c r="G112" s="531">
        <f t="shared" si="14"/>
        <v>8556425</v>
      </c>
      <c r="H112" s="531">
        <f>'d3'!E137</f>
        <v>8525925</v>
      </c>
      <c r="I112" s="531">
        <f>'d3'!J137</f>
        <v>30500</v>
      </c>
      <c r="J112" s="531">
        <f>'d3'!K137</f>
        <v>30500</v>
      </c>
      <c r="K112" s="622"/>
      <c r="L112" s="622"/>
      <c r="M112" s="622"/>
    </row>
    <row r="113" spans="1:17" s="857" customFormat="1" ht="138.75" thickTop="1" thickBot="1" x14ac:dyDescent="0.25">
      <c r="A113" s="864" t="s">
        <v>1389</v>
      </c>
      <c r="B113" s="864" t="s">
        <v>196</v>
      </c>
      <c r="C113" s="864" t="s">
        <v>197</v>
      </c>
      <c r="D113" s="864" t="s">
        <v>680</v>
      </c>
      <c r="E113" s="453" t="s">
        <v>1361</v>
      </c>
      <c r="F113" s="861" t="s">
        <v>1317</v>
      </c>
      <c r="G113" s="861">
        <f>H113+I113</f>
        <v>6040461</v>
      </c>
      <c r="H113" s="861">
        <f>'d3'!E139</f>
        <v>6040461</v>
      </c>
      <c r="I113" s="861">
        <f>'d3'!J139</f>
        <v>0</v>
      </c>
      <c r="J113" s="861">
        <f>'d3'!K139</f>
        <v>0</v>
      </c>
      <c r="K113" s="622"/>
      <c r="L113" s="622"/>
      <c r="M113" s="622"/>
      <c r="N113" s="878"/>
      <c r="O113" s="878"/>
      <c r="P113" s="878"/>
      <c r="Q113" s="878"/>
    </row>
    <row r="114" spans="1:17" s="202" customFormat="1" ht="230.25" hidden="1" thickTop="1" thickBot="1" x14ac:dyDescent="0.25">
      <c r="A114" s="259" t="s">
        <v>1101</v>
      </c>
      <c r="B114" s="259" t="s">
        <v>1102</v>
      </c>
      <c r="C114" s="259" t="s">
        <v>197</v>
      </c>
      <c r="D114" s="259" t="s">
        <v>1103</v>
      </c>
      <c r="E114" s="355" t="s">
        <v>612</v>
      </c>
      <c r="F114" s="328" t="s">
        <v>423</v>
      </c>
      <c r="G114" s="328">
        <f t="shared" si="14"/>
        <v>0</v>
      </c>
      <c r="H114" s="328"/>
      <c r="I114" s="328"/>
      <c r="J114" s="328"/>
      <c r="K114" s="622"/>
      <c r="L114" s="622"/>
      <c r="M114" s="622"/>
      <c r="N114" s="203"/>
      <c r="O114" s="203"/>
      <c r="P114" s="203"/>
      <c r="Q114" s="203"/>
    </row>
    <row r="115" spans="1:17" ht="321.75" thickTop="1" thickBot="1" x14ac:dyDescent="0.25">
      <c r="A115" s="533" t="s">
        <v>275</v>
      </c>
      <c r="B115" s="533" t="s">
        <v>276</v>
      </c>
      <c r="C115" s="533" t="s">
        <v>211</v>
      </c>
      <c r="D115" s="533" t="s">
        <v>471</v>
      </c>
      <c r="E115" s="453" t="s">
        <v>1361</v>
      </c>
      <c r="F115" s="735" t="s">
        <v>1317</v>
      </c>
      <c r="G115" s="531">
        <f t="shared" si="14"/>
        <v>3283295</v>
      </c>
      <c r="H115" s="531">
        <f>'d3'!E140</f>
        <v>3283295</v>
      </c>
      <c r="I115" s="531">
        <f>'d3'!J140</f>
        <v>0</v>
      </c>
      <c r="J115" s="531">
        <f>'d3'!K140</f>
        <v>0</v>
      </c>
      <c r="K115" s="622"/>
      <c r="L115" s="622"/>
      <c r="M115" s="622"/>
    </row>
    <row r="116" spans="1:17" ht="230.25" thickTop="1" thickBot="1" x14ac:dyDescent="0.25">
      <c r="A116" s="666" t="s">
        <v>502</v>
      </c>
      <c r="B116" s="666" t="s">
        <v>503</v>
      </c>
      <c r="C116" s="666" t="s">
        <v>211</v>
      </c>
      <c r="D116" s="666" t="s">
        <v>504</v>
      </c>
      <c r="E116" s="453" t="s">
        <v>1361</v>
      </c>
      <c r="F116" s="735" t="s">
        <v>1317</v>
      </c>
      <c r="G116" s="665">
        <f t="shared" si="14"/>
        <v>159297</v>
      </c>
      <c r="H116" s="665">
        <f>'d3'!E142</f>
        <v>159297</v>
      </c>
      <c r="I116" s="665">
        <f>'d3'!J142</f>
        <v>0</v>
      </c>
      <c r="J116" s="665">
        <f>'d3'!K142</f>
        <v>0</v>
      </c>
      <c r="K116" s="622"/>
      <c r="L116" s="622"/>
      <c r="M116" s="622"/>
    </row>
    <row r="117" spans="1:17" ht="276" thickTop="1" thickBot="1" x14ac:dyDescent="0.25">
      <c r="A117" s="533" t="s">
        <v>362</v>
      </c>
      <c r="B117" s="533" t="s">
        <v>361</v>
      </c>
      <c r="C117" s="533" t="s">
        <v>52</v>
      </c>
      <c r="D117" s="533" t="s">
        <v>472</v>
      </c>
      <c r="E117" s="453" t="s">
        <v>1361</v>
      </c>
      <c r="F117" s="735" t="s">
        <v>1317</v>
      </c>
      <c r="G117" s="531">
        <f t="shared" si="14"/>
        <v>1145980</v>
      </c>
      <c r="H117" s="531">
        <f>'d3'!E143-H118</f>
        <v>1145980</v>
      </c>
      <c r="I117" s="531">
        <f>'d3'!J143-I118</f>
        <v>0</v>
      </c>
      <c r="J117" s="531">
        <f>'d3'!K143-J118</f>
        <v>0</v>
      </c>
      <c r="K117" s="622"/>
      <c r="L117" s="622"/>
      <c r="M117" s="622"/>
    </row>
    <row r="118" spans="1:17" ht="276" thickTop="1" thickBot="1" x14ac:dyDescent="0.25">
      <c r="A118" s="533" t="s">
        <v>362</v>
      </c>
      <c r="B118" s="533" t="s">
        <v>361</v>
      </c>
      <c r="C118" s="533" t="s">
        <v>52</v>
      </c>
      <c r="D118" s="533" t="s">
        <v>472</v>
      </c>
      <c r="E118" s="453" t="s">
        <v>1330</v>
      </c>
      <c r="F118" s="531" t="s">
        <v>917</v>
      </c>
      <c r="G118" s="531">
        <f t="shared" si="14"/>
        <v>1696520</v>
      </c>
      <c r="H118" s="531">
        <f>1363850+332670</f>
        <v>1696520</v>
      </c>
      <c r="I118" s="531">
        <v>0</v>
      </c>
      <c r="J118" s="531">
        <v>0</v>
      </c>
      <c r="K118" s="622"/>
      <c r="L118" s="622"/>
      <c r="M118" s="622"/>
    </row>
    <row r="119" spans="1:17" ht="184.5" thickTop="1" thickBot="1" x14ac:dyDescent="0.25">
      <c r="A119" s="533" t="s">
        <v>339</v>
      </c>
      <c r="B119" s="533" t="s">
        <v>340</v>
      </c>
      <c r="C119" s="533" t="s">
        <v>217</v>
      </c>
      <c r="D119" s="533" t="s">
        <v>677</v>
      </c>
      <c r="E119" s="453" t="s">
        <v>1361</v>
      </c>
      <c r="F119" s="735" t="s">
        <v>1317</v>
      </c>
      <c r="G119" s="531">
        <f t="shared" si="14"/>
        <v>758000</v>
      </c>
      <c r="H119" s="531">
        <f>'d3'!E145</f>
        <v>758000</v>
      </c>
      <c r="I119" s="531">
        <f>'d3'!J145</f>
        <v>0</v>
      </c>
      <c r="J119" s="531">
        <f>'d3'!K145</f>
        <v>0</v>
      </c>
      <c r="K119" s="622"/>
      <c r="L119" s="622"/>
      <c r="M119" s="622"/>
    </row>
    <row r="120" spans="1:17" ht="138.75" thickTop="1" thickBot="1" x14ac:dyDescent="0.25">
      <c r="A120" s="533" t="s">
        <v>444</v>
      </c>
      <c r="B120" s="533" t="s">
        <v>386</v>
      </c>
      <c r="C120" s="533" t="s">
        <v>387</v>
      </c>
      <c r="D120" s="533" t="s">
        <v>385</v>
      </c>
      <c r="E120" s="453" t="s">
        <v>1297</v>
      </c>
      <c r="F120" s="531" t="s">
        <v>1024</v>
      </c>
      <c r="G120" s="531">
        <f t="shared" si="14"/>
        <v>107000</v>
      </c>
      <c r="H120" s="531">
        <f>'d3'!E146</f>
        <v>107000</v>
      </c>
      <c r="I120" s="531">
        <f>'d3'!J146</f>
        <v>0</v>
      </c>
      <c r="J120" s="531">
        <f>'d3'!K146</f>
        <v>0</v>
      </c>
      <c r="K120" s="622"/>
      <c r="L120" s="622"/>
      <c r="M120" s="622"/>
    </row>
    <row r="121" spans="1:17" s="804" customFormat="1" ht="184.5" thickTop="1" thickBot="1" x14ac:dyDescent="0.25">
      <c r="A121" s="806" t="s">
        <v>1374</v>
      </c>
      <c r="B121" s="806" t="s">
        <v>1371</v>
      </c>
      <c r="C121" s="806" t="s">
        <v>218</v>
      </c>
      <c r="D121" s="499" t="s">
        <v>1372</v>
      </c>
      <c r="E121" s="453" t="s">
        <v>1361</v>
      </c>
      <c r="F121" s="808" t="s">
        <v>1317</v>
      </c>
      <c r="G121" s="808">
        <f t="shared" ref="G121" si="16">H121+I121</f>
        <v>1312428</v>
      </c>
      <c r="H121" s="810">
        <f>'d3'!E161</f>
        <v>1184000</v>
      </c>
      <c r="I121" s="808">
        <f>'d3'!J161</f>
        <v>128428</v>
      </c>
      <c r="J121" s="808">
        <f>'d3'!K161</f>
        <v>128428</v>
      </c>
      <c r="K121" s="622"/>
      <c r="L121" s="622"/>
      <c r="M121" s="622"/>
      <c r="N121" s="812"/>
      <c r="O121" s="812"/>
      <c r="P121" s="812"/>
      <c r="Q121" s="812"/>
    </row>
    <row r="122" spans="1:17" ht="138.75" thickTop="1" thickBot="1" x14ac:dyDescent="0.25">
      <c r="A122" s="533" t="s">
        <v>341</v>
      </c>
      <c r="B122" s="533" t="s">
        <v>343</v>
      </c>
      <c r="C122" s="533" t="s">
        <v>203</v>
      </c>
      <c r="D122" s="499" t="s">
        <v>345</v>
      </c>
      <c r="E122" s="453" t="s">
        <v>1361</v>
      </c>
      <c r="F122" s="735" t="s">
        <v>1317</v>
      </c>
      <c r="G122" s="531">
        <f t="shared" si="14"/>
        <v>21314769</v>
      </c>
      <c r="H122" s="567">
        <f>'d3'!E163-H123</f>
        <v>12724065</v>
      </c>
      <c r="I122" s="531">
        <f>'d3'!J163-I123</f>
        <v>8590704</v>
      </c>
      <c r="J122" s="531">
        <f>'d3'!K163-J123</f>
        <v>2560000</v>
      </c>
      <c r="K122" s="622"/>
      <c r="L122" s="622"/>
      <c r="M122" s="622"/>
    </row>
    <row r="123" spans="1:17" ht="184.5" hidden="1" thickTop="1" thickBot="1" x14ac:dyDescent="0.25">
      <c r="A123" s="259" t="s">
        <v>341</v>
      </c>
      <c r="B123" s="259" t="s">
        <v>343</v>
      </c>
      <c r="C123" s="259" t="s">
        <v>203</v>
      </c>
      <c r="D123" s="285" t="s">
        <v>345</v>
      </c>
      <c r="E123" s="355" t="s">
        <v>467</v>
      </c>
      <c r="F123" s="296" t="s">
        <v>468</v>
      </c>
      <c r="G123" s="328">
        <f>H123+I123</f>
        <v>0</v>
      </c>
      <c r="H123" s="354">
        <v>0</v>
      </c>
      <c r="I123" s="328">
        <v>0</v>
      </c>
      <c r="J123" s="328">
        <v>0</v>
      </c>
      <c r="K123" s="622"/>
      <c r="L123" s="622"/>
      <c r="M123" s="622"/>
    </row>
    <row r="124" spans="1:17" ht="138.75" thickTop="1" thickBot="1" x14ac:dyDescent="0.25">
      <c r="A124" s="533" t="s">
        <v>342</v>
      </c>
      <c r="B124" s="533" t="s">
        <v>344</v>
      </c>
      <c r="C124" s="533" t="s">
        <v>203</v>
      </c>
      <c r="D124" s="499" t="s">
        <v>346</v>
      </c>
      <c r="E124" s="453" t="s">
        <v>1361</v>
      </c>
      <c r="F124" s="735" t="s">
        <v>1317</v>
      </c>
      <c r="G124" s="531">
        <f t="shared" si="14"/>
        <v>19663167</v>
      </c>
      <c r="H124" s="531">
        <f>'d3'!E164-H125-H126</f>
        <v>19513167</v>
      </c>
      <c r="I124" s="531">
        <f>'d3'!J164-I125-I126</f>
        <v>150000</v>
      </c>
      <c r="J124" s="531">
        <f>'d3'!K164-J125-J126</f>
        <v>150000</v>
      </c>
      <c r="K124" s="622"/>
      <c r="L124" s="622"/>
      <c r="M124" s="622"/>
    </row>
    <row r="125" spans="1:17" ht="138.75" thickTop="1" thickBot="1" x14ac:dyDescent="0.25">
      <c r="A125" s="533" t="s">
        <v>342</v>
      </c>
      <c r="B125" s="533" t="s">
        <v>344</v>
      </c>
      <c r="C125" s="533" t="s">
        <v>203</v>
      </c>
      <c r="D125" s="499" t="s">
        <v>346</v>
      </c>
      <c r="E125" s="531" t="s">
        <v>915</v>
      </c>
      <c r="F125" s="531" t="s">
        <v>916</v>
      </c>
      <c r="G125" s="531">
        <f t="shared" si="14"/>
        <v>716000</v>
      </c>
      <c r="H125" s="531">
        <f>200000+500000+16000</f>
        <v>716000</v>
      </c>
      <c r="I125" s="531">
        <v>0</v>
      </c>
      <c r="J125" s="531">
        <v>0</v>
      </c>
      <c r="K125" s="622"/>
      <c r="L125" s="622"/>
      <c r="M125" s="622"/>
    </row>
    <row r="126" spans="1:17" ht="184.5" thickTop="1" thickBot="1" x14ac:dyDescent="0.25">
      <c r="A126" s="533" t="s">
        <v>342</v>
      </c>
      <c r="B126" s="533" t="s">
        <v>344</v>
      </c>
      <c r="C126" s="533" t="s">
        <v>203</v>
      </c>
      <c r="D126" s="499" t="s">
        <v>346</v>
      </c>
      <c r="E126" s="453" t="s">
        <v>1330</v>
      </c>
      <c r="F126" s="531" t="s">
        <v>917</v>
      </c>
      <c r="G126" s="531">
        <f t="shared" si="14"/>
        <v>4406900</v>
      </c>
      <c r="H126" s="531">
        <f>3000000+531000+500000+60000</f>
        <v>4091000</v>
      </c>
      <c r="I126" s="531">
        <v>315900</v>
      </c>
      <c r="J126" s="531">
        <v>315900</v>
      </c>
      <c r="K126" s="726"/>
      <c r="L126" s="622"/>
      <c r="M126" s="622"/>
    </row>
    <row r="127" spans="1:17" ht="184.5" thickTop="1" thickBot="1" x14ac:dyDescent="0.25">
      <c r="A127" s="533" t="s">
        <v>381</v>
      </c>
      <c r="B127" s="533" t="s">
        <v>379</v>
      </c>
      <c r="C127" s="533" t="s">
        <v>354</v>
      </c>
      <c r="D127" s="499" t="s">
        <v>380</v>
      </c>
      <c r="E127" s="453" t="s">
        <v>1330</v>
      </c>
      <c r="F127" s="531" t="s">
        <v>917</v>
      </c>
      <c r="G127" s="531">
        <f t="shared" si="14"/>
        <v>6000000</v>
      </c>
      <c r="H127" s="531">
        <f>'d3'!E167</f>
        <v>0</v>
      </c>
      <c r="I127" s="531">
        <f>'d3'!J167</f>
        <v>6000000</v>
      </c>
      <c r="J127" s="531">
        <f>'d3'!K167</f>
        <v>6000000</v>
      </c>
      <c r="K127" s="622"/>
      <c r="L127" s="622"/>
      <c r="M127" s="622"/>
    </row>
    <row r="128" spans="1:17" s="216" customFormat="1" ht="321.75" hidden="1" thickTop="1" thickBot="1" x14ac:dyDescent="0.25">
      <c r="A128" s="259" t="s">
        <v>1171</v>
      </c>
      <c r="B128" s="259" t="s">
        <v>1172</v>
      </c>
      <c r="C128" s="259" t="s">
        <v>354</v>
      </c>
      <c r="D128" s="285" t="s">
        <v>1173</v>
      </c>
      <c r="E128" s="328" t="s">
        <v>915</v>
      </c>
      <c r="F128" s="328" t="s">
        <v>916</v>
      </c>
      <c r="G128" s="328">
        <f t="shared" si="14"/>
        <v>0</v>
      </c>
      <c r="H128" s="359">
        <f>'d3'!E168</f>
        <v>0</v>
      </c>
      <c r="I128" s="359">
        <f>'d3'!J168</f>
        <v>0</v>
      </c>
      <c r="J128" s="359">
        <f>'d3'!K168</f>
        <v>0</v>
      </c>
      <c r="K128" s="622"/>
      <c r="L128" s="622"/>
      <c r="M128" s="622"/>
      <c r="N128" s="217"/>
      <c r="O128" s="217"/>
      <c r="P128" s="217"/>
      <c r="Q128" s="217"/>
    </row>
    <row r="129" spans="1:17" s="169" customFormat="1" ht="138.75" thickTop="1" thickBot="1" x14ac:dyDescent="0.25">
      <c r="A129" s="533" t="s">
        <v>983</v>
      </c>
      <c r="B129" s="533" t="s">
        <v>984</v>
      </c>
      <c r="C129" s="533" t="s">
        <v>317</v>
      </c>
      <c r="D129" s="533" t="s">
        <v>985</v>
      </c>
      <c r="E129" s="453" t="s">
        <v>1361</v>
      </c>
      <c r="F129" s="735" t="s">
        <v>1317</v>
      </c>
      <c r="G129" s="531">
        <f t="shared" si="14"/>
        <v>2296400</v>
      </c>
      <c r="H129" s="537">
        <f>'d3'!E172</f>
        <v>0</v>
      </c>
      <c r="I129" s="537">
        <f>'d3'!J172</f>
        <v>2296400</v>
      </c>
      <c r="J129" s="537">
        <f>'d3'!K172</f>
        <v>2296400</v>
      </c>
      <c r="K129" s="622"/>
      <c r="L129" s="622"/>
      <c r="M129" s="622"/>
      <c r="N129" s="170"/>
      <c r="O129" s="170"/>
      <c r="P129" s="170"/>
      <c r="Q129" s="170"/>
    </row>
    <row r="130" spans="1:17" ht="321.75" thickTop="1" thickBot="1" x14ac:dyDescent="0.7">
      <c r="A130" s="920" t="s">
        <v>439</v>
      </c>
      <c r="B130" s="920" t="s">
        <v>352</v>
      </c>
      <c r="C130" s="920" t="s">
        <v>178</v>
      </c>
      <c r="D130" s="484" t="s">
        <v>457</v>
      </c>
      <c r="E130" s="920" t="s">
        <v>1309</v>
      </c>
      <c r="F130" s="920" t="s">
        <v>1310</v>
      </c>
      <c r="G130" s="1034">
        <f>H130+I130</f>
        <v>465000</v>
      </c>
      <c r="H130" s="1034">
        <f>'d3'!E175</f>
        <v>0</v>
      </c>
      <c r="I130" s="1034">
        <f>'d3'!J175</f>
        <v>465000</v>
      </c>
      <c r="J130" s="1034">
        <f>'d3'!K175</f>
        <v>0</v>
      </c>
      <c r="K130" s="622"/>
      <c r="L130" s="622"/>
      <c r="M130" s="622"/>
    </row>
    <row r="131" spans="1:17" ht="138.75" thickTop="1" thickBot="1" x14ac:dyDescent="0.25">
      <c r="A131" s="934"/>
      <c r="B131" s="934"/>
      <c r="C131" s="934"/>
      <c r="D131" s="488" t="s">
        <v>458</v>
      </c>
      <c r="E131" s="934"/>
      <c r="F131" s="934"/>
      <c r="G131" s="1035"/>
      <c r="H131" s="1036"/>
      <c r="I131" s="1035"/>
      <c r="J131" s="1035"/>
      <c r="K131" s="711"/>
      <c r="L131" s="714"/>
      <c r="M131" s="714"/>
    </row>
    <row r="132" spans="1:17" ht="136.5" thickTop="1" thickBot="1" x14ac:dyDescent="0.25">
      <c r="A132" s="828">
        <v>1000000</v>
      </c>
      <c r="B132" s="828"/>
      <c r="C132" s="828"/>
      <c r="D132" s="829" t="s">
        <v>24</v>
      </c>
      <c r="E132" s="828"/>
      <c r="F132" s="828"/>
      <c r="G132" s="831">
        <f>G133</f>
        <v>160112665</v>
      </c>
      <c r="H132" s="831">
        <f t="shared" ref="H132:J132" si="17">H133</f>
        <v>145732895</v>
      </c>
      <c r="I132" s="831">
        <f t="shared" si="17"/>
        <v>14379770</v>
      </c>
      <c r="J132" s="831">
        <f t="shared" si="17"/>
        <v>4666920</v>
      </c>
      <c r="K132" s="711" t="b">
        <f>H132='d3'!E178</f>
        <v>1</v>
      </c>
      <c r="L132" s="714" t="b">
        <f>I132='d3'!J178</f>
        <v>1</v>
      </c>
      <c r="M132" s="714" t="b">
        <f>J132='d3'!K178</f>
        <v>1</v>
      </c>
    </row>
    <row r="133" spans="1:17" ht="136.5" thickTop="1" thickBot="1" x14ac:dyDescent="0.25">
      <c r="A133" s="832">
        <v>1010000</v>
      </c>
      <c r="B133" s="832"/>
      <c r="C133" s="832"/>
      <c r="D133" s="833" t="s">
        <v>41</v>
      </c>
      <c r="E133" s="834"/>
      <c r="F133" s="834"/>
      <c r="G133" s="834">
        <f>SUM(G134:G150)</f>
        <v>160112665</v>
      </c>
      <c r="H133" s="834">
        <f>SUM(H134:H150)</f>
        <v>145732895</v>
      </c>
      <c r="I133" s="834">
        <f>SUM(I134:I150)</f>
        <v>14379770</v>
      </c>
      <c r="J133" s="834">
        <f>SUM(J134:J150)</f>
        <v>4666920</v>
      </c>
      <c r="K133" s="622"/>
      <c r="L133" s="622"/>
      <c r="M133" s="622"/>
    </row>
    <row r="134" spans="1:17" ht="184.5" thickTop="1" thickBot="1" x14ac:dyDescent="0.25">
      <c r="A134" s="483" t="s">
        <v>678</v>
      </c>
      <c r="B134" s="483" t="s">
        <v>679</v>
      </c>
      <c r="C134" s="483" t="s">
        <v>193</v>
      </c>
      <c r="D134" s="483" t="s">
        <v>1240</v>
      </c>
      <c r="E134" s="486" t="s">
        <v>913</v>
      </c>
      <c r="F134" s="486" t="s">
        <v>914</v>
      </c>
      <c r="G134" s="486">
        <f>H134+I134</f>
        <v>87119890</v>
      </c>
      <c r="H134" s="486">
        <f>'d3'!E180</f>
        <v>78240350</v>
      </c>
      <c r="I134" s="486">
        <f>'d3'!J180</f>
        <v>8879540</v>
      </c>
      <c r="J134" s="486">
        <f>'d3'!K180</f>
        <v>0</v>
      </c>
      <c r="K134" s="622"/>
      <c r="L134" s="622"/>
      <c r="M134" s="622"/>
    </row>
    <row r="135" spans="1:17" ht="243" customHeight="1" thickTop="1" thickBot="1" x14ac:dyDescent="0.25">
      <c r="A135" s="483" t="s">
        <v>179</v>
      </c>
      <c r="B135" s="483" t="s">
        <v>180</v>
      </c>
      <c r="C135" s="483" t="s">
        <v>182</v>
      </c>
      <c r="D135" s="483" t="s">
        <v>183</v>
      </c>
      <c r="E135" s="486" t="s">
        <v>913</v>
      </c>
      <c r="F135" s="486" t="s">
        <v>914</v>
      </c>
      <c r="G135" s="486">
        <f t="shared" ref="G135:G150" si="18">H135+I135</f>
        <v>1100800</v>
      </c>
      <c r="H135" s="486">
        <f>'d3'!E182</f>
        <v>1100800</v>
      </c>
      <c r="I135" s="486">
        <f>'d3'!J182</f>
        <v>0</v>
      </c>
      <c r="J135" s="486">
        <f>'d3'!K182</f>
        <v>0</v>
      </c>
      <c r="K135" s="622"/>
      <c r="L135" s="622"/>
      <c r="M135" s="622"/>
    </row>
    <row r="136" spans="1:17" ht="184.5" thickTop="1" thickBot="1" x14ac:dyDescent="0.25">
      <c r="A136" s="483" t="s">
        <v>184</v>
      </c>
      <c r="B136" s="483" t="s">
        <v>185</v>
      </c>
      <c r="C136" s="483" t="s">
        <v>186</v>
      </c>
      <c r="D136" s="483" t="s">
        <v>187</v>
      </c>
      <c r="E136" s="486" t="s">
        <v>913</v>
      </c>
      <c r="F136" s="486" t="s">
        <v>914</v>
      </c>
      <c r="G136" s="486">
        <f t="shared" si="18"/>
        <v>15393555</v>
      </c>
      <c r="H136" s="486">
        <f>'d3'!E183-H137-H138</f>
        <v>15273555</v>
      </c>
      <c r="I136" s="486">
        <f>'d3'!J183-I137-I138</f>
        <v>120000</v>
      </c>
      <c r="J136" s="486">
        <f>'d3'!K183-J137-J138</f>
        <v>0</v>
      </c>
      <c r="K136" s="622"/>
      <c r="L136" s="622"/>
      <c r="M136" s="622"/>
    </row>
    <row r="137" spans="1:17" ht="184.5" hidden="1" thickTop="1" thickBot="1" x14ac:dyDescent="0.25">
      <c r="A137" s="259" t="s">
        <v>184</v>
      </c>
      <c r="B137" s="259" t="s">
        <v>185</v>
      </c>
      <c r="C137" s="259" t="s">
        <v>186</v>
      </c>
      <c r="D137" s="259" t="s">
        <v>187</v>
      </c>
      <c r="E137" s="355" t="s">
        <v>467</v>
      </c>
      <c r="F137" s="296" t="s">
        <v>468</v>
      </c>
      <c r="G137" s="328">
        <f>H137+I137</f>
        <v>0</v>
      </c>
      <c r="H137" s="354">
        <v>0</v>
      </c>
      <c r="I137" s="328">
        <v>0</v>
      </c>
      <c r="J137" s="328">
        <v>0</v>
      </c>
      <c r="K137" s="622"/>
      <c r="L137" s="622"/>
      <c r="M137" s="622"/>
    </row>
    <row r="138" spans="1:17" s="163" customFormat="1" ht="184.5" hidden="1" thickTop="1" thickBot="1" x14ac:dyDescent="0.25">
      <c r="A138" s="259" t="s">
        <v>184</v>
      </c>
      <c r="B138" s="259" t="s">
        <v>185</v>
      </c>
      <c r="C138" s="259" t="s">
        <v>186</v>
      </c>
      <c r="D138" s="259" t="s">
        <v>187</v>
      </c>
      <c r="E138" s="328" t="s">
        <v>911</v>
      </c>
      <c r="F138" s="328" t="s">
        <v>912</v>
      </c>
      <c r="G138" s="328">
        <f>H138+I138</f>
        <v>0</v>
      </c>
      <c r="H138" s="354">
        <v>0</v>
      </c>
      <c r="I138" s="328">
        <v>0</v>
      </c>
      <c r="J138" s="328">
        <v>0</v>
      </c>
      <c r="K138" s="622"/>
      <c r="L138" s="622"/>
      <c r="M138" s="622"/>
      <c r="N138" s="164"/>
      <c r="O138" s="164"/>
      <c r="P138" s="164"/>
      <c r="Q138" s="164"/>
    </row>
    <row r="139" spans="1:17" ht="184.5" thickTop="1" thickBot="1" x14ac:dyDescent="0.25">
      <c r="A139" s="483" t="s">
        <v>188</v>
      </c>
      <c r="B139" s="483" t="s">
        <v>189</v>
      </c>
      <c r="C139" s="483" t="s">
        <v>186</v>
      </c>
      <c r="D139" s="483" t="s">
        <v>481</v>
      </c>
      <c r="E139" s="486" t="s">
        <v>913</v>
      </c>
      <c r="F139" s="486" t="s">
        <v>914</v>
      </c>
      <c r="G139" s="486">
        <f t="shared" si="18"/>
        <v>7013830</v>
      </c>
      <c r="H139" s="486">
        <f>'d3'!E184</f>
        <v>2274910</v>
      </c>
      <c r="I139" s="486">
        <f>'d3'!J184</f>
        <v>4738920</v>
      </c>
      <c r="J139" s="486">
        <f>'d3'!K184</f>
        <v>4652920</v>
      </c>
      <c r="K139" s="622"/>
      <c r="L139" s="622"/>
      <c r="M139" s="622"/>
    </row>
    <row r="140" spans="1:17" ht="184.5" thickTop="1" thickBot="1" x14ac:dyDescent="0.25">
      <c r="A140" s="483" t="s">
        <v>190</v>
      </c>
      <c r="B140" s="483" t="s">
        <v>181</v>
      </c>
      <c r="C140" s="483" t="s">
        <v>191</v>
      </c>
      <c r="D140" s="483" t="s">
        <v>192</v>
      </c>
      <c r="E140" s="486" t="s">
        <v>913</v>
      </c>
      <c r="F140" s="486" t="s">
        <v>914</v>
      </c>
      <c r="G140" s="486">
        <f t="shared" si="18"/>
        <v>17225955</v>
      </c>
      <c r="H140" s="486">
        <f>'d3'!E185-H141</f>
        <v>16744655</v>
      </c>
      <c r="I140" s="486">
        <f>'d3'!J185-I141</f>
        <v>481300</v>
      </c>
      <c r="J140" s="486">
        <f>'d3'!K185-J141</f>
        <v>0</v>
      </c>
      <c r="K140" s="622"/>
      <c r="L140" s="622"/>
      <c r="M140" s="622"/>
    </row>
    <row r="141" spans="1:17" ht="184.5" hidden="1" thickTop="1" thickBot="1" x14ac:dyDescent="0.25">
      <c r="A141" s="259" t="s">
        <v>190</v>
      </c>
      <c r="B141" s="259" t="s">
        <v>181</v>
      </c>
      <c r="C141" s="259" t="s">
        <v>191</v>
      </c>
      <c r="D141" s="259" t="s">
        <v>192</v>
      </c>
      <c r="E141" s="355" t="s">
        <v>467</v>
      </c>
      <c r="F141" s="296" t="s">
        <v>468</v>
      </c>
      <c r="G141" s="328">
        <f>H141+I141</f>
        <v>0</v>
      </c>
      <c r="H141" s="354">
        <v>0</v>
      </c>
      <c r="I141" s="328">
        <v>0</v>
      </c>
      <c r="J141" s="328">
        <v>0</v>
      </c>
      <c r="K141" s="622"/>
      <c r="L141" s="622"/>
      <c r="M141" s="622"/>
    </row>
    <row r="142" spans="1:17" s="784" customFormat="1" ht="138.75" thickTop="1" thickBot="1" x14ac:dyDescent="0.25">
      <c r="A142" s="786" t="s">
        <v>1365</v>
      </c>
      <c r="B142" s="786" t="s">
        <v>1366</v>
      </c>
      <c r="C142" s="786" t="s">
        <v>1368</v>
      </c>
      <c r="D142" s="786" t="s">
        <v>1367</v>
      </c>
      <c r="E142" s="451" t="s">
        <v>1309</v>
      </c>
      <c r="F142" s="788" t="s">
        <v>1310</v>
      </c>
      <c r="G142" s="788">
        <f>H142+I142</f>
        <v>334365</v>
      </c>
      <c r="H142" s="790">
        <v>334365</v>
      </c>
      <c r="I142" s="788">
        <v>0</v>
      </c>
      <c r="J142" s="788">
        <v>0</v>
      </c>
      <c r="K142" s="622"/>
      <c r="L142" s="622"/>
      <c r="M142" s="622"/>
      <c r="N142" s="791"/>
      <c r="O142" s="791"/>
      <c r="P142" s="791"/>
      <c r="Q142" s="791"/>
    </row>
    <row r="143" spans="1:17" ht="184.5" thickTop="1" thickBot="1" x14ac:dyDescent="0.25">
      <c r="A143" s="483" t="s">
        <v>347</v>
      </c>
      <c r="B143" s="483" t="s">
        <v>348</v>
      </c>
      <c r="C143" s="483" t="s">
        <v>194</v>
      </c>
      <c r="D143" s="483" t="s">
        <v>482</v>
      </c>
      <c r="E143" s="486" t="s">
        <v>913</v>
      </c>
      <c r="F143" s="486" t="s">
        <v>914</v>
      </c>
      <c r="G143" s="486">
        <f t="shared" si="18"/>
        <v>23272955</v>
      </c>
      <c r="H143" s="486">
        <f>'d3'!E188-H144</f>
        <v>23126945</v>
      </c>
      <c r="I143" s="486">
        <f>'d3'!J188-I144</f>
        <v>146010</v>
      </c>
      <c r="J143" s="486">
        <f>'d3'!K188-J144</f>
        <v>0</v>
      </c>
      <c r="K143" s="622"/>
      <c r="L143" s="622"/>
      <c r="M143" s="622"/>
    </row>
    <row r="144" spans="1:17" ht="199.5" customHeight="1" thickTop="1" thickBot="1" x14ac:dyDescent="0.25">
      <c r="A144" s="483" t="s">
        <v>347</v>
      </c>
      <c r="B144" s="483" t="s">
        <v>348</v>
      </c>
      <c r="C144" s="483" t="s">
        <v>194</v>
      </c>
      <c r="D144" s="483" t="s">
        <v>482</v>
      </c>
      <c r="E144" s="486" t="s">
        <v>619</v>
      </c>
      <c r="F144" s="486" t="s">
        <v>422</v>
      </c>
      <c r="G144" s="486">
        <f t="shared" si="18"/>
        <v>861000</v>
      </c>
      <c r="H144" s="486">
        <v>861000</v>
      </c>
      <c r="I144" s="486">
        <v>0</v>
      </c>
      <c r="J144" s="486">
        <v>0</v>
      </c>
      <c r="K144" s="622"/>
      <c r="L144" s="622"/>
      <c r="M144" s="622"/>
    </row>
    <row r="145" spans="1:17" ht="246" customHeight="1" thickTop="1" thickBot="1" x14ac:dyDescent="0.25">
      <c r="A145" s="483" t="s">
        <v>349</v>
      </c>
      <c r="B145" s="483" t="s">
        <v>350</v>
      </c>
      <c r="C145" s="483" t="s">
        <v>194</v>
      </c>
      <c r="D145" s="483" t="s">
        <v>483</v>
      </c>
      <c r="E145" s="486" t="s">
        <v>913</v>
      </c>
      <c r="F145" s="486" t="s">
        <v>914</v>
      </c>
      <c r="G145" s="486">
        <f t="shared" si="18"/>
        <v>6253335</v>
      </c>
      <c r="H145" s="486">
        <f>'d3'!E189-H146-H147</f>
        <v>6253335</v>
      </c>
      <c r="I145" s="486">
        <f>'d3'!J189-I146-I147</f>
        <v>0</v>
      </c>
      <c r="J145" s="486">
        <f>'d3'!K189-J146-J147</f>
        <v>0</v>
      </c>
      <c r="K145" s="622"/>
      <c r="L145" s="622"/>
      <c r="M145" s="622"/>
    </row>
    <row r="146" spans="1:17" ht="178.5" customHeight="1" thickTop="1" thickBot="1" x14ac:dyDescent="0.25">
      <c r="A146" s="483" t="s">
        <v>349</v>
      </c>
      <c r="B146" s="483" t="s">
        <v>350</v>
      </c>
      <c r="C146" s="483" t="s">
        <v>194</v>
      </c>
      <c r="D146" s="483" t="s">
        <v>483</v>
      </c>
      <c r="E146" s="486" t="s">
        <v>619</v>
      </c>
      <c r="F146" s="486" t="s">
        <v>422</v>
      </c>
      <c r="G146" s="486">
        <f t="shared" si="18"/>
        <v>330120</v>
      </c>
      <c r="H146" s="486">
        <v>330120</v>
      </c>
      <c r="I146" s="486">
        <v>0</v>
      </c>
      <c r="J146" s="486">
        <v>0</v>
      </c>
      <c r="K146" s="622"/>
      <c r="L146" s="622"/>
      <c r="M146" s="622"/>
    </row>
    <row r="147" spans="1:17" ht="310.7" customHeight="1" thickTop="1" thickBot="1" x14ac:dyDescent="0.25">
      <c r="A147" s="483" t="s">
        <v>349</v>
      </c>
      <c r="B147" s="483" t="s">
        <v>350</v>
      </c>
      <c r="C147" s="483" t="s">
        <v>194</v>
      </c>
      <c r="D147" s="483" t="s">
        <v>483</v>
      </c>
      <c r="E147" s="486" t="s">
        <v>911</v>
      </c>
      <c r="F147" s="486" t="s">
        <v>912</v>
      </c>
      <c r="G147" s="486">
        <f t="shared" si="18"/>
        <v>173000</v>
      </c>
      <c r="H147" s="486">
        <v>173000</v>
      </c>
      <c r="I147" s="486">
        <v>0</v>
      </c>
      <c r="J147" s="486">
        <v>0</v>
      </c>
      <c r="K147" s="622"/>
      <c r="L147" s="622"/>
      <c r="M147" s="622"/>
    </row>
    <row r="148" spans="1:17" s="209" customFormat="1" ht="138.75" thickTop="1" thickBot="1" x14ac:dyDescent="0.25">
      <c r="A148" s="483" t="s">
        <v>1118</v>
      </c>
      <c r="B148" s="483" t="s">
        <v>1119</v>
      </c>
      <c r="C148" s="483" t="s">
        <v>225</v>
      </c>
      <c r="D148" s="483" t="s">
        <v>1117</v>
      </c>
      <c r="E148" s="486" t="s">
        <v>1121</v>
      </c>
      <c r="F148" s="486" t="s">
        <v>1120</v>
      </c>
      <c r="G148" s="486">
        <f t="shared" si="18"/>
        <v>1019860</v>
      </c>
      <c r="H148" s="486">
        <f>'d3'!E193</f>
        <v>1019860</v>
      </c>
      <c r="I148" s="486">
        <f>'d3'!J193</f>
        <v>0</v>
      </c>
      <c r="J148" s="486">
        <f>'d3'!K193</f>
        <v>0</v>
      </c>
      <c r="K148" s="720"/>
      <c r="L148" s="720"/>
      <c r="M148" s="622"/>
      <c r="N148" s="210"/>
      <c r="O148" s="210"/>
      <c r="P148" s="210"/>
      <c r="Q148" s="210"/>
    </row>
    <row r="149" spans="1:17" s="163" customFormat="1" ht="310.7" customHeight="1" thickTop="1" thickBot="1" x14ac:dyDescent="0.25">
      <c r="A149" s="483" t="s">
        <v>975</v>
      </c>
      <c r="B149" s="483" t="s">
        <v>209</v>
      </c>
      <c r="C149" s="483" t="s">
        <v>178</v>
      </c>
      <c r="D149" s="483" t="s">
        <v>36</v>
      </c>
      <c r="E149" s="486" t="s">
        <v>913</v>
      </c>
      <c r="F149" s="486" t="s">
        <v>914</v>
      </c>
      <c r="G149" s="486">
        <f t="shared" si="18"/>
        <v>14000</v>
      </c>
      <c r="H149" s="486">
        <f>'d3'!E194</f>
        <v>0</v>
      </c>
      <c r="I149" s="486">
        <f>'d3'!J194</f>
        <v>14000</v>
      </c>
      <c r="J149" s="486">
        <f>'d3'!K194</f>
        <v>14000</v>
      </c>
      <c r="K149" s="720"/>
      <c r="L149" s="720"/>
      <c r="M149" s="622"/>
      <c r="N149" s="164"/>
      <c r="O149" s="164"/>
      <c r="P149" s="164"/>
      <c r="Q149" s="164"/>
    </row>
    <row r="150" spans="1:17" s="126" customFormat="1" ht="138.75" hidden="1" thickTop="1" thickBot="1" x14ac:dyDescent="0.25">
      <c r="A150" s="259" t="s">
        <v>618</v>
      </c>
      <c r="B150" s="259" t="s">
        <v>377</v>
      </c>
      <c r="C150" s="259" t="s">
        <v>45</v>
      </c>
      <c r="D150" s="259" t="s">
        <v>378</v>
      </c>
      <c r="E150" s="352" t="s">
        <v>907</v>
      </c>
      <c r="F150" s="328" t="s">
        <v>908</v>
      </c>
      <c r="G150" s="328">
        <f t="shared" si="18"/>
        <v>0</v>
      </c>
      <c r="H150" s="328">
        <f>'d3'!E197</f>
        <v>0</v>
      </c>
      <c r="I150" s="328">
        <f>'d3'!J197</f>
        <v>0</v>
      </c>
      <c r="J150" s="328">
        <f>'d3'!K197</f>
        <v>0</v>
      </c>
      <c r="K150" s="720"/>
      <c r="L150" s="720"/>
      <c r="M150" s="622"/>
      <c r="N150" s="127"/>
      <c r="O150" s="127"/>
      <c r="P150" s="127"/>
      <c r="Q150" s="127"/>
    </row>
    <row r="151" spans="1:17" ht="163.5" customHeight="1" thickTop="1" thickBot="1" x14ac:dyDescent="0.25">
      <c r="A151" s="828" t="s">
        <v>22</v>
      </c>
      <c r="B151" s="828"/>
      <c r="C151" s="828"/>
      <c r="D151" s="829" t="s">
        <v>23</v>
      </c>
      <c r="E151" s="828"/>
      <c r="F151" s="828"/>
      <c r="G151" s="831">
        <f>G152</f>
        <v>116408919</v>
      </c>
      <c r="H151" s="831">
        <f t="shared" ref="H151:J151" si="19">H152</f>
        <v>107028463</v>
      </c>
      <c r="I151" s="831">
        <f t="shared" si="19"/>
        <v>9380456</v>
      </c>
      <c r="J151" s="831">
        <f t="shared" si="19"/>
        <v>7097437</v>
      </c>
      <c r="K151" s="711" t="b">
        <f>H151='d3'!E199+'d4'!F12</f>
        <v>1</v>
      </c>
      <c r="L151" s="714" t="b">
        <f>I151='d3'!J198+'d4'!G12</f>
        <v>1</v>
      </c>
      <c r="M151" s="714" t="b">
        <f>J151='d3'!K198+'d4'!H12</f>
        <v>1</v>
      </c>
    </row>
    <row r="152" spans="1:17" ht="175.7" customHeight="1" thickTop="1" thickBot="1" x14ac:dyDescent="0.25">
      <c r="A152" s="832" t="s">
        <v>21</v>
      </c>
      <c r="B152" s="832"/>
      <c r="C152" s="832"/>
      <c r="D152" s="833" t="s">
        <v>37</v>
      </c>
      <c r="E152" s="834"/>
      <c r="F152" s="834"/>
      <c r="G152" s="834">
        <f>SUM(G153:G169)</f>
        <v>116408919</v>
      </c>
      <c r="H152" s="834">
        <f t="shared" ref="H152:J152" si="20">SUM(H153:H169)</f>
        <v>107028463</v>
      </c>
      <c r="I152" s="834">
        <f t="shared" si="20"/>
        <v>9380456</v>
      </c>
      <c r="J152" s="834">
        <f t="shared" si="20"/>
        <v>7097437</v>
      </c>
      <c r="K152" s="622"/>
      <c r="L152" s="622"/>
      <c r="M152" s="622"/>
    </row>
    <row r="153" spans="1:17" ht="184.5" hidden="1" thickTop="1" thickBot="1" x14ac:dyDescent="0.25">
      <c r="A153" s="533" t="s">
        <v>195</v>
      </c>
      <c r="B153" s="533" t="s">
        <v>196</v>
      </c>
      <c r="C153" s="533" t="s">
        <v>197</v>
      </c>
      <c r="D153" s="533" t="s">
        <v>680</v>
      </c>
      <c r="E153" s="453" t="s">
        <v>1315</v>
      </c>
      <c r="F153" s="735" t="s">
        <v>1316</v>
      </c>
      <c r="G153" s="531">
        <f t="shared" ref="G153:G154" si="21">H153+I153</f>
        <v>0</v>
      </c>
      <c r="H153" s="567">
        <f>'d3'!E202</f>
        <v>0</v>
      </c>
      <c r="I153" s="568">
        <f>'d3'!J202</f>
        <v>0</v>
      </c>
      <c r="J153" s="531">
        <f>'d3'!K202</f>
        <v>0</v>
      </c>
      <c r="K153" s="622"/>
      <c r="L153" s="622"/>
      <c r="M153" s="622"/>
    </row>
    <row r="154" spans="1:17" ht="230.25" thickTop="1" thickBot="1" x14ac:dyDescent="0.25">
      <c r="A154" s="533" t="s">
        <v>201</v>
      </c>
      <c r="B154" s="533" t="s">
        <v>202</v>
      </c>
      <c r="C154" s="533" t="s">
        <v>197</v>
      </c>
      <c r="D154" s="533" t="s">
        <v>10</v>
      </c>
      <c r="E154" s="453" t="s">
        <v>1315</v>
      </c>
      <c r="F154" s="735" t="s">
        <v>1316</v>
      </c>
      <c r="G154" s="531">
        <f t="shared" si="21"/>
        <v>5824322</v>
      </c>
      <c r="H154" s="567">
        <f>'d3'!E204</f>
        <v>4920329</v>
      </c>
      <c r="I154" s="568">
        <f>'d3'!J204</f>
        <v>903993</v>
      </c>
      <c r="J154" s="531">
        <f>'d3'!K204</f>
        <v>537693</v>
      </c>
      <c r="K154" s="622"/>
      <c r="L154" s="622"/>
      <c r="M154" s="622"/>
    </row>
    <row r="155" spans="1:17" ht="184.5" thickTop="1" thickBot="1" x14ac:dyDescent="0.25">
      <c r="A155" s="533" t="s">
        <v>365</v>
      </c>
      <c r="B155" s="533" t="s">
        <v>366</v>
      </c>
      <c r="C155" s="533" t="s">
        <v>197</v>
      </c>
      <c r="D155" s="533" t="s">
        <v>367</v>
      </c>
      <c r="E155" s="453" t="s">
        <v>1315</v>
      </c>
      <c r="F155" s="735" t="s">
        <v>1316</v>
      </c>
      <c r="G155" s="531">
        <f t="shared" ref="G155:G159" si="22">H155+I155</f>
        <v>8080990</v>
      </c>
      <c r="H155" s="567">
        <f>'d3'!E205</f>
        <v>8080990</v>
      </c>
      <c r="I155" s="568">
        <f>'d3'!J205</f>
        <v>0</v>
      </c>
      <c r="J155" s="531">
        <f>'d3'!K205</f>
        <v>0</v>
      </c>
      <c r="K155" s="622"/>
      <c r="L155" s="622"/>
      <c r="M155" s="622"/>
    </row>
    <row r="156" spans="1:17" ht="184.5" thickTop="1" thickBot="1" x14ac:dyDescent="0.25">
      <c r="A156" s="533" t="s">
        <v>46</v>
      </c>
      <c r="B156" s="533" t="s">
        <v>198</v>
      </c>
      <c r="C156" s="533" t="s">
        <v>207</v>
      </c>
      <c r="D156" s="533" t="s">
        <v>47</v>
      </c>
      <c r="E156" s="453" t="s">
        <v>1315</v>
      </c>
      <c r="F156" s="735" t="s">
        <v>1316</v>
      </c>
      <c r="G156" s="531">
        <f t="shared" si="22"/>
        <v>22258032</v>
      </c>
      <c r="H156" s="531">
        <f>'d3'!E208</f>
        <v>22258032</v>
      </c>
      <c r="I156" s="568">
        <f>'d3'!J208</f>
        <v>0</v>
      </c>
      <c r="J156" s="531">
        <f>'d3'!K208</f>
        <v>0</v>
      </c>
      <c r="K156" s="622"/>
      <c r="L156" s="622"/>
      <c r="M156" s="622"/>
    </row>
    <row r="157" spans="1:17" ht="184.5" thickTop="1" thickBot="1" x14ac:dyDescent="0.25">
      <c r="A157" s="533" t="s">
        <v>48</v>
      </c>
      <c r="B157" s="533" t="s">
        <v>199</v>
      </c>
      <c r="C157" s="533" t="s">
        <v>207</v>
      </c>
      <c r="D157" s="533" t="s">
        <v>4</v>
      </c>
      <c r="E157" s="453" t="s">
        <v>1315</v>
      </c>
      <c r="F157" s="735" t="s">
        <v>1316</v>
      </c>
      <c r="G157" s="531">
        <f t="shared" si="22"/>
        <v>3066200</v>
      </c>
      <c r="H157" s="531">
        <f>'d3'!E209</f>
        <v>3066200</v>
      </c>
      <c r="I157" s="568">
        <f>'d3'!J209</f>
        <v>0</v>
      </c>
      <c r="J157" s="531">
        <f>'d3'!K209</f>
        <v>0</v>
      </c>
      <c r="K157" s="622"/>
      <c r="L157" s="622"/>
      <c r="M157" s="622"/>
    </row>
    <row r="158" spans="1:17" ht="184.5" thickTop="1" thickBot="1" x14ac:dyDescent="0.25">
      <c r="A158" s="533" t="s">
        <v>49</v>
      </c>
      <c r="B158" s="533" t="s">
        <v>200</v>
      </c>
      <c r="C158" s="533" t="s">
        <v>207</v>
      </c>
      <c r="D158" s="533" t="s">
        <v>363</v>
      </c>
      <c r="E158" s="453" t="s">
        <v>1315</v>
      </c>
      <c r="F158" s="735" t="s">
        <v>1316</v>
      </c>
      <c r="G158" s="531">
        <f t="shared" si="22"/>
        <v>53300</v>
      </c>
      <c r="H158" s="531">
        <f>'d3'!E211</f>
        <v>53300</v>
      </c>
      <c r="I158" s="568">
        <f>'d3'!J211</f>
        <v>0</v>
      </c>
      <c r="J158" s="531">
        <f>'d3'!K211</f>
        <v>0</v>
      </c>
      <c r="K158" s="622"/>
      <c r="L158" s="622"/>
      <c r="M158" s="622"/>
    </row>
    <row r="159" spans="1:17" ht="184.5" thickTop="1" thickBot="1" x14ac:dyDescent="0.25">
      <c r="A159" s="533" t="s">
        <v>28</v>
      </c>
      <c r="B159" s="533" t="s">
        <v>204</v>
      </c>
      <c r="C159" s="533" t="s">
        <v>207</v>
      </c>
      <c r="D159" s="533" t="s">
        <v>50</v>
      </c>
      <c r="E159" s="453" t="s">
        <v>1315</v>
      </c>
      <c r="F159" s="735" t="s">
        <v>1316</v>
      </c>
      <c r="G159" s="531">
        <f t="shared" si="22"/>
        <v>65361619</v>
      </c>
      <c r="H159" s="531">
        <f>'d3'!E213-H160</f>
        <v>57335156</v>
      </c>
      <c r="I159" s="568">
        <f>'d3'!J213-I160</f>
        <v>8026463</v>
      </c>
      <c r="J159" s="531">
        <f>'d3'!K213-J160</f>
        <v>6259744</v>
      </c>
      <c r="K159" s="622"/>
      <c r="L159" s="622"/>
      <c r="M159" s="622"/>
    </row>
    <row r="160" spans="1:17" ht="184.5" hidden="1" thickTop="1" thickBot="1" x14ac:dyDescent="0.25">
      <c r="A160" s="533" t="s">
        <v>28</v>
      </c>
      <c r="B160" s="533" t="s">
        <v>204</v>
      </c>
      <c r="C160" s="533" t="s">
        <v>207</v>
      </c>
      <c r="D160" s="533" t="s">
        <v>50</v>
      </c>
      <c r="E160" s="453" t="s">
        <v>467</v>
      </c>
      <c r="F160" s="562" t="s">
        <v>468</v>
      </c>
      <c r="G160" s="531">
        <f>H160+I160</f>
        <v>0</v>
      </c>
      <c r="H160" s="567">
        <v>0</v>
      </c>
      <c r="I160" s="531">
        <v>0</v>
      </c>
      <c r="J160" s="531">
        <v>0</v>
      </c>
      <c r="K160" s="622"/>
      <c r="L160" s="622"/>
      <c r="M160" s="622"/>
    </row>
    <row r="161" spans="1:17" ht="184.5" thickTop="1" thickBot="1" x14ac:dyDescent="0.25">
      <c r="A161" s="533" t="s">
        <v>29</v>
      </c>
      <c r="B161" s="533" t="s">
        <v>205</v>
      </c>
      <c r="C161" s="533" t="s">
        <v>207</v>
      </c>
      <c r="D161" s="533" t="s">
        <v>51</v>
      </c>
      <c r="E161" s="453" t="s">
        <v>1315</v>
      </c>
      <c r="F161" s="735" t="s">
        <v>1316</v>
      </c>
      <c r="G161" s="531">
        <f t="shared" ref="G161:G169" si="23">H161+I161</f>
        <v>5513990</v>
      </c>
      <c r="H161" s="531">
        <f>'d3'!E214</f>
        <v>5513990</v>
      </c>
      <c r="I161" s="568">
        <f>'d3'!J214</f>
        <v>0</v>
      </c>
      <c r="J161" s="531">
        <f>'d3'!K214</f>
        <v>0</v>
      </c>
      <c r="K161" s="622"/>
      <c r="L161" s="622"/>
      <c r="M161" s="622"/>
    </row>
    <row r="162" spans="1:17" ht="230.25" thickTop="1" thickBot="1" x14ac:dyDescent="0.25">
      <c r="A162" s="579" t="s">
        <v>30</v>
      </c>
      <c r="B162" s="579" t="s">
        <v>206</v>
      </c>
      <c r="C162" s="579" t="s">
        <v>207</v>
      </c>
      <c r="D162" s="533" t="s">
        <v>31</v>
      </c>
      <c r="E162" s="453" t="s">
        <v>1315</v>
      </c>
      <c r="F162" s="735" t="s">
        <v>1316</v>
      </c>
      <c r="G162" s="531">
        <f t="shared" si="23"/>
        <v>1016620</v>
      </c>
      <c r="H162" s="531">
        <f>'d3'!E216</f>
        <v>1016620</v>
      </c>
      <c r="I162" s="568">
        <f>'d3'!J216</f>
        <v>0</v>
      </c>
      <c r="J162" s="531">
        <f>'d3'!K216</f>
        <v>0</v>
      </c>
      <c r="K162" s="622"/>
      <c r="L162" s="622"/>
      <c r="M162" s="622"/>
    </row>
    <row r="163" spans="1:17" ht="184.5" thickTop="1" thickBot="1" x14ac:dyDescent="0.25">
      <c r="A163" s="579" t="s">
        <v>530</v>
      </c>
      <c r="B163" s="579" t="s">
        <v>528</v>
      </c>
      <c r="C163" s="579" t="s">
        <v>207</v>
      </c>
      <c r="D163" s="533" t="s">
        <v>529</v>
      </c>
      <c r="E163" s="453" t="s">
        <v>1315</v>
      </c>
      <c r="F163" s="735" t="s">
        <v>1316</v>
      </c>
      <c r="G163" s="531">
        <f t="shared" si="23"/>
        <v>2490471</v>
      </c>
      <c r="H163" s="531">
        <f>'d3'!E217</f>
        <v>2490471</v>
      </c>
      <c r="I163" s="568">
        <f>'d3'!J217</f>
        <v>0</v>
      </c>
      <c r="J163" s="568">
        <f>'d3'!K217</f>
        <v>0</v>
      </c>
      <c r="K163" s="622"/>
      <c r="L163" s="622"/>
      <c r="M163" s="622"/>
    </row>
    <row r="164" spans="1:17" ht="184.5" thickTop="1" thickBot="1" x14ac:dyDescent="0.25">
      <c r="A164" s="579" t="s">
        <v>32</v>
      </c>
      <c r="B164" s="579" t="s">
        <v>208</v>
      </c>
      <c r="C164" s="579" t="s">
        <v>207</v>
      </c>
      <c r="D164" s="533" t="s">
        <v>33</v>
      </c>
      <c r="E164" s="453" t="s">
        <v>1315</v>
      </c>
      <c r="F164" s="735" t="s">
        <v>1316</v>
      </c>
      <c r="G164" s="531">
        <f t="shared" si="23"/>
        <v>1754375</v>
      </c>
      <c r="H164" s="531">
        <f>'d3'!E218</f>
        <v>1754375</v>
      </c>
      <c r="I164" s="568">
        <f>'d3'!J218</f>
        <v>0</v>
      </c>
      <c r="J164" s="531">
        <f>'d3'!K218</f>
        <v>0</v>
      </c>
      <c r="K164" s="622"/>
      <c r="L164" s="622"/>
      <c r="M164" s="622"/>
    </row>
    <row r="165" spans="1:17" ht="276" thickTop="1" thickBot="1" x14ac:dyDescent="0.25">
      <c r="A165" s="579" t="s">
        <v>356</v>
      </c>
      <c r="B165" s="579" t="s">
        <v>355</v>
      </c>
      <c r="C165" s="579" t="s">
        <v>354</v>
      </c>
      <c r="D165" s="533" t="s">
        <v>681</v>
      </c>
      <c r="E165" s="453" t="s">
        <v>1315</v>
      </c>
      <c r="F165" s="735" t="s">
        <v>1316</v>
      </c>
      <c r="G165" s="531">
        <f t="shared" si="23"/>
        <v>39000</v>
      </c>
      <c r="H165" s="531">
        <f>'d3'!E221</f>
        <v>39000</v>
      </c>
      <c r="I165" s="568">
        <f>'d3'!J221</f>
        <v>0</v>
      </c>
      <c r="J165" s="568">
        <f>'d3'!K221</f>
        <v>0</v>
      </c>
      <c r="K165" s="622"/>
      <c r="L165" s="622"/>
      <c r="M165" s="622"/>
    </row>
    <row r="166" spans="1:17" s="220" customFormat="1" ht="184.5" hidden="1" thickTop="1" thickBot="1" x14ac:dyDescent="0.25">
      <c r="A166" s="533" t="s">
        <v>1205</v>
      </c>
      <c r="B166" s="533" t="s">
        <v>326</v>
      </c>
      <c r="C166" s="533" t="s">
        <v>317</v>
      </c>
      <c r="D166" s="533" t="s">
        <v>667</v>
      </c>
      <c r="E166" s="453" t="s">
        <v>1315</v>
      </c>
      <c r="F166" s="735" t="s">
        <v>1316</v>
      </c>
      <c r="G166" s="531">
        <f t="shared" si="23"/>
        <v>0</v>
      </c>
      <c r="H166" s="531">
        <f>'d3'!E225</f>
        <v>0</v>
      </c>
      <c r="I166" s="568">
        <f>'d3'!J225</f>
        <v>0</v>
      </c>
      <c r="J166" s="568">
        <f>'d3'!K225</f>
        <v>0</v>
      </c>
      <c r="K166" s="622"/>
      <c r="L166" s="622"/>
      <c r="M166" s="622"/>
      <c r="N166" s="221"/>
      <c r="O166" s="221"/>
      <c r="P166" s="221"/>
      <c r="Q166" s="221"/>
    </row>
    <row r="167" spans="1:17" s="134" customFormat="1" ht="184.5" thickTop="1" thickBot="1" x14ac:dyDescent="0.25">
      <c r="A167" s="533" t="s">
        <v>642</v>
      </c>
      <c r="B167" s="533" t="s">
        <v>209</v>
      </c>
      <c r="C167" s="533" t="s">
        <v>178</v>
      </c>
      <c r="D167" s="533" t="s">
        <v>36</v>
      </c>
      <c r="E167" s="453" t="s">
        <v>1315</v>
      </c>
      <c r="F167" s="735" t="s">
        <v>1316</v>
      </c>
      <c r="G167" s="531">
        <f t="shared" ref="G167" si="24">H167+I167</f>
        <v>300000</v>
      </c>
      <c r="H167" s="531">
        <f>'d3'!E227</f>
        <v>0</v>
      </c>
      <c r="I167" s="568">
        <f>'d3'!J227</f>
        <v>300000</v>
      </c>
      <c r="J167" s="568">
        <f>'d3'!K227</f>
        <v>300000</v>
      </c>
      <c r="K167" s="622"/>
      <c r="L167" s="622"/>
      <c r="M167" s="622"/>
      <c r="N167" s="135"/>
      <c r="O167" s="135"/>
      <c r="P167" s="135"/>
      <c r="Q167" s="135"/>
    </row>
    <row r="168" spans="1:17" ht="184.5" thickTop="1" thickBot="1" x14ac:dyDescent="0.25">
      <c r="A168" s="579" t="s">
        <v>475</v>
      </c>
      <c r="B168" s="579" t="s">
        <v>477</v>
      </c>
      <c r="C168" s="579" t="s">
        <v>52</v>
      </c>
      <c r="D168" s="533" t="s">
        <v>474</v>
      </c>
      <c r="E168" s="453" t="s">
        <v>1315</v>
      </c>
      <c r="F168" s="735" t="s">
        <v>1316</v>
      </c>
      <c r="G168" s="531">
        <f t="shared" si="23"/>
        <v>650000</v>
      </c>
      <c r="H168" s="531">
        <f>'d4'!F17</f>
        <v>500000</v>
      </c>
      <c r="I168" s="568">
        <f>'d4'!G17</f>
        <v>150000</v>
      </c>
      <c r="J168" s="568">
        <f>'d4'!H17</f>
        <v>0</v>
      </c>
      <c r="K168" s="622"/>
      <c r="L168" s="622"/>
      <c r="M168" s="622"/>
    </row>
    <row r="169" spans="1:17" s="222" customFormat="1" ht="276" hidden="1" thickTop="1" thickBot="1" x14ac:dyDescent="0.25">
      <c r="A169" s="259" t="s">
        <v>1215</v>
      </c>
      <c r="B169" s="259" t="s">
        <v>377</v>
      </c>
      <c r="C169" s="259" t="s">
        <v>45</v>
      </c>
      <c r="D169" s="259" t="s">
        <v>378</v>
      </c>
      <c r="E169" s="355" t="s">
        <v>620</v>
      </c>
      <c r="F169" s="328" t="s">
        <v>424</v>
      </c>
      <c r="G169" s="328">
        <f t="shared" si="23"/>
        <v>0</v>
      </c>
      <c r="H169" s="328">
        <f>'d3'!E230</f>
        <v>0</v>
      </c>
      <c r="I169" s="360">
        <f>'d3'!J230</f>
        <v>0</v>
      </c>
      <c r="J169" s="360">
        <f>'d3'!K230</f>
        <v>0</v>
      </c>
      <c r="K169" s="622"/>
      <c r="L169" s="622"/>
      <c r="M169" s="622"/>
      <c r="N169" s="223"/>
      <c r="O169" s="223"/>
      <c r="P169" s="223"/>
      <c r="Q169" s="223"/>
    </row>
    <row r="170" spans="1:17" s="98" customFormat="1" ht="136.5" thickTop="1" thickBot="1" x14ac:dyDescent="0.25">
      <c r="A170" s="828" t="s">
        <v>166</v>
      </c>
      <c r="B170" s="828"/>
      <c r="C170" s="828"/>
      <c r="D170" s="829" t="s">
        <v>587</v>
      </c>
      <c r="E170" s="828"/>
      <c r="F170" s="828"/>
      <c r="G170" s="831">
        <f>G171</f>
        <v>32593401</v>
      </c>
      <c r="H170" s="831">
        <f t="shared" ref="H170:J170" si="25">H171</f>
        <v>17657075</v>
      </c>
      <c r="I170" s="831">
        <f t="shared" si="25"/>
        <v>14936326</v>
      </c>
      <c r="J170" s="831">
        <f t="shared" si="25"/>
        <v>14052326</v>
      </c>
      <c r="K170" s="711" t="b">
        <f>H170='d3'!E231-'d3'!E234+'d7'!H172</f>
        <v>1</v>
      </c>
      <c r="L170" s="711" t="b">
        <f>I170='d3'!J231-'d3'!J234+I172</f>
        <v>1</v>
      </c>
      <c r="M170" s="711" t="b">
        <f>J170='d3'!K231-'d3'!K234+J172</f>
        <v>1</v>
      </c>
      <c r="N170" s="105"/>
      <c r="O170" s="105"/>
      <c r="P170" s="105"/>
      <c r="Q170" s="105"/>
    </row>
    <row r="171" spans="1:17" s="98" customFormat="1" ht="136.5" thickTop="1" thickBot="1" x14ac:dyDescent="0.25">
      <c r="A171" s="832" t="s">
        <v>167</v>
      </c>
      <c r="B171" s="832"/>
      <c r="C171" s="832"/>
      <c r="D171" s="833" t="s">
        <v>588</v>
      </c>
      <c r="E171" s="834"/>
      <c r="F171" s="834"/>
      <c r="G171" s="834">
        <f>SUM(G172:G187)</f>
        <v>32593401</v>
      </c>
      <c r="H171" s="834">
        <f>SUM(H172:H187)</f>
        <v>17657075</v>
      </c>
      <c r="I171" s="834">
        <f>SUM(I172:I187)</f>
        <v>14936326</v>
      </c>
      <c r="J171" s="834">
        <f>SUM(J172:J187)</f>
        <v>14052326</v>
      </c>
      <c r="K171" s="622"/>
      <c r="L171" s="622"/>
      <c r="M171" s="622"/>
      <c r="N171" s="105"/>
      <c r="O171" s="105"/>
      <c r="P171" s="105"/>
      <c r="Q171" s="105"/>
    </row>
    <row r="172" spans="1:17" s="98" customFormat="1" ht="184.5" thickTop="1" thickBot="1" x14ac:dyDescent="0.25">
      <c r="A172" s="224" t="s">
        <v>437</v>
      </c>
      <c r="B172" s="224" t="s">
        <v>248</v>
      </c>
      <c r="C172" s="224" t="s">
        <v>246</v>
      </c>
      <c r="D172" s="224" t="s">
        <v>247</v>
      </c>
      <c r="E172" s="451" t="s">
        <v>1123</v>
      </c>
      <c r="F172" s="452" t="s">
        <v>904</v>
      </c>
      <c r="G172" s="452">
        <f t="shared" ref="G172:G213" si="26">H172+I172</f>
        <v>75000</v>
      </c>
      <c r="H172" s="457"/>
      <c r="I172" s="458">
        <v>75000</v>
      </c>
      <c r="J172" s="458">
        <v>75000</v>
      </c>
      <c r="K172" s="622"/>
      <c r="L172" s="622"/>
      <c r="M172" s="622"/>
      <c r="N172" s="105"/>
      <c r="O172" s="105"/>
      <c r="P172" s="105"/>
      <c r="Q172" s="105"/>
    </row>
    <row r="173" spans="1:17" s="139" customFormat="1" ht="367.5" thickTop="1" thickBot="1" x14ac:dyDescent="0.25">
      <c r="A173" s="448" t="s">
        <v>669</v>
      </c>
      <c r="B173" s="448" t="s">
        <v>376</v>
      </c>
      <c r="C173" s="448" t="s">
        <v>662</v>
      </c>
      <c r="D173" s="448" t="s">
        <v>663</v>
      </c>
      <c r="E173" s="451" t="s">
        <v>1328</v>
      </c>
      <c r="F173" s="751" t="s">
        <v>1329</v>
      </c>
      <c r="G173" s="452">
        <f t="shared" si="26"/>
        <v>12000</v>
      </c>
      <c r="H173" s="457">
        <f>'d3'!E235</f>
        <v>12000</v>
      </c>
      <c r="I173" s="458"/>
      <c r="J173" s="458"/>
      <c r="K173" s="622"/>
      <c r="L173" s="622"/>
      <c r="M173" s="622"/>
      <c r="N173" s="140"/>
      <c r="O173" s="140"/>
      <c r="P173" s="140"/>
      <c r="Q173" s="140"/>
    </row>
    <row r="174" spans="1:17" s="429" customFormat="1" ht="184.5" thickTop="1" thickBot="1" x14ac:dyDescent="0.25">
      <c r="A174" s="473" t="s">
        <v>1282</v>
      </c>
      <c r="B174" s="473" t="s">
        <v>45</v>
      </c>
      <c r="C174" s="473" t="s">
        <v>44</v>
      </c>
      <c r="D174" s="473" t="s">
        <v>260</v>
      </c>
      <c r="E174" s="451" t="s">
        <v>1320</v>
      </c>
      <c r="F174" s="735" t="s">
        <v>1321</v>
      </c>
      <c r="G174" s="486">
        <f t="shared" ref="G174" si="27">H174+I174</f>
        <v>22830</v>
      </c>
      <c r="H174" s="457">
        <f>'d3'!E236</f>
        <v>22830</v>
      </c>
      <c r="I174" s="458"/>
      <c r="J174" s="458"/>
      <c r="K174" s="622"/>
      <c r="L174" s="622"/>
      <c r="M174" s="622"/>
      <c r="N174" s="436"/>
      <c r="O174" s="436"/>
      <c r="P174" s="436"/>
      <c r="Q174" s="436"/>
    </row>
    <row r="175" spans="1:17" s="98" customFormat="1" ht="184.5" thickTop="1" thickBot="1" x14ac:dyDescent="0.25">
      <c r="A175" s="749" t="s">
        <v>292</v>
      </c>
      <c r="B175" s="749" t="s">
        <v>293</v>
      </c>
      <c r="C175" s="749" t="s">
        <v>354</v>
      </c>
      <c r="D175" s="749" t="s">
        <v>294</v>
      </c>
      <c r="E175" s="451" t="s">
        <v>1320</v>
      </c>
      <c r="F175" s="735" t="s">
        <v>1321</v>
      </c>
      <c r="G175" s="750">
        <f t="shared" si="26"/>
        <v>1180600</v>
      </c>
      <c r="H175" s="750">
        <v>500000</v>
      </c>
      <c r="I175" s="750">
        <f>(2680600)-2000000</f>
        <v>680600</v>
      </c>
      <c r="J175" s="750">
        <f>(2680600)-2000000</f>
        <v>680600</v>
      </c>
      <c r="K175" s="711" t="b">
        <f>H175+H176='d3'!E239</f>
        <v>1</v>
      </c>
      <c r="L175" s="714" t="b">
        <f>I175+I176='d3'!J239</f>
        <v>1</v>
      </c>
      <c r="M175" s="714" t="b">
        <f>J175+J176='d3'!K239</f>
        <v>1</v>
      </c>
      <c r="N175" s="105"/>
      <c r="O175" s="105"/>
      <c r="P175" s="105"/>
      <c r="Q175" s="105"/>
    </row>
    <row r="176" spans="1:17" s="98" customFormat="1" ht="276" customHeight="1" thickTop="1" thickBot="1" x14ac:dyDescent="0.25">
      <c r="A176" s="749" t="s">
        <v>292</v>
      </c>
      <c r="B176" s="749" t="s">
        <v>293</v>
      </c>
      <c r="C176" s="749" t="s">
        <v>354</v>
      </c>
      <c r="D176" s="749" t="s">
        <v>294</v>
      </c>
      <c r="E176" s="562" t="s">
        <v>1033</v>
      </c>
      <c r="F176" s="562" t="s">
        <v>616</v>
      </c>
      <c r="G176" s="750">
        <f t="shared" si="26"/>
        <v>1828000</v>
      </c>
      <c r="H176" s="746">
        <v>1000000</v>
      </c>
      <c r="I176" s="747">
        <f>(1828000)-1000000</f>
        <v>828000</v>
      </c>
      <c r="J176" s="747">
        <f>(1828000)-1000000</f>
        <v>828000</v>
      </c>
      <c r="K176" s="622"/>
      <c r="L176" s="622"/>
      <c r="M176" s="622"/>
      <c r="N176" s="105"/>
      <c r="O176" s="105"/>
      <c r="P176" s="105"/>
      <c r="Q176" s="105"/>
    </row>
    <row r="177" spans="1:17" s="98" customFormat="1" ht="184.5" thickTop="1" thickBot="1" x14ac:dyDescent="0.25">
      <c r="A177" s="483" t="s">
        <v>314</v>
      </c>
      <c r="B177" s="483" t="s">
        <v>315</v>
      </c>
      <c r="C177" s="483" t="s">
        <v>295</v>
      </c>
      <c r="D177" s="483" t="s">
        <v>316</v>
      </c>
      <c r="E177" s="451" t="s">
        <v>1320</v>
      </c>
      <c r="F177" s="735" t="s">
        <v>1321</v>
      </c>
      <c r="G177" s="486">
        <f t="shared" si="26"/>
        <v>3000000</v>
      </c>
      <c r="H177" s="457">
        <f>'d3'!E240</f>
        <v>0</v>
      </c>
      <c r="I177" s="458">
        <f>'d3'!J240</f>
        <v>3000000</v>
      </c>
      <c r="J177" s="458">
        <f>'d3'!K240</f>
        <v>3000000</v>
      </c>
      <c r="K177" s="622"/>
      <c r="L177" s="622"/>
      <c r="M177" s="622"/>
      <c r="N177" s="105"/>
      <c r="O177" s="105"/>
      <c r="P177" s="105"/>
      <c r="Q177" s="105"/>
    </row>
    <row r="178" spans="1:17" s="98" customFormat="1" ht="184.5" thickTop="1" thickBot="1" x14ac:dyDescent="0.25">
      <c r="A178" s="1040" t="s">
        <v>296</v>
      </c>
      <c r="B178" s="1040" t="s">
        <v>297</v>
      </c>
      <c r="C178" s="1040" t="s">
        <v>295</v>
      </c>
      <c r="D178" s="1040" t="s">
        <v>484</v>
      </c>
      <c r="E178" s="451" t="s">
        <v>1320</v>
      </c>
      <c r="F178" s="735" t="s">
        <v>1321</v>
      </c>
      <c r="G178" s="486">
        <f t="shared" si="26"/>
        <v>7200000</v>
      </c>
      <c r="H178" s="563">
        <f>'d3'!E241-H179</f>
        <v>1700000</v>
      </c>
      <c r="I178" s="458">
        <f>'d3'!J241-'d7'!I179</f>
        <v>5500000</v>
      </c>
      <c r="J178" s="458">
        <f>'d3'!K241-'d7'!J179</f>
        <v>5500000</v>
      </c>
      <c r="K178" s="622"/>
      <c r="L178" s="622"/>
      <c r="M178" s="622"/>
      <c r="N178" s="105"/>
      <c r="O178" s="105"/>
      <c r="P178" s="105"/>
      <c r="Q178" s="105"/>
    </row>
    <row r="179" spans="1:17" s="98" customFormat="1" ht="47.25" hidden="1" thickTop="1" thickBot="1" x14ac:dyDescent="0.25">
      <c r="A179" s="1041"/>
      <c r="B179" s="1041"/>
      <c r="C179" s="1041"/>
      <c r="D179" s="1041"/>
      <c r="E179" s="451"/>
      <c r="F179" s="486"/>
      <c r="G179" s="486">
        <f t="shared" si="26"/>
        <v>0</v>
      </c>
      <c r="H179" s="563">
        <v>0</v>
      </c>
      <c r="I179" s="360">
        <v>0</v>
      </c>
      <c r="J179" s="360">
        <v>0</v>
      </c>
      <c r="K179" s="622"/>
      <c r="L179" s="622"/>
      <c r="M179" s="622"/>
      <c r="N179" s="105"/>
      <c r="O179" s="105"/>
      <c r="P179" s="105"/>
      <c r="Q179" s="105"/>
    </row>
    <row r="180" spans="1:17" s="169" customFormat="1" ht="184.5" thickTop="1" thickBot="1" x14ac:dyDescent="0.25">
      <c r="A180" s="755" t="s">
        <v>989</v>
      </c>
      <c r="B180" s="755" t="s">
        <v>310</v>
      </c>
      <c r="C180" s="755" t="s">
        <v>295</v>
      </c>
      <c r="D180" s="755" t="s">
        <v>311</v>
      </c>
      <c r="E180" s="451" t="s">
        <v>1320</v>
      </c>
      <c r="F180" s="757" t="s">
        <v>1321</v>
      </c>
      <c r="G180" s="757">
        <f t="shared" ref="G180" si="28">H180+I180</f>
        <v>8422245</v>
      </c>
      <c r="H180" s="761">
        <f>'d3'!E242</f>
        <v>8422245</v>
      </c>
      <c r="I180" s="762">
        <f>'d3'!J242</f>
        <v>0</v>
      </c>
      <c r="J180" s="762">
        <f>'d3'!K242</f>
        <v>0</v>
      </c>
      <c r="K180" s="622"/>
      <c r="L180" s="622"/>
      <c r="M180" s="622"/>
      <c r="N180" s="170"/>
      <c r="O180" s="170"/>
      <c r="P180" s="170"/>
      <c r="Q180" s="170"/>
    </row>
    <row r="181" spans="1:17" s="98" customFormat="1" ht="184.5" thickTop="1" thickBot="1" x14ac:dyDescent="0.25">
      <c r="A181" s="800" t="s">
        <v>300</v>
      </c>
      <c r="B181" s="800" t="s">
        <v>301</v>
      </c>
      <c r="C181" s="800" t="s">
        <v>295</v>
      </c>
      <c r="D181" s="800" t="s">
        <v>302</v>
      </c>
      <c r="E181" s="451" t="s">
        <v>1320</v>
      </c>
      <c r="F181" s="799" t="s">
        <v>1321</v>
      </c>
      <c r="G181" s="799">
        <f t="shared" si="26"/>
        <v>5000000</v>
      </c>
      <c r="H181" s="802">
        <f>'d3'!E243</f>
        <v>5000000</v>
      </c>
      <c r="I181" s="803">
        <f>'d3'!J243</f>
        <v>0</v>
      </c>
      <c r="J181" s="803">
        <f>'d3'!K243</f>
        <v>0</v>
      </c>
      <c r="K181" s="622"/>
      <c r="L181" s="622"/>
      <c r="M181" s="622"/>
      <c r="N181" s="105"/>
      <c r="O181" s="105"/>
      <c r="P181" s="105"/>
      <c r="Q181" s="105"/>
    </row>
    <row r="182" spans="1:17" s="429" customFormat="1" ht="184.5" thickTop="1" thickBot="1" x14ac:dyDescent="0.25">
      <c r="A182" s="483" t="s">
        <v>1287</v>
      </c>
      <c r="B182" s="483" t="s">
        <v>318</v>
      </c>
      <c r="C182" s="483" t="s">
        <v>317</v>
      </c>
      <c r="D182" s="483" t="s">
        <v>664</v>
      </c>
      <c r="E182" s="451" t="s">
        <v>1284</v>
      </c>
      <c r="F182" s="486" t="s">
        <v>1285</v>
      </c>
      <c r="G182" s="486">
        <f t="shared" si="26"/>
        <v>1968726</v>
      </c>
      <c r="H182" s="565">
        <f>'d3'!E246</f>
        <v>0</v>
      </c>
      <c r="I182" s="566">
        <f>'d3'!J246</f>
        <v>1968726</v>
      </c>
      <c r="J182" s="566">
        <f>'d3'!K246</f>
        <v>1968726</v>
      </c>
      <c r="K182" s="622"/>
      <c r="L182" s="622"/>
      <c r="M182" s="622"/>
      <c r="N182" s="436"/>
      <c r="O182" s="436"/>
      <c r="P182" s="436"/>
      <c r="Q182" s="436"/>
    </row>
    <row r="183" spans="1:17" s="98" customFormat="1" ht="409.6" customHeight="1" thickTop="1" thickBot="1" x14ac:dyDescent="0.25">
      <c r="A183" s="745" t="s">
        <v>309</v>
      </c>
      <c r="B183" s="745" t="s">
        <v>224</v>
      </c>
      <c r="C183" s="745" t="s">
        <v>225</v>
      </c>
      <c r="D183" s="745" t="s">
        <v>43</v>
      </c>
      <c r="E183" s="564" t="s">
        <v>1109</v>
      </c>
      <c r="F183" s="486" t="s">
        <v>621</v>
      </c>
      <c r="G183" s="750">
        <f>H183+I183</f>
        <v>1000000</v>
      </c>
      <c r="H183" s="750">
        <f>'d3'!E248</f>
        <v>1000000</v>
      </c>
      <c r="I183" s="750">
        <v>0</v>
      </c>
      <c r="J183" s="750">
        <v>0</v>
      </c>
      <c r="K183" s="711" t="b">
        <f>H183+H184='d3'!E248</f>
        <v>1</v>
      </c>
      <c r="L183" s="714" t="b">
        <f>I183+I184='d3'!J248</f>
        <v>1</v>
      </c>
      <c r="M183" s="714" t="b">
        <f>J183+J184='d3'!K248</f>
        <v>1</v>
      </c>
      <c r="N183" s="105"/>
      <c r="O183" s="105"/>
      <c r="P183" s="105"/>
      <c r="Q183" s="105"/>
    </row>
    <row r="184" spans="1:17" s="98" customFormat="1" ht="138.75" thickTop="1" thickBot="1" x14ac:dyDescent="0.25">
      <c r="A184" s="749" t="s">
        <v>309</v>
      </c>
      <c r="B184" s="749" t="s">
        <v>224</v>
      </c>
      <c r="C184" s="749" t="s">
        <v>225</v>
      </c>
      <c r="D184" s="749" t="s">
        <v>43</v>
      </c>
      <c r="E184" s="453" t="s">
        <v>1108</v>
      </c>
      <c r="F184" s="486" t="s">
        <v>622</v>
      </c>
      <c r="G184" s="750">
        <f>H184+I184</f>
        <v>2000000</v>
      </c>
      <c r="H184" s="565">
        <v>0</v>
      </c>
      <c r="I184" s="566">
        <v>2000000</v>
      </c>
      <c r="J184" s="566">
        <v>2000000</v>
      </c>
      <c r="K184" s="622"/>
      <c r="L184" s="622"/>
      <c r="M184" s="622"/>
      <c r="N184" s="105"/>
      <c r="O184" s="105"/>
      <c r="P184" s="105"/>
      <c r="Q184" s="105"/>
    </row>
    <row r="185" spans="1:17" s="165" customFormat="1" ht="222.75" hidden="1" thickTop="1" thickBot="1" x14ac:dyDescent="0.25">
      <c r="A185" s="259" t="s">
        <v>976</v>
      </c>
      <c r="B185" s="259" t="s">
        <v>209</v>
      </c>
      <c r="C185" s="259" t="s">
        <v>178</v>
      </c>
      <c r="D185" s="259" t="s">
        <v>36</v>
      </c>
      <c r="E185" s="361" t="s">
        <v>614</v>
      </c>
      <c r="F185" s="354" t="s">
        <v>615</v>
      </c>
      <c r="G185" s="328">
        <f t="shared" si="26"/>
        <v>0</v>
      </c>
      <c r="H185" s="354">
        <f>'d3'!E249</f>
        <v>0</v>
      </c>
      <c r="I185" s="360">
        <f>'d3'!J249</f>
        <v>0</v>
      </c>
      <c r="J185" s="360">
        <f>'d3'!K249</f>
        <v>0</v>
      </c>
      <c r="K185" s="622"/>
      <c r="L185" s="622"/>
      <c r="M185" s="622"/>
      <c r="N185" s="166"/>
      <c r="O185" s="166"/>
      <c r="P185" s="166"/>
      <c r="Q185" s="166"/>
    </row>
    <row r="186" spans="1:17" s="128" customFormat="1" ht="409.6" customHeight="1" thickTop="1" thickBot="1" x14ac:dyDescent="0.7">
      <c r="A186" s="920" t="s">
        <v>440</v>
      </c>
      <c r="B186" s="920" t="s">
        <v>352</v>
      </c>
      <c r="C186" s="920" t="s">
        <v>178</v>
      </c>
      <c r="D186" s="491" t="s">
        <v>457</v>
      </c>
      <c r="E186" s="920" t="s">
        <v>1309</v>
      </c>
      <c r="F186" s="920" t="s">
        <v>1310</v>
      </c>
      <c r="G186" s="1034">
        <f t="shared" si="26"/>
        <v>884000</v>
      </c>
      <c r="H186" s="1034">
        <f>'d3'!E251</f>
        <v>0</v>
      </c>
      <c r="I186" s="1034">
        <f>'d3'!J251</f>
        <v>884000</v>
      </c>
      <c r="J186" s="1034">
        <f>'d3'!K251</f>
        <v>0</v>
      </c>
      <c r="K186" s="622"/>
      <c r="L186" s="622"/>
      <c r="M186" s="622"/>
      <c r="N186" s="129"/>
      <c r="O186" s="129"/>
      <c r="P186" s="129"/>
      <c r="Q186" s="129"/>
    </row>
    <row r="187" spans="1:17" s="128" customFormat="1" ht="138.75" thickTop="1" thickBot="1" x14ac:dyDescent="0.25">
      <c r="A187" s="934"/>
      <c r="B187" s="934"/>
      <c r="C187" s="934"/>
      <c r="D187" s="492" t="s">
        <v>458</v>
      </c>
      <c r="E187" s="934" t="s">
        <v>1309</v>
      </c>
      <c r="F187" s="934" t="s">
        <v>1310</v>
      </c>
      <c r="G187" s="1036"/>
      <c r="H187" s="1036"/>
      <c r="I187" s="1036"/>
      <c r="J187" s="1036"/>
      <c r="K187" s="622"/>
      <c r="L187" s="622"/>
      <c r="M187" s="622"/>
      <c r="N187" s="129"/>
      <c r="O187" s="129"/>
      <c r="P187" s="129"/>
      <c r="Q187" s="129"/>
    </row>
    <row r="188" spans="1:17" s="98" customFormat="1" ht="136.5" thickTop="1" thickBot="1" x14ac:dyDescent="0.25">
      <c r="A188" s="828" t="s">
        <v>566</v>
      </c>
      <c r="B188" s="828"/>
      <c r="C188" s="828"/>
      <c r="D188" s="829" t="s">
        <v>585</v>
      </c>
      <c r="E188" s="828"/>
      <c r="F188" s="828"/>
      <c r="G188" s="831">
        <f>H188+I188</f>
        <v>467816466.59000003</v>
      </c>
      <c r="H188" s="831">
        <f>H189</f>
        <v>424434473</v>
      </c>
      <c r="I188" s="831">
        <f>I189</f>
        <v>43381993.590000004</v>
      </c>
      <c r="J188" s="831">
        <f>J189</f>
        <v>42081993.590000004</v>
      </c>
      <c r="K188" s="711" t="b">
        <f>H188='d3'!E254-'d3'!E256+'d7'!H190</f>
        <v>1</v>
      </c>
      <c r="L188" s="711" t="b">
        <f>I188='d3'!J254-'d3'!J256+'d7'!I190</f>
        <v>1</v>
      </c>
      <c r="M188" s="711" t="b">
        <f>J188='d3'!K254-'d3'!K256+'d7'!J190</f>
        <v>1</v>
      </c>
      <c r="N188" s="105"/>
      <c r="O188" s="105"/>
      <c r="P188" s="105"/>
      <c r="Q188" s="105"/>
    </row>
    <row r="189" spans="1:17" s="98" customFormat="1" ht="207.75" customHeight="1" thickTop="1" thickBot="1" x14ac:dyDescent="0.25">
      <c r="A189" s="832" t="s">
        <v>567</v>
      </c>
      <c r="B189" s="832"/>
      <c r="C189" s="832"/>
      <c r="D189" s="833" t="s">
        <v>586</v>
      </c>
      <c r="E189" s="834"/>
      <c r="F189" s="834"/>
      <c r="G189" s="834">
        <f>SUM(G190:G213)</f>
        <v>467816466.58999997</v>
      </c>
      <c r="H189" s="834">
        <f>SUM(H190:H213)</f>
        <v>424434473</v>
      </c>
      <c r="I189" s="834">
        <f>SUM(I190:I213)</f>
        <v>43381993.590000004</v>
      </c>
      <c r="J189" s="834">
        <f>SUM(J190:J213)</f>
        <v>42081993.590000004</v>
      </c>
      <c r="K189" s="772"/>
      <c r="L189" s="622"/>
      <c r="M189" s="622"/>
      <c r="N189" s="105"/>
      <c r="O189" s="105"/>
      <c r="P189" s="105"/>
      <c r="Q189" s="105"/>
    </row>
    <row r="190" spans="1:17" s="98" customFormat="1" ht="276" hidden="1" thickTop="1" thickBot="1" x14ac:dyDescent="0.25">
      <c r="A190" s="259" t="s">
        <v>568</v>
      </c>
      <c r="B190" s="259" t="s">
        <v>248</v>
      </c>
      <c r="C190" s="259" t="s">
        <v>246</v>
      </c>
      <c r="D190" s="259" t="s">
        <v>243</v>
      </c>
      <c r="E190" s="352" t="s">
        <v>1123</v>
      </c>
      <c r="F190" s="328" t="s">
        <v>904</v>
      </c>
      <c r="G190" s="328">
        <f t="shared" si="26"/>
        <v>0</v>
      </c>
      <c r="H190" s="328">
        <v>0</v>
      </c>
      <c r="I190" s="328"/>
      <c r="J190" s="328"/>
      <c r="K190" s="622"/>
      <c r="L190" s="622"/>
      <c r="M190" s="622"/>
      <c r="N190" s="105"/>
      <c r="O190" s="105"/>
      <c r="P190" s="105"/>
      <c r="Q190" s="105"/>
    </row>
    <row r="191" spans="1:17" s="141" customFormat="1" ht="409.6" customHeight="1" thickTop="1" thickBot="1" x14ac:dyDescent="0.25">
      <c r="A191" s="448" t="s">
        <v>671</v>
      </c>
      <c r="B191" s="448" t="s">
        <v>376</v>
      </c>
      <c r="C191" s="448" t="s">
        <v>662</v>
      </c>
      <c r="D191" s="448" t="s">
        <v>663</v>
      </c>
      <c r="E191" s="451" t="s">
        <v>1328</v>
      </c>
      <c r="F191" s="751" t="s">
        <v>1329</v>
      </c>
      <c r="G191" s="452">
        <f t="shared" ref="G191" si="29">H191+I191</f>
        <v>10000</v>
      </c>
      <c r="H191" s="457">
        <f>'d3'!E257</f>
        <v>10000</v>
      </c>
      <c r="I191" s="458"/>
      <c r="J191" s="458"/>
      <c r="K191" s="622"/>
      <c r="L191" s="622"/>
      <c r="M191" s="622"/>
      <c r="N191" s="142"/>
      <c r="O191" s="142"/>
      <c r="P191" s="142"/>
      <c r="Q191" s="142"/>
    </row>
    <row r="192" spans="1:17" s="98" customFormat="1" ht="184.5" thickTop="1" thickBot="1" x14ac:dyDescent="0.25">
      <c r="A192" s="483" t="s">
        <v>569</v>
      </c>
      <c r="B192" s="483" t="s">
        <v>45</v>
      </c>
      <c r="C192" s="483" t="s">
        <v>44</v>
      </c>
      <c r="D192" s="483" t="s">
        <v>260</v>
      </c>
      <c r="E192" s="451" t="s">
        <v>1320</v>
      </c>
      <c r="F192" s="735" t="s">
        <v>1321</v>
      </c>
      <c r="G192" s="486">
        <f t="shared" si="26"/>
        <v>57611</v>
      </c>
      <c r="H192" s="486">
        <f>'d3'!E258</f>
        <v>57611</v>
      </c>
      <c r="I192" s="486">
        <f>'d3'!J258</f>
        <v>0</v>
      </c>
      <c r="J192" s="486">
        <f>'d3'!K258</f>
        <v>0</v>
      </c>
      <c r="K192" s="622"/>
      <c r="L192" s="622"/>
      <c r="M192" s="622"/>
      <c r="N192" s="105"/>
      <c r="O192" s="105"/>
      <c r="P192" s="105"/>
      <c r="Q192" s="105"/>
    </row>
    <row r="193" spans="1:17" s="98" customFormat="1" ht="184.5" thickTop="1" thickBot="1" x14ac:dyDescent="0.25">
      <c r="A193" s="483" t="s">
        <v>570</v>
      </c>
      <c r="B193" s="483" t="s">
        <v>391</v>
      </c>
      <c r="C193" s="483" t="s">
        <v>295</v>
      </c>
      <c r="D193" s="483" t="s">
        <v>392</v>
      </c>
      <c r="E193" s="451" t="s">
        <v>1320</v>
      </c>
      <c r="F193" s="735" t="s">
        <v>1321</v>
      </c>
      <c r="G193" s="486">
        <f t="shared" si="26"/>
        <v>97600000</v>
      </c>
      <c r="H193" s="457">
        <f>'d3'!E261</f>
        <v>97600000</v>
      </c>
      <c r="I193" s="458">
        <f>'d3'!J261</f>
        <v>0</v>
      </c>
      <c r="J193" s="458">
        <f>'d3'!K261</f>
        <v>0</v>
      </c>
      <c r="K193" s="622"/>
      <c r="L193" s="622"/>
      <c r="M193" s="622"/>
      <c r="N193" s="105"/>
      <c r="O193" s="105"/>
      <c r="P193" s="105"/>
      <c r="Q193" s="105"/>
    </row>
    <row r="194" spans="1:17" s="98" customFormat="1" ht="184.5" thickTop="1" thickBot="1" x14ac:dyDescent="0.25">
      <c r="A194" s="483" t="s">
        <v>571</v>
      </c>
      <c r="B194" s="483" t="s">
        <v>298</v>
      </c>
      <c r="C194" s="483" t="s">
        <v>295</v>
      </c>
      <c r="D194" s="483" t="s">
        <v>299</v>
      </c>
      <c r="E194" s="451" t="s">
        <v>1320</v>
      </c>
      <c r="F194" s="735" t="s">
        <v>1321</v>
      </c>
      <c r="G194" s="486">
        <f t="shared" si="26"/>
        <v>7900000</v>
      </c>
      <c r="H194" s="457">
        <f>'d3'!E262</f>
        <v>7650000</v>
      </c>
      <c r="I194" s="458">
        <f>'d3'!J262</f>
        <v>250000</v>
      </c>
      <c r="J194" s="458">
        <f>'d3'!K262</f>
        <v>250000</v>
      </c>
      <c r="K194" s="622"/>
      <c r="L194" s="622"/>
      <c r="M194" s="622"/>
      <c r="N194" s="105"/>
      <c r="O194" s="105"/>
      <c r="P194" s="105"/>
      <c r="Q194" s="105"/>
    </row>
    <row r="195" spans="1:17" s="98" customFormat="1" ht="184.5" thickTop="1" thickBot="1" x14ac:dyDescent="0.25">
      <c r="A195" s="483" t="s">
        <v>572</v>
      </c>
      <c r="B195" s="483" t="s">
        <v>310</v>
      </c>
      <c r="C195" s="483" t="s">
        <v>295</v>
      </c>
      <c r="D195" s="483" t="s">
        <v>311</v>
      </c>
      <c r="E195" s="451" t="s">
        <v>1320</v>
      </c>
      <c r="F195" s="735" t="s">
        <v>1321</v>
      </c>
      <c r="G195" s="486">
        <f t="shared" si="26"/>
        <v>2574000</v>
      </c>
      <c r="H195" s="457">
        <f>'d3'!E263</f>
        <v>2574000</v>
      </c>
      <c r="I195" s="458">
        <f>'d3'!J263</f>
        <v>0</v>
      </c>
      <c r="J195" s="458">
        <f>'d3'!K263</f>
        <v>0</v>
      </c>
      <c r="K195" s="622"/>
      <c r="L195" s="622"/>
      <c r="M195" s="622"/>
      <c r="N195" s="105"/>
      <c r="O195" s="105"/>
      <c r="P195" s="105"/>
      <c r="Q195" s="105"/>
    </row>
    <row r="196" spans="1:17" s="98" customFormat="1" ht="138.75" hidden="1" customHeight="1" thickTop="1" thickBot="1" x14ac:dyDescent="0.25">
      <c r="A196" s="483"/>
      <c r="B196" s="483"/>
      <c r="C196" s="483"/>
      <c r="D196" s="483"/>
      <c r="E196" s="457" t="s">
        <v>927</v>
      </c>
      <c r="F196" s="486" t="s">
        <v>925</v>
      </c>
      <c r="G196" s="430"/>
      <c r="H196" s="434"/>
      <c r="I196" s="435"/>
      <c r="J196" s="435"/>
      <c r="K196" s="622"/>
      <c r="L196" s="622"/>
      <c r="M196" s="622"/>
      <c r="N196" s="105"/>
      <c r="O196" s="105"/>
      <c r="P196" s="105"/>
      <c r="Q196" s="105"/>
    </row>
    <row r="197" spans="1:17" s="98" customFormat="1" ht="184.5" hidden="1" thickTop="1" thickBot="1" x14ac:dyDescent="0.25">
      <c r="A197" s="748" t="s">
        <v>573</v>
      </c>
      <c r="B197" s="748">
        <v>6030</v>
      </c>
      <c r="C197" s="748" t="s">
        <v>295</v>
      </c>
      <c r="D197" s="748" t="s">
        <v>302</v>
      </c>
      <c r="E197" s="457" t="s">
        <v>617</v>
      </c>
      <c r="F197" s="562" t="s">
        <v>924</v>
      </c>
      <c r="G197" s="925">
        <f t="shared" si="26"/>
        <v>240412530</v>
      </c>
      <c r="H197" s="925">
        <f>'d3'!E264-H199</f>
        <v>238897530</v>
      </c>
      <c r="I197" s="925">
        <f>'d3'!J264-I199</f>
        <v>1515000</v>
      </c>
      <c r="J197" s="925">
        <f>'d3'!K264-J199</f>
        <v>1515000</v>
      </c>
      <c r="K197" s="622"/>
      <c r="L197" s="622"/>
      <c r="M197" s="622"/>
      <c r="N197" s="105"/>
      <c r="O197" s="105"/>
      <c r="P197" s="105"/>
      <c r="Q197" s="105"/>
    </row>
    <row r="198" spans="1:17" s="98" customFormat="1" ht="184.5" thickTop="1" thickBot="1" x14ac:dyDescent="0.25">
      <c r="A198" s="745" t="s">
        <v>573</v>
      </c>
      <c r="B198" s="745">
        <v>6030</v>
      </c>
      <c r="C198" s="745" t="s">
        <v>295</v>
      </c>
      <c r="D198" s="745" t="s">
        <v>302</v>
      </c>
      <c r="E198" s="451" t="s">
        <v>1320</v>
      </c>
      <c r="F198" s="735" t="s">
        <v>1321</v>
      </c>
      <c r="G198" s="1022">
        <f t="shared" si="26"/>
        <v>0</v>
      </c>
      <c r="H198" s="1022"/>
      <c r="I198" s="1022"/>
      <c r="J198" s="1022"/>
      <c r="K198" s="711" t="b">
        <f>H197+H199='d3'!E264</f>
        <v>1</v>
      </c>
      <c r="L198" s="711" t="b">
        <f>I197+I199='d3'!J264</f>
        <v>1</v>
      </c>
      <c r="M198" s="711" t="b">
        <f>J197+J199='d3'!K264</f>
        <v>1</v>
      </c>
      <c r="N198" s="105"/>
      <c r="O198" s="105"/>
      <c r="P198" s="105"/>
      <c r="Q198" s="105"/>
    </row>
    <row r="199" spans="1:17" s="152" customFormat="1" ht="184.5" thickTop="1" thickBot="1" x14ac:dyDescent="0.25">
      <c r="A199" s="745" t="s">
        <v>573</v>
      </c>
      <c r="B199" s="745">
        <v>6030</v>
      </c>
      <c r="C199" s="745" t="s">
        <v>295</v>
      </c>
      <c r="D199" s="745" t="s">
        <v>302</v>
      </c>
      <c r="E199" s="457" t="s">
        <v>919</v>
      </c>
      <c r="F199" s="486" t="s">
        <v>918</v>
      </c>
      <c r="G199" s="486">
        <f>H199+I199</f>
        <v>7180412</v>
      </c>
      <c r="H199" s="458">
        <v>7180412</v>
      </c>
      <c r="I199" s="458"/>
      <c r="J199" s="458"/>
      <c r="K199" s="622"/>
      <c r="L199" s="622"/>
      <c r="M199" s="622"/>
      <c r="N199" s="153"/>
      <c r="O199" s="153"/>
      <c r="P199" s="153"/>
      <c r="Q199" s="153"/>
    </row>
    <row r="200" spans="1:17" s="429" customFormat="1" ht="184.5" thickTop="1" thickBot="1" x14ac:dyDescent="0.25">
      <c r="A200" s="483" t="s">
        <v>1289</v>
      </c>
      <c r="B200" s="483" t="s">
        <v>1290</v>
      </c>
      <c r="C200" s="483" t="s">
        <v>1291</v>
      </c>
      <c r="D200" s="483" t="s">
        <v>1288</v>
      </c>
      <c r="E200" s="451" t="s">
        <v>1320</v>
      </c>
      <c r="F200" s="735" t="s">
        <v>1321</v>
      </c>
      <c r="G200" s="486">
        <f>H200+I200</f>
        <v>4723850</v>
      </c>
      <c r="H200" s="458">
        <f>'d3'!E265</f>
        <v>4723850</v>
      </c>
      <c r="I200" s="458">
        <f>'d3'!J265</f>
        <v>0</v>
      </c>
      <c r="J200" s="458">
        <f>'d3'!K265</f>
        <v>0</v>
      </c>
      <c r="K200" s="622"/>
      <c r="L200" s="622"/>
      <c r="M200" s="622"/>
      <c r="N200" s="436"/>
      <c r="O200" s="436"/>
      <c r="P200" s="436"/>
      <c r="Q200" s="436"/>
    </row>
    <row r="201" spans="1:17" s="98" customFormat="1" ht="184.5" thickTop="1" thickBot="1" x14ac:dyDescent="0.25">
      <c r="A201" s="483" t="s">
        <v>574</v>
      </c>
      <c r="B201" s="483" t="s">
        <v>318</v>
      </c>
      <c r="C201" s="483" t="s">
        <v>317</v>
      </c>
      <c r="D201" s="483" t="s">
        <v>487</v>
      </c>
      <c r="E201" s="451" t="s">
        <v>1320</v>
      </c>
      <c r="F201" s="735" t="s">
        <v>1321</v>
      </c>
      <c r="G201" s="486">
        <f t="shared" si="26"/>
        <v>7070000</v>
      </c>
      <c r="H201" s="457">
        <f>'d3'!E268</f>
        <v>0</v>
      </c>
      <c r="I201" s="458">
        <f>'d3'!J268</f>
        <v>7070000</v>
      </c>
      <c r="J201" s="458">
        <f>'d3'!K268</f>
        <v>7070000</v>
      </c>
      <c r="K201" s="622"/>
      <c r="L201" s="622"/>
      <c r="M201" s="622"/>
      <c r="N201" s="105"/>
      <c r="O201" s="105"/>
      <c r="P201" s="105"/>
      <c r="Q201" s="105"/>
    </row>
    <row r="202" spans="1:17" s="98" customFormat="1" ht="138.75" thickTop="1" thickBot="1" x14ac:dyDescent="0.25">
      <c r="A202" s="920" t="s">
        <v>575</v>
      </c>
      <c r="B202" s="920" t="s">
        <v>306</v>
      </c>
      <c r="C202" s="920" t="s">
        <v>308</v>
      </c>
      <c r="D202" s="920" t="s">
        <v>307</v>
      </c>
      <c r="E202" s="457" t="s">
        <v>926</v>
      </c>
      <c r="F202" s="457" t="s">
        <v>943</v>
      </c>
      <c r="G202" s="1023">
        <f>H202+I202</f>
        <v>74266000</v>
      </c>
      <c r="H202" s="1023">
        <f>'d3'!E271</f>
        <v>62866000</v>
      </c>
      <c r="I202" s="1024">
        <f>'d3'!J271</f>
        <v>11400000</v>
      </c>
      <c r="J202" s="1024">
        <f>'d3'!K271</f>
        <v>11400000</v>
      </c>
      <c r="K202" s="622"/>
      <c r="L202" s="622"/>
      <c r="M202" s="622"/>
      <c r="N202" s="105"/>
      <c r="O202" s="105"/>
      <c r="P202" s="105"/>
      <c r="Q202" s="105"/>
    </row>
    <row r="203" spans="1:17" s="98" customFormat="1" ht="184.5" thickTop="1" thickBot="1" x14ac:dyDescent="0.25">
      <c r="A203" s="920"/>
      <c r="B203" s="920"/>
      <c r="C203" s="920"/>
      <c r="D203" s="920"/>
      <c r="E203" s="451" t="s">
        <v>1320</v>
      </c>
      <c r="F203" s="735" t="s">
        <v>1321</v>
      </c>
      <c r="G203" s="1023">
        <f t="shared" si="26"/>
        <v>0</v>
      </c>
      <c r="H203" s="1023"/>
      <c r="I203" s="1024"/>
      <c r="J203" s="1024"/>
      <c r="K203" s="622"/>
      <c r="L203" s="622"/>
      <c r="M203" s="622"/>
      <c r="N203" s="105"/>
      <c r="O203" s="105"/>
      <c r="P203" s="105"/>
      <c r="Q203" s="105"/>
    </row>
    <row r="204" spans="1:17" s="98" customFormat="1" ht="184.5" hidden="1" thickTop="1" thickBot="1" x14ac:dyDescent="0.25">
      <c r="A204" s="920" t="s">
        <v>576</v>
      </c>
      <c r="B204" s="920" t="s">
        <v>224</v>
      </c>
      <c r="C204" s="920" t="s">
        <v>225</v>
      </c>
      <c r="D204" s="920" t="s">
        <v>43</v>
      </c>
      <c r="E204" s="451" t="s">
        <v>1320</v>
      </c>
      <c r="F204" s="735" t="s">
        <v>1321</v>
      </c>
      <c r="G204" s="1023">
        <f t="shared" si="26"/>
        <v>13296993.59</v>
      </c>
      <c r="H204" s="1023">
        <f>'d3'!E273</f>
        <v>0</v>
      </c>
      <c r="I204" s="1023">
        <f>'d3'!J273</f>
        <v>13296993.59</v>
      </c>
      <c r="J204" s="1023">
        <f>'d3'!K273</f>
        <v>13296993.59</v>
      </c>
      <c r="K204" s="622"/>
      <c r="L204" s="622"/>
      <c r="M204" s="622"/>
      <c r="N204" s="105"/>
      <c r="O204" s="105"/>
      <c r="P204" s="105"/>
      <c r="Q204" s="105"/>
    </row>
    <row r="205" spans="1:17" s="98" customFormat="1" ht="184.5" thickTop="1" thickBot="1" x14ac:dyDescent="0.25">
      <c r="A205" s="920"/>
      <c r="B205" s="920"/>
      <c r="C205" s="920"/>
      <c r="D205" s="920"/>
      <c r="E205" s="451" t="s">
        <v>1320</v>
      </c>
      <c r="F205" s="735" t="s">
        <v>1321</v>
      </c>
      <c r="G205" s="1023">
        <f t="shared" si="26"/>
        <v>0</v>
      </c>
      <c r="H205" s="1023"/>
      <c r="I205" s="1023"/>
      <c r="J205" s="1023"/>
      <c r="K205" s="622"/>
      <c r="L205" s="622"/>
      <c r="M205" s="622"/>
      <c r="N205" s="105"/>
      <c r="O205" s="105"/>
      <c r="P205" s="105"/>
      <c r="Q205" s="105"/>
    </row>
    <row r="206" spans="1:17" s="98" customFormat="1" ht="276" customHeight="1" thickTop="1" thickBot="1" x14ac:dyDescent="0.25">
      <c r="A206" s="745" t="s">
        <v>577</v>
      </c>
      <c r="B206" s="745" t="s">
        <v>209</v>
      </c>
      <c r="C206" s="745" t="s">
        <v>178</v>
      </c>
      <c r="D206" s="745" t="s">
        <v>36</v>
      </c>
      <c r="E206" s="451" t="s">
        <v>1320</v>
      </c>
      <c r="F206" s="735" t="s">
        <v>1321</v>
      </c>
      <c r="G206" s="747">
        <f t="shared" si="26"/>
        <v>8340000</v>
      </c>
      <c r="H206" s="746">
        <f>'d3'!E274</f>
        <v>0</v>
      </c>
      <c r="I206" s="747">
        <f>(((11095000)+3000000)-3460000)-2295000</f>
        <v>8340000</v>
      </c>
      <c r="J206" s="747">
        <f>(((11095000)+3000000)-3460000)-2295000</f>
        <v>8340000</v>
      </c>
      <c r="K206" s="711" t="b">
        <f>H206+H207='d3'!E274</f>
        <v>1</v>
      </c>
      <c r="L206" s="711" t="b">
        <f>I206+I207='d3'!J274</f>
        <v>1</v>
      </c>
      <c r="M206" s="711" t="b">
        <f>J206+J207='d3'!K274</f>
        <v>1</v>
      </c>
      <c r="N206" s="105"/>
      <c r="O206" s="105"/>
      <c r="P206" s="105"/>
      <c r="Q206" s="105"/>
    </row>
    <row r="207" spans="1:17" s="98" customFormat="1" ht="138.75" thickTop="1" thickBot="1" x14ac:dyDescent="0.25">
      <c r="A207" s="745" t="s">
        <v>577</v>
      </c>
      <c r="B207" s="745" t="s">
        <v>209</v>
      </c>
      <c r="C207" s="745" t="s">
        <v>178</v>
      </c>
      <c r="D207" s="745" t="s">
        <v>36</v>
      </c>
      <c r="E207" s="457" t="s">
        <v>927</v>
      </c>
      <c r="F207" s="486" t="s">
        <v>925</v>
      </c>
      <c r="G207" s="747">
        <f t="shared" si="26"/>
        <v>210000</v>
      </c>
      <c r="H207" s="746">
        <v>0</v>
      </c>
      <c r="I207" s="747">
        <v>210000</v>
      </c>
      <c r="J207" s="747">
        <v>210000</v>
      </c>
      <c r="K207" s="622"/>
      <c r="L207" s="622"/>
      <c r="M207" s="622"/>
      <c r="N207" s="105"/>
      <c r="O207" s="105"/>
      <c r="P207" s="105"/>
      <c r="Q207" s="105"/>
    </row>
    <row r="208" spans="1:17" s="98" customFormat="1" ht="283.5" customHeight="1" thickTop="1" thickBot="1" x14ac:dyDescent="0.7">
      <c r="A208" s="920" t="s">
        <v>578</v>
      </c>
      <c r="B208" s="920" t="s">
        <v>352</v>
      </c>
      <c r="C208" s="920" t="s">
        <v>178</v>
      </c>
      <c r="D208" s="491" t="s">
        <v>457</v>
      </c>
      <c r="E208" s="920" t="s">
        <v>1309</v>
      </c>
      <c r="F208" s="920" t="s">
        <v>1310</v>
      </c>
      <c r="G208" s="925">
        <f t="shared" si="26"/>
        <v>1300000</v>
      </c>
      <c r="H208" s="925">
        <f>'d3'!E276</f>
        <v>0</v>
      </c>
      <c r="I208" s="925">
        <f>'d3'!J276</f>
        <v>1300000</v>
      </c>
      <c r="J208" s="925">
        <f>'d3'!K276</f>
        <v>0</v>
      </c>
      <c r="K208" s="622"/>
      <c r="L208" s="622"/>
      <c r="M208" s="622"/>
      <c r="N208" s="105"/>
      <c r="O208" s="105"/>
      <c r="P208" s="105"/>
      <c r="Q208" s="105"/>
    </row>
    <row r="209" spans="1:17" s="98" customFormat="1" ht="138.75" thickTop="1" thickBot="1" x14ac:dyDescent="0.25">
      <c r="A209" s="934"/>
      <c r="B209" s="934"/>
      <c r="C209" s="934"/>
      <c r="D209" s="492" t="s">
        <v>458</v>
      </c>
      <c r="E209" s="934" t="s">
        <v>1309</v>
      </c>
      <c r="F209" s="934" t="s">
        <v>1310</v>
      </c>
      <c r="G209" s="934">
        <f t="shared" si="26"/>
        <v>0</v>
      </c>
      <c r="H209" s="934"/>
      <c r="I209" s="934"/>
      <c r="J209" s="934"/>
      <c r="K209" s="622"/>
      <c r="L209" s="622"/>
      <c r="M209" s="622"/>
      <c r="N209" s="105"/>
      <c r="O209" s="105"/>
      <c r="P209" s="105"/>
      <c r="Q209" s="105"/>
    </row>
    <row r="210" spans="1:17" s="767" customFormat="1" ht="184.5" thickTop="1" thickBot="1" x14ac:dyDescent="0.25">
      <c r="A210" s="768" t="s">
        <v>1338</v>
      </c>
      <c r="B210" s="768" t="s">
        <v>269</v>
      </c>
      <c r="C210" s="768" t="s">
        <v>178</v>
      </c>
      <c r="D210" s="768" t="s">
        <v>267</v>
      </c>
      <c r="E210" s="451" t="s">
        <v>1320</v>
      </c>
      <c r="F210" s="774" t="s">
        <v>1321</v>
      </c>
      <c r="G210" s="770">
        <f t="shared" ref="G210" si="30">H210+I210</f>
        <v>146000</v>
      </c>
      <c r="H210" s="769">
        <v>146000</v>
      </c>
      <c r="I210" s="770">
        <v>0</v>
      </c>
      <c r="J210" s="770">
        <v>0</v>
      </c>
      <c r="K210" s="622"/>
      <c r="L210" s="622"/>
      <c r="M210" s="622"/>
      <c r="N210" s="771"/>
      <c r="O210" s="771"/>
      <c r="P210" s="771"/>
      <c r="Q210" s="771"/>
    </row>
    <row r="211" spans="1:17" s="98" customFormat="1" ht="367.5" thickTop="1" thickBot="1" x14ac:dyDescent="0.25">
      <c r="A211" s="483" t="s">
        <v>579</v>
      </c>
      <c r="B211" s="483" t="s">
        <v>536</v>
      </c>
      <c r="C211" s="483" t="s">
        <v>263</v>
      </c>
      <c r="D211" s="499" t="s">
        <v>537</v>
      </c>
      <c r="E211" s="457" t="s">
        <v>905</v>
      </c>
      <c r="F211" s="486" t="s">
        <v>906</v>
      </c>
      <c r="G211" s="486">
        <f t="shared" si="26"/>
        <v>200000</v>
      </c>
      <c r="H211" s="457">
        <f>'d3'!E281</f>
        <v>200000</v>
      </c>
      <c r="I211" s="458">
        <f>'d3'!J281</f>
        <v>0</v>
      </c>
      <c r="J211" s="458">
        <f>'d3'!K281</f>
        <v>0</v>
      </c>
      <c r="K211" s="622"/>
      <c r="L211" s="622"/>
      <c r="M211" s="622"/>
      <c r="N211" s="105"/>
      <c r="O211" s="105"/>
      <c r="P211" s="105"/>
      <c r="Q211" s="105"/>
    </row>
    <row r="212" spans="1:17" s="98" customFormat="1" ht="367.5" thickTop="1" thickBot="1" x14ac:dyDescent="0.25">
      <c r="A212" s="483" t="s">
        <v>580</v>
      </c>
      <c r="B212" s="483" t="s">
        <v>262</v>
      </c>
      <c r="C212" s="483" t="s">
        <v>263</v>
      </c>
      <c r="D212" s="483" t="s">
        <v>261</v>
      </c>
      <c r="E212" s="457" t="s">
        <v>905</v>
      </c>
      <c r="F212" s="486" t="s">
        <v>906</v>
      </c>
      <c r="G212" s="486">
        <f t="shared" si="26"/>
        <v>2529070</v>
      </c>
      <c r="H212" s="457">
        <f>'d3'!E282</f>
        <v>2529070</v>
      </c>
      <c r="I212" s="458">
        <f>'d3'!J282</f>
        <v>0</v>
      </c>
      <c r="J212" s="458">
        <f>'d3'!K282</f>
        <v>0</v>
      </c>
      <c r="K212" s="622"/>
      <c r="L212" s="622"/>
      <c r="M212" s="622"/>
      <c r="N212" s="105"/>
      <c r="O212" s="105"/>
      <c r="P212" s="105"/>
      <c r="Q212" s="105"/>
    </row>
    <row r="213" spans="1:17" s="98" customFormat="1" ht="367.5" hidden="1" thickTop="1" thickBot="1" x14ac:dyDescent="0.25">
      <c r="A213" s="259" t="s">
        <v>581</v>
      </c>
      <c r="B213" s="259" t="s">
        <v>582</v>
      </c>
      <c r="C213" s="259" t="s">
        <v>263</v>
      </c>
      <c r="D213" s="259" t="s">
        <v>583</v>
      </c>
      <c r="E213" s="354" t="s">
        <v>905</v>
      </c>
      <c r="F213" s="328" t="s">
        <v>906</v>
      </c>
      <c r="G213" s="328">
        <f t="shared" si="26"/>
        <v>0</v>
      </c>
      <c r="H213" s="354">
        <f>'d3'!E283</f>
        <v>0</v>
      </c>
      <c r="I213" s="360">
        <f>'d3'!J283</f>
        <v>0</v>
      </c>
      <c r="J213" s="360">
        <f>'d3'!K283</f>
        <v>0</v>
      </c>
      <c r="K213" s="622"/>
      <c r="L213" s="622"/>
      <c r="M213" s="622"/>
      <c r="N213" s="105"/>
      <c r="O213" s="105"/>
      <c r="P213" s="105"/>
      <c r="Q213" s="105"/>
    </row>
    <row r="214" spans="1:17" ht="136.5" thickTop="1" thickBot="1" x14ac:dyDescent="0.25">
      <c r="A214" s="828" t="s">
        <v>25</v>
      </c>
      <c r="B214" s="828"/>
      <c r="C214" s="828"/>
      <c r="D214" s="829" t="s">
        <v>944</v>
      </c>
      <c r="E214" s="828"/>
      <c r="F214" s="828"/>
      <c r="G214" s="831">
        <f>G215</f>
        <v>33281688</v>
      </c>
      <c r="H214" s="831">
        <f>H215</f>
        <v>310000</v>
      </c>
      <c r="I214" s="831">
        <f>I215</f>
        <v>32971688</v>
      </c>
      <c r="J214" s="831">
        <f>J215</f>
        <v>32971688</v>
      </c>
      <c r="K214" s="622"/>
      <c r="L214" s="622"/>
      <c r="M214" s="622"/>
    </row>
    <row r="215" spans="1:17" ht="136.5" thickTop="1" thickBot="1" x14ac:dyDescent="0.25">
      <c r="A215" s="832" t="s">
        <v>26</v>
      </c>
      <c r="B215" s="832"/>
      <c r="C215" s="832"/>
      <c r="D215" s="833" t="s">
        <v>945</v>
      </c>
      <c r="E215" s="834"/>
      <c r="F215" s="834"/>
      <c r="G215" s="834">
        <f>SUM(G216:G228)</f>
        <v>33281688</v>
      </c>
      <c r="H215" s="834">
        <f>SUM(H216:H228)</f>
        <v>310000</v>
      </c>
      <c r="I215" s="834">
        <f t="shared" ref="I215:J215" si="31">SUM(I216:I228)</f>
        <v>32971688</v>
      </c>
      <c r="J215" s="834">
        <f t="shared" si="31"/>
        <v>32971688</v>
      </c>
      <c r="K215" s="711" t="b">
        <f>H215='d3'!E285-'d3'!E287</f>
        <v>1</v>
      </c>
      <c r="L215" s="714" t="b">
        <f>I215='d3'!J285</f>
        <v>1</v>
      </c>
      <c r="M215" s="714" t="b">
        <f>J215='d3'!K285</f>
        <v>1</v>
      </c>
    </row>
    <row r="216" spans="1:17" s="141" customFormat="1" ht="367.5" thickTop="1" thickBot="1" x14ac:dyDescent="0.25">
      <c r="A216" s="448" t="s">
        <v>672</v>
      </c>
      <c r="B216" s="448" t="s">
        <v>376</v>
      </c>
      <c r="C216" s="448" t="s">
        <v>662</v>
      </c>
      <c r="D216" s="448" t="s">
        <v>663</v>
      </c>
      <c r="E216" s="451" t="s">
        <v>1328</v>
      </c>
      <c r="F216" s="751" t="s">
        <v>1329</v>
      </c>
      <c r="G216" s="452">
        <f t="shared" ref="G216:G217" si="32">H216+I216</f>
        <v>10000</v>
      </c>
      <c r="H216" s="457">
        <f>'d3'!E288</f>
        <v>10000</v>
      </c>
      <c r="I216" s="458"/>
      <c r="J216" s="458"/>
      <c r="K216" s="712"/>
      <c r="L216" s="712"/>
      <c r="M216" s="712"/>
      <c r="N216" s="142"/>
      <c r="O216" s="142"/>
      <c r="P216" s="142"/>
      <c r="Q216" s="142"/>
    </row>
    <row r="217" spans="1:17" s="169" customFormat="1" ht="184.5" hidden="1" thickTop="1" thickBot="1" x14ac:dyDescent="0.25">
      <c r="A217" s="473" t="s">
        <v>988</v>
      </c>
      <c r="B217" s="473" t="s">
        <v>45</v>
      </c>
      <c r="C217" s="473" t="s">
        <v>44</v>
      </c>
      <c r="D217" s="473" t="s">
        <v>260</v>
      </c>
      <c r="E217" s="451" t="s">
        <v>1283</v>
      </c>
      <c r="F217" s="486"/>
      <c r="G217" s="486">
        <f t="shared" si="32"/>
        <v>0</v>
      </c>
      <c r="H217" s="457">
        <f>'d3'!E289</f>
        <v>0</v>
      </c>
      <c r="I217" s="458">
        <f>'d3'!J289</f>
        <v>0</v>
      </c>
      <c r="J217" s="458">
        <f>'d3'!K289</f>
        <v>0</v>
      </c>
      <c r="K217" s="712"/>
      <c r="L217" s="712"/>
      <c r="M217" s="712"/>
      <c r="N217" s="170"/>
      <c r="O217" s="170"/>
      <c r="P217" s="170"/>
      <c r="Q217" s="170"/>
    </row>
    <row r="218" spans="1:17" s="58" customFormat="1" ht="321.75" thickTop="1" thickBot="1" x14ac:dyDescent="0.25">
      <c r="A218" s="483" t="s">
        <v>449</v>
      </c>
      <c r="B218" s="483" t="s">
        <v>450</v>
      </c>
      <c r="C218" s="483" t="s">
        <v>207</v>
      </c>
      <c r="D218" s="752" t="s">
        <v>1331</v>
      </c>
      <c r="E218" s="451" t="s">
        <v>1309</v>
      </c>
      <c r="F218" s="735" t="s">
        <v>1310</v>
      </c>
      <c r="G218" s="486">
        <f>H218+I218</f>
        <v>20000000</v>
      </c>
      <c r="H218" s="486">
        <f>'d3'!E292</f>
        <v>0</v>
      </c>
      <c r="I218" s="486">
        <f>'d3'!J292</f>
        <v>20000000</v>
      </c>
      <c r="J218" s="486">
        <f>'d3'!K292</f>
        <v>20000000</v>
      </c>
      <c r="K218" s="622"/>
      <c r="L218" s="622"/>
      <c r="M218" s="622"/>
      <c r="N218" s="105"/>
      <c r="O218" s="105"/>
      <c r="P218" s="105"/>
      <c r="Q218" s="105"/>
    </row>
    <row r="219" spans="1:17" s="58" customFormat="1" ht="138.75" thickTop="1" thickBot="1" x14ac:dyDescent="0.25">
      <c r="A219" s="483" t="s">
        <v>987</v>
      </c>
      <c r="B219" s="483" t="s">
        <v>318</v>
      </c>
      <c r="C219" s="483" t="s">
        <v>317</v>
      </c>
      <c r="D219" s="483" t="s">
        <v>664</v>
      </c>
      <c r="E219" s="451" t="s">
        <v>1309</v>
      </c>
      <c r="F219" s="735" t="s">
        <v>1310</v>
      </c>
      <c r="G219" s="780">
        <f t="shared" ref="G219:G228" si="33">H219+I219</f>
        <v>706113</v>
      </c>
      <c r="H219" s="486">
        <f>'d3'!E295</f>
        <v>0</v>
      </c>
      <c r="I219" s="486">
        <f>'d3'!J295</f>
        <v>706113</v>
      </c>
      <c r="J219" s="486">
        <f>'d3'!K295</f>
        <v>706113</v>
      </c>
      <c r="K219" s="622"/>
      <c r="L219" s="622"/>
      <c r="M219" s="622"/>
      <c r="N219" s="170"/>
      <c r="O219" s="170"/>
      <c r="P219" s="170"/>
      <c r="Q219" s="170"/>
    </row>
    <row r="220" spans="1:17" s="58" customFormat="1" ht="138.75" thickTop="1" thickBot="1" x14ac:dyDescent="0.25">
      <c r="A220" s="483" t="s">
        <v>323</v>
      </c>
      <c r="B220" s="483" t="s">
        <v>324</v>
      </c>
      <c r="C220" s="483" t="s">
        <v>317</v>
      </c>
      <c r="D220" s="483" t="s">
        <v>665</v>
      </c>
      <c r="E220" s="451" t="s">
        <v>1309</v>
      </c>
      <c r="F220" s="735" t="s">
        <v>1310</v>
      </c>
      <c r="G220" s="780">
        <f t="shared" si="33"/>
        <v>1944219</v>
      </c>
      <c r="H220" s="486">
        <f>'d3'!E297</f>
        <v>0</v>
      </c>
      <c r="I220" s="486">
        <f>'d3'!J297</f>
        <v>1944219</v>
      </c>
      <c r="J220" s="486">
        <f>I220</f>
        <v>1944219</v>
      </c>
      <c r="K220" s="622"/>
      <c r="L220" s="622"/>
      <c r="M220" s="622"/>
      <c r="N220" s="105"/>
      <c r="O220" s="105"/>
      <c r="P220" s="105"/>
      <c r="Q220" s="105"/>
    </row>
    <row r="221" spans="1:17" s="58" customFormat="1" ht="138.75" thickTop="1" thickBot="1" x14ac:dyDescent="0.25">
      <c r="A221" s="483" t="s">
        <v>534</v>
      </c>
      <c r="B221" s="483" t="s">
        <v>535</v>
      </c>
      <c r="C221" s="483" t="s">
        <v>317</v>
      </c>
      <c r="D221" s="483" t="s">
        <v>666</v>
      </c>
      <c r="E221" s="451" t="s">
        <v>1309</v>
      </c>
      <c r="F221" s="735" t="s">
        <v>1310</v>
      </c>
      <c r="G221" s="780">
        <f t="shared" si="33"/>
        <v>1248491</v>
      </c>
      <c r="H221" s="486">
        <f>'d3'!E298</f>
        <v>0</v>
      </c>
      <c r="I221" s="486">
        <f>'d3'!J298</f>
        <v>1248491</v>
      </c>
      <c r="J221" s="486">
        <f>I221</f>
        <v>1248491</v>
      </c>
      <c r="K221" s="622"/>
      <c r="L221" s="622"/>
      <c r="M221" s="622"/>
      <c r="N221" s="105"/>
      <c r="O221" s="105"/>
      <c r="P221" s="105"/>
      <c r="Q221" s="105"/>
    </row>
    <row r="222" spans="1:17" s="58" customFormat="1" ht="138.75" thickTop="1" thickBot="1" x14ac:dyDescent="0.25">
      <c r="A222" s="483" t="s">
        <v>325</v>
      </c>
      <c r="B222" s="483" t="s">
        <v>326</v>
      </c>
      <c r="C222" s="483" t="s">
        <v>317</v>
      </c>
      <c r="D222" s="483" t="s">
        <v>667</v>
      </c>
      <c r="E222" s="451" t="s">
        <v>1309</v>
      </c>
      <c r="F222" s="735" t="s">
        <v>1310</v>
      </c>
      <c r="G222" s="780">
        <f t="shared" si="33"/>
        <v>1300000</v>
      </c>
      <c r="H222" s="486">
        <f>'d3'!E299</f>
        <v>0</v>
      </c>
      <c r="I222" s="486">
        <f>'d3'!J299</f>
        <v>1300000</v>
      </c>
      <c r="J222" s="486">
        <f>I222</f>
        <v>1300000</v>
      </c>
      <c r="K222" s="622"/>
      <c r="L222" s="622"/>
      <c r="M222" s="622"/>
      <c r="N222" s="105"/>
      <c r="O222" s="105"/>
      <c r="P222" s="105"/>
      <c r="Q222" s="105"/>
    </row>
    <row r="223" spans="1:17" s="58" customFormat="1" ht="138.75" thickTop="1" thickBot="1" x14ac:dyDescent="0.25">
      <c r="A223" s="483" t="s">
        <v>327</v>
      </c>
      <c r="B223" s="483" t="s">
        <v>328</v>
      </c>
      <c r="C223" s="483" t="s">
        <v>317</v>
      </c>
      <c r="D223" s="483" t="s">
        <v>668</v>
      </c>
      <c r="E223" s="451" t="s">
        <v>1309</v>
      </c>
      <c r="F223" s="735" t="s">
        <v>1310</v>
      </c>
      <c r="G223" s="780">
        <f t="shared" si="33"/>
        <v>7772865</v>
      </c>
      <c r="H223" s="486">
        <f>'d3'!E300-H224</f>
        <v>0</v>
      </c>
      <c r="I223" s="486">
        <f>'d3'!J300-I224</f>
        <v>7772865</v>
      </c>
      <c r="J223" s="486">
        <f>'d3'!K300-J224</f>
        <v>7772865</v>
      </c>
      <c r="K223" s="622"/>
      <c r="L223" s="622"/>
      <c r="M223" s="622"/>
      <c r="N223" s="105"/>
      <c r="O223" s="105"/>
      <c r="P223" s="105"/>
      <c r="Q223" s="105"/>
    </row>
    <row r="224" spans="1:17" s="58" customFormat="1" ht="138.75" hidden="1" customHeight="1" thickTop="1" thickBot="1" x14ac:dyDescent="0.25">
      <c r="A224" s="483" t="s">
        <v>327</v>
      </c>
      <c r="B224" s="483" t="s">
        <v>328</v>
      </c>
      <c r="C224" s="483" t="s">
        <v>317</v>
      </c>
      <c r="D224" s="483" t="s">
        <v>668</v>
      </c>
      <c r="E224" s="453" t="s">
        <v>466</v>
      </c>
      <c r="F224" s="562" t="s">
        <v>441</v>
      </c>
      <c r="G224" s="780">
        <f t="shared" si="33"/>
        <v>0</v>
      </c>
      <c r="H224" s="486">
        <v>0</v>
      </c>
      <c r="I224" s="486">
        <v>0</v>
      </c>
      <c r="J224" s="486">
        <v>0</v>
      </c>
      <c r="K224" s="622"/>
      <c r="L224" s="622"/>
      <c r="M224" s="622"/>
      <c r="N224" s="180"/>
      <c r="O224" s="180"/>
      <c r="P224" s="180"/>
      <c r="Q224" s="180"/>
    </row>
    <row r="225" spans="1:17" s="58" customFormat="1" ht="184.5" hidden="1" customHeight="1" thickTop="1" thickBot="1" x14ac:dyDescent="0.25">
      <c r="A225" s="483" t="s">
        <v>454</v>
      </c>
      <c r="B225" s="483" t="s">
        <v>364</v>
      </c>
      <c r="C225" s="483" t="s">
        <v>178</v>
      </c>
      <c r="D225" s="483" t="s">
        <v>274</v>
      </c>
      <c r="E225" s="451" t="s">
        <v>1283</v>
      </c>
      <c r="F225" s="486"/>
      <c r="G225" s="780">
        <f t="shared" si="33"/>
        <v>0</v>
      </c>
      <c r="H225" s="486">
        <f>'d3'!E301</f>
        <v>0</v>
      </c>
      <c r="I225" s="486">
        <f>'d3'!J301</f>
        <v>0</v>
      </c>
      <c r="J225" s="486">
        <f>'d3'!K301</f>
        <v>0</v>
      </c>
      <c r="K225" s="622"/>
      <c r="L225" s="622"/>
      <c r="M225" s="622"/>
      <c r="N225" s="105"/>
      <c r="O225" s="105"/>
      <c r="P225" s="105"/>
      <c r="Q225" s="105"/>
    </row>
    <row r="226" spans="1:17" s="58" customFormat="1" ht="409.6" hidden="1" customHeight="1" thickTop="1" thickBot="1" x14ac:dyDescent="0.7">
      <c r="A226" s="920" t="s">
        <v>1066</v>
      </c>
      <c r="B226" s="920" t="s">
        <v>352</v>
      </c>
      <c r="C226" s="920" t="s">
        <v>178</v>
      </c>
      <c r="D226" s="484" t="s">
        <v>457</v>
      </c>
      <c r="E226" s="920" t="s">
        <v>1283</v>
      </c>
      <c r="F226" s="920"/>
      <c r="G226" s="780">
        <f t="shared" si="33"/>
        <v>0</v>
      </c>
      <c r="H226" s="925">
        <f>'d3'!E304</f>
        <v>0</v>
      </c>
      <c r="I226" s="925">
        <f>'d3'!J304</f>
        <v>0</v>
      </c>
      <c r="J226" s="925">
        <f>'d3'!K304</f>
        <v>0</v>
      </c>
      <c r="K226" s="622"/>
      <c r="L226" s="622"/>
      <c r="M226" s="622"/>
      <c r="N226" s="201"/>
      <c r="O226" s="201"/>
      <c r="P226" s="201"/>
      <c r="Q226" s="201"/>
    </row>
    <row r="227" spans="1:17" s="58" customFormat="1" ht="138.75" hidden="1" customHeight="1" thickTop="1" thickBot="1" x14ac:dyDescent="0.25">
      <c r="A227" s="920"/>
      <c r="B227" s="920"/>
      <c r="C227" s="920"/>
      <c r="D227" s="488" t="s">
        <v>458</v>
      </c>
      <c r="E227" s="920"/>
      <c r="F227" s="920"/>
      <c r="G227" s="780">
        <f t="shared" si="33"/>
        <v>0</v>
      </c>
      <c r="H227" s="934"/>
      <c r="I227" s="934"/>
      <c r="J227" s="934"/>
      <c r="K227" s="622"/>
      <c r="L227" s="622"/>
      <c r="M227" s="622"/>
      <c r="N227" s="201"/>
      <c r="O227" s="201"/>
      <c r="P227" s="201"/>
      <c r="Q227" s="201"/>
    </row>
    <row r="228" spans="1:17" s="58" customFormat="1" ht="138.75" thickTop="1" thickBot="1" x14ac:dyDescent="0.25">
      <c r="A228" s="775" t="s">
        <v>1362</v>
      </c>
      <c r="B228" s="775" t="s">
        <v>269</v>
      </c>
      <c r="C228" s="775" t="s">
        <v>178</v>
      </c>
      <c r="D228" s="488" t="s">
        <v>267</v>
      </c>
      <c r="E228" s="451" t="s">
        <v>1309</v>
      </c>
      <c r="F228" s="774" t="s">
        <v>1310</v>
      </c>
      <c r="G228" s="780">
        <f t="shared" si="33"/>
        <v>300000</v>
      </c>
      <c r="H228" s="774">
        <v>300000</v>
      </c>
      <c r="I228" s="774">
        <v>0</v>
      </c>
      <c r="J228" s="774">
        <v>0</v>
      </c>
      <c r="K228" s="622"/>
      <c r="L228" s="622"/>
      <c r="M228" s="622"/>
      <c r="N228" s="778"/>
      <c r="O228" s="778"/>
      <c r="P228" s="778"/>
      <c r="Q228" s="778"/>
    </row>
    <row r="229" spans="1:17" ht="136.5" thickTop="1" thickBot="1" x14ac:dyDescent="0.25">
      <c r="A229" s="828" t="s">
        <v>168</v>
      </c>
      <c r="B229" s="828"/>
      <c r="C229" s="828"/>
      <c r="D229" s="829" t="s">
        <v>946</v>
      </c>
      <c r="E229" s="828"/>
      <c r="F229" s="828"/>
      <c r="G229" s="831">
        <f>G230</f>
        <v>1479688</v>
      </c>
      <c r="H229" s="831">
        <f t="shared" ref="H229:J229" si="34">H230</f>
        <v>7588</v>
      </c>
      <c r="I229" s="831">
        <f t="shared" si="34"/>
        <v>1472100</v>
      </c>
      <c r="J229" s="831">
        <f t="shared" si="34"/>
        <v>1472100</v>
      </c>
      <c r="K229" s="711" t="b">
        <f>H229='d3'!E308-'d3'!E310+H231+H233</f>
        <v>1</v>
      </c>
      <c r="L229" s="714" t="b">
        <f>I229='d3'!J308-'d3'!J310+'d7'!I231</f>
        <v>1</v>
      </c>
      <c r="M229" s="714" t="b">
        <f>J229='d3'!K308-'d3'!K310+'d7'!J231</f>
        <v>1</v>
      </c>
    </row>
    <row r="230" spans="1:17" ht="136.5" thickTop="1" thickBot="1" x14ac:dyDescent="0.25">
      <c r="A230" s="832" t="s">
        <v>169</v>
      </c>
      <c r="B230" s="832"/>
      <c r="C230" s="832"/>
      <c r="D230" s="833" t="s">
        <v>953</v>
      </c>
      <c r="E230" s="834"/>
      <c r="F230" s="834"/>
      <c r="G230" s="834">
        <f>SUM(G231:G233)</f>
        <v>1479688</v>
      </c>
      <c r="H230" s="834">
        <f>SUM(H231:H233)</f>
        <v>7588</v>
      </c>
      <c r="I230" s="834">
        <f>SUM(I231:I233)</f>
        <v>1472100</v>
      </c>
      <c r="J230" s="834">
        <f>SUM(J231:J233)</f>
        <v>1472100</v>
      </c>
      <c r="K230" s="622"/>
      <c r="L230" s="622"/>
      <c r="M230" s="622"/>
    </row>
    <row r="231" spans="1:17" ht="184.5" thickTop="1" thickBot="1" x14ac:dyDescent="0.25">
      <c r="A231" s="224" t="s">
        <v>435</v>
      </c>
      <c r="B231" s="224" t="s">
        <v>248</v>
      </c>
      <c r="C231" s="224" t="s">
        <v>246</v>
      </c>
      <c r="D231" s="224" t="s">
        <v>247</v>
      </c>
      <c r="E231" s="453" t="s">
        <v>1123</v>
      </c>
      <c r="F231" s="452" t="s">
        <v>904</v>
      </c>
      <c r="G231" s="452">
        <f>H231+I231</f>
        <v>64000</v>
      </c>
      <c r="H231" s="452">
        <v>0</v>
      </c>
      <c r="I231" s="452">
        <f>40000+24000</f>
        <v>64000</v>
      </c>
      <c r="J231" s="452">
        <f>40000+24000</f>
        <v>64000</v>
      </c>
      <c r="K231" s="622"/>
      <c r="L231" s="622"/>
      <c r="M231" s="622"/>
    </row>
    <row r="232" spans="1:17" s="141" customFormat="1" ht="367.5" thickTop="1" thickBot="1" x14ac:dyDescent="0.25">
      <c r="A232" s="224" t="s">
        <v>673</v>
      </c>
      <c r="B232" s="224" t="s">
        <v>376</v>
      </c>
      <c r="C232" s="224" t="s">
        <v>662</v>
      </c>
      <c r="D232" s="224" t="s">
        <v>663</v>
      </c>
      <c r="E232" s="451" t="s">
        <v>1328</v>
      </c>
      <c r="F232" s="751" t="s">
        <v>1329</v>
      </c>
      <c r="G232" s="452">
        <f t="shared" ref="G232:G233" si="35">H232+I232</f>
        <v>7588</v>
      </c>
      <c r="H232" s="457">
        <f>'d3'!E311</f>
        <v>7588</v>
      </c>
      <c r="I232" s="458"/>
      <c r="J232" s="458"/>
      <c r="K232" s="622"/>
      <c r="L232" s="622"/>
      <c r="M232" s="622"/>
      <c r="N232" s="142"/>
      <c r="O232" s="142"/>
      <c r="P232" s="142"/>
      <c r="Q232" s="142"/>
    </row>
    <row r="233" spans="1:17" s="159" customFormat="1" ht="138.75" thickTop="1" thickBot="1" x14ac:dyDescent="0.25">
      <c r="A233" s="533" t="s">
        <v>967</v>
      </c>
      <c r="B233" s="533" t="s">
        <v>968</v>
      </c>
      <c r="C233" s="533" t="s">
        <v>317</v>
      </c>
      <c r="D233" s="533" t="s">
        <v>969</v>
      </c>
      <c r="E233" s="451" t="s">
        <v>1309</v>
      </c>
      <c r="F233" s="735" t="s">
        <v>1310</v>
      </c>
      <c r="G233" s="531">
        <f t="shared" si="35"/>
        <v>1408100</v>
      </c>
      <c r="H233" s="567">
        <f>'d3'!E314</f>
        <v>0</v>
      </c>
      <c r="I233" s="568">
        <f>'d3'!J314</f>
        <v>1408100</v>
      </c>
      <c r="J233" s="568">
        <f>'d3'!K314</f>
        <v>1408100</v>
      </c>
      <c r="K233" s="622"/>
      <c r="L233" s="622"/>
      <c r="M233" s="622"/>
      <c r="N233" s="160"/>
      <c r="O233" s="160"/>
      <c r="P233" s="160"/>
      <c r="Q233" s="160"/>
    </row>
    <row r="234" spans="1:17" ht="201.75" customHeight="1" thickTop="1" thickBot="1" x14ac:dyDescent="0.25">
      <c r="A234" s="828" t="s">
        <v>461</v>
      </c>
      <c r="B234" s="828"/>
      <c r="C234" s="828"/>
      <c r="D234" s="829" t="s">
        <v>463</v>
      </c>
      <c r="E234" s="828"/>
      <c r="F234" s="828"/>
      <c r="G234" s="831">
        <f>G235</f>
        <v>133533450</v>
      </c>
      <c r="H234" s="831">
        <f t="shared" ref="H234:J234" si="36">H235</f>
        <v>109791800</v>
      </c>
      <c r="I234" s="831">
        <f t="shared" si="36"/>
        <v>23741650</v>
      </c>
      <c r="J234" s="831">
        <f t="shared" si="36"/>
        <v>23741650</v>
      </c>
      <c r="K234" s="622"/>
      <c r="L234" s="622"/>
      <c r="M234" s="622"/>
    </row>
    <row r="235" spans="1:17" ht="136.5" thickTop="1" thickBot="1" x14ac:dyDescent="0.25">
      <c r="A235" s="832" t="s">
        <v>462</v>
      </c>
      <c r="B235" s="832"/>
      <c r="C235" s="832"/>
      <c r="D235" s="833" t="s">
        <v>464</v>
      </c>
      <c r="E235" s="834"/>
      <c r="F235" s="834"/>
      <c r="G235" s="834">
        <f>SUM(G236:G242)</f>
        <v>133533450</v>
      </c>
      <c r="H235" s="834">
        <f>SUM(H236:H242)</f>
        <v>109791800</v>
      </c>
      <c r="I235" s="834">
        <f>SUM(I236:I242)</f>
        <v>23741650</v>
      </c>
      <c r="J235" s="834">
        <f>SUM(J236:J242)</f>
        <v>23741650</v>
      </c>
      <c r="K235" s="711" t="b">
        <f>H235='d3'!E316-'d3'!E318+'d7'!H236</f>
        <v>1</v>
      </c>
      <c r="L235" s="714" t="b">
        <f>I235='d3'!J316-'d3'!J318+'d7'!I236</f>
        <v>1</v>
      </c>
      <c r="M235" s="714" t="b">
        <f>J235='d3'!K316-'d3'!K318+'d7'!J236</f>
        <v>1</v>
      </c>
    </row>
    <row r="236" spans="1:17" ht="184.5" thickTop="1" thickBot="1" x14ac:dyDescent="0.25">
      <c r="A236" s="825" t="s">
        <v>465</v>
      </c>
      <c r="B236" s="825" t="s">
        <v>248</v>
      </c>
      <c r="C236" s="825" t="s">
        <v>246</v>
      </c>
      <c r="D236" s="825" t="s">
        <v>247</v>
      </c>
      <c r="E236" s="453" t="s">
        <v>1123</v>
      </c>
      <c r="F236" s="824" t="s">
        <v>904</v>
      </c>
      <c r="G236" s="824">
        <f>H236+I236</f>
        <v>110500</v>
      </c>
      <c r="H236" s="826">
        <v>0</v>
      </c>
      <c r="I236" s="824">
        <v>110500</v>
      </c>
      <c r="J236" s="824">
        <v>110500</v>
      </c>
      <c r="K236" s="622"/>
      <c r="L236" s="622"/>
      <c r="M236" s="622"/>
    </row>
    <row r="237" spans="1:17" s="141" customFormat="1" ht="367.5" hidden="1" thickTop="1" thickBot="1" x14ac:dyDescent="0.25">
      <c r="A237" s="825" t="s">
        <v>674</v>
      </c>
      <c r="B237" s="825" t="s">
        <v>376</v>
      </c>
      <c r="C237" s="825" t="s">
        <v>662</v>
      </c>
      <c r="D237" s="825" t="s">
        <v>663</v>
      </c>
      <c r="E237" s="451" t="s">
        <v>935</v>
      </c>
      <c r="F237" s="824" t="s">
        <v>936</v>
      </c>
      <c r="G237" s="824">
        <f t="shared" ref="G237:G239" si="37">H237+I237</f>
        <v>0</v>
      </c>
      <c r="H237" s="826">
        <f>'d3'!E319</f>
        <v>0</v>
      </c>
      <c r="I237" s="827"/>
      <c r="J237" s="827"/>
      <c r="K237" s="622"/>
      <c r="L237" s="622"/>
      <c r="M237" s="622"/>
      <c r="N237" s="142"/>
      <c r="O237" s="142"/>
      <c r="P237" s="142"/>
      <c r="Q237" s="142"/>
    </row>
    <row r="238" spans="1:17" s="202" customFormat="1" ht="184.5" hidden="1" thickTop="1" thickBot="1" x14ac:dyDescent="0.25">
      <c r="A238" s="825" t="s">
        <v>485</v>
      </c>
      <c r="B238" s="825" t="s">
        <v>428</v>
      </c>
      <c r="C238" s="825" t="s">
        <v>429</v>
      </c>
      <c r="D238" s="825" t="s">
        <v>430</v>
      </c>
      <c r="E238" s="453" t="s">
        <v>1096</v>
      </c>
      <c r="F238" s="824" t="s">
        <v>507</v>
      </c>
      <c r="G238" s="824">
        <f t="shared" si="37"/>
        <v>0</v>
      </c>
      <c r="H238" s="826">
        <f>'d3'!E323</f>
        <v>0</v>
      </c>
      <c r="I238" s="827">
        <f>'d3'!J323</f>
        <v>0</v>
      </c>
      <c r="J238" s="827">
        <f>'d3'!K323</f>
        <v>0</v>
      </c>
      <c r="K238" s="622"/>
      <c r="L238" s="622"/>
      <c r="M238" s="622"/>
      <c r="N238" s="203"/>
      <c r="O238" s="203"/>
      <c r="P238" s="203"/>
      <c r="Q238" s="203"/>
    </row>
    <row r="239" spans="1:17" ht="138.75" thickTop="1" thickBot="1" x14ac:dyDescent="0.25">
      <c r="A239" s="825" t="s">
        <v>486</v>
      </c>
      <c r="B239" s="825" t="s">
        <v>303</v>
      </c>
      <c r="C239" s="825" t="s">
        <v>305</v>
      </c>
      <c r="D239" s="825" t="s">
        <v>304</v>
      </c>
      <c r="E239" s="453" t="s">
        <v>999</v>
      </c>
      <c r="F239" s="824" t="s">
        <v>1000</v>
      </c>
      <c r="G239" s="824">
        <f t="shared" si="37"/>
        <v>109641800</v>
      </c>
      <c r="H239" s="826">
        <f>'d3'!E325</f>
        <v>109641800</v>
      </c>
      <c r="I239" s="827">
        <f>'d3'!J325</f>
        <v>0</v>
      </c>
      <c r="J239" s="827">
        <f>'d3'!K325</f>
        <v>0</v>
      </c>
      <c r="K239" s="622"/>
      <c r="L239" s="622"/>
      <c r="M239" s="622"/>
    </row>
    <row r="240" spans="1:17" s="220" customFormat="1" ht="184.5" hidden="1" thickTop="1" thickBot="1" x14ac:dyDescent="0.25">
      <c r="A240" s="1040" t="s">
        <v>1201</v>
      </c>
      <c r="B240" s="1040" t="s">
        <v>1202</v>
      </c>
      <c r="C240" s="1040" t="s">
        <v>308</v>
      </c>
      <c r="D240" s="1040" t="s">
        <v>1200</v>
      </c>
      <c r="E240" s="453" t="s">
        <v>1096</v>
      </c>
      <c r="F240" s="774" t="s">
        <v>507</v>
      </c>
      <c r="G240" s="1034">
        <f>H240+I240</f>
        <v>150000</v>
      </c>
      <c r="H240" s="1037">
        <v>150000</v>
      </c>
      <c r="I240" s="1039"/>
      <c r="J240" s="1039"/>
      <c r="K240" s="622"/>
      <c r="L240" s="622"/>
      <c r="M240" s="622"/>
      <c r="N240" s="221"/>
      <c r="O240" s="221"/>
      <c r="P240" s="221"/>
      <c r="Q240" s="221"/>
    </row>
    <row r="241" spans="1:17" s="220" customFormat="1" ht="138.75" thickTop="1" thickBot="1" x14ac:dyDescent="0.25">
      <c r="A241" s="1038"/>
      <c r="B241" s="1038" t="s">
        <v>1202</v>
      </c>
      <c r="C241" s="1038"/>
      <c r="D241" s="1038"/>
      <c r="E241" s="451" t="s">
        <v>1309</v>
      </c>
      <c r="F241" s="774" t="s">
        <v>1310</v>
      </c>
      <c r="G241" s="1038"/>
      <c r="H241" s="1038"/>
      <c r="I241" s="1038"/>
      <c r="J241" s="1038"/>
      <c r="K241" s="622"/>
      <c r="L241" s="622"/>
      <c r="M241" s="622"/>
      <c r="N241" s="221"/>
      <c r="O241" s="221"/>
      <c r="P241" s="221"/>
      <c r="Q241" s="221"/>
    </row>
    <row r="242" spans="1:17" s="736" customFormat="1" ht="184.5" thickTop="1" thickBot="1" x14ac:dyDescent="0.25">
      <c r="A242" s="739" t="s">
        <v>1326</v>
      </c>
      <c r="B242" s="739" t="s">
        <v>209</v>
      </c>
      <c r="C242" s="739" t="s">
        <v>178</v>
      </c>
      <c r="D242" s="739" t="s">
        <v>1327</v>
      </c>
      <c r="E242" s="453" t="s">
        <v>1096</v>
      </c>
      <c r="F242" s="738" t="s">
        <v>507</v>
      </c>
      <c r="G242" s="738">
        <f t="shared" ref="G242" si="38">H242+I242</f>
        <v>23631150</v>
      </c>
      <c r="H242" s="741">
        <f>'d3'!E328</f>
        <v>0</v>
      </c>
      <c r="I242" s="742">
        <f>'d3'!J328</f>
        <v>23631150</v>
      </c>
      <c r="J242" s="742">
        <f>'d3'!K328</f>
        <v>23631150</v>
      </c>
      <c r="K242" s="622"/>
      <c r="L242" s="622"/>
      <c r="M242" s="622"/>
      <c r="N242" s="743"/>
      <c r="O242" s="743"/>
      <c r="P242" s="743"/>
      <c r="Q242" s="743"/>
    </row>
    <row r="243" spans="1:17" ht="160.5" customHeight="1" thickTop="1" thickBot="1" x14ac:dyDescent="0.25">
      <c r="A243" s="828" t="s">
        <v>174</v>
      </c>
      <c r="B243" s="828"/>
      <c r="C243" s="828"/>
      <c r="D243" s="829" t="s">
        <v>368</v>
      </c>
      <c r="E243" s="828"/>
      <c r="F243" s="828"/>
      <c r="G243" s="831">
        <f>G244</f>
        <v>9119400</v>
      </c>
      <c r="H243" s="831">
        <f t="shared" ref="H243:J243" si="39">H244</f>
        <v>8319400</v>
      </c>
      <c r="I243" s="831">
        <f t="shared" si="39"/>
        <v>800000</v>
      </c>
      <c r="J243" s="831">
        <f t="shared" si="39"/>
        <v>800000</v>
      </c>
      <c r="K243" s="711" t="b">
        <f>H243='d3'!E329</f>
        <v>1</v>
      </c>
      <c r="L243" s="714" t="b">
        <f>I243='d3'!J329</f>
        <v>1</v>
      </c>
      <c r="M243" s="714" t="b">
        <f>J243='d3'!K329</f>
        <v>1</v>
      </c>
    </row>
    <row r="244" spans="1:17" ht="136.5" thickTop="1" thickBot="1" x14ac:dyDescent="0.25">
      <c r="A244" s="832" t="s">
        <v>175</v>
      </c>
      <c r="B244" s="832"/>
      <c r="C244" s="832"/>
      <c r="D244" s="833" t="s">
        <v>369</v>
      </c>
      <c r="E244" s="834"/>
      <c r="F244" s="834"/>
      <c r="G244" s="834">
        <f>SUM(G245:G252)</f>
        <v>9119400</v>
      </c>
      <c r="H244" s="834">
        <f>SUM(H245:H252)</f>
        <v>8319400</v>
      </c>
      <c r="I244" s="834">
        <f>SUM(I245:I252)</f>
        <v>800000</v>
      </c>
      <c r="J244" s="834">
        <f>SUM(J245:J252)</f>
        <v>800000</v>
      </c>
      <c r="K244" s="622"/>
      <c r="L244" s="622"/>
      <c r="M244" s="622"/>
    </row>
    <row r="245" spans="1:17" s="202" customFormat="1" ht="138.75" thickTop="1" thickBot="1" x14ac:dyDescent="0.25">
      <c r="A245" s="533" t="s">
        <v>1092</v>
      </c>
      <c r="B245" s="533" t="s">
        <v>364</v>
      </c>
      <c r="C245" s="533" t="s">
        <v>178</v>
      </c>
      <c r="D245" s="533" t="s">
        <v>274</v>
      </c>
      <c r="E245" s="451" t="s">
        <v>1309</v>
      </c>
      <c r="F245" s="735" t="s">
        <v>1310</v>
      </c>
      <c r="G245" s="567">
        <f>H245+I245</f>
        <v>74340</v>
      </c>
      <c r="H245" s="531">
        <v>74340</v>
      </c>
      <c r="I245" s="531"/>
      <c r="J245" s="531"/>
      <c r="K245" s="711" t="b">
        <f>H245='d3'!E333</f>
        <v>1</v>
      </c>
      <c r="L245" s="714" t="b">
        <f>I245='d3'!J333</f>
        <v>1</v>
      </c>
      <c r="M245" s="714" t="b">
        <f>J245='d3'!K333</f>
        <v>1</v>
      </c>
      <c r="N245" s="203"/>
      <c r="O245" s="203"/>
      <c r="P245" s="203"/>
      <c r="Q245" s="203"/>
    </row>
    <row r="246" spans="1:17" ht="138.75" thickTop="1" thickBot="1" x14ac:dyDescent="0.25">
      <c r="A246" s="533" t="s">
        <v>272</v>
      </c>
      <c r="B246" s="533" t="s">
        <v>273</v>
      </c>
      <c r="C246" s="533" t="s">
        <v>271</v>
      </c>
      <c r="D246" s="533" t="s">
        <v>270</v>
      </c>
      <c r="E246" s="453" t="s">
        <v>1312</v>
      </c>
      <c r="F246" s="735" t="s">
        <v>1311</v>
      </c>
      <c r="G246" s="567">
        <f>H246+I246</f>
        <v>4960060</v>
      </c>
      <c r="H246" s="531">
        <f>5460060-500000</f>
        <v>4960060</v>
      </c>
      <c r="I246" s="531"/>
      <c r="J246" s="531"/>
      <c r="K246" s="711" t="b">
        <f>H246+H247='d3'!E335</f>
        <v>1</v>
      </c>
      <c r="L246" s="714" t="b">
        <f>I246+I247='d3'!J335</f>
        <v>1</v>
      </c>
      <c r="M246" s="714" t="b">
        <f>J246+J247='d3'!K335</f>
        <v>1</v>
      </c>
    </row>
    <row r="247" spans="1:17" ht="138.75" thickTop="1" thickBot="1" x14ac:dyDescent="0.25">
      <c r="A247" s="533" t="s">
        <v>272</v>
      </c>
      <c r="B247" s="533" t="s">
        <v>273</v>
      </c>
      <c r="C247" s="533" t="s">
        <v>271</v>
      </c>
      <c r="D247" s="533" t="s">
        <v>270</v>
      </c>
      <c r="E247" s="453" t="s">
        <v>466</v>
      </c>
      <c r="F247" s="562" t="s">
        <v>441</v>
      </c>
      <c r="G247" s="567">
        <f t="shared" ref="G247:G252" si="40">H247+I247</f>
        <v>300000</v>
      </c>
      <c r="H247" s="531">
        <v>300000</v>
      </c>
      <c r="I247" s="531"/>
      <c r="J247" s="531"/>
      <c r="K247" s="622"/>
      <c r="L247" s="622"/>
      <c r="M247" s="714"/>
    </row>
    <row r="248" spans="1:17" ht="184.5" thickTop="1" thickBot="1" x14ac:dyDescent="0.25">
      <c r="A248" s="533" t="s">
        <v>264</v>
      </c>
      <c r="B248" s="533" t="s">
        <v>266</v>
      </c>
      <c r="C248" s="533" t="s">
        <v>225</v>
      </c>
      <c r="D248" s="533" t="s">
        <v>265</v>
      </c>
      <c r="E248" s="531" t="s">
        <v>909</v>
      </c>
      <c r="F248" s="531" t="s">
        <v>910</v>
      </c>
      <c r="G248" s="567">
        <f t="shared" si="40"/>
        <v>1085000</v>
      </c>
      <c r="H248" s="531">
        <v>1085000</v>
      </c>
      <c r="I248" s="531">
        <v>0</v>
      </c>
      <c r="J248" s="531">
        <v>0</v>
      </c>
      <c r="K248" s="711" t="b">
        <f>H248='d3'!E336</f>
        <v>1</v>
      </c>
      <c r="L248" s="714" t="b">
        <f>I248='d3'!J336</f>
        <v>1</v>
      </c>
      <c r="M248" s="714" t="b">
        <f>J248='d3'!K336</f>
        <v>1</v>
      </c>
    </row>
    <row r="249" spans="1:17" ht="138.75" thickTop="1" thickBot="1" x14ac:dyDescent="0.25">
      <c r="A249" s="533" t="s">
        <v>268</v>
      </c>
      <c r="B249" s="533" t="s">
        <v>269</v>
      </c>
      <c r="C249" s="533" t="s">
        <v>178</v>
      </c>
      <c r="D249" s="533" t="s">
        <v>267</v>
      </c>
      <c r="E249" s="531" t="s">
        <v>1301</v>
      </c>
      <c r="F249" s="531" t="s">
        <v>623</v>
      </c>
      <c r="G249" s="567">
        <f t="shared" si="40"/>
        <v>2000000</v>
      </c>
      <c r="H249" s="531">
        <v>1200000</v>
      </c>
      <c r="I249" s="531">
        <v>800000</v>
      </c>
      <c r="J249" s="531">
        <v>800000</v>
      </c>
      <c r="K249" s="711" t="b">
        <f>'d3'!E338=H249+H250+H251</f>
        <v>1</v>
      </c>
      <c r="L249" s="714" t="b">
        <f>'d3'!J338=I249+I250+I251</f>
        <v>1</v>
      </c>
      <c r="M249" s="714" t="b">
        <f>'d3'!K338=J249+J250+J251</f>
        <v>1</v>
      </c>
    </row>
    <row r="250" spans="1:17" s="171" customFormat="1" ht="184.5" hidden="1" thickTop="1" thickBot="1" x14ac:dyDescent="0.25">
      <c r="A250" s="259" t="s">
        <v>268</v>
      </c>
      <c r="B250" s="259" t="s">
        <v>269</v>
      </c>
      <c r="C250" s="259" t="s">
        <v>178</v>
      </c>
      <c r="D250" s="259" t="s">
        <v>267</v>
      </c>
      <c r="E250" s="352" t="s">
        <v>1026</v>
      </c>
      <c r="F250" s="328" t="s">
        <v>1027</v>
      </c>
      <c r="G250" s="354">
        <f t="shared" si="40"/>
        <v>0</v>
      </c>
      <c r="H250" s="328">
        <v>0</v>
      </c>
      <c r="I250" s="328">
        <v>0</v>
      </c>
      <c r="J250" s="328">
        <v>0</v>
      </c>
      <c r="K250" s="711"/>
      <c r="L250" s="714"/>
      <c r="M250" s="725"/>
      <c r="N250" s="172"/>
      <c r="O250" s="172"/>
      <c r="P250" s="172"/>
      <c r="Q250" s="172"/>
    </row>
    <row r="251" spans="1:17" s="173" customFormat="1" ht="138.75" thickTop="1" thickBot="1" x14ac:dyDescent="0.25">
      <c r="A251" s="533" t="s">
        <v>268</v>
      </c>
      <c r="B251" s="533" t="s">
        <v>269</v>
      </c>
      <c r="C251" s="533" t="s">
        <v>178</v>
      </c>
      <c r="D251" s="533" t="s">
        <v>267</v>
      </c>
      <c r="E251" s="451" t="s">
        <v>1309</v>
      </c>
      <c r="F251" s="735" t="s">
        <v>1310</v>
      </c>
      <c r="G251" s="567">
        <f t="shared" si="40"/>
        <v>700000</v>
      </c>
      <c r="H251" s="531">
        <v>700000</v>
      </c>
      <c r="I251" s="531">
        <v>0</v>
      </c>
      <c r="J251" s="531">
        <v>0</v>
      </c>
      <c r="K251" s="711"/>
      <c r="L251" s="714"/>
      <c r="M251" s="725"/>
      <c r="N251" s="174"/>
      <c r="O251" s="174"/>
      <c r="P251" s="174"/>
      <c r="Q251" s="174"/>
    </row>
    <row r="252" spans="1:17" s="157" customFormat="1" ht="138.75" hidden="1" thickTop="1" thickBot="1" x14ac:dyDescent="0.25">
      <c r="A252" s="259" t="s">
        <v>963</v>
      </c>
      <c r="B252" s="259" t="s">
        <v>377</v>
      </c>
      <c r="C252" s="259" t="s">
        <v>45</v>
      </c>
      <c r="D252" s="259" t="s">
        <v>378</v>
      </c>
      <c r="E252" s="352" t="s">
        <v>907</v>
      </c>
      <c r="F252" s="328" t="s">
        <v>908</v>
      </c>
      <c r="G252" s="354">
        <f t="shared" si="40"/>
        <v>0</v>
      </c>
      <c r="H252" s="328">
        <f>'d3'!E341</f>
        <v>0</v>
      </c>
      <c r="I252" s="328">
        <f>'d3'!J341</f>
        <v>0</v>
      </c>
      <c r="J252" s="328">
        <f>'d3'!K341</f>
        <v>0</v>
      </c>
      <c r="K252" s="711"/>
      <c r="L252" s="714"/>
      <c r="M252" s="725"/>
      <c r="N252" s="158"/>
      <c r="O252" s="158"/>
      <c r="P252" s="158"/>
      <c r="Q252" s="158"/>
    </row>
    <row r="253" spans="1:17" ht="181.5" thickTop="1" thickBot="1" x14ac:dyDescent="0.25">
      <c r="A253" s="828" t="s">
        <v>172</v>
      </c>
      <c r="B253" s="828"/>
      <c r="C253" s="828"/>
      <c r="D253" s="829" t="s">
        <v>939</v>
      </c>
      <c r="E253" s="828"/>
      <c r="F253" s="828"/>
      <c r="G253" s="831">
        <f>G254</f>
        <v>746000</v>
      </c>
      <c r="H253" s="831">
        <f t="shared" ref="H253:J253" si="41">H254</f>
        <v>0</v>
      </c>
      <c r="I253" s="831">
        <f t="shared" si="41"/>
        <v>746000</v>
      </c>
      <c r="J253" s="831">
        <f t="shared" si="41"/>
        <v>46000</v>
      </c>
      <c r="K253" s="711" t="b">
        <f>H253='d3'!E343-'d3'!E345+H255</f>
        <v>1</v>
      </c>
      <c r="L253" s="714" t="b">
        <f>I253='d3'!J343-'d3'!J345+'d7'!I255</f>
        <v>1</v>
      </c>
      <c r="M253" s="714" t="b">
        <f>J253='d3'!K343-'d3'!K345+'d7'!J255</f>
        <v>1</v>
      </c>
    </row>
    <row r="254" spans="1:17" ht="181.5" thickTop="1" thickBot="1" x14ac:dyDescent="0.25">
      <c r="A254" s="832" t="s">
        <v>173</v>
      </c>
      <c r="B254" s="832"/>
      <c r="C254" s="832"/>
      <c r="D254" s="833" t="s">
        <v>940</v>
      </c>
      <c r="E254" s="834"/>
      <c r="F254" s="834"/>
      <c r="G254" s="834">
        <f>SUM(G255:G257)</f>
        <v>746000</v>
      </c>
      <c r="H254" s="834">
        <f>SUM(H255:H257)</f>
        <v>0</v>
      </c>
      <c r="I254" s="834">
        <f>SUM(I255:I257)</f>
        <v>746000</v>
      </c>
      <c r="J254" s="834">
        <f>SUM(J255:J257)</f>
        <v>46000</v>
      </c>
      <c r="K254" s="622"/>
      <c r="L254" s="622"/>
      <c r="M254" s="622"/>
    </row>
    <row r="255" spans="1:17" s="132" customFormat="1" ht="184.5" thickTop="1" thickBot="1" x14ac:dyDescent="0.25">
      <c r="A255" s="224" t="s">
        <v>438</v>
      </c>
      <c r="B255" s="224" t="s">
        <v>248</v>
      </c>
      <c r="C255" s="224" t="s">
        <v>246</v>
      </c>
      <c r="D255" s="224" t="s">
        <v>247</v>
      </c>
      <c r="E255" s="451" t="s">
        <v>1123</v>
      </c>
      <c r="F255" s="452" t="s">
        <v>904</v>
      </c>
      <c r="G255" s="452">
        <f>H255+I255</f>
        <v>46000</v>
      </c>
      <c r="H255" s="457"/>
      <c r="I255" s="452">
        <v>46000</v>
      </c>
      <c r="J255" s="452">
        <v>46000</v>
      </c>
      <c r="K255" s="622"/>
      <c r="L255" s="622"/>
      <c r="M255" s="622"/>
      <c r="N255" s="133"/>
      <c r="O255" s="133"/>
      <c r="P255" s="133"/>
      <c r="Q255" s="133"/>
    </row>
    <row r="256" spans="1:17" s="141" customFormat="1" ht="391.7" hidden="1" customHeight="1" thickTop="1" thickBot="1" x14ac:dyDescent="0.25">
      <c r="A256" s="224" t="s">
        <v>675</v>
      </c>
      <c r="B256" s="224" t="s">
        <v>376</v>
      </c>
      <c r="C256" s="224" t="s">
        <v>662</v>
      </c>
      <c r="D256" s="224" t="s">
        <v>663</v>
      </c>
      <c r="E256" s="456" t="s">
        <v>935</v>
      </c>
      <c r="F256" s="455" t="s">
        <v>936</v>
      </c>
      <c r="G256" s="452">
        <f t="shared" ref="G256" si="42">H256+I256</f>
        <v>0</v>
      </c>
      <c r="H256" s="457">
        <f>'d3'!E346</f>
        <v>0</v>
      </c>
      <c r="I256" s="458"/>
      <c r="J256" s="458"/>
      <c r="K256" s="622"/>
      <c r="L256" s="622"/>
      <c r="M256" s="622"/>
      <c r="N256" s="142"/>
      <c r="O256" s="142"/>
      <c r="P256" s="142"/>
      <c r="Q256" s="142"/>
    </row>
    <row r="257" spans="1:17" ht="138.75" thickTop="1" thickBot="1" x14ac:dyDescent="0.25">
      <c r="A257" s="224" t="s">
        <v>1258</v>
      </c>
      <c r="B257" s="224" t="s">
        <v>1259</v>
      </c>
      <c r="C257" s="224" t="s">
        <v>53</v>
      </c>
      <c r="D257" s="224" t="s">
        <v>1260</v>
      </c>
      <c r="E257" s="453" t="s">
        <v>1379</v>
      </c>
      <c r="F257" s="452" t="s">
        <v>1025</v>
      </c>
      <c r="G257" s="457">
        <f t="shared" ref="G257" si="43">H257+I257</f>
        <v>700000</v>
      </c>
      <c r="H257" s="452">
        <f>'d3'!E349</f>
        <v>0</v>
      </c>
      <c r="I257" s="452">
        <f>'d3'!J349</f>
        <v>700000</v>
      </c>
      <c r="J257" s="452">
        <f>'d3'!K349</f>
        <v>0</v>
      </c>
      <c r="K257" s="622"/>
      <c r="L257" s="622"/>
      <c r="M257" s="622"/>
    </row>
    <row r="258" spans="1:17" ht="136.5" thickTop="1" thickBot="1" x14ac:dyDescent="0.25">
      <c r="A258" s="828" t="s">
        <v>170</v>
      </c>
      <c r="B258" s="828"/>
      <c r="C258" s="828"/>
      <c r="D258" s="829" t="s">
        <v>954</v>
      </c>
      <c r="E258" s="828"/>
      <c r="F258" s="828"/>
      <c r="G258" s="831">
        <f>G259</f>
        <v>790000</v>
      </c>
      <c r="H258" s="831">
        <f t="shared" ref="H258:J258" si="44">H259</f>
        <v>300000</v>
      </c>
      <c r="I258" s="831">
        <f t="shared" si="44"/>
        <v>490000</v>
      </c>
      <c r="J258" s="831">
        <f t="shared" si="44"/>
        <v>490000</v>
      </c>
      <c r="K258" s="711" t="b">
        <f>H258='d3'!E351-'d3'!E353+H260</f>
        <v>1</v>
      </c>
      <c r="L258" s="714" t="b">
        <f>I258='d3'!J351-'d3'!J353+I260</f>
        <v>1</v>
      </c>
      <c r="M258" s="714" t="b">
        <f>J258='d3'!K351-'d3'!K353+J260</f>
        <v>1</v>
      </c>
    </row>
    <row r="259" spans="1:17" ht="181.5" thickTop="1" thickBot="1" x14ac:dyDescent="0.25">
      <c r="A259" s="832" t="s">
        <v>171</v>
      </c>
      <c r="B259" s="832"/>
      <c r="C259" s="832"/>
      <c r="D259" s="833" t="s">
        <v>955</v>
      </c>
      <c r="E259" s="834"/>
      <c r="F259" s="834"/>
      <c r="G259" s="834">
        <f>SUM(G260:G263)</f>
        <v>790000</v>
      </c>
      <c r="H259" s="834">
        <f>SUM(H260:H263)</f>
        <v>300000</v>
      </c>
      <c r="I259" s="834">
        <f>SUM(I260:I263)</f>
        <v>490000</v>
      </c>
      <c r="J259" s="834">
        <f>SUM(J260:J263)</f>
        <v>490000</v>
      </c>
      <c r="K259" s="622"/>
      <c r="L259" s="622"/>
      <c r="M259" s="622"/>
    </row>
    <row r="260" spans="1:17" s="163" customFormat="1" ht="184.5" thickTop="1" thickBot="1" x14ac:dyDescent="0.25">
      <c r="A260" s="224" t="s">
        <v>434</v>
      </c>
      <c r="B260" s="224" t="s">
        <v>248</v>
      </c>
      <c r="C260" s="224" t="s">
        <v>246</v>
      </c>
      <c r="D260" s="224" t="s">
        <v>247</v>
      </c>
      <c r="E260" s="451" t="s">
        <v>1123</v>
      </c>
      <c r="F260" s="452" t="s">
        <v>904</v>
      </c>
      <c r="G260" s="452">
        <f>H260+I260</f>
        <v>40000</v>
      </c>
      <c r="H260" s="457"/>
      <c r="I260" s="452">
        <v>40000</v>
      </c>
      <c r="J260" s="452">
        <v>40000</v>
      </c>
      <c r="K260" s="622"/>
      <c r="L260" s="622"/>
      <c r="M260" s="622"/>
      <c r="N260" s="164"/>
      <c r="O260" s="164"/>
      <c r="P260" s="164"/>
      <c r="Q260" s="164"/>
    </row>
    <row r="261" spans="1:17" ht="138.75" thickTop="1" thickBot="1" x14ac:dyDescent="0.25">
      <c r="A261" s="533" t="s">
        <v>319</v>
      </c>
      <c r="B261" s="533" t="s">
        <v>320</v>
      </c>
      <c r="C261" s="533" t="s">
        <v>321</v>
      </c>
      <c r="D261" s="533" t="s">
        <v>479</v>
      </c>
      <c r="E261" s="451" t="s">
        <v>1309</v>
      </c>
      <c r="F261" s="735" t="s">
        <v>1310</v>
      </c>
      <c r="G261" s="567">
        <f t="shared" ref="G261:G263" si="45">H261+I261</f>
        <v>400000</v>
      </c>
      <c r="H261" s="531"/>
      <c r="I261" s="531">
        <f>'d3'!J356</f>
        <v>400000</v>
      </c>
      <c r="J261" s="531">
        <f>'d3'!K356</f>
        <v>400000</v>
      </c>
      <c r="K261" s="622"/>
      <c r="L261" s="622"/>
      <c r="M261" s="622"/>
    </row>
    <row r="262" spans="1:17" s="818" customFormat="1" ht="138.75" thickTop="1" thickBot="1" x14ac:dyDescent="0.25">
      <c r="A262" s="819" t="s">
        <v>319</v>
      </c>
      <c r="B262" s="819" t="s">
        <v>320</v>
      </c>
      <c r="C262" s="819" t="s">
        <v>321</v>
      </c>
      <c r="D262" s="819" t="s">
        <v>479</v>
      </c>
      <c r="E262" s="453" t="s">
        <v>1379</v>
      </c>
      <c r="F262" s="820" t="s">
        <v>1025</v>
      </c>
      <c r="G262" s="821">
        <f t="shared" si="45"/>
        <v>300000</v>
      </c>
      <c r="H262" s="820">
        <v>300000</v>
      </c>
      <c r="I262" s="820"/>
      <c r="J262" s="820"/>
      <c r="K262" s="622"/>
      <c r="L262" s="622"/>
      <c r="M262" s="622"/>
      <c r="N262" s="822"/>
      <c r="O262" s="822"/>
      <c r="P262" s="822"/>
      <c r="Q262" s="822"/>
    </row>
    <row r="263" spans="1:17" ht="138.75" thickTop="1" thickBot="1" x14ac:dyDescent="0.25">
      <c r="A263" s="533" t="s">
        <v>382</v>
      </c>
      <c r="B263" s="533" t="s">
        <v>383</v>
      </c>
      <c r="C263" s="533" t="s">
        <v>178</v>
      </c>
      <c r="D263" s="533" t="s">
        <v>384</v>
      </c>
      <c r="E263" s="451" t="s">
        <v>1309</v>
      </c>
      <c r="F263" s="735" t="s">
        <v>1310</v>
      </c>
      <c r="G263" s="567">
        <f t="shared" si="45"/>
        <v>50000</v>
      </c>
      <c r="H263" s="531">
        <f>'d3'!E358</f>
        <v>0</v>
      </c>
      <c r="I263" s="531">
        <f>'d3'!J358</f>
        <v>50000</v>
      </c>
      <c r="J263" s="531">
        <f>'d3'!K358</f>
        <v>50000</v>
      </c>
      <c r="K263" s="622"/>
      <c r="L263" s="622"/>
      <c r="M263" s="622"/>
    </row>
    <row r="264" spans="1:17" s="141" customFormat="1" ht="91.5" thickTop="1" thickBot="1" x14ac:dyDescent="0.25">
      <c r="A264" s="828" t="s">
        <v>176</v>
      </c>
      <c r="B264" s="828"/>
      <c r="C264" s="828"/>
      <c r="D264" s="829" t="s">
        <v>27</v>
      </c>
      <c r="E264" s="828"/>
      <c r="F264" s="828"/>
      <c r="G264" s="831">
        <f>G265</f>
        <v>7000</v>
      </c>
      <c r="H264" s="831">
        <f t="shared" ref="H264:J264" si="46">H265</f>
        <v>7000</v>
      </c>
      <c r="I264" s="831">
        <f t="shared" si="46"/>
        <v>0</v>
      </c>
      <c r="J264" s="831">
        <f t="shared" si="46"/>
        <v>0</v>
      </c>
      <c r="K264" s="622"/>
      <c r="L264" s="622"/>
      <c r="M264" s="622"/>
      <c r="N264" s="142"/>
      <c r="O264" s="142"/>
      <c r="P264" s="142"/>
      <c r="Q264" s="142"/>
    </row>
    <row r="265" spans="1:17" s="141" customFormat="1" ht="136.5" thickTop="1" thickBot="1" x14ac:dyDescent="0.25">
      <c r="A265" s="832" t="s">
        <v>177</v>
      </c>
      <c r="B265" s="832"/>
      <c r="C265" s="832"/>
      <c r="D265" s="833" t="s">
        <v>42</v>
      </c>
      <c r="E265" s="834"/>
      <c r="F265" s="834"/>
      <c r="G265" s="834">
        <f>SUM(G266:G267)</f>
        <v>7000</v>
      </c>
      <c r="H265" s="834">
        <f>SUM(H266:H267)</f>
        <v>7000</v>
      </c>
      <c r="I265" s="834">
        <f>SUM(I266:I267)</f>
        <v>0</v>
      </c>
      <c r="J265" s="834">
        <f>SUM(J266:J267)</f>
        <v>0</v>
      </c>
      <c r="K265" s="622"/>
      <c r="L265" s="622"/>
      <c r="M265" s="622"/>
      <c r="N265" s="142"/>
      <c r="O265" s="142"/>
      <c r="P265" s="142"/>
      <c r="Q265" s="142"/>
    </row>
    <row r="266" spans="1:17" s="200" customFormat="1" ht="184.5" hidden="1" thickTop="1" thickBot="1" x14ac:dyDescent="0.25">
      <c r="A266" s="259" t="s">
        <v>436</v>
      </c>
      <c r="B266" s="259" t="s">
        <v>248</v>
      </c>
      <c r="C266" s="259" t="s">
        <v>246</v>
      </c>
      <c r="D266" s="259" t="s">
        <v>247</v>
      </c>
      <c r="E266" s="352" t="s">
        <v>1123</v>
      </c>
      <c r="F266" s="328" t="s">
        <v>904</v>
      </c>
      <c r="G266" s="328">
        <f t="shared" ref="G266:G267" si="47">H266+I266</f>
        <v>0</v>
      </c>
      <c r="H266" s="354">
        <f>0</f>
        <v>0</v>
      </c>
      <c r="I266" s="360">
        <v>0</v>
      </c>
      <c r="J266" s="360">
        <v>0</v>
      </c>
      <c r="K266" s="622"/>
      <c r="L266" s="622"/>
      <c r="M266" s="622"/>
      <c r="N266" s="201"/>
      <c r="O266" s="201"/>
      <c r="P266" s="201"/>
      <c r="Q266" s="201"/>
    </row>
    <row r="267" spans="1:17" s="141" customFormat="1" ht="367.5" thickTop="1" thickBot="1" x14ac:dyDescent="1.2">
      <c r="A267" s="224" t="s">
        <v>676</v>
      </c>
      <c r="B267" s="224" t="s">
        <v>376</v>
      </c>
      <c r="C267" s="224" t="s">
        <v>662</v>
      </c>
      <c r="D267" s="224" t="s">
        <v>663</v>
      </c>
      <c r="E267" s="451" t="s">
        <v>1328</v>
      </c>
      <c r="F267" s="751" t="s">
        <v>1329</v>
      </c>
      <c r="G267" s="452">
        <f t="shared" si="47"/>
        <v>7000</v>
      </c>
      <c r="H267" s="457">
        <f>'d3'!E363</f>
        <v>7000</v>
      </c>
      <c r="I267" s="458"/>
      <c r="J267" s="458"/>
      <c r="K267" s="661" t="b">
        <f>G268=G267+G263+G261+G260+G257+G255+G251+G249+G248+G247+G246+G245+G239+G238+G233+G232+G231+G223+G222+G221+G220+G219+G218+G216+G212+G211+G208+G206+G204+G202+G201+G200+G199+G197+G195+G194+G193+G192+G191+G186+G183+G182+G178+G177+G175+G174+G173+G172+G168+G167+G165+G164+G163+G162+G161+G159+G158+G157+G156+G155+G154+G153+G149+G148+G147+G146+G145+G144+G143+G140+G139+G136+G135+G134+G130+G129+G127+G126+G125+G124+G122+G120+G119+G118+G117+G116+G115+G112+G111+G110+G109+G108+G107+G106+G105+G104+G103+G102+G101+G99+G89+G88+G86+G85+G84+G83+G82+G81+G80+G76+G75+G64+G63+G62+G60+G59+G58+G57+G56+G55+G54+G53+G52+G50+G47+G45+G34+G33+G32+G29+G27+G26+G24+G23+G22+G21+G20+G17+G70+G242+G31+G35+G91+G176+G180+G184+G207+G240+G228+G210+G142+G36+G181+G37+G90+G121+G39+G262+G236+G40+G30+G113</f>
        <v>1</v>
      </c>
      <c r="L267" s="661" t="b">
        <f>H268=H267+H263+H261+H260+H257+H255+H251+H249+H248+H247+H246+H245+H239+H238+H233+H232+H231+H223+H222+H221+H220+H219+H218+H216+H212+H211+H208+H206+H204+H202+H201+H200+H199+H197+H195+H194+H193+H192+H191+H186+H183+H182+H178+H177+H175+H174+H173+H172+H168+H167+H165+H164+H163+H162+H161+H159+H158+H157+H156+H155+H154+H153+H149+H148+H147+H146+H145+H144+H143+H140+H139+H136+H135+H134+H130+H129+H127+H126+H125+H124+H122+H120+H119+H118+H117+H116+H115+H112+H111+H110+H109+H108+H107+H106+H105+H104+H103+H102+H101+H99+H89+H88+H86+H85+H84+H83+H82+H81+H80+H76+H75+H64+H63+H62+H60+H59+H58+H57+H56+H55+H54+H53+H52+H50+H47+H45+H34+H33+H32+H29+H27+H26+H24+H23+H22+H21+H20+H17+H70+H242+H31+H35+H91+H176+H180+H184+H207+H240+H228+H210+H142+H36+H181+H37+H90+H121+H39+H262+H236+H40+H30+H113</f>
        <v>1</v>
      </c>
      <c r="M267" s="661" t="b">
        <f>I268=I267+I263+I261+I260+I257+I255+I251+I249+I248+I247+I246+I245+I239+I238+I233+I232+I231+I223+I222+I221+I220+I219+I218+I216+I212+I211+I208+I206+I204+I202+I201+I200+I199+I197+I195+I194+I193+I192+I191+I186+I183+I182+I178+I177+I175+I174+I173+I172+I168+I167+I165+I164+I163+I162+I161+I159+I158+I157+I156+I155+I154+I153+I149+I148+I147+I146+I145+I144+I143+I140+I139+I136+I135+I134+I130+I129+I127+I126+I125+I124+I122+I120+I119+I118+I117+I116+I115+I112+I111+I110+I109+I108+I107+I106+I105+I104+I103+I102+I101+I99+I89+I88+I86+I85+I84+I83+I82+I81+I80+I76+I75+I64+I63+I62+I60+I59+I58+I57+I56+I55+I54+I53+I52+I50+I47+I45+I34+I33+I32+I29+I27+I26+I24+I23+I22+I21+I20+I17+I70+I242+I31+I35+I91+I176+I180+I184+I207+I240+I228+I210+I142+I36+I181+I37+I90+I121+I39+I262+I236+I40+I30+I113</f>
        <v>1</v>
      </c>
      <c r="N267" s="661" t="b">
        <f>J268=J267+J263+J261+J260+J257+J255+J251+J249+J248+J247+J246+J245+J239+J238+J233+J232+J231+J223+J222+J221+J220+J219+J218+J216+J212+J211+J208+J206+J204+J202+J201+J200+J199+J197+J195+J194+J193+J192+J191+J186+J183+J182+J178+J177+J175+J174+J173+J172+J168+J167+J165+J164+J163+J162+J161+J159+J158+J157+J156+J155+J154+J153+J149+J148+J147+J146+J145+J144+J143+J140+J139+J136+J135+J134+J130+J129+J127+J126+J125+J124+J122+J120+J119+J118+J117+J116+J115+J112+J111+J110+J109+J108+J107+J106+J105+J104+J103+J102+J101+J99+J89+J88+J86+J85+J84+J83+J82+J81+J80+J76+J75+J64+J63+J62+J60+J59+J58+J57+J56+J55+J54+J53+J52+J50+J47+J45+J34+J33+J32+J29+J27+J26+J24+J23+J22+J21+J20+J17+J70+J242+J31+J35+J91+J176+J180+J184+J207+J240+J228+J210+J142+J36+J181+J37+J90+J121+J39+J262+J236+J40+J30+J113</f>
        <v>1</v>
      </c>
      <c r="O267" s="661"/>
      <c r="P267" s="142"/>
      <c r="Q267" s="142"/>
    </row>
    <row r="268" spans="1:17" ht="81.75" customHeight="1" thickTop="1" thickBot="1" x14ac:dyDescent="1.2">
      <c r="A268" s="637" t="s">
        <v>396</v>
      </c>
      <c r="B268" s="637" t="s">
        <v>396</v>
      </c>
      <c r="C268" s="637" t="s">
        <v>396</v>
      </c>
      <c r="D268" s="638" t="s">
        <v>406</v>
      </c>
      <c r="E268" s="637" t="s">
        <v>396</v>
      </c>
      <c r="F268" s="637" t="s">
        <v>396</v>
      </c>
      <c r="G268" s="639">
        <f>G16+G44+G152+G79+G98+G133+G215+G244+G254+G259+G235+G230+G189+G171+G265</f>
        <v>3338963722.2600002</v>
      </c>
      <c r="H268" s="639">
        <f>H16+H44+H152+H79+H98+H133+H215+H244+H254+H259+H235+H230+H189+H171+H265</f>
        <v>2920331127.3000002</v>
      </c>
      <c r="I268" s="639">
        <f>I16+I44+I152+I79+I98+I133+I215+I244+I254+I259+I235+I230+I189+I171+I265</f>
        <v>418632594.96000004</v>
      </c>
      <c r="J268" s="639">
        <f>J16+J44+J152+J79+J98+J133+J215+J244+J254+J259+J235+J230+J189+J171+J265</f>
        <v>227347129.59</v>
      </c>
      <c r="K268" s="661" t="b">
        <f>G268=H268+I268</f>
        <v>1</v>
      </c>
      <c r="L268" s="622"/>
      <c r="M268" s="622"/>
    </row>
    <row r="269" spans="1:17" s="640" customFormat="1" ht="31.7" customHeight="1" thickTop="1" x14ac:dyDescent="0.2">
      <c r="A269" s="952" t="s">
        <v>1230</v>
      </c>
      <c r="B269" s="953"/>
      <c r="C269" s="953"/>
      <c r="D269" s="953"/>
      <c r="E269" s="953"/>
      <c r="F269" s="953"/>
      <c r="G269" s="953"/>
      <c r="H269" s="953"/>
      <c r="I269" s="953"/>
      <c r="J269" s="953"/>
      <c r="K269" s="727"/>
      <c r="L269" s="727"/>
      <c r="M269" s="727"/>
      <c r="N269" s="154"/>
      <c r="O269" s="154"/>
      <c r="P269" s="154"/>
      <c r="Q269" s="154"/>
    </row>
    <row r="270" spans="1:17" ht="31.7" customHeight="1" x14ac:dyDescent="0.2">
      <c r="A270" s="85"/>
      <c r="B270" s="86"/>
      <c r="C270" s="86"/>
      <c r="D270" s="86"/>
      <c r="E270" s="86"/>
      <c r="F270" s="86"/>
      <c r="G270" s="86"/>
      <c r="H270" s="86"/>
      <c r="I270" s="86"/>
      <c r="J270" s="86"/>
    </row>
    <row r="271" spans="1:17" ht="45" customHeight="1" x14ac:dyDescent="0.65">
      <c r="A271" s="85"/>
      <c r="B271" s="86"/>
      <c r="C271" s="86"/>
      <c r="D271" s="439" t="s">
        <v>1363</v>
      </c>
      <c r="E271" s="792"/>
      <c r="F271" s="439"/>
      <c r="G271" s="439" t="s">
        <v>1364</v>
      </c>
      <c r="H271" s="187"/>
      <c r="I271" s="187"/>
      <c r="J271" s="187"/>
      <c r="K271" s="721"/>
      <c r="L271" s="722"/>
      <c r="M271" s="728"/>
      <c r="N271" s="30"/>
      <c r="O271" s="90"/>
      <c r="P271" s="90"/>
      <c r="Q271" s="8"/>
    </row>
    <row r="272" spans="1:17" ht="61.5" customHeight="1" x14ac:dyDescent="0.65">
      <c r="A272" s="83"/>
      <c r="B272" s="83"/>
      <c r="C272" s="83"/>
      <c r="D272" s="207"/>
      <c r="E272" s="184"/>
      <c r="F272" s="205"/>
      <c r="G272" s="184"/>
      <c r="H272" s="184"/>
      <c r="I272" s="80"/>
      <c r="J272" s="80"/>
      <c r="K272" s="723"/>
      <c r="L272" s="722"/>
      <c r="M272" s="728"/>
      <c r="N272" s="30"/>
      <c r="O272" s="90"/>
      <c r="P272" s="90"/>
      <c r="Q272" s="8"/>
    </row>
    <row r="273" spans="1:17" ht="45.75" x14ac:dyDescent="0.65">
      <c r="D273" s="90" t="s">
        <v>544</v>
      </c>
      <c r="E273" s="189"/>
      <c r="F273" s="190"/>
      <c r="G273" s="90" t="s">
        <v>545</v>
      </c>
      <c r="H273" s="50"/>
      <c r="I273" s="30"/>
      <c r="J273" s="8"/>
      <c r="K273" s="729"/>
      <c r="L273" s="729"/>
      <c r="M273" s="729"/>
      <c r="N273" s="108"/>
      <c r="O273" s="108"/>
      <c r="P273" s="108"/>
      <c r="Q273" s="108"/>
    </row>
    <row r="274" spans="1:17" ht="45.75" x14ac:dyDescent="0.65">
      <c r="D274" s="891"/>
      <c r="E274" s="891"/>
      <c r="F274" s="891"/>
      <c r="G274" s="891"/>
      <c r="H274" s="891"/>
      <c r="I274" s="891"/>
      <c r="J274" s="891"/>
      <c r="K274" s="729"/>
      <c r="L274" s="729"/>
      <c r="M274" s="729"/>
      <c r="N274" s="108"/>
      <c r="O274" s="108"/>
      <c r="P274" s="108"/>
      <c r="Q274" s="108"/>
    </row>
    <row r="275" spans="1:17" x14ac:dyDescent="0.2">
      <c r="E275" s="4"/>
      <c r="F275" s="3"/>
    </row>
    <row r="276" spans="1:17" x14ac:dyDescent="0.2">
      <c r="E276" s="4"/>
      <c r="F276" s="3"/>
    </row>
    <row r="277" spans="1:17" ht="62.25" x14ac:dyDescent="0.8">
      <c r="A277" s="81"/>
      <c r="B277" s="81"/>
      <c r="C277" s="81"/>
      <c r="D277" s="81"/>
      <c r="E277" s="8"/>
      <c r="F277" s="30"/>
      <c r="I277" s="81"/>
      <c r="J277" s="33"/>
    </row>
    <row r="278" spans="1:17" ht="45.75" x14ac:dyDescent="0.2">
      <c r="E278" s="9"/>
      <c r="F278" s="50"/>
    </row>
    <row r="279" spans="1:17" ht="45.75" x14ac:dyDescent="0.2">
      <c r="A279" s="81"/>
      <c r="B279" s="81"/>
      <c r="C279" s="81"/>
      <c r="D279" s="81"/>
      <c r="E279" s="8"/>
      <c r="F279" s="30"/>
      <c r="I279" s="81"/>
      <c r="J279" s="81"/>
    </row>
    <row r="280" spans="1:17" ht="45.75" x14ac:dyDescent="0.2">
      <c r="E280" s="9"/>
      <c r="F280" s="50"/>
    </row>
    <row r="281" spans="1:17" ht="45.75" x14ac:dyDescent="0.2">
      <c r="E281" s="9"/>
      <c r="F281" s="50"/>
    </row>
    <row r="282" spans="1:17" ht="45.75" x14ac:dyDescent="0.2">
      <c r="E282" s="9"/>
      <c r="F282" s="50"/>
    </row>
    <row r="283" spans="1:17" ht="45.75" x14ac:dyDescent="0.2">
      <c r="A283" s="81"/>
      <c r="B283" s="81"/>
      <c r="C283" s="81"/>
      <c r="D283" s="81"/>
      <c r="E283" s="9"/>
      <c r="F283" s="50"/>
      <c r="G283" s="81"/>
      <c r="H283" s="81"/>
      <c r="I283" s="81"/>
      <c r="J283" s="81"/>
    </row>
    <row r="284" spans="1:17" ht="45.75" x14ac:dyDescent="0.2">
      <c r="A284" s="81"/>
      <c r="B284" s="81"/>
      <c r="C284" s="81"/>
      <c r="D284" s="81"/>
      <c r="E284" s="9"/>
      <c r="F284" s="50"/>
      <c r="G284" s="81"/>
      <c r="H284" s="81"/>
      <c r="I284" s="81"/>
      <c r="J284" s="81"/>
    </row>
    <row r="285" spans="1:17" ht="45.75" x14ac:dyDescent="0.2">
      <c r="A285" s="81"/>
      <c r="B285" s="81"/>
      <c r="C285" s="81"/>
      <c r="D285" s="81"/>
      <c r="E285" s="9"/>
      <c r="F285" s="50"/>
      <c r="G285" s="81"/>
      <c r="H285" s="81"/>
      <c r="I285" s="81"/>
      <c r="J285" s="81"/>
    </row>
    <row r="286" spans="1:17" ht="45.75" x14ac:dyDescent="0.2">
      <c r="A286" s="81"/>
      <c r="B286" s="81"/>
      <c r="C286" s="81"/>
      <c r="D286" s="81"/>
      <c r="E286" s="9"/>
      <c r="F286" s="50"/>
      <c r="G286" s="81"/>
      <c r="H286" s="81"/>
      <c r="I286" s="81"/>
      <c r="J286" s="81"/>
    </row>
  </sheetData>
  <mergeCells count="111">
    <mergeCell ref="B240:B241"/>
    <mergeCell ref="C240:C241"/>
    <mergeCell ref="G240:G241"/>
    <mergeCell ref="J68:J69"/>
    <mergeCell ref="A68:A69"/>
    <mergeCell ref="B68:B69"/>
    <mergeCell ref="C68:C69"/>
    <mergeCell ref="D68:D69"/>
    <mergeCell ref="G68:G69"/>
    <mergeCell ref="H68:H69"/>
    <mergeCell ref="I68:I69"/>
    <mergeCell ref="A186:A187"/>
    <mergeCell ref="B186:B187"/>
    <mergeCell ref="C186:C187"/>
    <mergeCell ref="E186:E187"/>
    <mergeCell ref="F186:F187"/>
    <mergeCell ref="G186:G187"/>
    <mergeCell ref="H186:H187"/>
    <mergeCell ref="I186:I187"/>
    <mergeCell ref="J186:J187"/>
    <mergeCell ref="A204:A205"/>
    <mergeCell ref="B204:B205"/>
    <mergeCell ref="C204:C205"/>
    <mergeCell ref="D204:D205"/>
    <mergeCell ref="D274:J274"/>
    <mergeCell ref="A269:J269"/>
    <mergeCell ref="G93:G94"/>
    <mergeCell ref="H93:H94"/>
    <mergeCell ref="I93:I94"/>
    <mergeCell ref="J93:J94"/>
    <mergeCell ref="A130:A131"/>
    <mergeCell ref="B130:B131"/>
    <mergeCell ref="C130:C131"/>
    <mergeCell ref="E130:E131"/>
    <mergeCell ref="F130:F131"/>
    <mergeCell ref="G130:G131"/>
    <mergeCell ref="H130:H131"/>
    <mergeCell ref="I130:I131"/>
    <mergeCell ref="J130:J131"/>
    <mergeCell ref="H240:H241"/>
    <mergeCell ref="I240:I241"/>
    <mergeCell ref="J240:J241"/>
    <mergeCell ref="D240:D241"/>
    <mergeCell ref="A240:A241"/>
    <mergeCell ref="A178:A179"/>
    <mergeCell ref="B178:B179"/>
    <mergeCell ref="C178:C179"/>
    <mergeCell ref="D178:D179"/>
    <mergeCell ref="I1:J1"/>
    <mergeCell ref="I2:J2"/>
    <mergeCell ref="I3:J3"/>
    <mergeCell ref="A5:J5"/>
    <mergeCell ref="A8:J8"/>
    <mergeCell ref="A27:A28"/>
    <mergeCell ref="B27:B28"/>
    <mergeCell ref="C27:C28"/>
    <mergeCell ref="E27:E28"/>
    <mergeCell ref="F27:F28"/>
    <mergeCell ref="H27:H28"/>
    <mergeCell ref="I27:I28"/>
    <mergeCell ref="J27:J28"/>
    <mergeCell ref="G27:G28"/>
    <mergeCell ref="L22:L23"/>
    <mergeCell ref="M22:M23"/>
    <mergeCell ref="A6:J6"/>
    <mergeCell ref="A9:J9"/>
    <mergeCell ref="A10:J10"/>
    <mergeCell ref="F12:F13"/>
    <mergeCell ref="G12:G13"/>
    <mergeCell ref="A12:A13"/>
    <mergeCell ref="B12:B13"/>
    <mergeCell ref="C12:C13"/>
    <mergeCell ref="D12:D13"/>
    <mergeCell ref="E12:E13"/>
    <mergeCell ref="H12:H13"/>
    <mergeCell ref="I12:J12"/>
    <mergeCell ref="A7:J7"/>
    <mergeCell ref="K22:K23"/>
    <mergeCell ref="A202:A203"/>
    <mergeCell ref="B202:B203"/>
    <mergeCell ref="C202:C203"/>
    <mergeCell ref="D202:D203"/>
    <mergeCell ref="G202:G203"/>
    <mergeCell ref="G204:G205"/>
    <mergeCell ref="A226:A227"/>
    <mergeCell ref="B226:B227"/>
    <mergeCell ref="C226:C227"/>
    <mergeCell ref="E226:E227"/>
    <mergeCell ref="F226:F227"/>
    <mergeCell ref="A208:A209"/>
    <mergeCell ref="B208:B209"/>
    <mergeCell ref="C208:C209"/>
    <mergeCell ref="E208:E209"/>
    <mergeCell ref="F208:F209"/>
    <mergeCell ref="G208:G209"/>
    <mergeCell ref="H197:H198"/>
    <mergeCell ref="I197:I198"/>
    <mergeCell ref="J197:J198"/>
    <mergeCell ref="G197:G198"/>
    <mergeCell ref="I226:I227"/>
    <mergeCell ref="J204:J205"/>
    <mergeCell ref="J226:J227"/>
    <mergeCell ref="H208:H209"/>
    <mergeCell ref="I208:I209"/>
    <mergeCell ref="J208:J209"/>
    <mergeCell ref="H202:H203"/>
    <mergeCell ref="I202:I203"/>
    <mergeCell ref="J202:J203"/>
    <mergeCell ref="H204:H205"/>
    <mergeCell ref="I204:I205"/>
    <mergeCell ref="H226:H227"/>
  </mergeCells>
  <pageMargins left="0.23622047244094491" right="0.27559055118110237" top="0.27559055118110237" bottom="0.15748031496062992" header="0.23622047244094491" footer="0.27559055118110237"/>
  <pageSetup paperSize="9" scale="18" fitToHeight="0" orientation="landscape" r:id="rId1"/>
  <headerFooter alignWithMargins="0">
    <oddFooter>&amp;C&amp;"Times New Roman Cyr,курсив"Сторінка &amp;P з &amp;N</oddFooter>
  </headerFooter>
  <rowBreaks count="1" manualBreakCount="1">
    <brk id="273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Аркуш6"/>
  <dimension ref="A1:J163"/>
  <sheetViews>
    <sheetView view="pageBreakPreview" topLeftCell="A18" zoomScale="85" zoomScaleNormal="85" zoomScaleSheetLayoutView="85" workbookViewId="0">
      <selection activeCell="B31" sqref="B31:C31"/>
    </sheetView>
  </sheetViews>
  <sheetFormatPr defaultColWidth="9.140625" defaultRowHeight="12.75" x14ac:dyDescent="0.2"/>
  <cols>
    <col min="1" max="1" width="18.140625" style="17" customWidth="1"/>
    <col min="2" max="2" width="108" style="17" customWidth="1"/>
    <col min="3" max="3" width="4" style="17" hidden="1" customWidth="1"/>
    <col min="4" max="4" width="17" style="17" customWidth="1"/>
    <col min="5" max="5" width="14.7109375" style="115" customWidth="1"/>
    <col min="6" max="6" width="21.85546875" style="115" bestFit="1" customWidth="1"/>
    <col min="7" max="7" width="18.85546875" style="17" bestFit="1" customWidth="1"/>
    <col min="8" max="9" width="9.140625" style="17"/>
    <col min="10" max="10" width="52.5703125" style="17" customWidth="1"/>
    <col min="11" max="16384" width="9.140625" style="17"/>
  </cols>
  <sheetData>
    <row r="1" spans="1:9" ht="16.5" customHeight="1" x14ac:dyDescent="0.2">
      <c r="C1" s="886" t="s">
        <v>627</v>
      </c>
      <c r="D1" s="886"/>
      <c r="E1" s="114"/>
      <c r="F1" s="114"/>
    </row>
    <row r="2" spans="1:9" ht="16.5" customHeight="1" x14ac:dyDescent="0.2">
      <c r="C2" s="1049" t="s">
        <v>1035</v>
      </c>
      <c r="D2" s="1050"/>
      <c r="E2" s="1050"/>
      <c r="F2" s="1050"/>
    </row>
    <row r="3" spans="1:9" ht="12.75" customHeight="1" x14ac:dyDescent="0.2">
      <c r="C3" s="886" t="s">
        <v>1355</v>
      </c>
      <c r="D3" s="1042"/>
    </row>
    <row r="4" spans="1:9" ht="12.75" customHeight="1" x14ac:dyDescent="0.2">
      <c r="C4" s="886"/>
      <c r="D4" s="888"/>
    </row>
    <row r="5" spans="1:9" ht="16.5" x14ac:dyDescent="0.25">
      <c r="A5" s="1067" t="s">
        <v>595</v>
      </c>
      <c r="B5" s="1067"/>
      <c r="C5" s="1067"/>
      <c r="D5" s="888"/>
      <c r="E5" s="1051"/>
      <c r="F5" s="1052"/>
      <c r="G5" s="1052"/>
      <c r="H5" s="1052"/>
      <c r="I5" s="1053"/>
    </row>
    <row r="6" spans="1:9" s="102" customFormat="1" ht="16.5" x14ac:dyDescent="0.25">
      <c r="A6" s="1067" t="s">
        <v>594</v>
      </c>
      <c r="B6" s="1067"/>
      <c r="C6" s="1067"/>
      <c r="D6" s="888"/>
      <c r="E6" s="116"/>
      <c r="F6" s="117"/>
      <c r="G6" s="100"/>
      <c r="H6" s="100"/>
      <c r="I6" s="101"/>
    </row>
    <row r="7" spans="1:9" ht="16.5" x14ac:dyDescent="0.25">
      <c r="A7" s="1057" t="s">
        <v>133</v>
      </c>
      <c r="B7" s="1057"/>
      <c r="C7" s="1057"/>
      <c r="D7" s="1058"/>
      <c r="E7" s="1051"/>
      <c r="F7" s="1051"/>
      <c r="G7" s="1051"/>
      <c r="H7" s="1051"/>
      <c r="I7" s="887"/>
    </row>
    <row r="8" spans="1:9" ht="16.5" x14ac:dyDescent="0.2">
      <c r="A8" s="1057" t="s">
        <v>1222</v>
      </c>
      <c r="B8" s="1057"/>
      <c r="C8" s="1057"/>
      <c r="D8" s="1058"/>
      <c r="E8" s="1054"/>
      <c r="F8" s="1054"/>
      <c r="G8" s="1054"/>
      <c r="H8" s="1054"/>
      <c r="I8" s="1055"/>
    </row>
    <row r="9" spans="1:9" s="63" customFormat="1" ht="16.5" x14ac:dyDescent="0.2">
      <c r="A9" s="64"/>
      <c r="B9" s="64"/>
      <c r="C9" s="64"/>
      <c r="D9" s="59"/>
      <c r="E9" s="118"/>
      <c r="F9" s="118"/>
      <c r="G9" s="61"/>
      <c r="H9" s="61"/>
      <c r="I9" s="62"/>
    </row>
    <row r="10" spans="1:9" s="63" customFormat="1" ht="16.5" x14ac:dyDescent="0.2">
      <c r="A10" s="432">
        <v>22564000000</v>
      </c>
      <c r="B10" s="548"/>
      <c r="C10" s="549"/>
      <c r="D10" s="431"/>
      <c r="E10" s="362"/>
      <c r="F10" s="362"/>
      <c r="G10" s="363"/>
      <c r="H10" s="61"/>
      <c r="I10" s="62"/>
    </row>
    <row r="11" spans="1:9" s="63" customFormat="1" ht="16.5" x14ac:dyDescent="0.2">
      <c r="A11" s="433" t="s">
        <v>508</v>
      </c>
      <c r="B11" s="394"/>
      <c r="C11" s="549"/>
      <c r="D11" s="431"/>
      <c r="E11" s="362"/>
      <c r="F11" s="362"/>
      <c r="G11" s="363"/>
      <c r="H11" s="61"/>
      <c r="I11" s="62"/>
    </row>
    <row r="12" spans="1:9" ht="17.25" thickBot="1" x14ac:dyDescent="0.25">
      <c r="A12" s="550"/>
      <c r="B12" s="550"/>
      <c r="C12" s="551"/>
      <c r="D12" s="551" t="s">
        <v>419</v>
      </c>
      <c r="E12" s="362"/>
      <c r="F12" s="362"/>
      <c r="G12" s="364"/>
    </row>
    <row r="13" spans="1:9" s="18" customFormat="1" ht="50.25" customHeight="1" thickTop="1" thickBot="1" x14ac:dyDescent="0.25">
      <c r="A13" s="855" t="s">
        <v>134</v>
      </c>
      <c r="B13" s="1045" t="s">
        <v>135</v>
      </c>
      <c r="C13" s="1046"/>
      <c r="D13" s="1046"/>
      <c r="E13" s="365"/>
      <c r="F13" s="365"/>
      <c r="G13" s="366"/>
    </row>
    <row r="14" spans="1:9" s="18" customFormat="1" ht="39.75" customHeight="1" thickTop="1" thickBot="1" x14ac:dyDescent="0.25">
      <c r="A14" s="546" t="s">
        <v>136</v>
      </c>
      <c r="B14" s="1043" t="s">
        <v>137</v>
      </c>
      <c r="C14" s="1056"/>
      <c r="D14" s="547">
        <v>100</v>
      </c>
      <c r="E14" s="365"/>
      <c r="F14" s="365"/>
      <c r="G14" s="366"/>
    </row>
    <row r="15" spans="1:9" s="18" customFormat="1" ht="40.700000000000003" customHeight="1" thickTop="1" thickBot="1" x14ac:dyDescent="0.25">
      <c r="A15" s="546" t="s">
        <v>138</v>
      </c>
      <c r="B15" s="1043" t="s">
        <v>139</v>
      </c>
      <c r="C15" s="1056"/>
      <c r="D15" s="547">
        <v>4299180</v>
      </c>
      <c r="E15" s="365"/>
      <c r="F15" s="365"/>
      <c r="G15" s="366"/>
    </row>
    <row r="16" spans="1:9" s="18" customFormat="1" ht="17.45" hidden="1" customHeight="1" thickTop="1" thickBot="1" x14ac:dyDescent="0.25">
      <c r="A16" s="546" t="s">
        <v>140</v>
      </c>
      <c r="B16" s="1043" t="s">
        <v>141</v>
      </c>
      <c r="C16" s="1056"/>
      <c r="D16" s="547">
        <v>0</v>
      </c>
      <c r="E16" s="365"/>
      <c r="F16" s="365"/>
      <c r="G16" s="366"/>
    </row>
    <row r="17" spans="1:7" s="18" customFormat="1" ht="41.25" customHeight="1" thickTop="1" thickBot="1" x14ac:dyDescent="0.25">
      <c r="A17" s="546" t="s">
        <v>1089</v>
      </c>
      <c r="B17" s="552" t="s">
        <v>1090</v>
      </c>
      <c r="C17" s="553"/>
      <c r="D17" s="547">
        <v>1700000</v>
      </c>
      <c r="E17" s="365"/>
      <c r="F17" s="365"/>
      <c r="G17" s="366"/>
    </row>
    <row r="18" spans="1:7" s="18" customFormat="1" ht="41.25" customHeight="1" thickTop="1" thickBot="1" x14ac:dyDescent="0.25">
      <c r="A18" s="546" t="s">
        <v>142</v>
      </c>
      <c r="B18" s="1043" t="s">
        <v>143</v>
      </c>
      <c r="C18" s="1056"/>
      <c r="D18" s="547">
        <v>720</v>
      </c>
      <c r="E18" s="365"/>
      <c r="F18" s="365"/>
      <c r="G18" s="366"/>
    </row>
    <row r="19" spans="1:7" s="18" customFormat="1" ht="26.45" customHeight="1" thickTop="1" thickBot="1" x14ac:dyDescent="0.25">
      <c r="A19" s="546"/>
      <c r="B19" s="1063" t="s">
        <v>144</v>
      </c>
      <c r="C19" s="1056"/>
      <c r="D19" s="554">
        <f>SUM(D14:D18)</f>
        <v>6000000</v>
      </c>
      <c r="E19" s="365"/>
      <c r="F19" s="365"/>
      <c r="G19" s="366"/>
    </row>
    <row r="20" spans="1:7" s="18" customFormat="1" ht="18.75" hidden="1" thickTop="1" thickBot="1" x14ac:dyDescent="0.25">
      <c r="A20" s="546"/>
      <c r="B20" s="1063" t="s">
        <v>456</v>
      </c>
      <c r="C20" s="1056"/>
      <c r="D20" s="554"/>
      <c r="E20" s="365"/>
      <c r="F20" s="365"/>
      <c r="G20" s="366"/>
    </row>
    <row r="21" spans="1:7" s="18" customFormat="1" ht="18.75" thickTop="1" thickBot="1" x14ac:dyDescent="0.25">
      <c r="A21" s="546"/>
      <c r="B21" s="1063" t="s">
        <v>1346</v>
      </c>
      <c r="C21" s="1056"/>
      <c r="D21" s="554">
        <v>2663342.37</v>
      </c>
      <c r="E21" s="365"/>
      <c r="F21" s="365"/>
      <c r="G21" s="366"/>
    </row>
    <row r="22" spans="1:7" s="18" customFormat="1" ht="26.45" customHeight="1" thickTop="1" thickBot="1" x14ac:dyDescent="0.25">
      <c r="A22" s="662" t="s">
        <v>396</v>
      </c>
      <c r="B22" s="1047" t="s">
        <v>512</v>
      </c>
      <c r="C22" s="1048"/>
      <c r="D22" s="663">
        <f>D19+D21</f>
        <v>8663342.370000001</v>
      </c>
      <c r="E22" s="365"/>
      <c r="F22" s="365"/>
      <c r="G22" s="366"/>
    </row>
    <row r="23" spans="1:7" s="18" customFormat="1" ht="47.25" customHeight="1" thickTop="1" thickBot="1" x14ac:dyDescent="0.25">
      <c r="A23" s="855" t="s">
        <v>134</v>
      </c>
      <c r="B23" s="1045" t="s">
        <v>145</v>
      </c>
      <c r="C23" s="1046"/>
      <c r="D23" s="1046"/>
      <c r="E23" s="365"/>
      <c r="F23" s="365"/>
      <c r="G23" s="366"/>
    </row>
    <row r="24" spans="1:7" s="18" customFormat="1" ht="43.5" customHeight="1" thickTop="1" thickBot="1" x14ac:dyDescent="0.25">
      <c r="A24" s="546" t="s">
        <v>146</v>
      </c>
      <c r="B24" s="1043" t="s">
        <v>147</v>
      </c>
      <c r="C24" s="1044"/>
      <c r="D24" s="547">
        <v>40000</v>
      </c>
      <c r="E24" s="365"/>
      <c r="F24" s="365"/>
      <c r="G24" s="366"/>
    </row>
    <row r="25" spans="1:7" s="18" customFormat="1" ht="44.45" customHeight="1" thickTop="1" thickBot="1" x14ac:dyDescent="0.25">
      <c r="A25" s="546" t="s">
        <v>148</v>
      </c>
      <c r="B25" s="1043" t="s">
        <v>149</v>
      </c>
      <c r="C25" s="1044"/>
      <c r="D25" s="547">
        <v>153400</v>
      </c>
      <c r="E25" s="365"/>
      <c r="F25" s="365"/>
      <c r="G25" s="366"/>
    </row>
    <row r="26" spans="1:7" s="18" customFormat="1" ht="44.45" customHeight="1" thickTop="1" thickBot="1" x14ac:dyDescent="0.25">
      <c r="A26" s="546" t="s">
        <v>488</v>
      </c>
      <c r="B26" s="1043" t="s">
        <v>425</v>
      </c>
      <c r="C26" s="1044"/>
      <c r="D26" s="547">
        <v>465000</v>
      </c>
      <c r="E26" s="365"/>
      <c r="F26" s="365"/>
      <c r="G26" s="366"/>
    </row>
    <row r="27" spans="1:7" s="18" customFormat="1" ht="32.25" customHeight="1" thickTop="1" thickBot="1" x14ac:dyDescent="0.25">
      <c r="A27" s="546" t="s">
        <v>150</v>
      </c>
      <c r="B27" s="1043" t="s">
        <v>152</v>
      </c>
      <c r="C27" s="1044"/>
      <c r="D27" s="547">
        <v>322000</v>
      </c>
      <c r="E27" s="365"/>
      <c r="F27" s="365"/>
      <c r="G27" s="366"/>
    </row>
    <row r="28" spans="1:7" s="18" customFormat="1" ht="55.5" customHeight="1" thickTop="1" thickBot="1" x14ac:dyDescent="0.25">
      <c r="A28" s="546" t="s">
        <v>151</v>
      </c>
      <c r="B28" s="1043" t="s">
        <v>1306</v>
      </c>
      <c r="C28" s="1066"/>
      <c r="D28" s="547">
        <f>(1300000+1416600)</f>
        <v>2716600</v>
      </c>
      <c r="E28" s="365"/>
      <c r="F28" s="365"/>
      <c r="G28" s="366"/>
    </row>
    <row r="29" spans="1:7" s="18" customFormat="1" ht="90" customHeight="1" thickTop="1" thickBot="1" x14ac:dyDescent="0.25">
      <c r="A29" s="546" t="s">
        <v>153</v>
      </c>
      <c r="B29" s="1043" t="s">
        <v>1383</v>
      </c>
      <c r="C29" s="1044"/>
      <c r="D29" s="547">
        <v>884000</v>
      </c>
      <c r="E29" s="365"/>
      <c r="F29" s="365"/>
      <c r="G29" s="366"/>
    </row>
    <row r="30" spans="1:7" s="18" customFormat="1" ht="76.7" hidden="1" customHeight="1" thickTop="1" thickBot="1" x14ac:dyDescent="0.25">
      <c r="A30" s="367" t="s">
        <v>1067</v>
      </c>
      <c r="B30" s="369" t="s">
        <v>1068</v>
      </c>
      <c r="C30" s="370"/>
      <c r="D30" s="368">
        <v>0</v>
      </c>
      <c r="E30" s="365"/>
      <c r="F30" s="365"/>
      <c r="G30" s="366"/>
    </row>
    <row r="31" spans="1:7" s="18" customFormat="1" ht="48" customHeight="1" thickTop="1" thickBot="1" x14ac:dyDescent="0.25">
      <c r="A31" s="546" t="s">
        <v>489</v>
      </c>
      <c r="B31" s="1043" t="s">
        <v>154</v>
      </c>
      <c r="C31" s="1044"/>
      <c r="D31" s="547">
        <v>20000</v>
      </c>
      <c r="E31" s="365"/>
      <c r="F31" s="365"/>
      <c r="G31" s="366"/>
    </row>
    <row r="32" spans="1:7" s="18" customFormat="1" ht="137.25" customHeight="1" thickTop="1" thickBot="1" x14ac:dyDescent="0.25">
      <c r="A32" s="765" t="s">
        <v>490</v>
      </c>
      <c r="B32" s="1064" t="s">
        <v>1347</v>
      </c>
      <c r="C32" s="1065"/>
      <c r="D32" s="766">
        <f>(1399000)+2663342.37</f>
        <v>4062342.37</v>
      </c>
      <c r="E32" s="365"/>
      <c r="F32" s="365"/>
      <c r="G32" s="366"/>
    </row>
    <row r="33" spans="1:7" s="18" customFormat="1" ht="27.75" customHeight="1" thickTop="1" thickBot="1" x14ac:dyDescent="0.25">
      <c r="A33" s="662" t="s">
        <v>396</v>
      </c>
      <c r="B33" s="1047" t="s">
        <v>512</v>
      </c>
      <c r="C33" s="1048"/>
      <c r="D33" s="663">
        <f>SUM(D24:D32)</f>
        <v>8663342.370000001</v>
      </c>
      <c r="E33" s="571" t="b">
        <f>D22=D33</f>
        <v>1</v>
      </c>
      <c r="F33" s="571" t="b">
        <f>D33='d3'!J29+'d3'!J175+'d3'!J251+'d3'!J276+'d3'!J304</f>
        <v>1</v>
      </c>
      <c r="G33" s="571" t="b">
        <f>D33='d7'!G208+'d7'!G186+'d7'!G130+'d7'!G27+'d7'!G226</f>
        <v>1</v>
      </c>
    </row>
    <row r="34" spans="1:7" s="76" customFormat="1" ht="27.75" customHeight="1" thickTop="1" x14ac:dyDescent="0.2">
      <c r="A34" s="72"/>
      <c r="B34" s="73"/>
      <c r="C34" s="74"/>
      <c r="D34" s="75"/>
      <c r="E34" s="119"/>
      <c r="F34" s="119"/>
    </row>
    <row r="35" spans="1:7" ht="19.5" customHeight="1" x14ac:dyDescent="0.25">
      <c r="B35" s="97" t="s">
        <v>1363</v>
      </c>
      <c r="C35" s="794"/>
      <c r="D35" s="97" t="s">
        <v>1364</v>
      </c>
      <c r="E35" s="97"/>
      <c r="F35" s="114"/>
    </row>
    <row r="36" spans="1:7" ht="16.5" x14ac:dyDescent="0.2">
      <c r="B36" s="95"/>
      <c r="C36" s="96"/>
      <c r="D36" s="96"/>
      <c r="E36" s="121"/>
    </row>
    <row r="37" spans="1:7" ht="18.75" x14ac:dyDescent="0.25">
      <c r="A37" s="48" t="s">
        <v>549</v>
      </c>
      <c r="B37" s="795" t="s">
        <v>544</v>
      </c>
      <c r="C37" s="796" t="s">
        <v>545</v>
      </c>
      <c r="D37" s="797" t="s">
        <v>545</v>
      </c>
      <c r="E37" s="120"/>
    </row>
    <row r="38" spans="1:7" ht="18.75" x14ac:dyDescent="0.2">
      <c r="A38" s="48"/>
      <c r="B38" s="48"/>
      <c r="C38" s="48"/>
    </row>
    <row r="39" spans="1:7" ht="20.25" thickTop="1" thickBot="1" x14ac:dyDescent="0.25">
      <c r="A39" s="1062"/>
      <c r="B39" s="1062"/>
      <c r="C39" s="47"/>
    </row>
    <row r="45" spans="1:7" ht="16.5" x14ac:dyDescent="0.2">
      <c r="A45" s="1061"/>
      <c r="B45" s="19"/>
      <c r="C45" s="20"/>
      <c r="D45" s="21"/>
    </row>
    <row r="46" spans="1:7" ht="16.5" x14ac:dyDescent="0.2">
      <c r="A46" s="1061"/>
      <c r="B46" s="22"/>
      <c r="C46" s="20"/>
      <c r="D46" s="21"/>
    </row>
    <row r="47" spans="1:7" ht="16.5" x14ac:dyDescent="0.2">
      <c r="A47" s="1061"/>
      <c r="B47" s="23"/>
      <c r="C47" s="20"/>
      <c r="D47" s="21"/>
    </row>
    <row r="48" spans="1:7" ht="16.5" x14ac:dyDescent="0.2">
      <c r="A48" s="1061"/>
      <c r="B48" s="19"/>
      <c r="C48" s="20"/>
      <c r="D48" s="21"/>
    </row>
    <row r="49" spans="1:4" ht="16.5" x14ac:dyDescent="0.2">
      <c r="A49" s="1061"/>
      <c r="B49" s="19"/>
      <c r="C49" s="20"/>
      <c r="D49" s="21"/>
    </row>
    <row r="80" spans="6:6" x14ac:dyDescent="0.2">
      <c r="F80" s="1059"/>
    </row>
    <row r="81" spans="6:6" x14ac:dyDescent="0.2">
      <c r="F81" s="1060"/>
    </row>
    <row r="117" spans="6:6" x14ac:dyDescent="0.2">
      <c r="F117" s="115">
        <f>G117+H117</f>
        <v>0</v>
      </c>
    </row>
    <row r="119" spans="6:6" x14ac:dyDescent="0.2">
      <c r="F119" s="115">
        <f t="shared" ref="F119:F129" si="0">G119+H119</f>
        <v>0</v>
      </c>
    </row>
    <row r="120" spans="6:6" x14ac:dyDescent="0.2">
      <c r="F120" s="115">
        <f t="shared" si="0"/>
        <v>0</v>
      </c>
    </row>
    <row r="121" spans="6:6" x14ac:dyDescent="0.2">
      <c r="F121" s="115">
        <f t="shared" si="0"/>
        <v>0</v>
      </c>
    </row>
    <row r="122" spans="6:6" x14ac:dyDescent="0.2">
      <c r="F122" s="115">
        <f t="shared" si="0"/>
        <v>0</v>
      </c>
    </row>
    <row r="123" spans="6:6" x14ac:dyDescent="0.2">
      <c r="F123" s="115">
        <f t="shared" si="0"/>
        <v>0</v>
      </c>
    </row>
    <row r="124" spans="6:6" x14ac:dyDescent="0.2">
      <c r="F124" s="115">
        <f t="shared" si="0"/>
        <v>0</v>
      </c>
    </row>
    <row r="125" spans="6:6" x14ac:dyDescent="0.2">
      <c r="F125" s="115">
        <f t="shared" si="0"/>
        <v>0</v>
      </c>
    </row>
    <row r="126" spans="6:6" x14ac:dyDescent="0.2">
      <c r="F126" s="115">
        <f t="shared" si="0"/>
        <v>0</v>
      </c>
    </row>
    <row r="127" spans="6:6" x14ac:dyDescent="0.2">
      <c r="F127" s="115">
        <f t="shared" si="0"/>
        <v>0</v>
      </c>
    </row>
    <row r="128" spans="6:6" x14ac:dyDescent="0.2">
      <c r="F128" s="115">
        <f t="shared" si="0"/>
        <v>0</v>
      </c>
    </row>
    <row r="129" spans="6:9" x14ac:dyDescent="0.2">
      <c r="F129" s="115">
        <f t="shared" si="0"/>
        <v>0</v>
      </c>
    </row>
    <row r="131" spans="6:9" x14ac:dyDescent="0.2">
      <c r="F131" s="115">
        <f>G132+H132</f>
        <v>0</v>
      </c>
    </row>
    <row r="132" spans="6:9" x14ac:dyDescent="0.2">
      <c r="F132" s="115">
        <f t="shared" ref="F132" si="1">G132+H132</f>
        <v>0</v>
      </c>
    </row>
    <row r="133" spans="6:9" x14ac:dyDescent="0.2">
      <c r="F133" s="115">
        <f>G133+H133</f>
        <v>0</v>
      </c>
    </row>
    <row r="134" spans="6:9" x14ac:dyDescent="0.2">
      <c r="F134" s="115">
        <f>G134+H134</f>
        <v>0</v>
      </c>
    </row>
    <row r="135" spans="6:9" x14ac:dyDescent="0.2">
      <c r="F135" s="115">
        <f>G135+H135</f>
        <v>0</v>
      </c>
    </row>
    <row r="136" spans="6:9" x14ac:dyDescent="0.2">
      <c r="F136" s="115">
        <f>G136+H136</f>
        <v>0</v>
      </c>
    </row>
    <row r="141" spans="6:9" ht="46.5" x14ac:dyDescent="0.2">
      <c r="I141" s="56"/>
    </row>
    <row r="144" spans="6:9" ht="46.5" x14ac:dyDescent="0.2">
      <c r="F144" s="122">
        <f>G144+H144</f>
        <v>0</v>
      </c>
      <c r="I144" s="56"/>
    </row>
    <row r="163" spans="10:10" ht="90" x14ac:dyDescent="0.2">
      <c r="J163" s="54" t="b">
        <f>F163=G163+H163</f>
        <v>1</v>
      </c>
    </row>
  </sheetData>
  <mergeCells count="33">
    <mergeCell ref="B16:C16"/>
    <mergeCell ref="B15:C15"/>
    <mergeCell ref="B14:C14"/>
    <mergeCell ref="A5:D5"/>
    <mergeCell ref="A7:D7"/>
    <mergeCell ref="A6:D6"/>
    <mergeCell ref="F80:F81"/>
    <mergeCell ref="A45:A49"/>
    <mergeCell ref="A39:B39"/>
    <mergeCell ref="B20:C20"/>
    <mergeCell ref="B19:C19"/>
    <mergeCell ref="B33:C33"/>
    <mergeCell ref="B32:C32"/>
    <mergeCell ref="B31:C31"/>
    <mergeCell ref="B29:C29"/>
    <mergeCell ref="B28:C28"/>
    <mergeCell ref="B21:C21"/>
    <mergeCell ref="C1:D1"/>
    <mergeCell ref="C3:D3"/>
    <mergeCell ref="C4:D4"/>
    <mergeCell ref="B27:C27"/>
    <mergeCell ref="B26:C26"/>
    <mergeCell ref="B25:C25"/>
    <mergeCell ref="B24:C24"/>
    <mergeCell ref="B23:D23"/>
    <mergeCell ref="B13:D13"/>
    <mergeCell ref="B22:C22"/>
    <mergeCell ref="C2:F2"/>
    <mergeCell ref="E5:I5"/>
    <mergeCell ref="E7:I7"/>
    <mergeCell ref="E8:I8"/>
    <mergeCell ref="B18:C18"/>
    <mergeCell ref="A8:D8"/>
  </mergeCells>
  <pageMargins left="0.23622047244094491" right="0.31496062992125984" top="0.27559055118110237" bottom="0" header="0.23622047244094491" footer="0.19685039370078741"/>
  <pageSetup paperSize="9" scale="6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164"/>
  <sheetViews>
    <sheetView view="pageBreakPreview" topLeftCell="A4" zoomScale="85" zoomScaleNormal="85" zoomScaleSheetLayoutView="85" workbookViewId="0">
      <selection activeCell="E21" sqref="E21:E23"/>
    </sheetView>
  </sheetViews>
  <sheetFormatPr defaultColWidth="9.140625" defaultRowHeight="12.75" x14ac:dyDescent="0.2"/>
  <cols>
    <col min="1" max="1" width="6.85546875" style="68" customWidth="1"/>
    <col min="2" max="2" width="15.140625" style="68" customWidth="1"/>
    <col min="3" max="3" width="15.28515625" style="68" customWidth="1"/>
    <col min="4" max="4" width="10.85546875" style="68" customWidth="1"/>
    <col min="5" max="5" width="62" style="68" customWidth="1"/>
    <col min="6" max="6" width="15.85546875" style="68" customWidth="1"/>
    <col min="7" max="7" width="10.85546875" style="105" bestFit="1" customWidth="1"/>
    <col min="8" max="10" width="9.140625" style="68"/>
    <col min="11" max="11" width="52.5703125" style="68" customWidth="1"/>
    <col min="12" max="16384" width="9.140625" style="68"/>
  </cols>
  <sheetData>
    <row r="1" spans="1:10" x14ac:dyDescent="0.2">
      <c r="A1" s="25"/>
      <c r="B1" s="25"/>
      <c r="C1" s="25"/>
      <c r="D1" s="25"/>
      <c r="E1" s="25"/>
      <c r="F1" s="25" t="s">
        <v>628</v>
      </c>
    </row>
    <row r="2" spans="1:10" x14ac:dyDescent="0.2">
      <c r="A2" s="25"/>
      <c r="B2" s="25"/>
      <c r="C2" s="25"/>
      <c r="D2" s="25"/>
      <c r="E2" s="25"/>
      <c r="F2" s="25" t="s">
        <v>1036</v>
      </c>
    </row>
    <row r="3" spans="1:10" x14ac:dyDescent="0.2">
      <c r="A3" s="25"/>
      <c r="B3" s="25"/>
      <c r="C3" s="25"/>
      <c r="D3" s="25"/>
      <c r="E3" s="25"/>
      <c r="F3" s="1072" t="s">
        <v>1356</v>
      </c>
      <c r="G3" s="1073"/>
      <c r="H3" s="1073"/>
      <c r="I3" s="1073"/>
    </row>
    <row r="4" spans="1:10" ht="15.75" x14ac:dyDescent="0.25">
      <c r="A4" s="1074" t="s">
        <v>597</v>
      </c>
      <c r="B4" s="1075"/>
      <c r="C4" s="1075"/>
      <c r="D4" s="1075"/>
      <c r="E4" s="1075"/>
      <c r="F4" s="1075"/>
    </row>
    <row r="5" spans="1:10" s="98" customFormat="1" ht="15.75" x14ac:dyDescent="0.25">
      <c r="A5" s="1074" t="s">
        <v>596</v>
      </c>
      <c r="B5" s="1075"/>
      <c r="C5" s="1075"/>
      <c r="D5" s="1075"/>
      <c r="E5" s="1075"/>
      <c r="F5" s="1075"/>
      <c r="G5" s="105"/>
    </row>
    <row r="6" spans="1:10" ht="15.75" x14ac:dyDescent="0.25">
      <c r="A6" s="1074" t="s">
        <v>951</v>
      </c>
      <c r="B6" s="1075"/>
      <c r="C6" s="1075"/>
      <c r="D6" s="1075"/>
      <c r="E6" s="1075"/>
      <c r="F6" s="1075"/>
    </row>
    <row r="7" spans="1:10" ht="15.75" x14ac:dyDescent="0.25">
      <c r="B7" s="155"/>
      <c r="C7" s="1074" t="s">
        <v>1239</v>
      </c>
      <c r="D7" s="1075"/>
      <c r="E7" s="1075"/>
      <c r="F7" s="155"/>
    </row>
    <row r="8" spans="1:10" ht="12.75" customHeight="1" x14ac:dyDescent="0.25">
      <c r="A8" s="514"/>
      <c r="B8" s="514"/>
      <c r="C8" s="514"/>
      <c r="D8" s="514"/>
      <c r="E8" s="514"/>
      <c r="F8" s="514"/>
      <c r="G8" s="156"/>
      <c r="H8" s="156"/>
      <c r="I8" s="156"/>
      <c r="J8" s="156"/>
    </row>
    <row r="9" spans="1:10" x14ac:dyDescent="0.2">
      <c r="A9" s="1076">
        <v>22564000000</v>
      </c>
      <c r="B9" s="880"/>
      <c r="C9" s="374"/>
      <c r="D9" s="374"/>
      <c r="E9" s="374"/>
      <c r="F9" s="374"/>
    </row>
    <row r="10" spans="1:10" x14ac:dyDescent="0.2">
      <c r="A10" s="1077" t="s">
        <v>508</v>
      </c>
      <c r="B10" s="1078"/>
      <c r="C10" s="374"/>
      <c r="D10" s="374"/>
      <c r="E10" s="374"/>
      <c r="F10" s="374"/>
    </row>
    <row r="11" spans="1:10" ht="13.5" thickBot="1" x14ac:dyDescent="0.25">
      <c r="A11" s="515"/>
      <c r="B11" s="515"/>
      <c r="C11" s="374"/>
      <c r="D11" s="374"/>
      <c r="E11" s="374"/>
      <c r="F11" s="374"/>
    </row>
    <row r="12" spans="1:10" ht="48" customHeight="1" thickTop="1" thickBot="1" x14ac:dyDescent="0.25">
      <c r="A12" s="516" t="s">
        <v>329</v>
      </c>
      <c r="B12" s="517" t="s">
        <v>330</v>
      </c>
      <c r="C12" s="517" t="s">
        <v>20</v>
      </c>
      <c r="D12" s="517" t="s">
        <v>16</v>
      </c>
      <c r="E12" s="516" t="s">
        <v>331</v>
      </c>
      <c r="F12" s="518" t="s">
        <v>420</v>
      </c>
      <c r="G12" s="247"/>
    </row>
    <row r="13" spans="1:10" ht="80.25" thickTop="1" thickBot="1" x14ac:dyDescent="0.25">
      <c r="A13" s="519">
        <v>1</v>
      </c>
      <c r="B13" s="520" t="s">
        <v>1258</v>
      </c>
      <c r="C13" s="520" t="s">
        <v>1259</v>
      </c>
      <c r="D13" s="520" t="s">
        <v>53</v>
      </c>
      <c r="E13" s="520" t="s">
        <v>564</v>
      </c>
      <c r="F13" s="521">
        <v>202000</v>
      </c>
      <c r="G13" s="247"/>
    </row>
    <row r="14" spans="1:10" ht="80.25" thickTop="1" thickBot="1" x14ac:dyDescent="0.25">
      <c r="A14" s="519">
        <v>2</v>
      </c>
      <c r="B14" s="520" t="s">
        <v>1258</v>
      </c>
      <c r="C14" s="520" t="s">
        <v>1259</v>
      </c>
      <c r="D14" s="520" t="s">
        <v>53</v>
      </c>
      <c r="E14" s="520" t="s">
        <v>421</v>
      </c>
      <c r="F14" s="521">
        <v>100000</v>
      </c>
      <c r="G14" s="247"/>
    </row>
    <row r="15" spans="1:10" ht="33" thickTop="1" thickBot="1" x14ac:dyDescent="0.25">
      <c r="A15" s="519">
        <v>3</v>
      </c>
      <c r="B15" s="520" t="s">
        <v>1258</v>
      </c>
      <c r="C15" s="520" t="s">
        <v>1259</v>
      </c>
      <c r="D15" s="520" t="s">
        <v>53</v>
      </c>
      <c r="E15" s="520" t="s">
        <v>1261</v>
      </c>
      <c r="F15" s="521">
        <v>48000</v>
      </c>
      <c r="G15" s="247"/>
    </row>
    <row r="16" spans="1:10" s="159" customFormat="1" ht="48.75" thickTop="1" thickBot="1" x14ac:dyDescent="0.25">
      <c r="A16" s="519">
        <v>4</v>
      </c>
      <c r="B16" s="520" t="s">
        <v>1258</v>
      </c>
      <c r="C16" s="520" t="s">
        <v>1259</v>
      </c>
      <c r="D16" s="520" t="s">
        <v>53</v>
      </c>
      <c r="E16" s="520" t="s">
        <v>1262</v>
      </c>
      <c r="F16" s="521">
        <v>350000</v>
      </c>
      <c r="G16" s="247"/>
    </row>
    <row r="17" spans="1:7" ht="32.25" customHeight="1" thickTop="1" thickBot="1" x14ac:dyDescent="0.25">
      <c r="A17" s="522" t="s">
        <v>396</v>
      </c>
      <c r="B17" s="522" t="s">
        <v>396</v>
      </c>
      <c r="C17" s="522" t="s">
        <v>396</v>
      </c>
      <c r="D17" s="522" t="s">
        <v>396</v>
      </c>
      <c r="E17" s="522" t="s">
        <v>406</v>
      </c>
      <c r="F17" s="523">
        <f>SUM(F13:F16)</f>
        <v>700000</v>
      </c>
      <c r="G17" s="572" t="b">
        <f>F17='d3'!P349</f>
        <v>1</v>
      </c>
    </row>
    <row r="18" spans="1:7" ht="16.5" thickTop="1" x14ac:dyDescent="0.2">
      <c r="A18" s="28"/>
      <c r="B18" s="28"/>
      <c r="C18" s="28"/>
      <c r="D18" s="28"/>
      <c r="E18" s="28"/>
      <c r="F18" s="29"/>
      <c r="G18" s="573"/>
    </row>
    <row r="19" spans="1:7" s="58" customFormat="1" ht="15.75" customHeight="1" x14ac:dyDescent="0.25">
      <c r="A19" s="44"/>
      <c r="B19" s="97" t="s">
        <v>1363</v>
      </c>
      <c r="C19" s="794"/>
      <c r="D19" s="97"/>
      <c r="E19" s="97"/>
      <c r="F19" s="97" t="s">
        <v>1364</v>
      </c>
      <c r="G19" s="105"/>
    </row>
    <row r="20" spans="1:7" ht="27" hidden="1" customHeight="1" x14ac:dyDescent="0.2">
      <c r="A20" s="1068" t="s">
        <v>544</v>
      </c>
      <c r="B20" s="1069"/>
      <c r="C20" s="1069"/>
      <c r="D20" s="1069"/>
      <c r="E20" s="44"/>
      <c r="F20" s="46" t="s">
        <v>545</v>
      </c>
    </row>
    <row r="21" spans="1:7" s="89" customFormat="1" ht="15.75" x14ac:dyDescent="0.2">
      <c r="A21" s="208"/>
      <c r="B21" s="208"/>
      <c r="C21" s="208"/>
      <c r="D21" s="208"/>
      <c r="E21" s="44"/>
      <c r="F21" s="45"/>
      <c r="G21" s="105"/>
    </row>
    <row r="22" spans="1:7" s="89" customFormat="1" ht="15.75" x14ac:dyDescent="0.25">
      <c r="A22" s="208"/>
      <c r="B22" s="49" t="s">
        <v>544</v>
      </c>
      <c r="C22" s="97"/>
      <c r="D22" s="208"/>
      <c r="E22" s="44"/>
      <c r="F22" s="97" t="s">
        <v>545</v>
      </c>
      <c r="G22" s="105"/>
    </row>
    <row r="23" spans="1:7" ht="15.75" x14ac:dyDescent="0.25">
      <c r="A23" s="1071"/>
      <c r="B23" s="1071"/>
      <c r="C23" s="1071"/>
      <c r="D23" s="1071"/>
      <c r="E23" s="26"/>
      <c r="F23" s="26"/>
    </row>
    <row r="24" spans="1:7" ht="15.75" x14ac:dyDescent="0.2">
      <c r="A24" s="1070"/>
      <c r="B24" s="1070"/>
      <c r="C24" s="1070"/>
      <c r="D24" s="1070"/>
      <c r="E24" s="1070"/>
      <c r="F24" s="27"/>
    </row>
    <row r="81" spans="7:7" x14ac:dyDescent="0.2">
      <c r="G81" s="1060"/>
    </row>
    <row r="82" spans="7:7" x14ac:dyDescent="0.2">
      <c r="G82" s="1060"/>
    </row>
    <row r="142" spans="10:10" ht="46.5" x14ac:dyDescent="0.65">
      <c r="J142" s="34"/>
    </row>
    <row r="145" spans="7:10" ht="46.5" x14ac:dyDescent="0.65">
      <c r="G145" s="113"/>
      <c r="J145" s="34"/>
    </row>
    <row r="164" spans="11:11" ht="90" x14ac:dyDescent="1.1499999999999999">
      <c r="K164" s="53" t="b">
        <f>G164=H164+I164</f>
        <v>1</v>
      </c>
    </row>
  </sheetData>
  <mergeCells count="11">
    <mergeCell ref="A20:D20"/>
    <mergeCell ref="A24:E24"/>
    <mergeCell ref="G81:G82"/>
    <mergeCell ref="A23:D23"/>
    <mergeCell ref="F3:I3"/>
    <mergeCell ref="A4:F4"/>
    <mergeCell ref="A6:F6"/>
    <mergeCell ref="A9:B9"/>
    <mergeCell ref="A10:B10"/>
    <mergeCell ref="A5:F5"/>
    <mergeCell ref="C7:E7"/>
  </mergeCells>
  <pageMargins left="0.74803149606299213" right="0.74803149606299213" top="0.98425196850393704" bottom="0.98425196850393704" header="0.51181102362204722" footer="0.51181102362204722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16</vt:i4>
      </vt:variant>
    </vt:vector>
  </HeadingPairs>
  <TitlesOfParts>
    <vt:vector size="27" baseType="lpstr">
      <vt:lpstr>d1</vt:lpstr>
      <vt:lpstr>d2</vt:lpstr>
      <vt:lpstr>d3</vt:lpstr>
      <vt:lpstr>d4</vt:lpstr>
      <vt:lpstr>d5</vt:lpstr>
      <vt:lpstr>d6</vt:lpstr>
      <vt:lpstr>d7</vt:lpstr>
      <vt:lpstr>d8</vt:lpstr>
      <vt:lpstr>d9</vt:lpstr>
      <vt:lpstr>d3П</vt:lpstr>
      <vt:lpstr>РП</vt:lpstr>
      <vt:lpstr>'d3'!Заголовки_для_печати</vt:lpstr>
      <vt:lpstr>d3П!Заголовки_для_печати</vt:lpstr>
      <vt:lpstr>'d6'!Заголовки_для_печати</vt:lpstr>
      <vt:lpstr>'d7'!Заголовки_для_печати</vt:lpstr>
      <vt:lpstr>РП!Заголовки_для_печати</vt:lpstr>
      <vt:lpstr>'d1'!Область_печати</vt:lpstr>
      <vt:lpstr>'d2'!Область_печати</vt:lpstr>
      <vt:lpstr>'d3'!Область_печати</vt:lpstr>
      <vt:lpstr>d3П!Область_печати</vt:lpstr>
      <vt:lpstr>'d4'!Область_печати</vt:lpstr>
      <vt:lpstr>'d5'!Область_печати</vt:lpstr>
      <vt:lpstr>'d6'!Область_печати</vt:lpstr>
      <vt:lpstr>'d7'!Область_печати</vt:lpstr>
      <vt:lpstr>'d8'!Область_печати</vt:lpstr>
      <vt:lpstr>'d9'!Область_печати</vt:lpstr>
      <vt:lpstr>РП!Область_печати</vt:lpstr>
    </vt:vector>
  </TitlesOfParts>
  <Company>Міське фінуправління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Власюк Олена</dc:creator>
  <cp:lastModifiedBy>Ковтун Денис Леонідович</cp:lastModifiedBy>
  <cp:lastPrinted>2022-06-22T10:12:45Z</cp:lastPrinted>
  <dcterms:created xsi:type="dcterms:W3CDTF">2001-12-03T09:30:42Z</dcterms:created>
  <dcterms:modified xsi:type="dcterms:W3CDTF">2022-06-22T10:15:17Z</dcterms:modified>
</cp:coreProperties>
</file>