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codeName="ЦяКнига"/>
  <mc:AlternateContent xmlns:mc="http://schemas.openxmlformats.org/markup-compatibility/2006">
    <mc:Choice Requires="x15">
      <x15ac:absPath xmlns:x15ac="http://schemas.microsoft.com/office/spreadsheetml/2010/11/ac" url="O:\BUDJET\2022\Рішення бюджет від 08.12.2021 року №\"/>
    </mc:Choice>
  </mc:AlternateContent>
  <xr:revisionPtr revIDLastSave="0" documentId="13_ncr:1_{28DD4104-4729-4615-A2AE-DFF1EE1D54A5}" xr6:coauthVersionLast="45" xr6:coauthVersionMax="45" xr10:uidLastSave="{00000000-0000-0000-0000-000000000000}"/>
  <bookViews>
    <workbookView xWindow="-120" yWindow="480" windowWidth="29040" windowHeight="15840" tabRatio="583" activeTab="2" xr2:uid="{00000000-000D-0000-FFFF-FFFF00000000}"/>
  </bookViews>
  <sheets>
    <sheet name="d1" sheetId="188" r:id="rId1"/>
    <sheet name="d2" sheetId="172" r:id="rId2"/>
    <sheet name="d3" sheetId="165" r:id="rId3"/>
    <sheet name="d4" sheetId="107" r:id="rId4"/>
    <sheet name="d5" sheetId="170" r:id="rId5"/>
    <sheet name="d6" sheetId="184" r:id="rId6"/>
    <sheet name="d7" sheetId="167" r:id="rId7"/>
    <sheet name="d8" sheetId="108" r:id="rId8"/>
    <sheet name="d9" sheetId="153" r:id="rId9"/>
  </sheets>
  <definedNames>
    <definedName name="_GoBack" localSheetId="5">'d6'!#REF!</definedName>
    <definedName name="_xlnm.Print_Titles" localSheetId="2">'d3'!$11:$14</definedName>
    <definedName name="_xlnm.Print_Titles" localSheetId="5">'d6'!$9:$10</definedName>
    <definedName name="_xlnm.Print_Titles" localSheetId="6">'d7'!$12:$14</definedName>
    <definedName name="_xlnm.Print_Area" localSheetId="0">'d1'!$A$1:$F$140</definedName>
    <definedName name="_xlnm.Print_Area" localSheetId="1">'d2'!$A$1:$F$55</definedName>
    <definedName name="_xlnm.Print_Area" localSheetId="2">'d3'!$A$1:$P$367</definedName>
    <definedName name="_xlnm.Print_Area" localSheetId="3">'d4'!$B$1:$Q$25</definedName>
    <definedName name="_xlnm.Print_Area" localSheetId="4">'d5'!$A$1:$D$96</definedName>
    <definedName name="_xlnm.Print_Area" localSheetId="5">'d6'!$B$1:$K$105</definedName>
    <definedName name="_xlnm.Print_Area" localSheetId="6">'d7'!$A$1:$J$262</definedName>
    <definedName name="_xlnm.Print_Area" localSheetId="7">'d8'!$A$1:$D$37</definedName>
    <definedName name="_xlnm.Print_Area" localSheetId="8">'d9'!$A$1:$F$22</definedName>
    <definedName name="С16" localSheetId="0">#REF!</definedName>
    <definedName name="С16" localSheetId="1">#REF!</definedName>
    <definedName name="С16" localSheetId="4">#REF!</definedName>
    <definedName name="С16" localSheetId="5">#REF!</definedName>
    <definedName name="С16" localSheetId="6">#REF!</definedName>
    <definedName name="С16" localSheetId="8">#REF!</definedName>
    <definedName name="С16">#REF!</definedName>
  </definedNames>
  <calcPr calcId="191029"/>
</workbook>
</file>

<file path=xl/calcChain.xml><?xml version="1.0" encoding="utf-8"?>
<calcChain xmlns="http://schemas.openxmlformats.org/spreadsheetml/2006/main">
  <c r="F363" i="165" l="1"/>
  <c r="D18" i="188" l="1"/>
  <c r="F252" i="165" l="1"/>
  <c r="P363" i="165"/>
  <c r="N43" i="165" l="1"/>
  <c r="N363" i="165"/>
  <c r="K45" i="165" l="1"/>
  <c r="K82" i="165"/>
  <c r="G363" i="165" l="1"/>
  <c r="G49" i="165"/>
  <c r="F49" i="165"/>
  <c r="F43" i="165"/>
  <c r="F36" i="172" l="1"/>
  <c r="E36" i="172"/>
  <c r="F27" i="172"/>
  <c r="E27" i="172"/>
  <c r="C48" i="188" l="1"/>
  <c r="D47" i="188"/>
  <c r="C47" i="188" s="1"/>
  <c r="D36" i="188" l="1"/>
  <c r="D33" i="188"/>
  <c r="D19" i="188"/>
  <c r="E100" i="188"/>
  <c r="D93" i="188"/>
  <c r="H236" i="167" l="1"/>
  <c r="F322" i="165"/>
  <c r="K262" i="165"/>
  <c r="K290" i="165" l="1"/>
  <c r="E56" i="188" l="1"/>
  <c r="N204" i="165" l="1"/>
  <c r="L363" i="165"/>
  <c r="H41" i="184"/>
  <c r="H38" i="184"/>
  <c r="H35" i="184"/>
  <c r="H31" i="184"/>
  <c r="H24" i="184"/>
  <c r="H20" i="184"/>
  <c r="G239" i="167"/>
  <c r="M239" i="167"/>
  <c r="F325" i="165"/>
  <c r="O345" i="165"/>
  <c r="O343" i="165"/>
  <c r="C41" i="172"/>
  <c r="C42" i="172"/>
  <c r="O357" i="165" l="1"/>
  <c r="J357" i="165" s="1"/>
  <c r="E357" i="165"/>
  <c r="E356" i="165" s="1"/>
  <c r="E355" i="165" s="1"/>
  <c r="N356" i="165"/>
  <c r="M356" i="165"/>
  <c r="M355" i="165" s="1"/>
  <c r="L356" i="165"/>
  <c r="L355" i="165" s="1"/>
  <c r="K356" i="165"/>
  <c r="K355" i="165" s="1"/>
  <c r="I356" i="165"/>
  <c r="I355" i="165" s="1"/>
  <c r="H356" i="165"/>
  <c r="H355" i="165" s="1"/>
  <c r="G356" i="165"/>
  <c r="G355" i="165" s="1"/>
  <c r="F356" i="165"/>
  <c r="F355" i="165" s="1"/>
  <c r="N355" i="165"/>
  <c r="I28" i="184"/>
  <c r="I36" i="184"/>
  <c r="K36" i="184" s="1"/>
  <c r="K218" i="165"/>
  <c r="K195" i="165"/>
  <c r="O195" i="165" s="1"/>
  <c r="F13" i="107"/>
  <c r="H13" i="107"/>
  <c r="J13" i="107"/>
  <c r="K13" i="107"/>
  <c r="L13" i="107"/>
  <c r="H204" i="165"/>
  <c r="G204" i="165"/>
  <c r="H196" i="165"/>
  <c r="H195" i="165"/>
  <c r="H193" i="165"/>
  <c r="O204" i="165"/>
  <c r="M204" i="165"/>
  <c r="L204" i="165"/>
  <c r="M363" i="165"/>
  <c r="P357" i="165" l="1"/>
  <c r="P356" i="165" s="1"/>
  <c r="P355" i="165" s="1"/>
  <c r="J356" i="165"/>
  <c r="J355" i="165" s="1"/>
  <c r="O356" i="165"/>
  <c r="O355" i="165" s="1"/>
  <c r="K155" i="165"/>
  <c r="H119" i="167"/>
  <c r="H120" i="167"/>
  <c r="H155" i="165"/>
  <c r="G155" i="165"/>
  <c r="H113" i="167"/>
  <c r="G130" i="165"/>
  <c r="H130" i="165"/>
  <c r="H129" i="165"/>
  <c r="N129" i="165"/>
  <c r="N155" i="165" l="1"/>
  <c r="M155" i="165"/>
  <c r="L155" i="165"/>
  <c r="O155" i="165"/>
  <c r="H363" i="165"/>
  <c r="H45" i="165"/>
  <c r="F45" i="165"/>
  <c r="J38" i="184" l="1"/>
  <c r="J37" i="184" s="1"/>
  <c r="I38" i="184"/>
  <c r="I37" i="184" s="1"/>
  <c r="H37" i="184"/>
  <c r="K39" i="184"/>
  <c r="M17" i="167" l="1"/>
  <c r="G20" i="167"/>
  <c r="F251" i="165"/>
  <c r="O262" i="165"/>
  <c r="H272" i="165" l="1"/>
  <c r="J193" i="167"/>
  <c r="F250" i="165"/>
  <c r="O256" i="165"/>
  <c r="J256" i="165" s="1"/>
  <c r="I193" i="167" s="1"/>
  <c r="E256" i="165"/>
  <c r="H193" i="167" s="1"/>
  <c r="J175" i="167"/>
  <c r="O237" i="165"/>
  <c r="J237" i="165" s="1"/>
  <c r="I175" i="167" s="1"/>
  <c r="E237" i="165"/>
  <c r="E236" i="165" s="1"/>
  <c r="N236" i="165"/>
  <c r="M236" i="165"/>
  <c r="L236" i="165"/>
  <c r="K236" i="165"/>
  <c r="I236" i="165"/>
  <c r="H236" i="165"/>
  <c r="G236" i="165"/>
  <c r="F236" i="165"/>
  <c r="H175" i="167" l="1"/>
  <c r="G193" i="167"/>
  <c r="P256" i="165"/>
  <c r="G175" i="167"/>
  <c r="J236" i="165"/>
  <c r="P237" i="165"/>
  <c r="P236" i="165" s="1"/>
  <c r="O236" i="165"/>
  <c r="J168" i="167"/>
  <c r="I69" i="184"/>
  <c r="O294" i="165"/>
  <c r="J294" i="165" s="1"/>
  <c r="J227" i="165"/>
  <c r="E227" i="165"/>
  <c r="H167" i="167" s="1"/>
  <c r="G167" i="167" s="1"/>
  <c r="N224" i="165"/>
  <c r="M224" i="165"/>
  <c r="L224" i="165"/>
  <c r="K224" i="165"/>
  <c r="I224" i="165"/>
  <c r="G224" i="165"/>
  <c r="F224" i="165"/>
  <c r="K42" i="184"/>
  <c r="K44" i="184"/>
  <c r="K45" i="184"/>
  <c r="K46" i="184"/>
  <c r="K47" i="184"/>
  <c r="K49" i="184"/>
  <c r="K50" i="184"/>
  <c r="K51" i="184"/>
  <c r="K52" i="184"/>
  <c r="K53" i="184"/>
  <c r="K54" i="184"/>
  <c r="K55" i="184"/>
  <c r="I48" i="184"/>
  <c r="I41" i="184" s="1"/>
  <c r="J43" i="184"/>
  <c r="J41" i="184" s="1"/>
  <c r="K43" i="184" l="1"/>
  <c r="P227" i="165"/>
  <c r="K48" i="184"/>
  <c r="O179" i="165"/>
  <c r="O172" i="165"/>
  <c r="O177" i="165"/>
  <c r="H30" i="184"/>
  <c r="I32" i="184"/>
  <c r="K32" i="184" s="1"/>
  <c r="I40" i="184"/>
  <c r="H40" i="184"/>
  <c r="H34" i="184"/>
  <c r="H23" i="184"/>
  <c r="H19" i="184"/>
  <c r="D73" i="170"/>
  <c r="H179" i="165"/>
  <c r="H177" i="165"/>
  <c r="I31" i="184" l="1"/>
  <c r="H176" i="165"/>
  <c r="H172" i="165"/>
  <c r="H175" i="165"/>
  <c r="D28" i="108" l="1"/>
  <c r="J52" i="167"/>
  <c r="N59" i="165" l="1"/>
  <c r="N56" i="165"/>
  <c r="O54" i="165"/>
  <c r="N54" i="165"/>
  <c r="N46" i="165"/>
  <c r="N45" i="165"/>
  <c r="K59" i="165"/>
  <c r="O59" i="165" s="1"/>
  <c r="K56" i="165"/>
  <c r="O56" i="165" s="1"/>
  <c r="J20" i="184"/>
  <c r="J19" i="184" s="1"/>
  <c r="I21" i="184"/>
  <c r="I22" i="184"/>
  <c r="K22" i="184" s="1"/>
  <c r="I20" i="184" l="1"/>
  <c r="I19" i="184" s="1"/>
  <c r="O45" i="165"/>
  <c r="K43" i="165"/>
  <c r="O43" i="165" s="1"/>
  <c r="F64" i="165" l="1"/>
  <c r="F62" i="165"/>
  <c r="F59" i="165"/>
  <c r="F56" i="165"/>
  <c r="F54" i="165"/>
  <c r="E50" i="165"/>
  <c r="J50" i="165"/>
  <c r="I52" i="167" s="1"/>
  <c r="K48" i="165"/>
  <c r="L48" i="165"/>
  <c r="M48" i="165"/>
  <c r="N48" i="165"/>
  <c r="I48" i="165"/>
  <c r="H48" i="165"/>
  <c r="G48" i="165"/>
  <c r="F48" i="165"/>
  <c r="F47" i="165"/>
  <c r="F46" i="165"/>
  <c r="H46" i="165"/>
  <c r="H43" i="165"/>
  <c r="N335" i="165"/>
  <c r="M335" i="165"/>
  <c r="L335" i="165"/>
  <c r="K335" i="165"/>
  <c r="I335" i="165"/>
  <c r="H335" i="165"/>
  <c r="G335" i="165"/>
  <c r="F335" i="165"/>
  <c r="E335" i="165"/>
  <c r="H52" i="167" l="1"/>
  <c r="G52" i="167" s="1"/>
  <c r="P50" i="165"/>
  <c r="O336" i="165"/>
  <c r="O335" i="165" s="1"/>
  <c r="J57" i="184"/>
  <c r="I73" i="184"/>
  <c r="I72" i="184"/>
  <c r="K72" i="184" s="1"/>
  <c r="I71" i="184"/>
  <c r="K71" i="184" s="1"/>
  <c r="I70" i="184"/>
  <c r="K70" i="184" s="1"/>
  <c r="K69" i="184"/>
  <c r="I68" i="184"/>
  <c r="K68" i="184" s="1"/>
  <c r="I67" i="184"/>
  <c r="K67" i="184" s="1"/>
  <c r="I66" i="184"/>
  <c r="K66" i="184" s="1"/>
  <c r="I65" i="184"/>
  <c r="K65" i="184" s="1"/>
  <c r="I64" i="184"/>
  <c r="K64" i="184" s="1"/>
  <c r="I63" i="184"/>
  <c r="K63" i="184" s="1"/>
  <c r="I62" i="184"/>
  <c r="K62" i="184" s="1"/>
  <c r="I61" i="184"/>
  <c r="H61" i="184"/>
  <c r="I60" i="184"/>
  <c r="K60" i="184" s="1"/>
  <c r="I59" i="184"/>
  <c r="K59" i="184" s="1"/>
  <c r="I58" i="184"/>
  <c r="K73" i="184" l="1"/>
  <c r="H57" i="184"/>
  <c r="H56" i="184" s="1"/>
  <c r="H99" i="184" s="1"/>
  <c r="L99" i="184" s="1"/>
  <c r="K58" i="184"/>
  <c r="I57" i="184"/>
  <c r="I56" i="184" s="1"/>
  <c r="K61" i="184"/>
  <c r="K94" i="165" l="1"/>
  <c r="O94" i="165" s="1"/>
  <c r="I26" i="184"/>
  <c r="K26" i="184" l="1"/>
  <c r="I24" i="184"/>
  <c r="I23" i="184" s="1"/>
  <c r="K93" i="165"/>
  <c r="J78" i="167" s="1"/>
  <c r="H103" i="165"/>
  <c r="O242" i="165"/>
  <c r="H23" i="167" l="1"/>
  <c r="H18" i="165"/>
  <c r="J222" i="167"/>
  <c r="I222" i="167"/>
  <c r="H349" i="165"/>
  <c r="H340" i="165"/>
  <c r="H332" i="165"/>
  <c r="H307" i="165"/>
  <c r="H299" i="165"/>
  <c r="H277" i="165"/>
  <c r="H247" i="165"/>
  <c r="H225" i="165"/>
  <c r="H224" i="165" s="1"/>
  <c r="H115" i="165"/>
  <c r="H91" i="165"/>
  <c r="F121" i="165" l="1"/>
  <c r="J162" i="167"/>
  <c r="D77" i="170"/>
  <c r="O221" i="165"/>
  <c r="J221" i="165" s="1"/>
  <c r="E84" i="170" s="1"/>
  <c r="E221" i="165"/>
  <c r="E220" i="165" s="1"/>
  <c r="E219" i="165" s="1"/>
  <c r="N220" i="165"/>
  <c r="N219" i="165" s="1"/>
  <c r="M220" i="165"/>
  <c r="M219" i="165" s="1"/>
  <c r="L220" i="165"/>
  <c r="L219" i="165" s="1"/>
  <c r="K220" i="165"/>
  <c r="K219" i="165" s="1"/>
  <c r="I220" i="165"/>
  <c r="I219" i="165" s="1"/>
  <c r="H220" i="165"/>
  <c r="H219" i="165" s="1"/>
  <c r="G220" i="165"/>
  <c r="G219" i="165" s="1"/>
  <c r="F220" i="165"/>
  <c r="F219" i="165" s="1"/>
  <c r="E75" i="170" l="1"/>
  <c r="H162" i="167"/>
  <c r="I162" i="167"/>
  <c r="G162" i="167" s="1"/>
  <c r="O220" i="165"/>
  <c r="O219" i="165" s="1"/>
  <c r="J220" i="165"/>
  <c r="J219" i="165" s="1"/>
  <c r="P221" i="165"/>
  <c r="P220" i="165" s="1"/>
  <c r="P219" i="165" s="1"/>
  <c r="J215" i="167" l="1"/>
  <c r="J24" i="184"/>
  <c r="J23" i="184" s="1"/>
  <c r="K91" i="165"/>
  <c r="D107" i="188"/>
  <c r="D14" i="170" l="1"/>
  <c r="D22" i="170" s="1"/>
  <c r="S349" i="165"/>
  <c r="F78" i="165" l="1"/>
  <c r="D71" i="170" l="1"/>
  <c r="D25" i="170" l="1"/>
  <c r="D55" i="170"/>
  <c r="D53" i="170"/>
  <c r="J159" i="167" l="1"/>
  <c r="O216" i="165"/>
  <c r="E216" i="165"/>
  <c r="H159" i="167" s="1"/>
  <c r="N215" i="165"/>
  <c r="M215" i="165"/>
  <c r="L215" i="165"/>
  <c r="K215" i="165"/>
  <c r="I215" i="165"/>
  <c r="H215" i="165"/>
  <c r="G215" i="165"/>
  <c r="F215" i="165"/>
  <c r="J31" i="184"/>
  <c r="E215" i="165" l="1"/>
  <c r="I214" i="165"/>
  <c r="K214" i="165"/>
  <c r="M214" i="165"/>
  <c r="E214" i="165"/>
  <c r="F214" i="165"/>
  <c r="G214" i="165"/>
  <c r="J216" i="165"/>
  <c r="L214" i="165"/>
  <c r="H214" i="165"/>
  <c r="N214" i="165"/>
  <c r="O215" i="165"/>
  <c r="J231" i="167"/>
  <c r="O315" i="165"/>
  <c r="E315" i="165"/>
  <c r="P216" i="165" l="1"/>
  <c r="O214" i="165"/>
  <c r="J215" i="165"/>
  <c r="I159" i="167"/>
  <c r="G159" i="167" s="1"/>
  <c r="J315" i="165"/>
  <c r="H231" i="167"/>
  <c r="P215" i="165"/>
  <c r="P315" i="165" l="1"/>
  <c r="I231" i="167"/>
  <c r="G231" i="167" s="1"/>
  <c r="J214" i="165"/>
  <c r="P214" i="165"/>
  <c r="G18" i="167" l="1"/>
  <c r="D86" i="170"/>
  <c r="J74" i="167"/>
  <c r="N83" i="165"/>
  <c r="M83" i="165"/>
  <c r="L83" i="165"/>
  <c r="K83" i="165"/>
  <c r="I83" i="165"/>
  <c r="H83" i="165"/>
  <c r="G83" i="165"/>
  <c r="O84" i="165"/>
  <c r="J73" i="167"/>
  <c r="F81" i="165"/>
  <c r="G81" i="165"/>
  <c r="H81" i="165"/>
  <c r="I81" i="165"/>
  <c r="K81" i="165"/>
  <c r="L81" i="165"/>
  <c r="M81" i="165"/>
  <c r="N81" i="165"/>
  <c r="O82" i="165"/>
  <c r="E82" i="165"/>
  <c r="N80" i="165" l="1"/>
  <c r="K80" i="165"/>
  <c r="I80" i="165"/>
  <c r="H80" i="165"/>
  <c r="M80" i="165"/>
  <c r="H73" i="167"/>
  <c r="G80" i="165"/>
  <c r="J84" i="165"/>
  <c r="L80" i="165"/>
  <c r="J82" i="165"/>
  <c r="J81" i="165" s="1"/>
  <c r="F80" i="165"/>
  <c r="E84" i="165"/>
  <c r="E81" i="165"/>
  <c r="F83" i="165"/>
  <c r="O83" i="165"/>
  <c r="O81" i="165"/>
  <c r="P84" i="165" l="1"/>
  <c r="H74" i="167"/>
  <c r="J83" i="165"/>
  <c r="P82" i="165"/>
  <c r="I73" i="167"/>
  <c r="G73" i="167" s="1"/>
  <c r="P83" i="165"/>
  <c r="M79" i="165"/>
  <c r="J80" i="165"/>
  <c r="G79" i="165"/>
  <c r="E80" i="165"/>
  <c r="E83" i="165"/>
  <c r="I74" i="167"/>
  <c r="G74" i="167" s="1"/>
  <c r="I79" i="165"/>
  <c r="K79" i="165"/>
  <c r="F79" i="165"/>
  <c r="O80" i="165"/>
  <c r="L79" i="165"/>
  <c r="H79" i="165"/>
  <c r="N79" i="165"/>
  <c r="F128" i="188"/>
  <c r="D128" i="188"/>
  <c r="C134" i="188"/>
  <c r="C133" i="188"/>
  <c r="D75" i="188"/>
  <c r="D52" i="188" l="1"/>
  <c r="J79" i="165"/>
  <c r="D71" i="188"/>
  <c r="E128" i="188"/>
  <c r="O79" i="165"/>
  <c r="E79" i="165"/>
  <c r="P81" i="165"/>
  <c r="D66" i="188"/>
  <c r="P80" i="165" l="1"/>
  <c r="P79" i="165" l="1"/>
  <c r="D47" i="170" l="1"/>
  <c r="D49" i="170" s="1"/>
  <c r="Q349" i="165" l="1"/>
  <c r="J122" i="167" l="1"/>
  <c r="O160" i="165"/>
  <c r="E160" i="165"/>
  <c r="N158" i="165"/>
  <c r="M158" i="165"/>
  <c r="L158" i="165"/>
  <c r="K158" i="165"/>
  <c r="I158" i="165"/>
  <c r="H158" i="165"/>
  <c r="G158" i="165"/>
  <c r="F158" i="165"/>
  <c r="J160" i="165" l="1"/>
  <c r="H122" i="167"/>
  <c r="I122" i="167"/>
  <c r="P160" i="165"/>
  <c r="N140" i="165"/>
  <c r="M140" i="165"/>
  <c r="L140" i="165"/>
  <c r="K140" i="165"/>
  <c r="I140" i="165"/>
  <c r="H140" i="165"/>
  <c r="G140" i="165"/>
  <c r="F140" i="165"/>
  <c r="G122" i="167" l="1"/>
  <c r="O151" i="165"/>
  <c r="E151" i="165"/>
  <c r="O148" i="165"/>
  <c r="E148" i="165"/>
  <c r="O144" i="165"/>
  <c r="E144" i="165"/>
  <c r="O141" i="165"/>
  <c r="E141" i="165"/>
  <c r="J144" i="165" l="1"/>
  <c r="J151" i="165"/>
  <c r="J148" i="165"/>
  <c r="E140" i="165"/>
  <c r="O140" i="165"/>
  <c r="J141" i="165"/>
  <c r="J88" i="167"/>
  <c r="P144" i="165" l="1"/>
  <c r="P151" i="165"/>
  <c r="P148" i="165"/>
  <c r="P141" i="165"/>
  <c r="J140" i="165"/>
  <c r="O108" i="165"/>
  <c r="J108" i="165" s="1"/>
  <c r="E108" i="165"/>
  <c r="N107" i="165"/>
  <c r="M107" i="165"/>
  <c r="L107" i="165"/>
  <c r="K107" i="165"/>
  <c r="I107" i="165"/>
  <c r="H107" i="165"/>
  <c r="G107" i="165"/>
  <c r="F107" i="165"/>
  <c r="F106" i="165" l="1"/>
  <c r="H106" i="165"/>
  <c r="N106" i="165"/>
  <c r="I88" i="167"/>
  <c r="I106" i="165"/>
  <c r="P140" i="165"/>
  <c r="G106" i="165"/>
  <c r="K106" i="165"/>
  <c r="L106" i="165"/>
  <c r="M106" i="165"/>
  <c r="E107" i="165"/>
  <c r="H88" i="167"/>
  <c r="G88" i="167" s="1"/>
  <c r="J107" i="165"/>
  <c r="P108" i="165"/>
  <c r="O107" i="165"/>
  <c r="P107" i="165" l="1"/>
  <c r="J106" i="165"/>
  <c r="E106" i="165"/>
  <c r="O106" i="165"/>
  <c r="P106" i="165" l="1"/>
  <c r="J71" i="167"/>
  <c r="O78" i="165"/>
  <c r="E78" i="165"/>
  <c r="N76" i="165"/>
  <c r="M76" i="165"/>
  <c r="L76" i="165"/>
  <c r="I76" i="165"/>
  <c r="H76" i="165"/>
  <c r="G76" i="165"/>
  <c r="F76" i="165"/>
  <c r="C127" i="188"/>
  <c r="C119" i="188"/>
  <c r="C118" i="188"/>
  <c r="C117" i="188"/>
  <c r="C116" i="188"/>
  <c r="C120" i="188"/>
  <c r="F107" i="188"/>
  <c r="E107" i="188"/>
  <c r="C111" i="188"/>
  <c r="C109" i="188"/>
  <c r="H71" i="167" l="1"/>
  <c r="J78" i="165"/>
  <c r="C129" i="188"/>
  <c r="E115" i="188"/>
  <c r="C83" i="188"/>
  <c r="C20" i="188"/>
  <c r="C19" i="188"/>
  <c r="C18" i="188"/>
  <c r="P78" i="165" l="1"/>
  <c r="I71" i="167"/>
  <c r="G71" i="167" s="1"/>
  <c r="C105" i="188"/>
  <c r="C122" i="188"/>
  <c r="C121" i="188"/>
  <c r="F115" i="188"/>
  <c r="C128" i="188"/>
  <c r="D104" i="188"/>
  <c r="E97" i="188"/>
  <c r="F92" i="188"/>
  <c r="E92" i="188"/>
  <c r="C101" i="188"/>
  <c r="C108" i="188"/>
  <c r="C110" i="188"/>
  <c r="C112" i="188"/>
  <c r="C113" i="188"/>
  <c r="C114" i="188"/>
  <c r="C123" i="188"/>
  <c r="C125" i="188"/>
  <c r="C126" i="188"/>
  <c r="C130" i="188"/>
  <c r="C131" i="188"/>
  <c r="C132" i="188"/>
  <c r="C99" i="188"/>
  <c r="C87" i="188"/>
  <c r="C88" i="188"/>
  <c r="C89" i="188"/>
  <c r="C90" i="188"/>
  <c r="E86" i="188"/>
  <c r="D80" i="188"/>
  <c r="F80" i="188"/>
  <c r="E80" i="188"/>
  <c r="C71" i="188"/>
  <c r="D63" i="188"/>
  <c r="F15" i="188"/>
  <c r="C60" i="188"/>
  <c r="C59" i="188"/>
  <c r="C58" i="188"/>
  <c r="E57" i="188"/>
  <c r="C52" i="188"/>
  <c r="D49" i="188"/>
  <c r="D35" i="188" s="1"/>
  <c r="C36" i="188"/>
  <c r="C51" i="188"/>
  <c r="C50" i="188"/>
  <c r="D27" i="188"/>
  <c r="D25" i="188"/>
  <c r="D17" i="188"/>
  <c r="D22" i="188"/>
  <c r="C22" i="188" s="1"/>
  <c r="C23" i="188"/>
  <c r="D16" i="188" l="1"/>
  <c r="F61" i="188"/>
  <c r="C104" i="188"/>
  <c r="F106" i="188"/>
  <c r="C93" i="188"/>
  <c r="C27" i="188"/>
  <c r="E85" i="188"/>
  <c r="C97" i="188"/>
  <c r="D62" i="188"/>
  <c r="D24" i="188"/>
  <c r="D92" i="188"/>
  <c r="C25" i="188"/>
  <c r="C100" i="188"/>
  <c r="C17" i="188"/>
  <c r="C86" i="188"/>
  <c r="C49" i="188"/>
  <c r="C62" i="188" l="1"/>
  <c r="E61" i="188"/>
  <c r="C16" i="188"/>
  <c r="D91" i="188"/>
  <c r="C92" i="188"/>
  <c r="C24" i="188"/>
  <c r="J141" i="167"/>
  <c r="N183" i="165"/>
  <c r="N182" i="165" s="1"/>
  <c r="M183" i="165"/>
  <c r="L183" i="165"/>
  <c r="K183" i="165"/>
  <c r="I183" i="165"/>
  <c r="H183" i="165"/>
  <c r="G183" i="165"/>
  <c r="F183" i="165"/>
  <c r="O184" i="165"/>
  <c r="E184" i="165"/>
  <c r="J75" i="167"/>
  <c r="K69" i="165"/>
  <c r="O87" i="165"/>
  <c r="E87" i="165"/>
  <c r="N86" i="165"/>
  <c r="M86" i="165"/>
  <c r="L86" i="165"/>
  <c r="K86" i="165"/>
  <c r="I86" i="165"/>
  <c r="H86" i="165"/>
  <c r="G86" i="165"/>
  <c r="F86" i="165"/>
  <c r="K70" i="165"/>
  <c r="D42" i="170"/>
  <c r="D124" i="188"/>
  <c r="M85" i="165" l="1"/>
  <c r="N85" i="165"/>
  <c r="F85" i="165"/>
  <c r="H141" i="167"/>
  <c r="H75" i="167"/>
  <c r="I85" i="165"/>
  <c r="F182" i="165"/>
  <c r="G182" i="165"/>
  <c r="L85" i="165"/>
  <c r="H182" i="165"/>
  <c r="E86" i="165"/>
  <c r="E183" i="165"/>
  <c r="C124" i="188"/>
  <c r="D115" i="188"/>
  <c r="H85" i="165"/>
  <c r="M182" i="165"/>
  <c r="I182" i="165"/>
  <c r="G85" i="165"/>
  <c r="K85" i="165"/>
  <c r="J87" i="165"/>
  <c r="L182" i="165"/>
  <c r="J184" i="165"/>
  <c r="O183" i="165"/>
  <c r="O86" i="165"/>
  <c r="E85" i="165" l="1"/>
  <c r="P87" i="165"/>
  <c r="D106" i="188"/>
  <c r="C115" i="188"/>
  <c r="J86" i="165"/>
  <c r="E83" i="170"/>
  <c r="I75" i="167"/>
  <c r="G75" i="167" s="1"/>
  <c r="O85" i="165"/>
  <c r="J183" i="165"/>
  <c r="I141" i="167"/>
  <c r="G141" i="167" s="1"/>
  <c r="P184" i="165"/>
  <c r="D103" i="188" l="1"/>
  <c r="P86" i="165"/>
  <c r="P183" i="165"/>
  <c r="P85" i="165"/>
  <c r="J85" i="165"/>
  <c r="F103" i="188" l="1"/>
  <c r="C98" i="188"/>
  <c r="F97" i="188"/>
  <c r="E96" i="188"/>
  <c r="C95" i="188"/>
  <c r="C94" i="188"/>
  <c r="D85" i="188"/>
  <c r="C84" i="188"/>
  <c r="C82" i="188"/>
  <c r="C81" i="188"/>
  <c r="C80" i="188"/>
  <c r="C79" i="188"/>
  <c r="C78" i="188"/>
  <c r="D77" i="188"/>
  <c r="C76" i="188"/>
  <c r="C75" i="188"/>
  <c r="C74" i="188"/>
  <c r="C73" i="188"/>
  <c r="C72" i="188"/>
  <c r="C69" i="188"/>
  <c r="C68" i="188"/>
  <c r="C67" i="188"/>
  <c r="C66" i="188"/>
  <c r="C65" i="188"/>
  <c r="C64" i="188"/>
  <c r="C63" i="188"/>
  <c r="D57" i="188"/>
  <c r="C56" i="188"/>
  <c r="C55" i="188"/>
  <c r="C54" i="188"/>
  <c r="C53" i="188"/>
  <c r="C46" i="188"/>
  <c r="C45" i="188"/>
  <c r="C44" i="188"/>
  <c r="C43" i="188"/>
  <c r="C42" i="188"/>
  <c r="C41" i="188"/>
  <c r="C40" i="188"/>
  <c r="C39" i="188"/>
  <c r="C38" i="188"/>
  <c r="C37" i="188"/>
  <c r="C34" i="188"/>
  <c r="C33" i="188"/>
  <c r="D32" i="188"/>
  <c r="D29" i="188" s="1"/>
  <c r="C31" i="188"/>
  <c r="D30" i="188"/>
  <c r="C28" i="188"/>
  <c r="C26" i="188"/>
  <c r="C21" i="188"/>
  <c r="C85" i="188" l="1"/>
  <c r="D70" i="188"/>
  <c r="C32" i="188"/>
  <c r="E15" i="188"/>
  <c r="C57" i="188"/>
  <c r="F96" i="188"/>
  <c r="C30" i="188"/>
  <c r="C77" i="188"/>
  <c r="E106" i="188"/>
  <c r="C107" i="188"/>
  <c r="C96" i="188"/>
  <c r="E91" i="188"/>
  <c r="D15" i="188" l="1"/>
  <c r="C15" i="188" s="1"/>
  <c r="D61" i="188"/>
  <c r="F91" i="188"/>
  <c r="F102" i="188" s="1"/>
  <c r="F135" i="188" s="1"/>
  <c r="J135" i="188" s="1"/>
  <c r="C29" i="188"/>
  <c r="C91" i="188"/>
  <c r="E102" i="188"/>
  <c r="E135" i="188" s="1"/>
  <c r="I135" i="188" s="1"/>
  <c r="C70" i="188"/>
  <c r="C106" i="188"/>
  <c r="E103" i="188"/>
  <c r="C103" i="188" s="1"/>
  <c r="C35" i="188"/>
  <c r="D102" i="188" l="1"/>
  <c r="C102" i="188" s="1"/>
  <c r="C61" i="188"/>
  <c r="D135" i="188" l="1"/>
  <c r="H135" i="188" s="1"/>
  <c r="C39" i="172"/>
  <c r="C38" i="172" s="1"/>
  <c r="F38" i="172"/>
  <c r="E38" i="172"/>
  <c r="D38" i="172"/>
  <c r="D37" i="172" s="1"/>
  <c r="C19" i="172"/>
  <c r="C18" i="172"/>
  <c r="F17" i="172"/>
  <c r="E17" i="172"/>
  <c r="E16" i="172" s="1"/>
  <c r="D17" i="172"/>
  <c r="G39" i="167"/>
  <c r="N131" i="165"/>
  <c r="M131" i="165"/>
  <c r="L131" i="165"/>
  <c r="I131" i="165"/>
  <c r="H131" i="165"/>
  <c r="G131" i="165"/>
  <c r="F131" i="165"/>
  <c r="J67" i="167"/>
  <c r="I67" i="167"/>
  <c r="J66" i="167"/>
  <c r="N68" i="165"/>
  <c r="M68" i="165"/>
  <c r="L68" i="165"/>
  <c r="K68" i="165"/>
  <c r="I68" i="165"/>
  <c r="H68" i="165"/>
  <c r="G68" i="165"/>
  <c r="F68" i="165"/>
  <c r="O70" i="165"/>
  <c r="E70" i="165"/>
  <c r="C135" i="188" l="1"/>
  <c r="K131" i="165"/>
  <c r="H66" i="167"/>
  <c r="O132" i="165"/>
  <c r="J70" i="165"/>
  <c r="J109" i="167"/>
  <c r="F353" i="165"/>
  <c r="F351" i="165" s="1"/>
  <c r="E132" i="165"/>
  <c r="J229" i="167"/>
  <c r="J230" i="167"/>
  <c r="N311" i="165"/>
  <c r="M311" i="165"/>
  <c r="L311" i="165"/>
  <c r="K311" i="165"/>
  <c r="I311" i="165"/>
  <c r="H311" i="165"/>
  <c r="G311" i="165"/>
  <c r="F311" i="165"/>
  <c r="O312" i="165"/>
  <c r="E312" i="165"/>
  <c r="M235" i="167"/>
  <c r="G235" i="167"/>
  <c r="G135" i="188" l="1"/>
  <c r="O311" i="165"/>
  <c r="J132" i="165"/>
  <c r="P132" i="165" s="1"/>
  <c r="H229" i="167"/>
  <c r="J312" i="165"/>
  <c r="E311" i="165"/>
  <c r="E131" i="165"/>
  <c r="H109" i="167"/>
  <c r="I66" i="167"/>
  <c r="G66" i="167" s="1"/>
  <c r="P70" i="165"/>
  <c r="O131" i="165"/>
  <c r="F319" i="165"/>
  <c r="N319" i="165"/>
  <c r="M319" i="165"/>
  <c r="L319" i="165"/>
  <c r="K319" i="165"/>
  <c r="I319" i="165"/>
  <c r="H319" i="165"/>
  <c r="G319" i="165"/>
  <c r="O320" i="165"/>
  <c r="E320" i="165"/>
  <c r="J131" i="165" l="1"/>
  <c r="P312" i="165"/>
  <c r="I109" i="167"/>
  <c r="G109" i="167" s="1"/>
  <c r="J320" i="165"/>
  <c r="O319" i="165"/>
  <c r="P311" i="165"/>
  <c r="K235" i="167"/>
  <c r="P131" i="165"/>
  <c r="E319" i="165"/>
  <c r="J311" i="165"/>
  <c r="I229" i="167"/>
  <c r="G229" i="167" s="1"/>
  <c r="J35" i="184" l="1"/>
  <c r="P320" i="165"/>
  <c r="P319" i="165" s="1"/>
  <c r="L235" i="167"/>
  <c r="J319" i="165"/>
  <c r="D19" i="108"/>
  <c r="F44" i="165" l="1"/>
  <c r="J44" i="167"/>
  <c r="I44" i="167"/>
  <c r="E77" i="165"/>
  <c r="E76" i="165"/>
  <c r="J65" i="167"/>
  <c r="O69" i="165"/>
  <c r="E69" i="165"/>
  <c r="J50" i="167"/>
  <c r="K44" i="165"/>
  <c r="I44" i="165"/>
  <c r="O47" i="165"/>
  <c r="E47" i="165"/>
  <c r="K76" i="165" l="1"/>
  <c r="J70" i="167"/>
  <c r="G44" i="165"/>
  <c r="H50" i="167"/>
  <c r="H44" i="165"/>
  <c r="O77" i="165"/>
  <c r="H70" i="167"/>
  <c r="J69" i="165"/>
  <c r="O68" i="165"/>
  <c r="E68" i="165"/>
  <c r="H65" i="167"/>
  <c r="J47" i="165"/>
  <c r="O76" i="165" l="1"/>
  <c r="P47" i="165"/>
  <c r="P69" i="165"/>
  <c r="J77" i="165"/>
  <c r="I65" i="167"/>
  <c r="G65" i="167" s="1"/>
  <c r="J68" i="165"/>
  <c r="I50" i="167"/>
  <c r="G50" i="167" s="1"/>
  <c r="P77" i="165" l="1"/>
  <c r="J76" i="165"/>
  <c r="I70" i="167"/>
  <c r="G70" i="167" s="1"/>
  <c r="P68" i="165"/>
  <c r="J218" i="167"/>
  <c r="G219" i="167"/>
  <c r="L293" i="165"/>
  <c r="E294" i="165"/>
  <c r="N293" i="165"/>
  <c r="M293" i="165"/>
  <c r="K293" i="165"/>
  <c r="I293" i="165"/>
  <c r="H293" i="165"/>
  <c r="G293" i="165"/>
  <c r="F293" i="165"/>
  <c r="P76" i="165" l="1"/>
  <c r="H292" i="165"/>
  <c r="N292" i="165"/>
  <c r="I292" i="165"/>
  <c r="G292" i="165"/>
  <c r="M292" i="165"/>
  <c r="L292" i="165"/>
  <c r="H218" i="167"/>
  <c r="E293" i="165"/>
  <c r="O293" i="165"/>
  <c r="F292" i="165"/>
  <c r="K292" i="165"/>
  <c r="O292" i="165" l="1"/>
  <c r="E292" i="165"/>
  <c r="J293" i="165"/>
  <c r="I218" i="167"/>
  <c r="G218" i="167" s="1"/>
  <c r="P294" i="165"/>
  <c r="P293" i="165" l="1"/>
  <c r="J292" i="165"/>
  <c r="P292" i="165" l="1"/>
  <c r="J97" i="184"/>
  <c r="J254" i="167"/>
  <c r="I254" i="167"/>
  <c r="H255" i="167"/>
  <c r="G255" i="167" s="1"/>
  <c r="D43" i="170" l="1"/>
  <c r="J64" i="167"/>
  <c r="O67" i="165"/>
  <c r="E67" i="165"/>
  <c r="N65" i="165"/>
  <c r="M65" i="165"/>
  <c r="L65" i="165"/>
  <c r="K65" i="165"/>
  <c r="I65" i="165"/>
  <c r="H65" i="165"/>
  <c r="G65" i="165"/>
  <c r="J25" i="167"/>
  <c r="M25" i="167" s="1"/>
  <c r="J25" i="165"/>
  <c r="E25" i="165"/>
  <c r="N23" i="165"/>
  <c r="M23" i="165"/>
  <c r="L23" i="165"/>
  <c r="K23" i="165"/>
  <c r="I23" i="165"/>
  <c r="H23" i="165"/>
  <c r="G23" i="165"/>
  <c r="F23" i="165"/>
  <c r="I25" i="167" l="1"/>
  <c r="L25" i="167" s="1"/>
  <c r="H64" i="167"/>
  <c r="J67" i="165"/>
  <c r="P25" i="165"/>
  <c r="H25" i="167"/>
  <c r="P67" i="165" l="1"/>
  <c r="I64" i="167"/>
  <c r="G64" i="167" s="1"/>
  <c r="K25" i="167"/>
  <c r="G25" i="167"/>
  <c r="D46" i="172" l="1"/>
  <c r="E47" i="172"/>
  <c r="E46" i="172" s="1"/>
  <c r="F46" i="172" s="1"/>
  <c r="E23" i="172"/>
  <c r="E22" i="172" s="1"/>
  <c r="D22" i="172"/>
  <c r="C45" i="172"/>
  <c r="C21" i="172"/>
  <c r="F33" i="172"/>
  <c r="E33" i="172"/>
  <c r="D33" i="172"/>
  <c r="D32" i="172" s="1"/>
  <c r="D26" i="172"/>
  <c r="D25" i="172" s="1"/>
  <c r="F16" i="172"/>
  <c r="D31" i="172" l="1"/>
  <c r="F47" i="172"/>
  <c r="C23" i="172"/>
  <c r="F23" i="172"/>
  <c r="F22" i="172" s="1"/>
  <c r="C46" i="172"/>
  <c r="C47" i="172"/>
  <c r="C22" i="172"/>
  <c r="C17" i="172"/>
  <c r="D16" i="172"/>
  <c r="C16" i="172" l="1"/>
  <c r="C34" i="172" l="1"/>
  <c r="C33" i="172" s="1"/>
  <c r="C36" i="172"/>
  <c r="F26" i="172"/>
  <c r="F25" i="172" s="1"/>
  <c r="E26" i="172"/>
  <c r="E25" i="172" s="1"/>
  <c r="J91" i="184" l="1"/>
  <c r="J90" i="184" s="1"/>
  <c r="J84" i="184"/>
  <c r="I35" i="184"/>
  <c r="I34" i="184" s="1"/>
  <c r="I30" i="184"/>
  <c r="I99" i="184" l="1"/>
  <c r="M99" i="184" s="1"/>
  <c r="H28" i="184"/>
  <c r="H27" i="184" s="1"/>
  <c r="I27" i="184"/>
  <c r="J12" i="184"/>
  <c r="J11" i="184" s="1"/>
  <c r="J83" i="184"/>
  <c r="J30" i="184"/>
  <c r="J81" i="184"/>
  <c r="J80" i="184" s="1"/>
  <c r="J88" i="184"/>
  <c r="J87" i="184" s="1"/>
  <c r="J75" i="184"/>
  <c r="J74" i="184" s="1"/>
  <c r="J28" i="184"/>
  <c r="J27" i="184" s="1"/>
  <c r="J34" i="184" l="1"/>
  <c r="J56" i="184"/>
  <c r="J40" i="184"/>
  <c r="J96" i="184"/>
  <c r="F35" i="172"/>
  <c r="F32" i="172" s="1"/>
  <c r="E35" i="172"/>
  <c r="E32" i="172" s="1"/>
  <c r="C40" i="172"/>
  <c r="C37" i="172" s="1"/>
  <c r="C28" i="172"/>
  <c r="C27" i="172"/>
  <c r="J99" i="184" l="1"/>
  <c r="N99" i="184" s="1"/>
  <c r="C26" i="172"/>
  <c r="C25" i="172" s="1"/>
  <c r="C35" i="172"/>
  <c r="C32" i="172" s="1"/>
  <c r="N261" i="165"/>
  <c r="M261" i="165"/>
  <c r="L261" i="165"/>
  <c r="I261" i="165"/>
  <c r="H261" i="165"/>
  <c r="G261" i="165"/>
  <c r="C31" i="172" l="1"/>
  <c r="G136" i="188"/>
  <c r="H260" i="165"/>
  <c r="L260" i="165"/>
  <c r="I260" i="165"/>
  <c r="M260" i="165"/>
  <c r="G260" i="165"/>
  <c r="N260" i="165"/>
  <c r="J69" i="167" l="1"/>
  <c r="O73" i="165"/>
  <c r="K182" i="165" l="1"/>
  <c r="E73" i="165"/>
  <c r="J73" i="165"/>
  <c r="E111" i="165"/>
  <c r="O111" i="165"/>
  <c r="J111" i="165" s="1"/>
  <c r="H69" i="167" l="1"/>
  <c r="I69" i="167"/>
  <c r="K261" i="165"/>
  <c r="P73" i="165"/>
  <c r="P111" i="165"/>
  <c r="G69" i="167" l="1"/>
  <c r="K260" i="165"/>
  <c r="G216" i="167"/>
  <c r="G241" i="167" l="1"/>
  <c r="G40" i="167" l="1"/>
  <c r="G38" i="167" l="1"/>
  <c r="G37" i="167"/>
  <c r="G36" i="167"/>
  <c r="G35" i="167"/>
  <c r="G34" i="167"/>
  <c r="E39" i="165"/>
  <c r="K33" i="167" s="1"/>
  <c r="G240" i="167"/>
  <c r="O39" i="165" l="1"/>
  <c r="M33" i="167"/>
  <c r="E71" i="170"/>
  <c r="J39" i="165" l="1"/>
  <c r="F75" i="165"/>
  <c r="P39" i="165" l="1"/>
  <c r="L33" i="167"/>
  <c r="N51" i="165"/>
  <c r="M51" i="165"/>
  <c r="L51" i="165"/>
  <c r="I51" i="165"/>
  <c r="H51" i="165"/>
  <c r="G51" i="165"/>
  <c r="F51" i="165"/>
  <c r="E53" i="165"/>
  <c r="J173" i="167"/>
  <c r="O233" i="165"/>
  <c r="E233" i="165"/>
  <c r="K51" i="165" l="1"/>
  <c r="H173" i="167"/>
  <c r="E51" i="165"/>
  <c r="O53" i="165"/>
  <c r="H53" i="167"/>
  <c r="J233" i="165"/>
  <c r="J53" i="167"/>
  <c r="J53" i="165" l="1"/>
  <c r="J51" i="165" s="1"/>
  <c r="O51" i="165"/>
  <c r="P233" i="165"/>
  <c r="I173" i="167"/>
  <c r="G173" i="167" s="1"/>
  <c r="P53" i="165" l="1"/>
  <c r="I53" i="167"/>
  <c r="G53" i="167" s="1"/>
  <c r="P51" i="165"/>
  <c r="J211" i="167" l="1"/>
  <c r="J209" i="167"/>
  <c r="N276" i="165" l="1"/>
  <c r="M276" i="165"/>
  <c r="L276" i="165"/>
  <c r="K276" i="165"/>
  <c r="I276" i="165"/>
  <c r="G276" i="165"/>
  <c r="O279" i="165"/>
  <c r="E279" i="165"/>
  <c r="O285" i="165"/>
  <c r="E285" i="165"/>
  <c r="J285" i="165" l="1"/>
  <c r="H209" i="167"/>
  <c r="J279" i="165"/>
  <c r="H211" i="167"/>
  <c r="N163" i="165"/>
  <c r="M163" i="165"/>
  <c r="L163" i="165"/>
  <c r="I163" i="165"/>
  <c r="H163" i="165"/>
  <c r="G163" i="165"/>
  <c r="F163" i="165"/>
  <c r="G96" i="167"/>
  <c r="P285" i="165" l="1"/>
  <c r="K163" i="165"/>
  <c r="H162" i="165"/>
  <c r="M162" i="165"/>
  <c r="I162" i="165"/>
  <c r="N162" i="165"/>
  <c r="P279" i="165"/>
  <c r="I209" i="167"/>
  <c r="F162" i="165"/>
  <c r="O164" i="165"/>
  <c r="J123" i="167"/>
  <c r="G162" i="165"/>
  <c r="L162" i="165"/>
  <c r="I211" i="167"/>
  <c r="G211" i="167" s="1"/>
  <c r="K162" i="165" l="1"/>
  <c r="J164" i="165"/>
  <c r="G209" i="167"/>
  <c r="O163" i="165"/>
  <c r="J163" i="165" l="1"/>
  <c r="I123" i="167"/>
  <c r="J162" i="165"/>
  <c r="O162" i="165"/>
  <c r="J105" i="167"/>
  <c r="O126" i="165"/>
  <c r="E126" i="165"/>
  <c r="J97" i="167"/>
  <c r="J98" i="167"/>
  <c r="N114" i="165"/>
  <c r="M114" i="165"/>
  <c r="L114" i="165"/>
  <c r="I114" i="165"/>
  <c r="G114" i="165"/>
  <c r="J117" i="165"/>
  <c r="E117" i="165"/>
  <c r="I98" i="167" l="1"/>
  <c r="H105" i="167"/>
  <c r="J126" i="165"/>
  <c r="K114" i="165"/>
  <c r="P117" i="165"/>
  <c r="H98" i="167"/>
  <c r="I105" i="167" l="1"/>
  <c r="G105" i="167" s="1"/>
  <c r="G98" i="167"/>
  <c r="P126" i="165"/>
  <c r="F273" i="165"/>
  <c r="G273" i="165"/>
  <c r="H273" i="165"/>
  <c r="J178" i="167"/>
  <c r="O240" i="165"/>
  <c r="E240" i="165"/>
  <c r="F261" i="165" l="1"/>
  <c r="O261" i="165"/>
  <c r="H178" i="167"/>
  <c r="J240" i="165"/>
  <c r="P240" i="165" l="1"/>
  <c r="F260" i="165"/>
  <c r="O260" i="165"/>
  <c r="I178" i="167"/>
  <c r="G178" i="167" s="1"/>
  <c r="F114" i="165" l="1"/>
  <c r="J142" i="167" l="1"/>
  <c r="O185" i="165" l="1"/>
  <c r="E185" i="165"/>
  <c r="L181" i="165"/>
  <c r="G132" i="167"/>
  <c r="O182" i="165" l="1"/>
  <c r="E182" i="165"/>
  <c r="M181" i="165"/>
  <c r="K181" i="165"/>
  <c r="I181" i="165"/>
  <c r="N181" i="165"/>
  <c r="F181" i="165"/>
  <c r="H142" i="167"/>
  <c r="G181" i="165"/>
  <c r="H181" i="165"/>
  <c r="J185" i="165"/>
  <c r="J182" i="165" l="1"/>
  <c r="E181" i="165"/>
  <c r="O181" i="165"/>
  <c r="I142" i="167"/>
  <c r="G142" i="167" s="1"/>
  <c r="P185" i="165"/>
  <c r="P182" i="165" l="1"/>
  <c r="J181" i="165"/>
  <c r="P181" i="165" l="1"/>
  <c r="G250" i="167"/>
  <c r="J226" i="167"/>
  <c r="D34" i="108"/>
  <c r="F276" i="165" l="1"/>
  <c r="J29" i="167"/>
  <c r="J31" i="165" l="1"/>
  <c r="J29" i="165"/>
  <c r="O28" i="165"/>
  <c r="L28" i="165"/>
  <c r="F28" i="165"/>
  <c r="N28" i="165"/>
  <c r="M28" i="165"/>
  <c r="K28" i="165"/>
  <c r="I28" i="165"/>
  <c r="H28" i="165"/>
  <c r="G28" i="165"/>
  <c r="E31" i="165"/>
  <c r="I29" i="167" l="1"/>
  <c r="H29" i="167"/>
  <c r="J28" i="165"/>
  <c r="P31" i="165"/>
  <c r="J224" i="167"/>
  <c r="G29" i="167" l="1"/>
  <c r="O303" i="165"/>
  <c r="E303" i="165"/>
  <c r="N302" i="165"/>
  <c r="M302" i="165"/>
  <c r="L302" i="165"/>
  <c r="K302" i="165"/>
  <c r="I302" i="165"/>
  <c r="H302" i="165"/>
  <c r="G302" i="165"/>
  <c r="F302" i="165"/>
  <c r="L301" i="165" l="1"/>
  <c r="N301" i="165"/>
  <c r="H301" i="165"/>
  <c r="M301" i="165"/>
  <c r="F17" i="153"/>
  <c r="F301" i="165"/>
  <c r="K301" i="165"/>
  <c r="J303" i="165"/>
  <c r="G301" i="165"/>
  <c r="I301" i="165"/>
  <c r="E302" i="165"/>
  <c r="H224" i="167"/>
  <c r="O302" i="165"/>
  <c r="J302" i="165" l="1"/>
  <c r="P303" i="165"/>
  <c r="E301" i="165"/>
  <c r="O301" i="165"/>
  <c r="I224" i="167"/>
  <c r="G224" i="167" s="1"/>
  <c r="J301" i="165" l="1"/>
  <c r="P302" i="165"/>
  <c r="P301" i="165" l="1"/>
  <c r="J242" i="167" l="1"/>
  <c r="J234" i="167" s="1"/>
  <c r="O328" i="165" l="1"/>
  <c r="E328" i="165"/>
  <c r="N327" i="165"/>
  <c r="M327" i="165"/>
  <c r="L327" i="165"/>
  <c r="K327" i="165"/>
  <c r="I327" i="165"/>
  <c r="H327" i="165"/>
  <c r="G327" i="165"/>
  <c r="F327" i="165"/>
  <c r="M326" i="165" l="1"/>
  <c r="N326" i="165"/>
  <c r="H326" i="165"/>
  <c r="I326" i="165"/>
  <c r="F326" i="165"/>
  <c r="K326" i="165"/>
  <c r="H242" i="167"/>
  <c r="H234" i="167" s="1"/>
  <c r="G326" i="165"/>
  <c r="L326" i="165"/>
  <c r="J328" i="165"/>
  <c r="O327" i="165"/>
  <c r="E327" i="165"/>
  <c r="E85" i="170" l="1"/>
  <c r="E326" i="165"/>
  <c r="J327" i="165"/>
  <c r="I242" i="167"/>
  <c r="I234" i="167" s="1"/>
  <c r="P328" i="165"/>
  <c r="O326" i="165"/>
  <c r="G242" i="167" l="1"/>
  <c r="P327" i="165"/>
  <c r="J326" i="165"/>
  <c r="P326" i="165" l="1"/>
  <c r="J111" i="167" l="1"/>
  <c r="N134" i="165"/>
  <c r="M134" i="165"/>
  <c r="L134" i="165"/>
  <c r="K134" i="165"/>
  <c r="I134" i="165"/>
  <c r="H134" i="165"/>
  <c r="G134" i="165"/>
  <c r="F134" i="165"/>
  <c r="J106" i="167"/>
  <c r="J104" i="167"/>
  <c r="E134" i="165" l="1"/>
  <c r="O134" i="165"/>
  <c r="J134" i="165" l="1"/>
  <c r="F17" i="165" l="1"/>
  <c r="P134" i="165"/>
  <c r="J190" i="167"/>
  <c r="G192" i="167"/>
  <c r="P16" i="107" l="1"/>
  <c r="P15" i="107" s="1"/>
  <c r="P14" i="107" s="1"/>
  <c r="L16" i="107"/>
  <c r="L15" i="107" s="1"/>
  <c r="L14" i="107" s="1"/>
  <c r="K16" i="107"/>
  <c r="K15" i="107" s="1"/>
  <c r="K14" i="107" s="1"/>
  <c r="J16" i="107"/>
  <c r="J15" i="107" s="1"/>
  <c r="J14" i="107" s="1"/>
  <c r="H16" i="107"/>
  <c r="H15" i="107" s="1"/>
  <c r="H14" i="107" s="1"/>
  <c r="F16" i="107"/>
  <c r="F15" i="107" s="1"/>
  <c r="F14" i="107" s="1"/>
  <c r="N359" i="165"/>
  <c r="M359" i="165"/>
  <c r="L359" i="165"/>
  <c r="K359" i="165"/>
  <c r="I359" i="165"/>
  <c r="H359" i="165"/>
  <c r="G359" i="165"/>
  <c r="F359" i="165"/>
  <c r="N353" i="165"/>
  <c r="N351" i="165" s="1"/>
  <c r="M353" i="165"/>
  <c r="M351" i="165" s="1"/>
  <c r="L353" i="165"/>
  <c r="L351" i="165" s="1"/>
  <c r="K353" i="165"/>
  <c r="K351" i="165" s="1"/>
  <c r="I353" i="165"/>
  <c r="I351" i="165" s="1"/>
  <c r="H353" i="165"/>
  <c r="H351" i="165" s="1"/>
  <c r="G353" i="165"/>
  <c r="G351" i="165" s="1"/>
  <c r="O352" i="165"/>
  <c r="N348" i="165"/>
  <c r="M348" i="165"/>
  <c r="L348" i="165"/>
  <c r="K348" i="165"/>
  <c r="I348" i="165"/>
  <c r="G348" i="165"/>
  <c r="O342" i="165"/>
  <c r="N342" i="165"/>
  <c r="M342" i="165"/>
  <c r="L342" i="165"/>
  <c r="K342" i="165"/>
  <c r="I342" i="165"/>
  <c r="H342" i="165"/>
  <c r="G342" i="165"/>
  <c r="F342" i="165"/>
  <c r="N344" i="165"/>
  <c r="M344" i="165"/>
  <c r="L344" i="165"/>
  <c r="K344" i="165"/>
  <c r="I344" i="165"/>
  <c r="H344" i="165"/>
  <c r="G344" i="165"/>
  <c r="F344" i="165"/>
  <c r="N339" i="165"/>
  <c r="M339" i="165"/>
  <c r="L339" i="165"/>
  <c r="K339" i="165"/>
  <c r="I339" i="165"/>
  <c r="G339" i="165"/>
  <c r="F339" i="165"/>
  <c r="N331" i="165"/>
  <c r="M331" i="165"/>
  <c r="L331" i="165"/>
  <c r="K331" i="165"/>
  <c r="I331" i="165"/>
  <c r="G331" i="165"/>
  <c r="N61" i="165"/>
  <c r="M61" i="165"/>
  <c r="L61" i="165"/>
  <c r="K61" i="165"/>
  <c r="I61" i="165"/>
  <c r="M58" i="165"/>
  <c r="K58" i="165"/>
  <c r="I58" i="165"/>
  <c r="M55" i="165"/>
  <c r="K55" i="165"/>
  <c r="I55" i="165"/>
  <c r="N324" i="165"/>
  <c r="M324" i="165"/>
  <c r="L324" i="165"/>
  <c r="I324" i="165"/>
  <c r="H324" i="165"/>
  <c r="G324" i="165"/>
  <c r="N313" i="165"/>
  <c r="M313" i="165"/>
  <c r="L313" i="165"/>
  <c r="K313" i="165"/>
  <c r="I313" i="165"/>
  <c r="H313" i="165"/>
  <c r="G313" i="165"/>
  <c r="F313" i="165"/>
  <c r="N306" i="165"/>
  <c r="M306" i="165"/>
  <c r="L306" i="165"/>
  <c r="K306" i="165"/>
  <c r="I306" i="165"/>
  <c r="G306" i="165"/>
  <c r="N298" i="165"/>
  <c r="M298" i="165"/>
  <c r="L298" i="165"/>
  <c r="K298" i="165"/>
  <c r="I298" i="165"/>
  <c r="G298" i="165"/>
  <c r="N286" i="165"/>
  <c r="M286" i="165"/>
  <c r="L286" i="165"/>
  <c r="K286" i="165"/>
  <c r="I286" i="165"/>
  <c r="H286" i="165"/>
  <c r="G286" i="165"/>
  <c r="F286" i="165"/>
  <c r="N281" i="165"/>
  <c r="M281" i="165"/>
  <c r="L281" i="165"/>
  <c r="I281" i="165"/>
  <c r="H281" i="165"/>
  <c r="G281" i="165"/>
  <c r="F281" i="165"/>
  <c r="G310" i="165" l="1"/>
  <c r="H310" i="165"/>
  <c r="I310" i="165"/>
  <c r="K310" i="165"/>
  <c r="L310" i="165"/>
  <c r="M310" i="165"/>
  <c r="N310" i="165"/>
  <c r="F310" i="165"/>
  <c r="L358" i="165"/>
  <c r="G358" i="165"/>
  <c r="K42" i="165"/>
  <c r="I42" i="165"/>
  <c r="M297" i="165"/>
  <c r="G321" i="165"/>
  <c r="M321" i="165"/>
  <c r="H358" i="165"/>
  <c r="M358" i="165"/>
  <c r="G280" i="165"/>
  <c r="I280" i="165"/>
  <c r="F284" i="165"/>
  <c r="G297" i="165"/>
  <c r="F280" i="165"/>
  <c r="L280" i="165"/>
  <c r="G284" i="165"/>
  <c r="L284" i="165"/>
  <c r="I297" i="165"/>
  <c r="N297" i="165"/>
  <c r="H321" i="165"/>
  <c r="N321" i="165"/>
  <c r="I358" i="165"/>
  <c r="N358" i="165"/>
  <c r="M280" i="165"/>
  <c r="M284" i="165"/>
  <c r="K297" i="165"/>
  <c r="I321" i="165"/>
  <c r="J352" i="165"/>
  <c r="F358" i="165"/>
  <c r="K358" i="165"/>
  <c r="H284" i="165"/>
  <c r="H280" i="165"/>
  <c r="N280" i="165"/>
  <c r="I284" i="165"/>
  <c r="N284" i="165"/>
  <c r="L297" i="165"/>
  <c r="L321" i="165"/>
  <c r="K284" i="165"/>
  <c r="H341" i="165"/>
  <c r="K341" i="165"/>
  <c r="G341" i="165"/>
  <c r="L341" i="165"/>
  <c r="I341" i="165"/>
  <c r="M341" i="165"/>
  <c r="F341" i="165"/>
  <c r="N341" i="165"/>
  <c r="N270" i="165"/>
  <c r="M270" i="165"/>
  <c r="L270" i="165"/>
  <c r="K270" i="165"/>
  <c r="I270" i="165"/>
  <c r="F270" i="165"/>
  <c r="N266" i="165"/>
  <c r="M266" i="165"/>
  <c r="L266" i="165"/>
  <c r="K266" i="165"/>
  <c r="I266" i="165"/>
  <c r="H266" i="165"/>
  <c r="G266" i="165"/>
  <c r="F266" i="165"/>
  <c r="E266" i="165"/>
  <c r="N258" i="165"/>
  <c r="M258" i="165"/>
  <c r="L258" i="165"/>
  <c r="K258" i="165"/>
  <c r="I258" i="165"/>
  <c r="H258" i="165"/>
  <c r="G258" i="165"/>
  <c r="F258" i="165"/>
  <c r="N251" i="165"/>
  <c r="N250" i="165" s="1"/>
  <c r="M251" i="165"/>
  <c r="M250" i="165" s="1"/>
  <c r="L251" i="165"/>
  <c r="L250" i="165" s="1"/>
  <c r="K251" i="165"/>
  <c r="K250" i="165" s="1"/>
  <c r="I251" i="165"/>
  <c r="I250" i="165" s="1"/>
  <c r="H251" i="165"/>
  <c r="H250" i="165" s="1"/>
  <c r="G251" i="165"/>
  <c r="G250" i="165" s="1"/>
  <c r="N246" i="165"/>
  <c r="M246" i="165"/>
  <c r="L246" i="165"/>
  <c r="K246" i="165"/>
  <c r="I246" i="165"/>
  <c r="G246" i="165"/>
  <c r="N241" i="165"/>
  <c r="M241" i="165"/>
  <c r="L241" i="165"/>
  <c r="K241" i="165"/>
  <c r="I241" i="165"/>
  <c r="H241" i="165"/>
  <c r="G241" i="165"/>
  <c r="F241" i="165"/>
  <c r="N229" i="165"/>
  <c r="M229" i="165"/>
  <c r="L229" i="165"/>
  <c r="I229" i="165"/>
  <c r="H229" i="165"/>
  <c r="G229" i="165"/>
  <c r="F229" i="165"/>
  <c r="N217" i="165"/>
  <c r="M217" i="165"/>
  <c r="L217" i="165"/>
  <c r="K217" i="165"/>
  <c r="I217" i="165"/>
  <c r="H217" i="165"/>
  <c r="G217" i="165"/>
  <c r="F217" i="165"/>
  <c r="N211" i="165"/>
  <c r="N210" i="165" s="1"/>
  <c r="M211" i="165"/>
  <c r="L211" i="165"/>
  <c r="K211" i="165"/>
  <c r="I211" i="165"/>
  <c r="H211" i="165"/>
  <c r="G211" i="165"/>
  <c r="F211" i="165"/>
  <c r="N206" i="165"/>
  <c r="M206" i="165"/>
  <c r="L206" i="165"/>
  <c r="I206" i="165"/>
  <c r="H206" i="165"/>
  <c r="G206" i="165"/>
  <c r="M203" i="165"/>
  <c r="I203" i="165"/>
  <c r="G203" i="165"/>
  <c r="N201" i="165"/>
  <c r="M201" i="165"/>
  <c r="L201" i="165"/>
  <c r="K201" i="165"/>
  <c r="I201" i="165"/>
  <c r="H201" i="165"/>
  <c r="G201" i="165"/>
  <c r="N198" i="165"/>
  <c r="M198" i="165"/>
  <c r="L198" i="165"/>
  <c r="K198" i="165"/>
  <c r="I198" i="165"/>
  <c r="H198" i="165"/>
  <c r="G198" i="165"/>
  <c r="M194" i="165"/>
  <c r="I194" i="165"/>
  <c r="G194" i="165"/>
  <c r="N192" i="165"/>
  <c r="M192" i="165"/>
  <c r="L192" i="165"/>
  <c r="K192" i="165"/>
  <c r="I192" i="165"/>
  <c r="G192" i="165"/>
  <c r="N187" i="165"/>
  <c r="M187" i="165"/>
  <c r="L187" i="165"/>
  <c r="K187" i="165"/>
  <c r="I187" i="165"/>
  <c r="H187" i="165"/>
  <c r="G187" i="165"/>
  <c r="F187" i="165"/>
  <c r="N178" i="165"/>
  <c r="M178" i="165"/>
  <c r="K178" i="165"/>
  <c r="I178" i="165"/>
  <c r="G178" i="165"/>
  <c r="M171" i="165"/>
  <c r="K171" i="165"/>
  <c r="I171" i="165"/>
  <c r="N166" i="165"/>
  <c r="M166" i="165"/>
  <c r="L166" i="165"/>
  <c r="K166" i="165"/>
  <c r="I166" i="165"/>
  <c r="H166" i="165"/>
  <c r="G166" i="165"/>
  <c r="F166" i="165"/>
  <c r="M154" i="165"/>
  <c r="I154" i="165"/>
  <c r="N137" i="165"/>
  <c r="M137" i="165"/>
  <c r="L137" i="165"/>
  <c r="K137" i="165"/>
  <c r="I137" i="165"/>
  <c r="H137" i="165"/>
  <c r="G137" i="165"/>
  <c r="M128" i="165"/>
  <c r="K128" i="165"/>
  <c r="I128" i="165"/>
  <c r="F128" i="165"/>
  <c r="N119" i="165"/>
  <c r="M119" i="165"/>
  <c r="L119" i="165"/>
  <c r="K119" i="165"/>
  <c r="I119" i="165"/>
  <c r="H119" i="165"/>
  <c r="G119" i="165"/>
  <c r="I213" i="165" l="1"/>
  <c r="L347" i="165"/>
  <c r="K213" i="165"/>
  <c r="L213" i="165"/>
  <c r="M213" i="165"/>
  <c r="N213" i="165"/>
  <c r="M118" i="165"/>
  <c r="F213" i="165"/>
  <c r="G213" i="165"/>
  <c r="H213" i="165"/>
  <c r="I118" i="165"/>
  <c r="M347" i="165"/>
  <c r="N283" i="165"/>
  <c r="H283" i="165"/>
  <c r="I318" i="165"/>
  <c r="M318" i="165"/>
  <c r="K283" i="165"/>
  <c r="I283" i="165"/>
  <c r="G318" i="165"/>
  <c r="L318" i="165"/>
  <c r="M283" i="165"/>
  <c r="N318" i="165"/>
  <c r="L283" i="165"/>
  <c r="H318" i="165"/>
  <c r="G283" i="165"/>
  <c r="F283" i="165"/>
  <c r="K347" i="165"/>
  <c r="G347" i="165"/>
  <c r="F157" i="165"/>
  <c r="K157" i="165"/>
  <c r="F165" i="165"/>
  <c r="K165" i="165"/>
  <c r="I173" i="165"/>
  <c r="F186" i="165"/>
  <c r="K186" i="165"/>
  <c r="M191" i="165"/>
  <c r="I210" i="165"/>
  <c r="G228" i="165"/>
  <c r="M228" i="165"/>
  <c r="I263" i="165"/>
  <c r="N263" i="165"/>
  <c r="N257" i="165" s="1"/>
  <c r="L269" i="165"/>
  <c r="F338" i="165"/>
  <c r="L338" i="165"/>
  <c r="N347" i="165"/>
  <c r="M334" i="165"/>
  <c r="I347" i="165"/>
  <c r="L334" i="165"/>
  <c r="F309" i="165"/>
  <c r="G157" i="165"/>
  <c r="L157" i="165"/>
  <c r="G165" i="165"/>
  <c r="L165" i="165"/>
  <c r="G186" i="165"/>
  <c r="L186" i="165"/>
  <c r="F210" i="165"/>
  <c r="K210" i="165"/>
  <c r="H228" i="165"/>
  <c r="N228" i="165"/>
  <c r="F263" i="165"/>
  <c r="K263" i="165"/>
  <c r="F269" i="165"/>
  <c r="M269" i="165"/>
  <c r="M338" i="165"/>
  <c r="G338" i="165"/>
  <c r="N334" i="165"/>
  <c r="I309" i="165"/>
  <c r="H309" i="165"/>
  <c r="L309" i="165"/>
  <c r="K334" i="165"/>
  <c r="H157" i="165"/>
  <c r="M157" i="165"/>
  <c r="H165" i="165"/>
  <c r="M165" i="165"/>
  <c r="M173" i="165"/>
  <c r="H186" i="165"/>
  <c r="M186" i="165"/>
  <c r="G210" i="165"/>
  <c r="L210" i="165"/>
  <c r="I228" i="165"/>
  <c r="G263" i="165"/>
  <c r="I269" i="165"/>
  <c r="N269" i="165"/>
  <c r="I338" i="165"/>
  <c r="H334" i="165"/>
  <c r="G334" i="165"/>
  <c r="K309" i="165"/>
  <c r="I157" i="165"/>
  <c r="N157" i="165"/>
  <c r="I165" i="165"/>
  <c r="N165" i="165"/>
  <c r="G173" i="165"/>
  <c r="I186" i="165"/>
  <c r="N186" i="165"/>
  <c r="H210" i="165"/>
  <c r="M210" i="165"/>
  <c r="F228" i="165"/>
  <c r="L228" i="165"/>
  <c r="H263" i="165"/>
  <c r="M263" i="165"/>
  <c r="K269" i="165"/>
  <c r="N338" i="165"/>
  <c r="K338" i="165"/>
  <c r="I334" i="165"/>
  <c r="N309" i="165"/>
  <c r="M309" i="165"/>
  <c r="G309" i="165"/>
  <c r="F334" i="165"/>
  <c r="L263" i="165"/>
  <c r="I238" i="165"/>
  <c r="I235" i="165" s="1"/>
  <c r="F238" i="165"/>
  <c r="F235" i="165" s="1"/>
  <c r="K238" i="165"/>
  <c r="K235" i="165" s="1"/>
  <c r="G238" i="165"/>
  <c r="G235" i="165" s="1"/>
  <c r="L238" i="165"/>
  <c r="L235" i="165" s="1"/>
  <c r="N238" i="165"/>
  <c r="N235" i="165" s="1"/>
  <c r="G191" i="165"/>
  <c r="H238" i="165"/>
  <c r="H235" i="165" s="1"/>
  <c r="M238" i="165"/>
  <c r="M235" i="165" s="1"/>
  <c r="I197" i="165"/>
  <c r="M197" i="165"/>
  <c r="G197" i="165"/>
  <c r="I191" i="165"/>
  <c r="N109" i="165"/>
  <c r="M109" i="165"/>
  <c r="L109" i="165"/>
  <c r="I109" i="165"/>
  <c r="H109" i="165"/>
  <c r="G109" i="165"/>
  <c r="F109" i="165"/>
  <c r="N102" i="165"/>
  <c r="M102" i="165"/>
  <c r="L102" i="165"/>
  <c r="K102" i="165"/>
  <c r="I102" i="165"/>
  <c r="N100" i="165"/>
  <c r="M100" i="165"/>
  <c r="L100" i="165"/>
  <c r="K100" i="165"/>
  <c r="I100" i="165"/>
  <c r="H100" i="165"/>
  <c r="G100" i="165"/>
  <c r="F100" i="165"/>
  <c r="N98" i="165"/>
  <c r="M98" i="165"/>
  <c r="L98" i="165"/>
  <c r="K98" i="165"/>
  <c r="I98" i="165"/>
  <c r="H98" i="165"/>
  <c r="G98" i="165"/>
  <c r="F98" i="165"/>
  <c r="O97" i="165"/>
  <c r="N90" i="165"/>
  <c r="M90" i="165"/>
  <c r="L90" i="165"/>
  <c r="K90" i="165"/>
  <c r="I90" i="165"/>
  <c r="N74" i="165"/>
  <c r="M74" i="165"/>
  <c r="L74" i="165"/>
  <c r="K74" i="165"/>
  <c r="I74" i="165"/>
  <c r="H74" i="165"/>
  <c r="G74" i="165"/>
  <c r="F74" i="165"/>
  <c r="N36" i="165"/>
  <c r="M36" i="165"/>
  <c r="L36" i="165"/>
  <c r="K36" i="165"/>
  <c r="I36" i="165"/>
  <c r="H36" i="165"/>
  <c r="G36" i="165"/>
  <c r="F36" i="165"/>
  <c r="E34" i="165"/>
  <c r="N33" i="165"/>
  <c r="M33" i="165"/>
  <c r="L33" i="165"/>
  <c r="K33" i="165"/>
  <c r="I33" i="165"/>
  <c r="H33" i="165"/>
  <c r="G33" i="165"/>
  <c r="F33" i="165"/>
  <c r="N26" i="165"/>
  <c r="M26" i="165"/>
  <c r="K26" i="165"/>
  <c r="I26" i="165"/>
  <c r="H26" i="165"/>
  <c r="G26" i="165"/>
  <c r="F26" i="165"/>
  <c r="N17" i="165"/>
  <c r="M17" i="165"/>
  <c r="L17" i="165"/>
  <c r="I17" i="165"/>
  <c r="J61" i="167"/>
  <c r="J60" i="167"/>
  <c r="J58" i="167"/>
  <c r="M58" i="167" s="1"/>
  <c r="J57" i="167"/>
  <c r="M190" i="165" l="1"/>
  <c r="G190" i="165"/>
  <c r="I190" i="165"/>
  <c r="I41" i="165"/>
  <c r="K41" i="165"/>
  <c r="F105" i="165"/>
  <c r="G105" i="165"/>
  <c r="H105" i="165"/>
  <c r="I105" i="165"/>
  <c r="L105" i="165"/>
  <c r="M105" i="165"/>
  <c r="N105" i="165"/>
  <c r="H257" i="165"/>
  <c r="L257" i="165"/>
  <c r="K257" i="165"/>
  <c r="K245" i="165" s="1"/>
  <c r="M257" i="165"/>
  <c r="I257" i="165"/>
  <c r="I170" i="165"/>
  <c r="M170" i="165"/>
  <c r="G257" i="165"/>
  <c r="N275" i="165"/>
  <c r="F257" i="165"/>
  <c r="I22" i="165"/>
  <c r="N22" i="165"/>
  <c r="F32" i="165"/>
  <c r="E33" i="165"/>
  <c r="N35" i="165"/>
  <c r="F22" i="165"/>
  <c r="K22" i="165"/>
  <c r="G32" i="165"/>
  <c r="L32" i="165"/>
  <c r="F35" i="165"/>
  <c r="K35" i="165"/>
  <c r="G305" i="165"/>
  <c r="M275" i="165"/>
  <c r="M305" i="165"/>
  <c r="I161" i="165"/>
  <c r="M317" i="165"/>
  <c r="G330" i="165"/>
  <c r="H161" i="165"/>
  <c r="I317" i="165"/>
  <c r="I305" i="165"/>
  <c r="N330" i="165"/>
  <c r="L161" i="165"/>
  <c r="M330" i="165"/>
  <c r="G22" i="165"/>
  <c r="G35" i="165"/>
  <c r="N245" i="165"/>
  <c r="I330" i="165"/>
  <c r="L305" i="165"/>
  <c r="L330" i="165"/>
  <c r="K161" i="165"/>
  <c r="H32" i="165"/>
  <c r="M32" i="165"/>
  <c r="L35" i="165"/>
  <c r="H22" i="165"/>
  <c r="I32" i="165"/>
  <c r="N32" i="165"/>
  <c r="H35" i="165"/>
  <c r="M35" i="165"/>
  <c r="J97" i="165"/>
  <c r="L275" i="165"/>
  <c r="H317" i="165"/>
  <c r="N161" i="165"/>
  <c r="K305" i="165"/>
  <c r="G275" i="165"/>
  <c r="M161" i="165"/>
  <c r="K330" i="165"/>
  <c r="I275" i="165"/>
  <c r="L317" i="165"/>
  <c r="G161" i="165"/>
  <c r="G317" i="165"/>
  <c r="K32" i="165"/>
  <c r="I35" i="165"/>
  <c r="N305" i="165"/>
  <c r="N317" i="165"/>
  <c r="F161" i="165"/>
  <c r="M22" i="165"/>
  <c r="I92" i="165"/>
  <c r="N92" i="165"/>
  <c r="L26" i="165"/>
  <c r="L92" i="165"/>
  <c r="K92" i="165"/>
  <c r="M92" i="165"/>
  <c r="G59" i="167"/>
  <c r="J56" i="167"/>
  <c r="J55" i="167"/>
  <c r="L245" i="165" l="1"/>
  <c r="M113" i="165"/>
  <c r="M245" i="165"/>
  <c r="I245" i="165"/>
  <c r="M16" i="165"/>
  <c r="M223" i="165"/>
  <c r="N16" i="165"/>
  <c r="I16" i="165"/>
  <c r="G223" i="165"/>
  <c r="M89" i="165"/>
  <c r="L89" i="165"/>
  <c r="I113" i="165"/>
  <c r="I223" i="165"/>
  <c r="E32" i="165"/>
  <c r="I89" i="165"/>
  <c r="L22" i="165"/>
  <c r="N89" i="165"/>
  <c r="L223" i="165"/>
  <c r="N223" i="165"/>
  <c r="J51" i="167"/>
  <c r="L16" i="165" l="1"/>
  <c r="O63" i="165"/>
  <c r="G55" i="165"/>
  <c r="F55" i="165"/>
  <c r="J57" i="165"/>
  <c r="E57" i="165"/>
  <c r="O49" i="165"/>
  <c r="O48" i="165" s="1"/>
  <c r="E49" i="165"/>
  <c r="E48" i="165" s="1"/>
  <c r="J63" i="167"/>
  <c r="E63" i="165" l="1"/>
  <c r="H56" i="167"/>
  <c r="J63" i="165"/>
  <c r="I56" i="167"/>
  <c r="F61" i="165"/>
  <c r="G61" i="165"/>
  <c r="H51" i="167"/>
  <c r="P57" i="165"/>
  <c r="F65" i="165"/>
  <c r="O66" i="165"/>
  <c r="J48" i="167"/>
  <c r="M48" i="167" s="1"/>
  <c r="J62" i="167"/>
  <c r="M44" i="165" l="1"/>
  <c r="O65" i="165"/>
  <c r="G56" i="167"/>
  <c r="I61" i="167"/>
  <c r="H61" i="167"/>
  <c r="E66" i="165"/>
  <c r="P63" i="165"/>
  <c r="J45" i="167"/>
  <c r="M45" i="167" s="1"/>
  <c r="J66" i="165"/>
  <c r="J49" i="165"/>
  <c r="J48" i="165" s="1"/>
  <c r="O64" i="165"/>
  <c r="E64" i="165"/>
  <c r="H58" i="165"/>
  <c r="F58" i="165"/>
  <c r="J68" i="167"/>
  <c r="O72" i="165"/>
  <c r="M42" i="165" l="1"/>
  <c r="F42" i="165"/>
  <c r="P66" i="165"/>
  <c r="G61" i="167"/>
  <c r="H62" i="167"/>
  <c r="E65" i="165"/>
  <c r="J64" i="165"/>
  <c r="I63" i="167"/>
  <c r="G58" i="165"/>
  <c r="G42" i="165" s="1"/>
  <c r="E72" i="165"/>
  <c r="J72" i="165"/>
  <c r="H63" i="167"/>
  <c r="I51" i="167"/>
  <c r="G51" i="167" s="1"/>
  <c r="J65" i="165"/>
  <c r="P49" i="165"/>
  <c r="P48" i="165" s="1"/>
  <c r="O350" i="165"/>
  <c r="E350" i="165"/>
  <c r="I253" i="167"/>
  <c r="H331" i="165"/>
  <c r="O333" i="165"/>
  <c r="E333" i="165"/>
  <c r="F306" i="165"/>
  <c r="O308" i="165"/>
  <c r="E308" i="165"/>
  <c r="F298" i="165"/>
  <c r="O300" i="165"/>
  <c r="E300" i="165"/>
  <c r="F275" i="165"/>
  <c r="O278" i="165"/>
  <c r="E278" i="165"/>
  <c r="F246" i="165"/>
  <c r="O248" i="165"/>
  <c r="E248" i="165"/>
  <c r="O116" i="165"/>
  <c r="E116" i="165"/>
  <c r="M41" i="165" l="1"/>
  <c r="F41" i="165"/>
  <c r="P65" i="165"/>
  <c r="P64" i="165"/>
  <c r="P72" i="165"/>
  <c r="H228" i="167"/>
  <c r="H208" i="167"/>
  <c r="J300" i="165"/>
  <c r="H184" i="167"/>
  <c r="G184" i="167" s="1"/>
  <c r="J278" i="165"/>
  <c r="F297" i="165"/>
  <c r="H246" i="167"/>
  <c r="G246" i="167" s="1"/>
  <c r="F348" i="165"/>
  <c r="I68" i="167"/>
  <c r="G63" i="167"/>
  <c r="J248" i="165"/>
  <c r="J333" i="165"/>
  <c r="H223" i="167"/>
  <c r="H221" i="167" s="1"/>
  <c r="J308" i="165"/>
  <c r="F331" i="165"/>
  <c r="H256" i="167"/>
  <c r="J116" i="165"/>
  <c r="H330" i="165"/>
  <c r="J350" i="165"/>
  <c r="H68" i="167"/>
  <c r="I62" i="167"/>
  <c r="G62" i="167" s="1"/>
  <c r="F305" i="165"/>
  <c r="H97" i="167"/>
  <c r="J253" i="167"/>
  <c r="G41" i="165" l="1"/>
  <c r="P308" i="165"/>
  <c r="G223" i="167"/>
  <c r="P333" i="165"/>
  <c r="P350" i="165"/>
  <c r="P278" i="165"/>
  <c r="P116" i="165"/>
  <c r="G228" i="167"/>
  <c r="G68" i="167"/>
  <c r="G208" i="167"/>
  <c r="G256" i="167"/>
  <c r="H254" i="167"/>
  <c r="H253" i="167" s="1"/>
  <c r="P300" i="165"/>
  <c r="P248" i="165"/>
  <c r="I97" i="167"/>
  <c r="G97" i="167" s="1"/>
  <c r="F330" i="165"/>
  <c r="O226" i="165"/>
  <c r="E226" i="165"/>
  <c r="G254" i="167" l="1"/>
  <c r="G253" i="167" s="1"/>
  <c r="H166" i="167"/>
  <c r="G166" i="167" s="1"/>
  <c r="J226" i="165"/>
  <c r="F223" i="165"/>
  <c r="P226" i="165" l="1"/>
  <c r="O20" i="165"/>
  <c r="E20" i="165"/>
  <c r="J20" i="165" l="1"/>
  <c r="H21" i="167"/>
  <c r="G21" i="167" s="1"/>
  <c r="P20" i="165" l="1"/>
  <c r="K109" i="165" l="1"/>
  <c r="K105" i="165" l="1"/>
  <c r="F245" i="165"/>
  <c r="J176" i="167"/>
  <c r="K89" i="165" l="1"/>
  <c r="F40" i="172"/>
  <c r="F37" i="172" s="1"/>
  <c r="E40" i="172"/>
  <c r="O363" i="165" l="1"/>
  <c r="K363" i="165"/>
  <c r="E37" i="172"/>
  <c r="F31" i="172"/>
  <c r="E31" i="172" l="1"/>
  <c r="J363" i="165"/>
  <c r="J374" i="165" s="1"/>
  <c r="K229" i="165"/>
  <c r="K228" i="165" l="1"/>
  <c r="J160" i="167"/>
  <c r="K223" i="165" l="1"/>
  <c r="K17" i="165" l="1"/>
  <c r="K16" i="165" l="1"/>
  <c r="O218" i="165"/>
  <c r="E218" i="165"/>
  <c r="F203" i="165"/>
  <c r="H203" i="165" l="1"/>
  <c r="H160" i="167"/>
  <c r="E217" i="165"/>
  <c r="J218" i="165"/>
  <c r="O217" i="165"/>
  <c r="E213" i="165" l="1"/>
  <c r="O213" i="165"/>
  <c r="P218" i="165"/>
  <c r="H197" i="165"/>
  <c r="I160" i="167"/>
  <c r="G160" i="167" s="1"/>
  <c r="J217" i="165"/>
  <c r="J213" i="165" l="1"/>
  <c r="P217" i="165"/>
  <c r="P20" i="107"/>
  <c r="I17" i="107"/>
  <c r="I13" i="107" s="1"/>
  <c r="P213" i="165" l="1"/>
  <c r="I12" i="107"/>
  <c r="I20" i="107" s="1"/>
  <c r="I16" i="107"/>
  <c r="I15" i="107" s="1"/>
  <c r="I14" i="107" s="1"/>
  <c r="D78" i="170"/>
  <c r="D69" i="170"/>
  <c r="D66" i="170"/>
  <c r="F324" i="165" l="1"/>
  <c r="H348" i="165" l="1"/>
  <c r="K324" i="165"/>
  <c r="F321" i="165"/>
  <c r="J252" i="167"/>
  <c r="J251" i="167"/>
  <c r="F318" i="165" l="1"/>
  <c r="H339" i="165"/>
  <c r="K321" i="165"/>
  <c r="H347" i="165"/>
  <c r="J249" i="167"/>
  <c r="J247" i="167"/>
  <c r="H247" i="167"/>
  <c r="G245" i="167"/>
  <c r="K318" i="165" l="1"/>
  <c r="H306" i="165"/>
  <c r="H338" i="165"/>
  <c r="F317" i="165"/>
  <c r="J244" i="167"/>
  <c r="J221" i="167"/>
  <c r="I221" i="167"/>
  <c r="J205" i="167"/>
  <c r="J203" i="167"/>
  <c r="J204" i="167"/>
  <c r="J201" i="167"/>
  <c r="H201" i="167"/>
  <c r="J199" i="167"/>
  <c r="J197" i="167"/>
  <c r="J195" i="167"/>
  <c r="J194" i="167"/>
  <c r="J188" i="167"/>
  <c r="J187" i="167"/>
  <c r="J186" i="167"/>
  <c r="J185" i="167"/>
  <c r="O273" i="165"/>
  <c r="J273" i="165" s="1"/>
  <c r="O271" i="165"/>
  <c r="O272" i="165"/>
  <c r="J179" i="167"/>
  <c r="J174" i="167"/>
  <c r="J171" i="167"/>
  <c r="J170" i="167"/>
  <c r="H276" i="165" l="1"/>
  <c r="H246" i="165"/>
  <c r="H298" i="165"/>
  <c r="H305" i="165"/>
  <c r="H223" i="165"/>
  <c r="K317" i="165"/>
  <c r="J271" i="165"/>
  <c r="O270" i="165"/>
  <c r="I205" i="167"/>
  <c r="J164" i="167"/>
  <c r="J182" i="167"/>
  <c r="J181" i="167" s="1"/>
  <c r="M181" i="167" s="1"/>
  <c r="J148" i="167"/>
  <c r="L194" i="165"/>
  <c r="I203" i="167" l="1"/>
  <c r="L191" i="165"/>
  <c r="O269" i="165"/>
  <c r="H297" i="165"/>
  <c r="N194" i="165"/>
  <c r="N203" i="165"/>
  <c r="L203" i="165"/>
  <c r="H275" i="165"/>
  <c r="K203" i="165"/>
  <c r="K206" i="165"/>
  <c r="L197" i="165" l="1"/>
  <c r="L190" i="165" s="1"/>
  <c r="N191" i="165"/>
  <c r="N197" i="165"/>
  <c r="K194" i="165"/>
  <c r="K197" i="165"/>
  <c r="J147" i="167"/>
  <c r="P13" i="107"/>
  <c r="P12" i="107" s="1"/>
  <c r="F192" i="165"/>
  <c r="E360" i="165"/>
  <c r="I169" i="165"/>
  <c r="J143" i="167"/>
  <c r="N190" i="165" l="1"/>
  <c r="N171" i="165"/>
  <c r="H192" i="165"/>
  <c r="O171" i="165"/>
  <c r="F198" i="165"/>
  <c r="K191" i="165"/>
  <c r="K190" i="165" s="1"/>
  <c r="L171" i="165"/>
  <c r="F201" i="165"/>
  <c r="L178" i="165"/>
  <c r="E78" i="170"/>
  <c r="F206" i="165"/>
  <c r="E359" i="165"/>
  <c r="H194" i="165"/>
  <c r="N173" i="165"/>
  <c r="F194" i="165"/>
  <c r="O188" i="165"/>
  <c r="E188" i="165"/>
  <c r="E73" i="170" s="1"/>
  <c r="F197" i="165" l="1"/>
  <c r="L173" i="165"/>
  <c r="H178" i="165"/>
  <c r="F191" i="165"/>
  <c r="H191" i="165"/>
  <c r="H190" i="165" s="1"/>
  <c r="E358" i="165"/>
  <c r="N170" i="165"/>
  <c r="F178" i="165"/>
  <c r="E187" i="165"/>
  <c r="J188" i="165"/>
  <c r="O187" i="165"/>
  <c r="H143" i="167"/>
  <c r="J133" i="167"/>
  <c r="J130" i="167"/>
  <c r="J128" i="167"/>
  <c r="F190" i="165" l="1"/>
  <c r="L170" i="165"/>
  <c r="E186" i="165"/>
  <c r="P188" i="165"/>
  <c r="O186" i="165"/>
  <c r="I143" i="167"/>
  <c r="G143" i="167" s="1"/>
  <c r="J187" i="165"/>
  <c r="K173" i="165"/>
  <c r="F173" i="165"/>
  <c r="G202" i="167"/>
  <c r="G200" i="167"/>
  <c r="G198" i="167"/>
  <c r="G196" i="167"/>
  <c r="G191" i="167"/>
  <c r="G183" i="167"/>
  <c r="G172" i="167"/>
  <c r="G165" i="167"/>
  <c r="J163" i="167"/>
  <c r="K170" i="165" l="1"/>
  <c r="J186" i="165"/>
  <c r="H171" i="165"/>
  <c r="F171" i="165"/>
  <c r="H173" i="165"/>
  <c r="G171" i="165"/>
  <c r="P187" i="165"/>
  <c r="O19" i="165"/>
  <c r="E19" i="165"/>
  <c r="J19" i="165" l="1"/>
  <c r="G170" i="165"/>
  <c r="F170" i="165"/>
  <c r="P186" i="165"/>
  <c r="H170" i="165"/>
  <c r="J115" i="167"/>
  <c r="P19" i="165" l="1"/>
  <c r="L154" i="165"/>
  <c r="L128" i="165"/>
  <c r="N154" i="165"/>
  <c r="N128" i="165"/>
  <c r="J124" i="167"/>
  <c r="J121" i="167"/>
  <c r="J118" i="167"/>
  <c r="J114" i="167"/>
  <c r="J112" i="167"/>
  <c r="J110" i="167"/>
  <c r="J108" i="167"/>
  <c r="J107" i="167"/>
  <c r="J103" i="167"/>
  <c r="J102" i="167"/>
  <c r="J101" i="167"/>
  <c r="J100" i="167"/>
  <c r="J99" i="167"/>
  <c r="L118" i="165" l="1"/>
  <c r="N118" i="165"/>
  <c r="J81" i="167"/>
  <c r="J80" i="167"/>
  <c r="N113" i="165" l="1"/>
  <c r="L113" i="165"/>
  <c r="H128" i="165"/>
  <c r="G154" i="165"/>
  <c r="H114" i="165"/>
  <c r="H154" i="165"/>
  <c r="G128" i="165"/>
  <c r="J116" i="167"/>
  <c r="K154" i="165"/>
  <c r="K118" i="165" l="1"/>
  <c r="G118" i="165"/>
  <c r="H118" i="165"/>
  <c r="H102" i="165"/>
  <c r="G102" i="165"/>
  <c r="F102" i="165"/>
  <c r="K113" i="165" l="1"/>
  <c r="G113" i="165"/>
  <c r="F92" i="165"/>
  <c r="F90" i="165"/>
  <c r="G90" i="165"/>
  <c r="H90" i="165"/>
  <c r="G92" i="165"/>
  <c r="H92" i="165"/>
  <c r="H113" i="165"/>
  <c r="K281" i="165"/>
  <c r="F89" i="165" l="1"/>
  <c r="K280" i="165"/>
  <c r="H89" i="165"/>
  <c r="G89" i="165"/>
  <c r="F16" i="165"/>
  <c r="L55" i="165"/>
  <c r="N55" i="165" l="1"/>
  <c r="L58" i="165"/>
  <c r="O55" i="165"/>
  <c r="N58" i="165"/>
  <c r="K275" i="165"/>
  <c r="N44" i="165" l="1"/>
  <c r="L44" i="165"/>
  <c r="L42" i="165" l="1"/>
  <c r="N42" i="165"/>
  <c r="J43" i="167"/>
  <c r="G44" i="167"/>
  <c r="L41" i="165" l="1"/>
  <c r="N41" i="165"/>
  <c r="M43" i="167"/>
  <c r="J54" i="167" l="1"/>
  <c r="H55" i="165"/>
  <c r="H61" i="165" l="1"/>
  <c r="J32" i="167"/>
  <c r="M32" i="167" s="1"/>
  <c r="O38" i="165"/>
  <c r="E38" i="165"/>
  <c r="J26" i="167"/>
  <c r="M26" i="167" s="1"/>
  <c r="H42" i="165" l="1"/>
  <c r="J38" i="165"/>
  <c r="E69" i="170"/>
  <c r="H32" i="167"/>
  <c r="P38" i="165" l="1"/>
  <c r="H41" i="165"/>
  <c r="I32" i="167"/>
  <c r="L32" i="167" s="1"/>
  <c r="K32" i="167"/>
  <c r="G32" i="167" l="1"/>
  <c r="G19" i="167"/>
  <c r="G17" i="165"/>
  <c r="H17" i="165" l="1"/>
  <c r="G16" i="165"/>
  <c r="H270" i="165"/>
  <c r="G270" i="165"/>
  <c r="H269" i="165" l="1"/>
  <c r="G269" i="165"/>
  <c r="H16" i="165"/>
  <c r="O167" i="165"/>
  <c r="E167" i="165"/>
  <c r="O159" i="165"/>
  <c r="E159" i="165"/>
  <c r="O156" i="165"/>
  <c r="E156" i="165"/>
  <c r="H118" i="167" s="1"/>
  <c r="O139" i="165"/>
  <c r="E139" i="165"/>
  <c r="O138" i="165"/>
  <c r="O136" i="165"/>
  <c r="E136" i="165"/>
  <c r="H112" i="167" s="1"/>
  <c r="O135" i="165"/>
  <c r="E135" i="165"/>
  <c r="O133" i="165"/>
  <c r="E133" i="165"/>
  <c r="O130" i="165"/>
  <c r="E130" i="165"/>
  <c r="O129" i="165"/>
  <c r="E129" i="165"/>
  <c r="O127" i="165"/>
  <c r="E127" i="165"/>
  <c r="O125" i="165"/>
  <c r="E125" i="165"/>
  <c r="O124" i="165"/>
  <c r="E124" i="165"/>
  <c r="O123" i="165"/>
  <c r="E123" i="165"/>
  <c r="O122" i="165"/>
  <c r="E122" i="165"/>
  <c r="O121" i="165"/>
  <c r="E121" i="165"/>
  <c r="O120" i="165"/>
  <c r="O115" i="165"/>
  <c r="E115" i="165"/>
  <c r="O158" i="165" l="1"/>
  <c r="E158" i="165"/>
  <c r="E128" i="165"/>
  <c r="J133" i="165"/>
  <c r="J136" i="165"/>
  <c r="J121" i="165"/>
  <c r="H101" i="167"/>
  <c r="H103" i="167"/>
  <c r="H106" i="167"/>
  <c r="H108" i="167"/>
  <c r="H111" i="167"/>
  <c r="H245" i="165"/>
  <c r="J124" i="165"/>
  <c r="J130" i="165"/>
  <c r="J135" i="165"/>
  <c r="O114" i="165"/>
  <c r="J123" i="165"/>
  <c r="J125" i="165"/>
  <c r="J122" i="165"/>
  <c r="J127" i="165"/>
  <c r="E114" i="165"/>
  <c r="H102" i="167"/>
  <c r="H104" i="167"/>
  <c r="H110" i="167"/>
  <c r="J156" i="165"/>
  <c r="I118" i="167" s="1"/>
  <c r="G245" i="165"/>
  <c r="E120" i="165"/>
  <c r="F119" i="165"/>
  <c r="E138" i="165"/>
  <c r="F137" i="165"/>
  <c r="E155" i="165"/>
  <c r="F154" i="165"/>
  <c r="J115" i="165"/>
  <c r="H124" i="167"/>
  <c r="E166" i="165"/>
  <c r="J167" i="165"/>
  <c r="O166" i="165"/>
  <c r="H121" i="167"/>
  <c r="J159" i="165"/>
  <c r="J155" i="165"/>
  <c r="O154" i="165"/>
  <c r="H115" i="167"/>
  <c r="J139" i="165"/>
  <c r="J138" i="165"/>
  <c r="O137" i="165"/>
  <c r="H107" i="167"/>
  <c r="J129" i="165"/>
  <c r="O128" i="165"/>
  <c r="J120" i="165"/>
  <c r="O119" i="165"/>
  <c r="H100" i="167"/>
  <c r="P124" i="165"/>
  <c r="P136" i="165"/>
  <c r="J158" i="165" l="1"/>
  <c r="P139" i="165"/>
  <c r="F118" i="165"/>
  <c r="O118" i="165"/>
  <c r="P133" i="165"/>
  <c r="P123" i="165"/>
  <c r="P121" i="165"/>
  <c r="P130" i="165"/>
  <c r="P122" i="165"/>
  <c r="P135" i="165"/>
  <c r="P125" i="165"/>
  <c r="H116" i="167"/>
  <c r="P127" i="165"/>
  <c r="P156" i="165"/>
  <c r="P129" i="165"/>
  <c r="O157" i="165"/>
  <c r="O165" i="165"/>
  <c r="J114" i="165"/>
  <c r="E137" i="165"/>
  <c r="I101" i="167"/>
  <c r="I102" i="167"/>
  <c r="I108" i="167"/>
  <c r="I100" i="167"/>
  <c r="I112" i="167"/>
  <c r="P159" i="165"/>
  <c r="P167" i="165"/>
  <c r="P120" i="165"/>
  <c r="E157" i="165"/>
  <c r="E165" i="165"/>
  <c r="E154" i="165"/>
  <c r="H99" i="167"/>
  <c r="I106" i="167"/>
  <c r="I104" i="167"/>
  <c r="I111" i="167"/>
  <c r="I103" i="167"/>
  <c r="I110" i="167"/>
  <c r="P138" i="165"/>
  <c r="H114" i="167"/>
  <c r="P115" i="165"/>
  <c r="P155" i="165"/>
  <c r="E119" i="165"/>
  <c r="I124" i="167"/>
  <c r="J166" i="165"/>
  <c r="I121" i="167"/>
  <c r="I116" i="167"/>
  <c r="J154" i="165"/>
  <c r="I115" i="167"/>
  <c r="I114" i="167"/>
  <c r="J137" i="165"/>
  <c r="I107" i="167"/>
  <c r="J128" i="165"/>
  <c r="I99" i="167"/>
  <c r="J119" i="165"/>
  <c r="G227" i="167"/>
  <c r="E345" i="165"/>
  <c r="J343" i="165"/>
  <c r="E343" i="165"/>
  <c r="O340" i="165"/>
  <c r="E340" i="165"/>
  <c r="O332" i="165"/>
  <c r="E332" i="165"/>
  <c r="O314" i="165"/>
  <c r="E314" i="165"/>
  <c r="O307" i="165"/>
  <c r="E307" i="165"/>
  <c r="O299" i="165"/>
  <c r="E299" i="165"/>
  <c r="E273" i="165"/>
  <c r="J272" i="165"/>
  <c r="E272" i="165"/>
  <c r="E271" i="165"/>
  <c r="O265" i="165"/>
  <c r="E265" i="165"/>
  <c r="O264" i="165"/>
  <c r="E264" i="165"/>
  <c r="E262" i="165"/>
  <c r="O259" i="165"/>
  <c r="E259" i="165"/>
  <c r="O255" i="165"/>
  <c r="E255" i="165"/>
  <c r="O254" i="165"/>
  <c r="E254" i="165"/>
  <c r="O253" i="165"/>
  <c r="E253" i="165"/>
  <c r="O252" i="165"/>
  <c r="E252" i="165"/>
  <c r="O249" i="165"/>
  <c r="E249" i="165"/>
  <c r="O247" i="165"/>
  <c r="E247" i="165"/>
  <c r="M244" i="165"/>
  <c r="L244" i="165"/>
  <c r="K244" i="165"/>
  <c r="I244" i="165"/>
  <c r="H244" i="165"/>
  <c r="G244" i="165"/>
  <c r="F244" i="165"/>
  <c r="N244" i="165"/>
  <c r="E242" i="165"/>
  <c r="O239" i="165"/>
  <c r="E239" i="165"/>
  <c r="O234" i="165"/>
  <c r="E234" i="165"/>
  <c r="O232" i="165"/>
  <c r="E232" i="165"/>
  <c r="O231" i="165"/>
  <c r="E231" i="165"/>
  <c r="O230" i="165"/>
  <c r="E230" i="165"/>
  <c r="H168" i="167" s="1"/>
  <c r="O225" i="165"/>
  <c r="O224" i="165" s="1"/>
  <c r="E225" i="165"/>
  <c r="E224" i="165" s="1"/>
  <c r="M222" i="165"/>
  <c r="L222" i="165"/>
  <c r="K222" i="165"/>
  <c r="M163" i="167" s="1"/>
  <c r="H222" i="165"/>
  <c r="F222" i="165"/>
  <c r="N222" i="165"/>
  <c r="I222" i="165"/>
  <c r="G222" i="165"/>
  <c r="E270" i="165" l="1"/>
  <c r="P158" i="165"/>
  <c r="J157" i="165"/>
  <c r="E118" i="165"/>
  <c r="J118" i="165"/>
  <c r="P119" i="165"/>
  <c r="H230" i="167"/>
  <c r="H226" i="167" s="1"/>
  <c r="P166" i="165"/>
  <c r="E261" i="165"/>
  <c r="P128" i="165"/>
  <c r="E164" i="165"/>
  <c r="J232" i="165"/>
  <c r="H170" i="167"/>
  <c r="H174" i="167"/>
  <c r="H185" i="167"/>
  <c r="H187" i="167"/>
  <c r="H190" i="167"/>
  <c r="J265" i="165"/>
  <c r="J165" i="165"/>
  <c r="P114" i="165"/>
  <c r="J231" i="165"/>
  <c r="J234" i="165"/>
  <c r="J249" i="165"/>
  <c r="J253" i="165"/>
  <c r="J255" i="165"/>
  <c r="E298" i="165"/>
  <c r="E331" i="165"/>
  <c r="J336" i="165"/>
  <c r="O161" i="165"/>
  <c r="H188" i="167"/>
  <c r="O298" i="165"/>
  <c r="O331" i="165"/>
  <c r="E339" i="165"/>
  <c r="P137" i="165"/>
  <c r="H171" i="167"/>
  <c r="J254" i="165"/>
  <c r="H199" i="167"/>
  <c r="P154" i="165"/>
  <c r="F113" i="165"/>
  <c r="E306" i="165"/>
  <c r="E246" i="165"/>
  <c r="J267" i="165"/>
  <c r="O266" i="165"/>
  <c r="J307" i="165"/>
  <c r="O306" i="165"/>
  <c r="J314" i="165"/>
  <c r="O313" i="165"/>
  <c r="H251" i="167"/>
  <c r="E342" i="165"/>
  <c r="J259" i="165"/>
  <c r="O258" i="165"/>
  <c r="I251" i="167"/>
  <c r="J342" i="165"/>
  <c r="H252" i="167"/>
  <c r="E344" i="165"/>
  <c r="J242" i="165"/>
  <c r="O241" i="165"/>
  <c r="J262" i="165"/>
  <c r="I204" i="167"/>
  <c r="J270" i="165"/>
  <c r="E313" i="165"/>
  <c r="E310" i="165" s="1"/>
  <c r="J340" i="165"/>
  <c r="O339" i="165"/>
  <c r="J345" i="165"/>
  <c r="O344" i="165"/>
  <c r="H204" i="167"/>
  <c r="H197" i="167"/>
  <c r="E263" i="165"/>
  <c r="J264" i="165"/>
  <c r="H195" i="167"/>
  <c r="H194" i="167"/>
  <c r="E258" i="165"/>
  <c r="O246" i="165"/>
  <c r="J252" i="165"/>
  <c r="O251" i="165"/>
  <c r="O250" i="165" s="1"/>
  <c r="H186" i="167"/>
  <c r="E251" i="165"/>
  <c r="E250" i="165" s="1"/>
  <c r="J239" i="165"/>
  <c r="H179" i="167"/>
  <c r="E241" i="165"/>
  <c r="H176" i="167"/>
  <c r="J230" i="165"/>
  <c r="I168" i="167" s="1"/>
  <c r="G168" i="167" s="1"/>
  <c r="O229" i="165"/>
  <c r="E229" i="165"/>
  <c r="J299" i="165"/>
  <c r="J332" i="165"/>
  <c r="J225" i="165"/>
  <c r="J224" i="165" s="1"/>
  <c r="H205" i="167"/>
  <c r="G205" i="167" s="1"/>
  <c r="P273" i="165"/>
  <c r="J247" i="165"/>
  <c r="H203" i="167"/>
  <c r="G203" i="167" s="1"/>
  <c r="P271" i="165"/>
  <c r="P272" i="165"/>
  <c r="P343" i="165"/>
  <c r="F34" i="108" l="1"/>
  <c r="Q336" i="165"/>
  <c r="J335" i="165"/>
  <c r="P165" i="165"/>
  <c r="O310" i="165"/>
  <c r="P118" i="165"/>
  <c r="P254" i="165"/>
  <c r="P253" i="165"/>
  <c r="I230" i="167"/>
  <c r="P249" i="165"/>
  <c r="P232" i="165"/>
  <c r="G204" i="167"/>
  <c r="J261" i="165"/>
  <c r="E260" i="165"/>
  <c r="P336" i="165"/>
  <c r="P164" i="165"/>
  <c r="E163" i="165"/>
  <c r="H123" i="167"/>
  <c r="G123" i="167" s="1"/>
  <c r="P265" i="165"/>
  <c r="P234" i="165"/>
  <c r="P255" i="165"/>
  <c r="P231" i="165"/>
  <c r="I247" i="167"/>
  <c r="G247" i="167" s="1"/>
  <c r="H244" i="167"/>
  <c r="O228" i="165"/>
  <c r="P259" i="165"/>
  <c r="J306" i="165"/>
  <c r="O297" i="165"/>
  <c r="P342" i="165"/>
  <c r="J298" i="165"/>
  <c r="P230" i="165"/>
  <c r="P252" i="165"/>
  <c r="E269" i="165"/>
  <c r="J269" i="165"/>
  <c r="O238" i="165"/>
  <c r="O235" i="165" s="1"/>
  <c r="I190" i="167"/>
  <c r="G190" i="167" s="1"/>
  <c r="I185" i="167"/>
  <c r="G185" i="167" s="1"/>
  <c r="I170" i="167"/>
  <c r="G170" i="167" s="1"/>
  <c r="P157" i="165"/>
  <c r="P264" i="165"/>
  <c r="J339" i="165"/>
  <c r="J241" i="165"/>
  <c r="I188" i="167"/>
  <c r="G188" i="167" s="1"/>
  <c r="O113" i="165"/>
  <c r="O341" i="165"/>
  <c r="O334" i="165"/>
  <c r="E297" i="165"/>
  <c r="I187" i="167"/>
  <c r="G187" i="167" s="1"/>
  <c r="I174" i="167"/>
  <c r="G174" i="167" s="1"/>
  <c r="J161" i="165"/>
  <c r="I199" i="167"/>
  <c r="G199" i="167" s="1"/>
  <c r="I171" i="167"/>
  <c r="G171" i="167" s="1"/>
  <c r="I195" i="167"/>
  <c r="G195" i="167" s="1"/>
  <c r="O263" i="165"/>
  <c r="J266" i="165"/>
  <c r="P239" i="165"/>
  <c r="E238" i="165"/>
  <c r="E235" i="165" s="1"/>
  <c r="H249" i="167"/>
  <c r="I201" i="167"/>
  <c r="G201" i="167" s="1"/>
  <c r="P340" i="165"/>
  <c r="I179" i="167"/>
  <c r="G179" i="167" s="1"/>
  <c r="G251" i="167"/>
  <c r="P242" i="165"/>
  <c r="P307" i="165"/>
  <c r="P262" i="165"/>
  <c r="P299" i="165"/>
  <c r="I252" i="167"/>
  <c r="G252" i="167" s="1"/>
  <c r="J344" i="165"/>
  <c r="J313" i="165"/>
  <c r="P314" i="165"/>
  <c r="I194" i="167"/>
  <c r="G194" i="167" s="1"/>
  <c r="J258" i="165"/>
  <c r="P345" i="165"/>
  <c r="P267" i="165"/>
  <c r="E341" i="165"/>
  <c r="P332" i="165"/>
  <c r="J331" i="165"/>
  <c r="P270" i="165"/>
  <c r="I197" i="167"/>
  <c r="G197" i="167" s="1"/>
  <c r="H164" i="167"/>
  <c r="H163" i="167" s="1"/>
  <c r="I186" i="167"/>
  <c r="G186" i="167" s="1"/>
  <c r="J251" i="165"/>
  <c r="J250" i="165" s="1"/>
  <c r="P247" i="165"/>
  <c r="J246" i="165"/>
  <c r="I176" i="167"/>
  <c r="G176" i="167" s="1"/>
  <c r="E228" i="165"/>
  <c r="J229" i="165"/>
  <c r="P225" i="165"/>
  <c r="P224" i="165" s="1"/>
  <c r="H182" i="167"/>
  <c r="H181" i="167" s="1"/>
  <c r="G17" i="153" l="1"/>
  <c r="P335" i="165"/>
  <c r="J310" i="165"/>
  <c r="E309" i="165"/>
  <c r="E162" i="165"/>
  <c r="E161" i="165" s="1"/>
  <c r="G230" i="167"/>
  <c r="G226" i="167" s="1"/>
  <c r="I226" i="167"/>
  <c r="P163" i="165"/>
  <c r="J263" i="165"/>
  <c r="J238" i="165"/>
  <c r="J235" i="165" s="1"/>
  <c r="E257" i="165"/>
  <c r="P251" i="165"/>
  <c r="P250" i="165" s="1"/>
  <c r="H94" i="167"/>
  <c r="P261" i="165"/>
  <c r="J260" i="165"/>
  <c r="O257" i="165"/>
  <c r="P229" i="165"/>
  <c r="I244" i="167"/>
  <c r="O338" i="165"/>
  <c r="J334" i="165"/>
  <c r="O309" i="165"/>
  <c r="P269" i="165"/>
  <c r="P344" i="165"/>
  <c r="J341" i="165"/>
  <c r="E334" i="165"/>
  <c r="P246" i="165"/>
  <c r="E338" i="165"/>
  <c r="J228" i="165"/>
  <c r="P313" i="165"/>
  <c r="P339" i="165"/>
  <c r="E223" i="165"/>
  <c r="P331" i="165"/>
  <c r="P298" i="165"/>
  <c r="P241" i="165"/>
  <c r="O330" i="165"/>
  <c r="J330" i="165" s="1"/>
  <c r="P258" i="165"/>
  <c r="P306" i="165"/>
  <c r="P266" i="165"/>
  <c r="I249" i="167"/>
  <c r="G249" i="167"/>
  <c r="G244" i="167"/>
  <c r="G182" i="167"/>
  <c r="I182" i="167"/>
  <c r="I181" i="167" s="1"/>
  <c r="G181" i="167" s="1"/>
  <c r="I164" i="167"/>
  <c r="I163" i="167" s="1"/>
  <c r="O291" i="165"/>
  <c r="E291" i="165"/>
  <c r="O290" i="165"/>
  <c r="E290" i="165"/>
  <c r="H215" i="167" s="1"/>
  <c r="O289" i="165"/>
  <c r="E289" i="165"/>
  <c r="O288" i="165"/>
  <c r="E288" i="165"/>
  <c r="E287" i="165"/>
  <c r="O282" i="165"/>
  <c r="J282" i="165" s="1"/>
  <c r="E282" i="165"/>
  <c r="O277" i="165"/>
  <c r="E277" i="165"/>
  <c r="N274" i="165"/>
  <c r="M274" i="165"/>
  <c r="I274" i="165"/>
  <c r="H274" i="165"/>
  <c r="G274" i="165"/>
  <c r="F274" i="165"/>
  <c r="G164" i="167" l="1"/>
  <c r="G163" i="167" s="1"/>
  <c r="P310" i="165"/>
  <c r="E305" i="165"/>
  <c r="K226" i="167" s="1"/>
  <c r="E113" i="165"/>
  <c r="J257" i="165"/>
  <c r="P162" i="165"/>
  <c r="P161" i="165" s="1"/>
  <c r="E245" i="165"/>
  <c r="P228" i="165"/>
  <c r="O245" i="165"/>
  <c r="J245" i="165" s="1"/>
  <c r="J244" i="165" s="1"/>
  <c r="P260" i="165"/>
  <c r="E222" i="165"/>
  <c r="K163" i="167" s="1"/>
  <c r="O223" i="165"/>
  <c r="P238" i="165"/>
  <c r="P235" i="165" s="1"/>
  <c r="E276" i="165"/>
  <c r="J289" i="165"/>
  <c r="P289" i="165" s="1"/>
  <c r="J291" i="165"/>
  <c r="E330" i="165"/>
  <c r="P341" i="165"/>
  <c r="O276" i="165"/>
  <c r="E281" i="165"/>
  <c r="J288" i="165"/>
  <c r="J290" i="165"/>
  <c r="I215" i="167" s="1"/>
  <c r="G215" i="167" s="1"/>
  <c r="P334" i="165"/>
  <c r="J309" i="165"/>
  <c r="O305" i="165"/>
  <c r="P263" i="165"/>
  <c r="O281" i="165"/>
  <c r="J277" i="165"/>
  <c r="E286" i="165"/>
  <c r="L274" i="165"/>
  <c r="O287" i="165"/>
  <c r="K274" i="165"/>
  <c r="P290" i="165" l="1"/>
  <c r="O244" i="165"/>
  <c r="P245" i="165"/>
  <c r="Q245" i="165" s="1"/>
  <c r="L181" i="167"/>
  <c r="E244" i="165"/>
  <c r="K181" i="167"/>
  <c r="P288" i="165"/>
  <c r="O222" i="165"/>
  <c r="J223" i="165"/>
  <c r="P291" i="165"/>
  <c r="J276" i="165"/>
  <c r="O280" i="165"/>
  <c r="E280" i="165"/>
  <c r="P309" i="165"/>
  <c r="J281" i="165"/>
  <c r="E284" i="165"/>
  <c r="P257" i="165"/>
  <c r="P282" i="165"/>
  <c r="P277" i="165"/>
  <c r="O286" i="165"/>
  <c r="J287" i="165"/>
  <c r="P244" i="165" l="1"/>
  <c r="E283" i="165"/>
  <c r="J222" i="165"/>
  <c r="L163" i="167" s="1"/>
  <c r="P223" i="165"/>
  <c r="Q223" i="165" s="1"/>
  <c r="P276" i="165"/>
  <c r="P281" i="165"/>
  <c r="J280" i="165"/>
  <c r="O284" i="165"/>
  <c r="P287" i="165"/>
  <c r="J286" i="165"/>
  <c r="E275" i="165" l="1"/>
  <c r="E274" i="165" s="1"/>
  <c r="O283" i="165"/>
  <c r="P222" i="165"/>
  <c r="P286" i="165"/>
  <c r="P280" i="165"/>
  <c r="J284" i="165"/>
  <c r="J283" i="165" l="1"/>
  <c r="P284" i="165"/>
  <c r="O275" i="165"/>
  <c r="J161" i="167"/>
  <c r="H161" i="167"/>
  <c r="P283" i="165" l="1"/>
  <c r="O274" i="165"/>
  <c r="J275" i="165"/>
  <c r="P275" i="165" l="1"/>
  <c r="Q275" i="165" s="1"/>
  <c r="J274" i="165"/>
  <c r="M238" i="167"/>
  <c r="G237" i="167"/>
  <c r="M236" i="167"/>
  <c r="G236" i="167"/>
  <c r="J220" i="167"/>
  <c r="M220" i="167" s="1"/>
  <c r="J158" i="167"/>
  <c r="J157" i="167"/>
  <c r="J156" i="167"/>
  <c r="J155" i="167"/>
  <c r="J154" i="167"/>
  <c r="J151" i="167"/>
  <c r="J150" i="167"/>
  <c r="J149" i="167"/>
  <c r="J146" i="167"/>
  <c r="G140" i="167"/>
  <c r="G139" i="167"/>
  <c r="J138" i="167"/>
  <c r="G137" i="167"/>
  <c r="J136" i="167"/>
  <c r="J134" i="167"/>
  <c r="G135" i="167"/>
  <c r="J129" i="167"/>
  <c r="G120" i="167"/>
  <c r="G119" i="167"/>
  <c r="G117" i="167"/>
  <c r="G113" i="167"/>
  <c r="J92" i="167"/>
  <c r="H92" i="167"/>
  <c r="G91" i="167"/>
  <c r="J87" i="167"/>
  <c r="J86" i="167"/>
  <c r="J85" i="167"/>
  <c r="J84" i="167"/>
  <c r="G83" i="167"/>
  <c r="J82" i="167"/>
  <c r="J79" i="167"/>
  <c r="J72" i="167"/>
  <c r="J42" i="167" s="1"/>
  <c r="G49" i="167"/>
  <c r="G46" i="167"/>
  <c r="G33" i="167"/>
  <c r="J31" i="167"/>
  <c r="M31" i="167" s="1"/>
  <c r="J30" i="167"/>
  <c r="M30" i="167" s="1"/>
  <c r="J27" i="167"/>
  <c r="M27" i="167" s="1"/>
  <c r="G22" i="167"/>
  <c r="O360" i="165"/>
  <c r="O354" i="165"/>
  <c r="O349" i="165"/>
  <c r="G346" i="165"/>
  <c r="E349" i="165"/>
  <c r="N346" i="165"/>
  <c r="M346" i="165"/>
  <c r="L346" i="165"/>
  <c r="K346" i="165"/>
  <c r="I346" i="165"/>
  <c r="H346" i="165"/>
  <c r="G337" i="165"/>
  <c r="N337" i="165"/>
  <c r="M337" i="165"/>
  <c r="L337" i="165"/>
  <c r="K337" i="165"/>
  <c r="I337" i="165"/>
  <c r="F337" i="165"/>
  <c r="N329" i="165"/>
  <c r="M329" i="165"/>
  <c r="I329" i="165"/>
  <c r="H329" i="165"/>
  <c r="G329" i="165"/>
  <c r="O325" i="165"/>
  <c r="O323" i="165"/>
  <c r="O322" i="165"/>
  <c r="E322" i="165"/>
  <c r="N316" i="165"/>
  <c r="M316" i="165"/>
  <c r="I316" i="165"/>
  <c r="H316" i="165"/>
  <c r="G316" i="165"/>
  <c r="L316" i="165"/>
  <c r="G304" i="165"/>
  <c r="N304" i="165"/>
  <c r="M304" i="165"/>
  <c r="I304" i="165"/>
  <c r="H304" i="165"/>
  <c r="N296" i="165"/>
  <c r="M296" i="165"/>
  <c r="L296" i="165"/>
  <c r="K296" i="165"/>
  <c r="I296" i="165"/>
  <c r="F296" i="165"/>
  <c r="O212" i="165"/>
  <c r="O209" i="165"/>
  <c r="E209" i="165"/>
  <c r="O208" i="165"/>
  <c r="E208" i="165"/>
  <c r="O207" i="165"/>
  <c r="O205" i="165"/>
  <c r="J204" i="165"/>
  <c r="E204" i="165"/>
  <c r="O202" i="165"/>
  <c r="E202" i="165"/>
  <c r="O200" i="165"/>
  <c r="O199" i="165"/>
  <c r="E199" i="165"/>
  <c r="E196" i="165"/>
  <c r="E195" i="165"/>
  <c r="O193" i="165"/>
  <c r="N189" i="165"/>
  <c r="M189" i="165"/>
  <c r="L189" i="165"/>
  <c r="I189" i="165"/>
  <c r="O180" i="165"/>
  <c r="E180" i="165"/>
  <c r="H138" i="167" s="1"/>
  <c r="E179" i="165"/>
  <c r="H136" i="167" s="1"/>
  <c r="E177" i="165"/>
  <c r="O176" i="165"/>
  <c r="E176" i="165"/>
  <c r="O175" i="165"/>
  <c r="E175" i="165"/>
  <c r="O174" i="165"/>
  <c r="H169" i="165"/>
  <c r="E172" i="165"/>
  <c r="N169" i="165"/>
  <c r="M169" i="165"/>
  <c r="L169" i="165"/>
  <c r="G169" i="165"/>
  <c r="M112" i="165"/>
  <c r="L112" i="165"/>
  <c r="I112" i="165"/>
  <c r="I92" i="167"/>
  <c r="E110" i="165"/>
  <c r="O104" i="165"/>
  <c r="O103" i="165"/>
  <c r="E103" i="165"/>
  <c r="O101" i="165"/>
  <c r="O99" i="165"/>
  <c r="E97" i="165"/>
  <c r="H82" i="167" s="1"/>
  <c r="O96" i="165"/>
  <c r="E96" i="165"/>
  <c r="O95" i="165"/>
  <c r="J94" i="165"/>
  <c r="E94" i="165"/>
  <c r="E93" i="165"/>
  <c r="H78" i="167" s="1"/>
  <c r="O91" i="165"/>
  <c r="N88" i="165"/>
  <c r="M88" i="165"/>
  <c r="L88" i="165"/>
  <c r="I88" i="165"/>
  <c r="O75" i="165"/>
  <c r="E75" i="165"/>
  <c r="O62" i="165"/>
  <c r="O60" i="165"/>
  <c r="E59" i="165"/>
  <c r="E56" i="165"/>
  <c r="E54" i="165"/>
  <c r="O46" i="165"/>
  <c r="E46" i="165"/>
  <c r="E45" i="165"/>
  <c r="E43" i="165"/>
  <c r="M40" i="165"/>
  <c r="I40" i="165"/>
  <c r="O37" i="165"/>
  <c r="O34" i="165"/>
  <c r="E29" i="165"/>
  <c r="O27" i="165"/>
  <c r="E27" i="165"/>
  <c r="O21" i="165"/>
  <c r="E18" i="165"/>
  <c r="G15" i="165"/>
  <c r="O74" i="165" l="1"/>
  <c r="E74" i="165"/>
  <c r="O44" i="165"/>
  <c r="E44" i="165"/>
  <c r="O33" i="165"/>
  <c r="O36" i="165"/>
  <c r="O61" i="165"/>
  <c r="H81" i="167"/>
  <c r="O100" i="165"/>
  <c r="E109" i="165"/>
  <c r="H130" i="167"/>
  <c r="O192" i="165"/>
  <c r="O211" i="165"/>
  <c r="E348" i="165"/>
  <c r="O359" i="165"/>
  <c r="O26" i="165"/>
  <c r="H57" i="167"/>
  <c r="O324" i="165"/>
  <c r="P274" i="165"/>
  <c r="E28" i="165"/>
  <c r="P97" i="165"/>
  <c r="H133" i="167"/>
  <c r="H148" i="167"/>
  <c r="E201" i="165"/>
  <c r="O203" i="165"/>
  <c r="O348" i="165"/>
  <c r="H43" i="167"/>
  <c r="O90" i="165"/>
  <c r="O98" i="165"/>
  <c r="O178" i="165"/>
  <c r="O201" i="165"/>
  <c r="O353" i="165"/>
  <c r="O351" i="165" s="1"/>
  <c r="H45" i="167"/>
  <c r="K45" i="167" s="1"/>
  <c r="H54" i="167"/>
  <c r="P29" i="165"/>
  <c r="O58" i="165"/>
  <c r="E178" i="165"/>
  <c r="H128" i="167"/>
  <c r="E171" i="165"/>
  <c r="O206" i="165"/>
  <c r="O198" i="165"/>
  <c r="H147" i="167"/>
  <c r="E194" i="165"/>
  <c r="O102" i="165"/>
  <c r="E55" i="165"/>
  <c r="H55" i="167"/>
  <c r="H48" i="167"/>
  <c r="K48" i="167" s="1"/>
  <c r="H27" i="167"/>
  <c r="K27" i="167" s="1"/>
  <c r="H26" i="167"/>
  <c r="K26" i="167" s="1"/>
  <c r="J127" i="167"/>
  <c r="N15" i="165"/>
  <c r="I15" i="165"/>
  <c r="I361" i="165"/>
  <c r="I373" i="165" s="1"/>
  <c r="M15" i="165"/>
  <c r="M361" i="165"/>
  <c r="K329" i="165"/>
  <c r="K304" i="165"/>
  <c r="F316" i="165"/>
  <c r="G238" i="167"/>
  <c r="G234" i="167" s="1"/>
  <c r="H233" i="167"/>
  <c r="J101" i="165"/>
  <c r="E104" i="165"/>
  <c r="I233" i="167"/>
  <c r="K169" i="165"/>
  <c r="E193" i="165"/>
  <c r="J193" i="165"/>
  <c r="J34" i="165"/>
  <c r="J59" i="165"/>
  <c r="J208" i="165"/>
  <c r="L40" i="165"/>
  <c r="E95" i="165"/>
  <c r="J354" i="165"/>
  <c r="J243" i="167"/>
  <c r="M243" i="167" s="1"/>
  <c r="J202" i="165"/>
  <c r="J323" i="165"/>
  <c r="O329" i="165"/>
  <c r="J177" i="165"/>
  <c r="J176" i="165"/>
  <c r="J195" i="165"/>
  <c r="H337" i="165"/>
  <c r="E21" i="165"/>
  <c r="E24" i="165"/>
  <c r="J27" i="165"/>
  <c r="J37" i="165"/>
  <c r="J46" i="165"/>
  <c r="J56" i="165"/>
  <c r="J60" i="165"/>
  <c r="G88" i="165"/>
  <c r="I79" i="167"/>
  <c r="E99" i="165"/>
  <c r="N112" i="165"/>
  <c r="J174" i="165"/>
  <c r="H134" i="167"/>
  <c r="J200" i="165"/>
  <c r="H156" i="167"/>
  <c r="J209" i="165"/>
  <c r="H213" i="167"/>
  <c r="H214" i="167"/>
  <c r="E296" i="165"/>
  <c r="H220" i="167"/>
  <c r="K220" i="167" s="1"/>
  <c r="E323" i="165"/>
  <c r="J325" i="165"/>
  <c r="L239" i="167" s="1"/>
  <c r="J349" i="165"/>
  <c r="J360" i="165"/>
  <c r="E37" i="165"/>
  <c r="J175" i="165"/>
  <c r="J180" i="165"/>
  <c r="H210" i="167"/>
  <c r="J322" i="165"/>
  <c r="N40" i="165"/>
  <c r="J96" i="165"/>
  <c r="J99" i="165"/>
  <c r="H86" i="167"/>
  <c r="J104" i="165"/>
  <c r="J179" i="165"/>
  <c r="E207" i="165"/>
  <c r="E212" i="165"/>
  <c r="G296" i="165"/>
  <c r="L329" i="165"/>
  <c r="O18" i="165"/>
  <c r="E60" i="165"/>
  <c r="J75" i="165"/>
  <c r="J95" i="165"/>
  <c r="E174" i="165"/>
  <c r="E200" i="165"/>
  <c r="J205" i="165"/>
  <c r="H157" i="167"/>
  <c r="H217" i="167"/>
  <c r="J24" i="167"/>
  <c r="J16" i="167" s="1"/>
  <c r="M15" i="167" s="1"/>
  <c r="J62" i="165"/>
  <c r="F88" i="165"/>
  <c r="H88" i="165"/>
  <c r="J21" i="165"/>
  <c r="E62" i="165"/>
  <c r="H72" i="167"/>
  <c r="E91" i="165"/>
  <c r="J91" i="165"/>
  <c r="E101" i="165"/>
  <c r="J103" i="165"/>
  <c r="G112" i="165"/>
  <c r="G189" i="165"/>
  <c r="H189" i="165"/>
  <c r="J199" i="165"/>
  <c r="H151" i="167"/>
  <c r="I152" i="167"/>
  <c r="J207" i="165"/>
  <c r="J212" i="165"/>
  <c r="H212" i="167"/>
  <c r="H296" i="165"/>
  <c r="E337" i="165"/>
  <c r="G92" i="167"/>
  <c r="K236" i="167"/>
  <c r="G47" i="167"/>
  <c r="G131" i="167"/>
  <c r="G153" i="167"/>
  <c r="J248" i="167"/>
  <c r="M248" i="167" s="1"/>
  <c r="H79" i="167"/>
  <c r="P94" i="165"/>
  <c r="F304" i="165"/>
  <c r="J43" i="165"/>
  <c r="L304" i="165"/>
  <c r="L361" i="165"/>
  <c r="O93" i="165"/>
  <c r="H112" i="165"/>
  <c r="F112" i="165"/>
  <c r="H149" i="167"/>
  <c r="G17" i="167"/>
  <c r="H15" i="165"/>
  <c r="E205" i="165"/>
  <c r="F189" i="165"/>
  <c r="K316" i="165"/>
  <c r="E325" i="165"/>
  <c r="K239" i="167" s="1"/>
  <c r="O196" i="165"/>
  <c r="H152" i="167"/>
  <c r="P204" i="165"/>
  <c r="J217" i="167"/>
  <c r="F329" i="165"/>
  <c r="J152" i="167"/>
  <c r="J145" i="167" s="1"/>
  <c r="J89" i="167"/>
  <c r="O24" i="165"/>
  <c r="O110" i="165"/>
  <c r="J210" i="167"/>
  <c r="O304" i="165"/>
  <c r="E354" i="165"/>
  <c r="G23" i="167"/>
  <c r="G95" i="167"/>
  <c r="J233" i="167"/>
  <c r="E105" i="165" l="1"/>
  <c r="J74" i="165"/>
  <c r="K43" i="167"/>
  <c r="E23" i="165"/>
  <c r="O23" i="165"/>
  <c r="E26" i="165"/>
  <c r="O42" i="165"/>
  <c r="H207" i="167"/>
  <c r="K207" i="167" s="1"/>
  <c r="O321" i="165"/>
  <c r="P28" i="165"/>
  <c r="J178" i="165"/>
  <c r="I81" i="167"/>
  <c r="G81" i="167" s="1"/>
  <c r="J348" i="165"/>
  <c r="J192" i="165"/>
  <c r="E102" i="165"/>
  <c r="O32" i="165"/>
  <c r="E353" i="165"/>
  <c r="J203" i="165"/>
  <c r="I130" i="167"/>
  <c r="G130" i="167" s="1"/>
  <c r="J324" i="165"/>
  <c r="J321" i="165" s="1"/>
  <c r="I58" i="167"/>
  <c r="L58" i="167" s="1"/>
  <c r="J26" i="165"/>
  <c r="J353" i="165"/>
  <c r="J351" i="165" s="1"/>
  <c r="I57" i="167"/>
  <c r="G57" i="167" s="1"/>
  <c r="E192" i="165"/>
  <c r="J100" i="165"/>
  <c r="O173" i="165"/>
  <c r="E198" i="165"/>
  <c r="E211" i="165"/>
  <c r="J90" i="165"/>
  <c r="E98" i="165"/>
  <c r="I133" i="167"/>
  <c r="G133" i="167" s="1"/>
  <c r="J201" i="165"/>
  <c r="J33" i="165"/>
  <c r="O358" i="165"/>
  <c r="O210" i="165"/>
  <c r="O35" i="165"/>
  <c r="E203" i="165"/>
  <c r="J211" i="165"/>
  <c r="E90" i="165"/>
  <c r="O17" i="165"/>
  <c r="E206" i="165"/>
  <c r="J98" i="165"/>
  <c r="J359" i="165"/>
  <c r="I48" i="167"/>
  <c r="L48" i="167" s="1"/>
  <c r="K22" i="167"/>
  <c r="E100" i="165"/>
  <c r="I80" i="167"/>
  <c r="O109" i="165"/>
  <c r="E324" i="165"/>
  <c r="M24" i="167"/>
  <c r="E36" i="165"/>
  <c r="J36" i="165"/>
  <c r="E173" i="165"/>
  <c r="E58" i="165"/>
  <c r="H58" i="167"/>
  <c r="J55" i="165"/>
  <c r="I55" i="167"/>
  <c r="G55" i="167" s="1"/>
  <c r="O92" i="165"/>
  <c r="E61" i="165"/>
  <c r="H60" i="167"/>
  <c r="J61" i="165"/>
  <c r="I60" i="167"/>
  <c r="J206" i="165"/>
  <c r="P322" i="165"/>
  <c r="O197" i="165"/>
  <c r="J198" i="165"/>
  <c r="I147" i="167"/>
  <c r="G147" i="167" s="1"/>
  <c r="O194" i="165"/>
  <c r="J102" i="165"/>
  <c r="H80" i="167"/>
  <c r="I43" i="167"/>
  <c r="I27" i="167"/>
  <c r="L27" i="167" s="1"/>
  <c r="I26" i="167"/>
  <c r="L26" i="167" s="1"/>
  <c r="E17" i="165"/>
  <c r="J58" i="165"/>
  <c r="E66" i="170"/>
  <c r="K15" i="165"/>
  <c r="K361" i="165"/>
  <c r="F40" i="165"/>
  <c r="H40" i="165"/>
  <c r="H361" i="165"/>
  <c r="G40" i="165"/>
  <c r="G361" i="165"/>
  <c r="N361" i="165"/>
  <c r="N373" i="165" s="1"/>
  <c r="M233" i="167"/>
  <c r="J225" i="167"/>
  <c r="M226" i="167"/>
  <c r="P34" i="165"/>
  <c r="I146" i="167"/>
  <c r="I134" i="167"/>
  <c r="G134" i="167" s="1"/>
  <c r="I85" i="167"/>
  <c r="P208" i="165"/>
  <c r="G104" i="167"/>
  <c r="P199" i="165"/>
  <c r="P96" i="165"/>
  <c r="P46" i="165"/>
  <c r="H87" i="167"/>
  <c r="I30" i="167"/>
  <c r="L30" i="167" s="1"/>
  <c r="F169" i="165"/>
  <c r="P180" i="165"/>
  <c r="I151" i="167"/>
  <c r="G151" i="167" s="1"/>
  <c r="P103" i="165"/>
  <c r="P177" i="165"/>
  <c r="P200" i="165"/>
  <c r="P209" i="165"/>
  <c r="P56" i="165"/>
  <c r="P176" i="165"/>
  <c r="J54" i="165"/>
  <c r="L238" i="167"/>
  <c r="G102" i="167"/>
  <c r="P349" i="165"/>
  <c r="H30" i="167"/>
  <c r="G233" i="167"/>
  <c r="P99" i="165"/>
  <c r="P202" i="165"/>
  <c r="I82" i="167"/>
  <c r="G82" i="167" s="1"/>
  <c r="P360" i="165"/>
  <c r="P195" i="165"/>
  <c r="P179" i="165"/>
  <c r="P21" i="165"/>
  <c r="J172" i="165"/>
  <c r="H146" i="167"/>
  <c r="G79" i="167"/>
  <c r="H248" i="167"/>
  <c r="K248" i="167" s="1"/>
  <c r="P193" i="165"/>
  <c r="P60" i="165"/>
  <c r="G152" i="167"/>
  <c r="P59" i="165"/>
  <c r="P101" i="165"/>
  <c r="H85" i="167"/>
  <c r="P37" i="165"/>
  <c r="K238" i="167"/>
  <c r="H31" i="167"/>
  <c r="K31" i="167" s="1"/>
  <c r="P27" i="165"/>
  <c r="P212" i="165"/>
  <c r="H155" i="167"/>
  <c r="P75" i="165"/>
  <c r="I156" i="167"/>
  <c r="G156" i="167" s="1"/>
  <c r="P174" i="165"/>
  <c r="H150" i="167"/>
  <c r="H129" i="167"/>
  <c r="H127" i="167" s="1"/>
  <c r="P323" i="165"/>
  <c r="I136" i="167"/>
  <c r="G136" i="167" s="1"/>
  <c r="P95" i="165"/>
  <c r="I72" i="167"/>
  <c r="G72" i="167" s="1"/>
  <c r="P62" i="165"/>
  <c r="J126" i="167"/>
  <c r="M126" i="167" s="1"/>
  <c r="I86" i="167"/>
  <c r="G86" i="167" s="1"/>
  <c r="P91" i="165"/>
  <c r="M373" i="165"/>
  <c r="G114" i="167"/>
  <c r="I154" i="167"/>
  <c r="J329" i="165"/>
  <c r="J45" i="165"/>
  <c r="G115" i="167"/>
  <c r="G108" i="167"/>
  <c r="H24" i="167"/>
  <c r="J24" i="165"/>
  <c r="G103" i="167"/>
  <c r="I155" i="167"/>
  <c r="I212" i="167"/>
  <c r="G101" i="167"/>
  <c r="I87" i="167"/>
  <c r="I84" i="167"/>
  <c r="G106" i="167"/>
  <c r="H84" i="167"/>
  <c r="H158" i="167"/>
  <c r="J196" i="165"/>
  <c r="P104" i="165"/>
  <c r="P207" i="165"/>
  <c r="J41" i="167"/>
  <c r="P175" i="165"/>
  <c r="I149" i="167"/>
  <c r="G149" i="167" s="1"/>
  <c r="J18" i="165"/>
  <c r="L17" i="167" s="1"/>
  <c r="L236" i="167"/>
  <c r="I138" i="167"/>
  <c r="G138" i="167" s="1"/>
  <c r="I150" i="167"/>
  <c r="I129" i="167"/>
  <c r="J110" i="165"/>
  <c r="I89" i="167" s="1"/>
  <c r="G89" i="167" s="1"/>
  <c r="I158" i="167"/>
  <c r="G118" i="167"/>
  <c r="I157" i="167"/>
  <c r="G157" i="167" s="1"/>
  <c r="G112" i="167"/>
  <c r="G107" i="167"/>
  <c r="I31" i="167"/>
  <c r="L31" i="167" s="1"/>
  <c r="G100" i="167"/>
  <c r="H243" i="167"/>
  <c r="K243" i="167" s="1"/>
  <c r="J94" i="167"/>
  <c r="J93" i="167" s="1"/>
  <c r="M93" i="167" s="1"/>
  <c r="K112" i="165"/>
  <c r="K189" i="165"/>
  <c r="J305" i="165"/>
  <c r="J304" i="165" s="1"/>
  <c r="P354" i="165"/>
  <c r="O296" i="165"/>
  <c r="J297" i="165"/>
  <c r="K40" i="165"/>
  <c r="J77" i="167"/>
  <c r="J144" i="167"/>
  <c r="P325" i="165"/>
  <c r="J93" i="165"/>
  <c r="I78" i="167" s="1"/>
  <c r="G78" i="167" s="1"/>
  <c r="L15" i="165"/>
  <c r="O337" i="165"/>
  <c r="J338" i="165"/>
  <c r="H154" i="167"/>
  <c r="P205" i="165"/>
  <c r="F15" i="165"/>
  <c r="K88" i="165"/>
  <c r="P43" i="165"/>
  <c r="E42" i="165" l="1"/>
  <c r="H145" i="167"/>
  <c r="H144" i="167" s="1"/>
  <c r="O105" i="165"/>
  <c r="O41" i="165"/>
  <c r="J41" i="165" s="1"/>
  <c r="H373" i="165"/>
  <c r="O22" i="165"/>
  <c r="H42" i="167"/>
  <c r="P74" i="165"/>
  <c r="J23" i="165"/>
  <c r="J44" i="165"/>
  <c r="J318" i="165"/>
  <c r="E191" i="165"/>
  <c r="O318" i="165"/>
  <c r="O317" i="165" s="1"/>
  <c r="O316" i="165" s="1"/>
  <c r="K376" i="165"/>
  <c r="P297" i="165"/>
  <c r="Q297" i="165" s="1"/>
  <c r="G48" i="167"/>
  <c r="K373" i="165"/>
  <c r="E22" i="165"/>
  <c r="J173" i="165"/>
  <c r="P55" i="165"/>
  <c r="E197" i="165"/>
  <c r="E92" i="165"/>
  <c r="P203" i="165"/>
  <c r="I148" i="167"/>
  <c r="G148" i="167" s="1"/>
  <c r="P90" i="165"/>
  <c r="P211" i="165"/>
  <c r="P178" i="165"/>
  <c r="P201" i="165"/>
  <c r="P348" i="165"/>
  <c r="P33" i="165"/>
  <c r="E35" i="165"/>
  <c r="P26" i="165"/>
  <c r="P98" i="165"/>
  <c r="J210" i="165"/>
  <c r="O170" i="165"/>
  <c r="O169" i="165" s="1"/>
  <c r="O347" i="165"/>
  <c r="J17" i="165"/>
  <c r="P100" i="165"/>
  <c r="P192" i="165"/>
  <c r="P359" i="165"/>
  <c r="E321" i="165"/>
  <c r="J32" i="165"/>
  <c r="P353" i="165"/>
  <c r="I45" i="167"/>
  <c r="L45" i="167" s="1"/>
  <c r="J35" i="165"/>
  <c r="J358" i="165"/>
  <c r="E210" i="165"/>
  <c r="J109" i="165"/>
  <c r="H16" i="167"/>
  <c r="K15" i="167" s="1"/>
  <c r="P324" i="165"/>
  <c r="I54" i="167"/>
  <c r="G54" i="167" s="1"/>
  <c r="E170" i="165"/>
  <c r="E169" i="165" s="1"/>
  <c r="K30" i="167"/>
  <c r="G30" i="167"/>
  <c r="P58" i="165"/>
  <c r="J197" i="165"/>
  <c r="P61" i="165"/>
  <c r="G60" i="167"/>
  <c r="K58" i="167"/>
  <c r="G58" i="167"/>
  <c r="K24" i="167"/>
  <c r="P206" i="165"/>
  <c r="P198" i="165"/>
  <c r="O191" i="165"/>
  <c r="O190" i="165" s="1"/>
  <c r="J194" i="165"/>
  <c r="J92" i="165"/>
  <c r="I128" i="167"/>
  <c r="I127" i="167" s="1"/>
  <c r="J171" i="165"/>
  <c r="L43" i="167"/>
  <c r="P102" i="165"/>
  <c r="P36" i="165"/>
  <c r="G26" i="167"/>
  <c r="J76" i="167"/>
  <c r="M76" i="167" s="1"/>
  <c r="H206" i="167"/>
  <c r="H126" i="167"/>
  <c r="G146" i="167"/>
  <c r="J15" i="167"/>
  <c r="G85" i="167"/>
  <c r="I213" i="167"/>
  <c r="G213" i="167" s="1"/>
  <c r="P54" i="165"/>
  <c r="G87" i="167"/>
  <c r="I210" i="167"/>
  <c r="P45" i="165"/>
  <c r="G80" i="167"/>
  <c r="G225" i="167"/>
  <c r="G27" i="167"/>
  <c r="P172" i="165"/>
  <c r="H77" i="167"/>
  <c r="G110" i="167"/>
  <c r="G31" i="167"/>
  <c r="G84" i="167"/>
  <c r="G111" i="167"/>
  <c r="G129" i="167"/>
  <c r="G155" i="167"/>
  <c r="G150" i="167"/>
  <c r="M41" i="167"/>
  <c r="P18" i="165"/>
  <c r="G116" i="167"/>
  <c r="G154" i="167"/>
  <c r="G124" i="167"/>
  <c r="G158" i="167"/>
  <c r="I248" i="167"/>
  <c r="L248" i="167" s="1"/>
  <c r="I220" i="167"/>
  <c r="L220" i="167" s="1"/>
  <c r="G222" i="167"/>
  <c r="G221" i="167" s="1"/>
  <c r="P24" i="165"/>
  <c r="L373" i="165"/>
  <c r="I243" i="167"/>
  <c r="L243" i="167" s="1"/>
  <c r="G248" i="167"/>
  <c r="P196" i="165"/>
  <c r="J212" i="167"/>
  <c r="G212" i="167"/>
  <c r="I214" i="167"/>
  <c r="G121" i="167"/>
  <c r="L226" i="167"/>
  <c r="I24" i="167"/>
  <c r="I16" i="167" s="1"/>
  <c r="P110" i="165"/>
  <c r="I217" i="167"/>
  <c r="G373" i="165"/>
  <c r="G243" i="167"/>
  <c r="P93" i="165"/>
  <c r="J296" i="165"/>
  <c r="E112" i="165"/>
  <c r="O112" i="165"/>
  <c r="J113" i="165"/>
  <c r="H225" i="167"/>
  <c r="P305" i="165"/>
  <c r="Q305" i="165" s="1"/>
  <c r="E304" i="165"/>
  <c r="G43" i="167"/>
  <c r="E329" i="165"/>
  <c r="P330" i="165"/>
  <c r="Q330" i="165" s="1"/>
  <c r="J337" i="165"/>
  <c r="P338" i="165"/>
  <c r="Q338" i="165" s="1"/>
  <c r="H93" i="167"/>
  <c r="K93" i="167" s="1"/>
  <c r="D89" i="170" l="1"/>
  <c r="E89" i="170" s="1"/>
  <c r="E190" i="165"/>
  <c r="E189" i="165" s="1"/>
  <c r="D90" i="170"/>
  <c r="J105" i="165"/>
  <c r="E41" i="165"/>
  <c r="P41" i="165" s="1"/>
  <c r="Q41" i="165" s="1"/>
  <c r="J112" i="165"/>
  <c r="P113" i="165"/>
  <c r="O16" i="165"/>
  <c r="J16" i="165" s="1"/>
  <c r="L15" i="167" s="1"/>
  <c r="I42" i="167"/>
  <c r="I41" i="167" s="1"/>
  <c r="L41" i="167" s="1"/>
  <c r="O40" i="165"/>
  <c r="J42" i="165"/>
  <c r="P44" i="165"/>
  <c r="P23" i="165"/>
  <c r="E318" i="165"/>
  <c r="P173" i="165"/>
  <c r="G34" i="108"/>
  <c r="I207" i="167"/>
  <c r="L207" i="167" s="1"/>
  <c r="G45" i="167"/>
  <c r="K126" i="167"/>
  <c r="E16" i="165"/>
  <c r="J170" i="165"/>
  <c r="P170" i="165" s="1"/>
  <c r="Q170" i="165" s="1"/>
  <c r="J317" i="165"/>
  <c r="J316" i="165" s="1"/>
  <c r="L233" i="167" s="1"/>
  <c r="P321" i="165"/>
  <c r="E89" i="165"/>
  <c r="E88" i="165" s="1"/>
  <c r="P17" i="165"/>
  <c r="J22" i="165"/>
  <c r="J191" i="165"/>
  <c r="P171" i="165"/>
  <c r="O189" i="165"/>
  <c r="P358" i="165"/>
  <c r="P194" i="165"/>
  <c r="P35" i="165"/>
  <c r="O346" i="165"/>
  <c r="J347" i="165"/>
  <c r="J346" i="165" s="1"/>
  <c r="P32" i="165"/>
  <c r="P210" i="165"/>
  <c r="O89" i="165"/>
  <c r="P109" i="165"/>
  <c r="H41" i="167"/>
  <c r="H257" i="167"/>
  <c r="L256" i="167" s="1"/>
  <c r="P197" i="165"/>
  <c r="G128" i="167"/>
  <c r="P92" i="165"/>
  <c r="H76" i="167"/>
  <c r="G220" i="167"/>
  <c r="G210" i="167"/>
  <c r="H15" i="167"/>
  <c r="I225" i="167"/>
  <c r="L24" i="167"/>
  <c r="J213" i="167"/>
  <c r="I126" i="167"/>
  <c r="G24" i="167"/>
  <c r="G16" i="167" s="1"/>
  <c r="I94" i="167"/>
  <c r="I93" i="167" s="1"/>
  <c r="L93" i="167" s="1"/>
  <c r="G217" i="167"/>
  <c r="G99" i="167"/>
  <c r="J214" i="167"/>
  <c r="G214" i="167"/>
  <c r="P329" i="165"/>
  <c r="P337" i="165"/>
  <c r="P296" i="165"/>
  <c r="I77" i="167"/>
  <c r="G77" i="167"/>
  <c r="P304" i="165"/>
  <c r="J40" i="165"/>
  <c r="Q113" i="165" l="1"/>
  <c r="S113" i="165"/>
  <c r="P105" i="165"/>
  <c r="K76" i="167"/>
  <c r="J15" i="165"/>
  <c r="O15" i="165"/>
  <c r="P16" i="165"/>
  <c r="Q16" i="165" s="1"/>
  <c r="P42" i="165"/>
  <c r="G42" i="167"/>
  <c r="G41" i="167" s="1"/>
  <c r="E317" i="165"/>
  <c r="E316" i="165" s="1"/>
  <c r="K233" i="167" s="1"/>
  <c r="J207" i="167"/>
  <c r="J257" i="167" s="1"/>
  <c r="N256" i="167" s="1"/>
  <c r="P318" i="165"/>
  <c r="K41" i="167"/>
  <c r="J169" i="165"/>
  <c r="L126" i="167"/>
  <c r="O361" i="165"/>
  <c r="E40" i="165"/>
  <c r="G207" i="167"/>
  <c r="J190" i="165"/>
  <c r="P190" i="165" s="1"/>
  <c r="Q190" i="165" s="1"/>
  <c r="E15" i="165"/>
  <c r="P191" i="165"/>
  <c r="P22" i="165"/>
  <c r="O88" i="165"/>
  <c r="J89" i="165"/>
  <c r="G127" i="167"/>
  <c r="G126" i="167" s="1"/>
  <c r="I76" i="167"/>
  <c r="G76" i="167"/>
  <c r="G15" i="167"/>
  <c r="I206" i="167"/>
  <c r="G94" i="167"/>
  <c r="G93" i="167" s="1"/>
  <c r="I15" i="167"/>
  <c r="P169" i="165"/>
  <c r="P40" i="165"/>
  <c r="P112" i="165"/>
  <c r="P15" i="165" l="1"/>
  <c r="P317" i="165"/>
  <c r="O373" i="165"/>
  <c r="O376" i="165"/>
  <c r="J189" i="165"/>
  <c r="P189" i="165"/>
  <c r="P89" i="165"/>
  <c r="Q89" i="165" s="1"/>
  <c r="J88" i="165"/>
  <c r="L76" i="167" s="1"/>
  <c r="J361" i="165"/>
  <c r="J373" i="165" s="1"/>
  <c r="G206" i="167"/>
  <c r="M207" i="167"/>
  <c r="J206" i="167"/>
  <c r="Q317" i="165" l="1"/>
  <c r="P316" i="165"/>
  <c r="J376" i="165"/>
  <c r="P88" i="165"/>
  <c r="K164" i="153" l="1"/>
  <c r="I161" i="167" l="1"/>
  <c r="I145" i="167" s="1"/>
  <c r="G161" i="167" l="1"/>
  <c r="I257" i="167"/>
  <c r="M256" i="167" s="1"/>
  <c r="G145" i="167" l="1"/>
  <c r="G257" i="167" s="1"/>
  <c r="I144" i="167"/>
  <c r="K257" i="167" l="1"/>
  <c r="K256" i="167"/>
  <c r="G144" i="167"/>
  <c r="M19" i="107"/>
  <c r="O19" i="107"/>
  <c r="Q19" i="107" l="1"/>
  <c r="G140" i="107" l="1"/>
  <c r="F136" i="108"/>
  <c r="G139" i="107"/>
  <c r="F135" i="108"/>
  <c r="G137" i="107"/>
  <c r="F133" i="108"/>
  <c r="F134" i="108"/>
  <c r="G138" i="107"/>
  <c r="G135" i="107"/>
  <c r="F131" i="108"/>
  <c r="G136" i="107"/>
  <c r="F132" i="108"/>
  <c r="G133" i="107"/>
  <c r="F129" i="108"/>
  <c r="G132" i="107"/>
  <c r="F128" i="108"/>
  <c r="G131" i="107"/>
  <c r="F127" i="108"/>
  <c r="G130" i="107"/>
  <c r="F126" i="108"/>
  <c r="G129" i="107"/>
  <c r="F125" i="108"/>
  <c r="G128" i="107"/>
  <c r="F124" i="108"/>
  <c r="G127" i="107"/>
  <c r="F123" i="108"/>
  <c r="G126" i="107"/>
  <c r="F122" i="108"/>
  <c r="G125" i="107"/>
  <c r="F121" i="108"/>
  <c r="G124" i="107"/>
  <c r="F120" i="108"/>
  <c r="G123" i="107"/>
  <c r="F119" i="108"/>
  <c r="G121" i="107"/>
  <c r="F117" i="108"/>
  <c r="G81" i="107"/>
  <c r="G79" i="107"/>
  <c r="G78" i="107"/>
  <c r="G77" i="107"/>
  <c r="G76" i="107"/>
  <c r="G74" i="107"/>
  <c r="G73" i="107"/>
  <c r="G72" i="107"/>
  <c r="G71" i="107"/>
  <c r="G70" i="107"/>
  <c r="G69" i="107"/>
  <c r="G68" i="107"/>
  <c r="G67" i="107"/>
  <c r="G66" i="107"/>
  <c r="G65" i="107"/>
  <c r="G64" i="107"/>
  <c r="G63" i="107"/>
  <c r="G62" i="107"/>
  <c r="G61" i="107"/>
  <c r="G60" i="107"/>
  <c r="G59" i="107"/>
  <c r="G58" i="107"/>
  <c r="G57" i="107"/>
  <c r="G56" i="107"/>
  <c r="G54" i="107"/>
  <c r="G18" i="107"/>
  <c r="G148" i="107"/>
  <c r="F144" i="108"/>
  <c r="K167" i="107"/>
  <c r="J163" i="108"/>
  <c r="G16" i="107" l="1"/>
  <c r="G15" i="107" s="1"/>
  <c r="G14" i="107" s="1"/>
  <c r="G13" i="107"/>
  <c r="O18" i="107"/>
  <c r="K12" i="107"/>
  <c r="K20" i="107" s="1"/>
  <c r="L12" i="107"/>
  <c r="L20" i="107" s="1"/>
  <c r="J12" i="107"/>
  <c r="J20" i="107" s="1"/>
  <c r="G12" i="107"/>
  <c r="H12" i="107"/>
  <c r="O17" i="107"/>
  <c r="N17" i="107"/>
  <c r="M17" i="107"/>
  <c r="O20" i="107" l="1"/>
  <c r="O16" i="107"/>
  <c r="O15" i="107" s="1"/>
  <c r="O14" i="107" s="1"/>
  <c r="L144" i="167"/>
  <c r="G20" i="107"/>
  <c r="M144" i="167"/>
  <c r="H20" i="107"/>
  <c r="O13" i="107"/>
  <c r="O12" i="107" s="1"/>
  <c r="Q17" i="107"/>
  <c r="N18" i="107" l="1"/>
  <c r="N20" i="107" l="1"/>
  <c r="N16" i="107"/>
  <c r="N15" i="107" s="1"/>
  <c r="N14" i="107" s="1"/>
  <c r="N13" i="107"/>
  <c r="N12" i="107" s="1"/>
  <c r="F12" i="107"/>
  <c r="K144" i="167" s="1"/>
  <c r="F20" i="107" l="1"/>
  <c r="E363" i="165" s="1"/>
  <c r="D22" i="108"/>
  <c r="E34" i="108" s="1"/>
  <c r="M18" i="107" l="1"/>
  <c r="Q18" i="107" s="1"/>
  <c r="M13" i="107" l="1"/>
  <c r="M12" i="107" s="1"/>
  <c r="M20" i="107" s="1"/>
  <c r="M16" i="107"/>
  <c r="M15" i="107" s="1"/>
  <c r="M14" i="107" s="1"/>
  <c r="Q16" i="107"/>
  <c r="Q15" i="107" s="1"/>
  <c r="Q14" i="107" s="1"/>
  <c r="Q13" i="107" l="1"/>
  <c r="Q12" i="107" s="1"/>
  <c r="Q20" i="107"/>
  <c r="Q363" i="165" s="1"/>
  <c r="D23" i="170"/>
  <c r="D82" i="170" l="1"/>
  <c r="E81" i="170"/>
  <c r="D88" i="170" l="1"/>
  <c r="F88" i="170" s="1"/>
  <c r="E90" i="170"/>
  <c r="E352" i="165"/>
  <c r="E351" i="165" l="1"/>
  <c r="E347" i="165" s="1"/>
  <c r="P352" i="165"/>
  <c r="P351" i="165" s="1"/>
  <c r="F347" i="165"/>
  <c r="F346" i="165" s="1"/>
  <c r="P347" i="165" l="1"/>
  <c r="E361" i="165"/>
  <c r="F374" i="165" s="1"/>
  <c r="E346" i="165"/>
  <c r="F361" i="165"/>
  <c r="E374" i="165" l="1"/>
  <c r="E373" i="165"/>
  <c r="D24" i="172"/>
  <c r="D20" i="172" s="1"/>
  <c r="D15" i="172" s="1"/>
  <c r="D29" i="172" s="1"/>
  <c r="Q347" i="165"/>
  <c r="P361" i="165"/>
  <c r="Q361" i="165" s="1"/>
  <c r="P346" i="165"/>
  <c r="F373" i="165"/>
  <c r="E24" i="172" l="1"/>
  <c r="E20" i="172" s="1"/>
  <c r="E15" i="172" s="1"/>
  <c r="D48" i="172"/>
  <c r="D44" i="172" s="1"/>
  <c r="D43" i="172" s="1"/>
  <c r="D49" i="172" s="1"/>
  <c r="P373" i="165"/>
  <c r="P374" i="165"/>
  <c r="C24" i="172"/>
  <c r="C20" i="172" s="1"/>
  <c r="C15" i="172" s="1"/>
  <c r="C29" i="172" s="1"/>
  <c r="E48" i="172" l="1"/>
  <c r="E44" i="172" s="1"/>
  <c r="E43" i="172" s="1"/>
  <c r="E49" i="172" s="1"/>
  <c r="F24" i="172"/>
  <c r="F20" i="172" s="1"/>
  <c r="F15" i="172" s="1"/>
  <c r="F29" i="172" s="1"/>
  <c r="E29" i="172"/>
  <c r="D50" i="170"/>
  <c r="E50" i="170" s="1"/>
  <c r="G20" i="172" l="1"/>
  <c r="G15" i="172"/>
  <c r="C48" i="172"/>
  <c r="C44" i="172" s="1"/>
  <c r="C43" i="172" s="1"/>
  <c r="C49" i="172" s="1"/>
  <c r="F48" i="172"/>
  <c r="F44" i="172" s="1"/>
  <c r="F43" i="172" s="1"/>
  <c r="F49" i="172" s="1"/>
  <c r="D58" i="170"/>
  <c r="E58" i="170" l="1"/>
  <c r="D45" i="170"/>
  <c r="D26" i="170" l="1"/>
  <c r="E26" i="170" s="1"/>
  <c r="D57" i="170"/>
  <c r="D56" i="170" s="1"/>
  <c r="E56" i="170" s="1"/>
  <c r="E57" i="170" l="1"/>
  <c r="E88" i="170" l="1"/>
  <c r="E76" i="170"/>
</calcChain>
</file>

<file path=xl/sharedStrings.xml><?xml version="1.0" encoding="utf-8"?>
<sst xmlns="http://schemas.openxmlformats.org/spreadsheetml/2006/main" count="3308" uniqueCount="1340">
  <si>
    <t>Департамент освіти та науки Хмельницької міської ради (головний розпорядник)</t>
  </si>
  <si>
    <t>Департамент освіти та науки Хмельницької міської ради (відповідальний виконавець)</t>
  </si>
  <si>
    <t>1</t>
  </si>
  <si>
    <t>2</t>
  </si>
  <si>
    <t>Проведення навчально-тренувальних зборів і змагань з неолімпійських видів спорту</t>
  </si>
  <si>
    <t>4</t>
  </si>
  <si>
    <t>Надання пільг окремим категоріям громадян з оплати послуг зв'язку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</si>
  <si>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</si>
  <si>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</si>
  <si>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Компенсаційні виплати на пільговий проїзд електротранспортом окремим категоріям громадян</t>
  </si>
  <si>
    <t>Утримання клубів для підлітків за місцем проживання</t>
  </si>
  <si>
    <t>Разом</t>
  </si>
  <si>
    <t>Загальний фонд</t>
  </si>
  <si>
    <t>з них</t>
  </si>
  <si>
    <t>3</t>
  </si>
  <si>
    <t>комунальні послуги та енергоносії</t>
  </si>
  <si>
    <t>Код ФКВКБ</t>
  </si>
  <si>
    <t>Забезпечення соціальними послугами за місцем проживання громадян, які не здатні до самообслуговування у зв'язку з похилим віком, хворобою, інвалідністю</t>
  </si>
  <si>
    <t>Управління охорони здоров'я Хмельницької міської ради (головний розпорядник)</t>
  </si>
  <si>
    <t>Багатопрофільна стаціонарна медична допомога населенню</t>
  </si>
  <si>
    <t>Код ТПКВКМБ /
ТКВКБМС</t>
  </si>
  <si>
    <t>1110000</t>
  </si>
  <si>
    <t>1100000</t>
  </si>
  <si>
    <t>Управління молоді та спорту Хмельницької міської ради (головний розпорядник)</t>
  </si>
  <si>
    <t>Управління культури і туризму Хмельницької міської ради (головний розпорядник)</t>
  </si>
  <si>
    <t>1500000</t>
  </si>
  <si>
    <t>1510000</t>
  </si>
  <si>
    <t>Фінансове управління Хмельницької міської ради (головний розпорядник)</t>
  </si>
  <si>
    <t>1115031</t>
  </si>
  <si>
    <t>1115032</t>
  </si>
  <si>
    <t>1115061</t>
  </si>
  <si>
    <t>Забезпечення діяльності місцевих центрів фізичного здоров'я населення "Спорт для всіх" та проведення фізкультурно-масових заходів серед населення регіону</t>
  </si>
  <si>
    <t>1115063</t>
  </si>
  <si>
    <t>Забезпечення діяльності централізованої бухгалтерії</t>
  </si>
  <si>
    <t>Проведення інформаційних заходів з організації проведення аукціонів</t>
  </si>
  <si>
    <t>Виготовлення документації із землеустрою</t>
  </si>
  <si>
    <t>Внески до статутного капіталу суб’єктів господарювання</t>
  </si>
  <si>
    <t>Управління молоді та спорту Хмельницької міської ради (відповідальний виконавець)</t>
  </si>
  <si>
    <t>Управління охорони здоров'я Хмельницької міської ради (відповідальний виконавець)</t>
  </si>
  <si>
    <t>Управління праці та соціального захисту населення Хмельницької міської ради (головний розпорядник)</t>
  </si>
  <si>
    <t>Управління праці та соціального захисту населення Хмельницької міської ради (відповідальний виконавець)</t>
  </si>
  <si>
    <t>Управління культури і туризму Хмельницької міської ради (відповідальний виконавець)</t>
  </si>
  <si>
    <t>Фінансове управління Хмельницької міської ради (відповідальний виконавець)</t>
  </si>
  <si>
    <t>Заходи з енергозбереження</t>
  </si>
  <si>
    <t>0133</t>
  </si>
  <si>
    <t>0180</t>
  </si>
  <si>
    <t>1115011</t>
  </si>
  <si>
    <t>Проведення навчально-тренувальних зборів і змагань з олімпійських видів спорту</t>
  </si>
  <si>
    <t>1115012</t>
  </si>
  <si>
    <t>1115022</t>
  </si>
  <si>
    <t>Утримання та навчально-тренувальна робота комунальних дитячо-юнацьких спортивних шкіл</t>
  </si>
  <si>
    <t>Фінансова підтримка дитячо-юнацьких спортивних шкіл фізкультурно-спортивних товариств</t>
  </si>
  <si>
    <t>1060</t>
  </si>
  <si>
    <t>0540</t>
  </si>
  <si>
    <t>Спеціальний фонд</t>
  </si>
  <si>
    <t>видатки споживання</t>
  </si>
  <si>
    <t>оплата праці</t>
  </si>
  <si>
    <t>видатки розвитку</t>
  </si>
  <si>
    <t>Капітальні видатки</t>
  </si>
  <si>
    <t>Додаток 1</t>
  </si>
  <si>
    <t>Код</t>
  </si>
  <si>
    <t>Податкові надходження</t>
  </si>
  <si>
    <t>Податки на доходи, податки на прибуток, податки на збільшення ринкової вартості</t>
  </si>
  <si>
    <t xml:space="preserve">Податок на доходи фізичних осіб </t>
  </si>
  <si>
    <t xml:space="preserve">Податок на  доходи фізичних осіб, що сплачуються податковими агентами, із доходів платника податку у вигляді заробітної плати </t>
  </si>
  <si>
    <t xml:space="preserve">Податок на  доходи 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 </t>
  </si>
  <si>
    <t xml:space="preserve">Податок на доходи фізичних осіб, що сплачується податковими агентами, із доходів платника податку інших ніж заробітна плата </t>
  </si>
  <si>
    <t xml:space="preserve">Податок на доходи доходів фізичних осіб, що сплачуються фізичними особами за результатами річного декларування </t>
  </si>
  <si>
    <t>Податок на прибуток підприємств</t>
  </si>
  <si>
    <t xml:space="preserve"> Податок на прибуток підприємств та фінансових установ комунальної власності </t>
  </si>
  <si>
    <t>Місцеві  податки і збори</t>
  </si>
  <si>
    <t>Податок на майно</t>
  </si>
  <si>
    <t xml:space="preserve">Податок на нерухоме майно, відмінне від земельної ділянки, сплачений юридичними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</si>
  <si>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житлової нерухомості   </t>
  </si>
  <si>
    <t xml:space="preserve">Податок на нерухоме майно, відмінне від земельної ділянки, сплачений фізичними  особами, які є власниками об"єктів нежитлової нерухомості   </t>
  </si>
  <si>
    <t xml:space="preserve">Податок на нерухоме майно, відмінне від земельної ділянки, сплачений юридичними особами, які є власниками об"єктів нежитлової нерухомості   </t>
  </si>
  <si>
    <t>Земельний податок з юридичних осіб</t>
  </si>
  <si>
    <t>Орендна плата з юридичних осіб</t>
  </si>
  <si>
    <t>Земельний податок з фізичних осіб</t>
  </si>
  <si>
    <t>Орендна плата з фізичних осіб</t>
  </si>
  <si>
    <t>Транспортний податок з фізичних  осіб</t>
  </si>
  <si>
    <t>Транспортний податок з юридичних осіб</t>
  </si>
  <si>
    <t xml:space="preserve">Туристичний збір </t>
  </si>
  <si>
    <t xml:space="preserve">Туристичний збір, сплачений юридичними особами  </t>
  </si>
  <si>
    <t xml:space="preserve">Туристичний збір, сплачений фізичними особами  </t>
  </si>
  <si>
    <t xml:space="preserve">Єдиний податок  </t>
  </si>
  <si>
    <t>Єдиний податок  з фізичних осіб</t>
  </si>
  <si>
    <t xml:space="preserve">Екологічний податок </t>
  </si>
  <si>
    <t>Надходження від скидів забруднюючих речовин безпосередньо у водні об"єкти</t>
  </si>
  <si>
    <t xml:space="preserve">Надходження від розміщення відходів у спеціально відведених місцях чи на об"єктах, крім розміщення окремих видів відходів як вторинної сировини </t>
  </si>
  <si>
    <t>Неподаткові надходження</t>
  </si>
  <si>
    <t>Частина чистого прибутку (доходу)  комунальних унітарних підприємств та їх об"єднань, що вилучається до відповідного місцевого бюджету</t>
  </si>
  <si>
    <t xml:space="preserve">Плата за розміщення тимчасово вільних коштів </t>
  </si>
  <si>
    <t>Адміністративні штрафи та інші санкції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</si>
  <si>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</t>
  </si>
  <si>
    <t>Адміністративні збори та платежі, доходи від некомерційної господарської діяльності</t>
  </si>
  <si>
    <t xml:space="preserve">Адміністративний збір за державну реєстрацію речових прав на нерухоме майно та їх обтяжень </t>
  </si>
  <si>
    <t xml:space="preserve">Плата за надання інших адміністративних послуг </t>
  </si>
  <si>
    <t xml:space="preserve">Надходження від орендної плати за користування цілісним майновим комплексом та іншим майном, що перебуває в комунальній власності </t>
  </si>
  <si>
    <t xml:space="preserve">Державне мито </t>
  </si>
  <si>
    <t>Державне мито, що сплачується за місцем розгляду та оформлення документів, у тому числі за оформлення документів на спадщину і дарування</t>
  </si>
  <si>
    <t>Державне мито, пов`язане з видачею та оформленням закордонних паспортів (посвідок) та паспортів громадян України</t>
  </si>
  <si>
    <t>Інші неподаткові надходження</t>
  </si>
  <si>
    <t xml:space="preserve">Інші надходження </t>
  </si>
  <si>
    <t xml:space="preserve">Надходження коштів пайової участі у розвитку інфраструктури населеного пункту </t>
  </si>
  <si>
    <t>Власні надходження бюджетних установ</t>
  </si>
  <si>
    <t>Надходження від плати за послуги, що надаються бюджетними установами згідно із законодавством</t>
  </si>
  <si>
    <t>Плата за послуги, що надаються бюджетними установами згідно з їх основною діяльністю</t>
  </si>
  <si>
    <t>Надходження бюджетних установ від додаткової (господарської)  діяльності</t>
  </si>
  <si>
    <t>Плата за оренду майна бюджетних установ</t>
  </si>
  <si>
    <t>Надходження  бюджетних установ від реалізації в установленому порядку майна (крім нерухомого майна)</t>
  </si>
  <si>
    <t>Доходи від операцій з капіталом</t>
  </si>
  <si>
    <t>Надходження від продажу основного капіталу</t>
  </si>
  <si>
    <t xml:space="preserve">Кошти від реалізації безхазяйного майна,знахідок, спадкового майна, майна, одержаного територіальною громадою в порядку спадкування чи дарування, а також валютні цінності і грошові кошти, власники яких невідомі </t>
  </si>
  <si>
    <t xml:space="preserve">Кошти  від відчуження майна, яке належить  Автономній Республіці Крим та майна, що знаходиться у комунальній власності </t>
  </si>
  <si>
    <t>Надходження від продажу землі і нематеріальних активів</t>
  </si>
  <si>
    <t xml:space="preserve">Кошти від продажу землі </t>
  </si>
  <si>
    <t>Кошти від продажу прав на земельні ділянки несільськогосподарського призначення, що перебувають у державній або комунальній власності</t>
  </si>
  <si>
    <t xml:space="preserve">Цільові фонди, утворені Верховною радою Автономної Республіки Крим, органами місцевого самоврядування та місцевими органами виконавчої влади </t>
  </si>
  <si>
    <t xml:space="preserve">Субвенції  </t>
  </si>
  <si>
    <t xml:space="preserve">Освітня субвенція з державного бюджету місцевим бюджетам </t>
  </si>
  <si>
    <t>Додаток 2</t>
  </si>
  <si>
    <t>200000</t>
  </si>
  <si>
    <t>Внутрішнє фінансування</t>
  </si>
  <si>
    <t>208100</t>
  </si>
  <si>
    <t>На початок періоду</t>
  </si>
  <si>
    <t>Передача коштів із загального до бюджету розвитку (спеціального фонду)</t>
  </si>
  <si>
    <t xml:space="preserve">Фінансування за борговими операціями </t>
  </si>
  <si>
    <t xml:space="preserve">Запозичення </t>
  </si>
  <si>
    <t>600000</t>
  </si>
  <si>
    <t>Фінансування за активними операціями</t>
  </si>
  <si>
    <t>Надання кредитів</t>
  </si>
  <si>
    <t>Повернення кредитів</t>
  </si>
  <si>
    <t>Хмельницької міської ради</t>
  </si>
  <si>
    <t xml:space="preserve">Пункти Положення </t>
  </si>
  <si>
    <t>Джерела доходів</t>
  </si>
  <si>
    <t>2.1.1.</t>
  </si>
  <si>
    <t>Кошти за надлишки загальної житлової площі при приватизації державного житлового фонду</t>
  </si>
  <si>
    <t>2.1.2.</t>
  </si>
  <si>
    <t>Кошти за тимчасове користування місцями для розміщення зовнішньої реклами</t>
  </si>
  <si>
    <t>2.1.3.</t>
  </si>
  <si>
    <t>Надходження коштів від забудовників, які без відповідного дозволу здійснили або здійснюють роботи по будівництву, реконструкції, реставрації, капітальному ремонту об"єктів містобудування</t>
  </si>
  <si>
    <t>2.1.5.</t>
  </si>
  <si>
    <t xml:space="preserve">Надходження плати за виготовлення бланків і видачу свідоцтв про право власності на житлове (житлові) приміщення у гуртожитку </t>
  </si>
  <si>
    <t xml:space="preserve">Всього по джерелах доходів : </t>
  </si>
  <si>
    <t>Видатки</t>
  </si>
  <si>
    <t>3.2.1.</t>
  </si>
  <si>
    <t>Фінансове забезпечення проведення міських заходів виконавчим комітетом Хмельницької міської ради та управліннями і відділами міської ради</t>
  </si>
  <si>
    <t>3.2.3.</t>
  </si>
  <si>
    <t>Матеріальне забезпечення проведення сесій міської ради, депутатських днів та інших організаційних заходів з діяльності депутатів міської ради</t>
  </si>
  <si>
    <t>3.2.5.</t>
  </si>
  <si>
    <t>3.2.6.</t>
  </si>
  <si>
    <t>Виплата винагороди головам квартальних комітетів</t>
  </si>
  <si>
    <t>3.2.7.</t>
  </si>
  <si>
    <t xml:space="preserve">Спрямування коштів на житлове будівництво, реконструкцію та на ремонт житла всіх форм власності, в т.ч. будинків житлово-будівельних кооперативів (ТОВ "ЖЕО"), об'є́днань співвла́сників багатокварти́рних буди́нків, Будинкоуправління №2  КЕВ м. Хмельницький та будівель і споруд  комунальної власності </t>
  </si>
  <si>
    <t>Здійснення заходів з приватизації, відчуження та передачі в оренду майна комунальної власності</t>
  </si>
  <si>
    <t>Адміністративний збір з проведення державної реєстрації юридичних осіб, фізичних осіб - підприємців та громадських формувань</t>
  </si>
  <si>
    <t>0200000</t>
  </si>
  <si>
    <t>0210000</t>
  </si>
  <si>
    <t>Виконавчий комітет Хмельницької міської ради (головний розпорядник)</t>
  </si>
  <si>
    <t>Виконавчий комітет Хмельницької міської ради  (відповідальний виконавець)</t>
  </si>
  <si>
    <t>0600000</t>
  </si>
  <si>
    <t>0610000</t>
  </si>
  <si>
    <t>0700000</t>
  </si>
  <si>
    <t>0710000</t>
  </si>
  <si>
    <t>0800000</t>
  </si>
  <si>
    <t>0810000</t>
  </si>
  <si>
    <t>1200000</t>
  </si>
  <si>
    <t>1210000</t>
  </si>
  <si>
    <t>1600000</t>
  </si>
  <si>
    <t>1610000</t>
  </si>
  <si>
    <t>3600000</t>
  </si>
  <si>
    <t>3610000</t>
  </si>
  <si>
    <t>2800000</t>
  </si>
  <si>
    <t>2810000</t>
  </si>
  <si>
    <t>2700000</t>
  </si>
  <si>
    <t>2710000</t>
  </si>
  <si>
    <t>3700000</t>
  </si>
  <si>
    <t>3710000</t>
  </si>
  <si>
    <t>0490</t>
  </si>
  <si>
    <t>1014010</t>
  </si>
  <si>
    <t>4010</t>
  </si>
  <si>
    <t>4060</t>
  </si>
  <si>
    <t>0821</t>
  </si>
  <si>
    <t>Фінансова підтримка театрів</t>
  </si>
  <si>
    <t>1014030</t>
  </si>
  <si>
    <t>4030</t>
  </si>
  <si>
    <t>0824</t>
  </si>
  <si>
    <t>Забезпечення діяльності бібліотек</t>
  </si>
  <si>
    <t>1014040</t>
  </si>
  <si>
    <t>4040</t>
  </si>
  <si>
    <t>1014060</t>
  </si>
  <si>
    <t>0828</t>
  </si>
  <si>
    <t>Забезпечення діяльності палаців i будинків культури, клубів, центрів дозвілля та iнших клубних закладів</t>
  </si>
  <si>
    <t>0960</t>
  </si>
  <si>
    <t>0829</t>
  </si>
  <si>
    <t>1113121</t>
  </si>
  <si>
    <t>3121</t>
  </si>
  <si>
    <t>1040</t>
  </si>
  <si>
    <t>5011</t>
  </si>
  <si>
    <t>5012</t>
  </si>
  <si>
    <t>5022</t>
  </si>
  <si>
    <t>1113132</t>
  </si>
  <si>
    <t>3132</t>
  </si>
  <si>
    <t>1090</t>
  </si>
  <si>
    <t>5031</t>
  </si>
  <si>
    <t>5032</t>
  </si>
  <si>
    <t>5061</t>
  </si>
  <si>
    <t>0810</t>
  </si>
  <si>
    <t>5063</t>
  </si>
  <si>
    <t>7670</t>
  </si>
  <si>
    <t>0611010</t>
  </si>
  <si>
    <t>1010</t>
  </si>
  <si>
    <t>1020</t>
  </si>
  <si>
    <t>0910</t>
  </si>
  <si>
    <t>Надання дошкільної освіти</t>
  </si>
  <si>
    <t>0611020</t>
  </si>
  <si>
    <t>0921</t>
  </si>
  <si>
    <t>1030</t>
  </si>
  <si>
    <t>1070</t>
  </si>
  <si>
    <t>0922</t>
  </si>
  <si>
    <t>0611090</t>
  </si>
  <si>
    <t>0930</t>
  </si>
  <si>
    <t>0990</t>
  </si>
  <si>
    <t>2010</t>
  </si>
  <si>
    <t>7640</t>
  </si>
  <si>
    <t>0470</t>
  </si>
  <si>
    <t>0712010</t>
  </si>
  <si>
    <t>0731</t>
  </si>
  <si>
    <t>0712030</t>
  </si>
  <si>
    <t>2030</t>
  </si>
  <si>
    <t>0733</t>
  </si>
  <si>
    <t>Лікарсько-акушерська допомога вагітним, породіллям та новонародженим</t>
  </si>
  <si>
    <t>0712080</t>
  </si>
  <si>
    <t>2080</t>
  </si>
  <si>
    <t>0721</t>
  </si>
  <si>
    <t>0712100</t>
  </si>
  <si>
    <t>2100</t>
  </si>
  <si>
    <t>0722</t>
  </si>
  <si>
    <t>Стоматологічна допомога населенню</t>
  </si>
  <si>
    <t>0712111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</si>
  <si>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</si>
  <si>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</si>
  <si>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0763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</si>
  <si>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</si>
  <si>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0210150</t>
  </si>
  <si>
    <t>0150</t>
  </si>
  <si>
    <t>0111</t>
  </si>
  <si>
    <t>Керівництво і управління у відповідній сфері у містах (місті Києві), селищах, селах, об’єднаних територіальних громадах</t>
  </si>
  <si>
    <t>0160</t>
  </si>
  <si>
    <t>Реалізація Національної програми інформатизації</t>
  </si>
  <si>
    <t>0217520</t>
  </si>
  <si>
    <t>7520</t>
  </si>
  <si>
    <t>0460</t>
  </si>
  <si>
    <t>0218410</t>
  </si>
  <si>
    <t>8410</t>
  </si>
  <si>
    <t>0830</t>
  </si>
  <si>
    <t>Фінансова підтримка засобів масової інформації</t>
  </si>
  <si>
    <t>0219710</t>
  </si>
  <si>
    <t>9710</t>
  </si>
  <si>
    <t>0210180</t>
  </si>
  <si>
    <t>Інша діяльність у сфері державного управління</t>
  </si>
  <si>
    <t>Заходи з організації рятування на водах</t>
  </si>
  <si>
    <t>8120</t>
  </si>
  <si>
    <t>0320</t>
  </si>
  <si>
    <t>2717630</t>
  </si>
  <si>
    <t>Реалізація програм і заходів в галузі зовнішньоекономічної діяльності</t>
  </si>
  <si>
    <t>7630</t>
  </si>
  <si>
    <t>Інші заходи, пов'язані з економічною діяльністю</t>
  </si>
  <si>
    <t>2717693</t>
  </si>
  <si>
    <t>7693</t>
  </si>
  <si>
    <t>Сприяння розвитку малого та середнього підприємництва</t>
  </si>
  <si>
    <t>0411</t>
  </si>
  <si>
    <t>2717610</t>
  </si>
  <si>
    <t>7610</t>
  </si>
  <si>
    <t>Реалізація інших заходів щодо соціально-економічного розвитку територій</t>
  </si>
  <si>
    <t>0813160</t>
  </si>
  <si>
    <t>3160</t>
  </si>
  <si>
    <t>3104</t>
  </si>
  <si>
    <t>3105</t>
  </si>
  <si>
    <t>0813104</t>
  </si>
  <si>
    <t>0813105</t>
  </si>
  <si>
    <t>0813031</t>
  </si>
  <si>
    <t>3031</t>
  </si>
  <si>
    <t>Надання інших пільг окремим категоріям громадян відповідно до законодавства</t>
  </si>
  <si>
    <t>0813032</t>
  </si>
  <si>
    <t>3032</t>
  </si>
  <si>
    <t>3035</t>
  </si>
  <si>
    <t>0813033</t>
  </si>
  <si>
    <t>3033</t>
  </si>
  <si>
    <t>0813035</t>
  </si>
  <si>
    <t>0813036</t>
  </si>
  <si>
    <t>3036</t>
  </si>
  <si>
    <t>1216011</t>
  </si>
  <si>
    <t>6011</t>
  </si>
  <si>
    <t>Експлуатація та технічне обслуговування житлового фонду</t>
  </si>
  <si>
    <t>0620</t>
  </si>
  <si>
    <t>1216017</t>
  </si>
  <si>
    <t>6017</t>
  </si>
  <si>
    <t>6013</t>
  </si>
  <si>
    <t>Забезпечення діяльності водопровідно-каналізаційного господарства</t>
  </si>
  <si>
    <t>1216030</t>
  </si>
  <si>
    <t>6030</t>
  </si>
  <si>
    <t>Організація благоустрою населених пунктів</t>
  </si>
  <si>
    <t>7426</t>
  </si>
  <si>
    <t>Інші заходи у сфері електротранспорту</t>
  </si>
  <si>
    <t>0453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</si>
  <si>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</si>
  <si>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</si>
  <si>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0456</t>
  </si>
  <si>
    <t>1217640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</si>
  <si>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</si>
  <si>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</si>
  <si>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0217680</t>
  </si>
  <si>
    <t>7680</t>
  </si>
  <si>
    <t>1216015</t>
  </si>
  <si>
    <t>6015</t>
  </si>
  <si>
    <t>Забезпечення надійної та безперебійної експлуатації ліфтів</t>
  </si>
  <si>
    <t>0443</t>
  </si>
  <si>
    <t>7310</t>
  </si>
  <si>
    <t>3617130</t>
  </si>
  <si>
    <t>7130</t>
  </si>
  <si>
    <t>0421</t>
  </si>
  <si>
    <t>Будівництвоˈ  освітніх установ та закладів</t>
  </si>
  <si>
    <t>1517321</t>
  </si>
  <si>
    <t>7321</t>
  </si>
  <si>
    <t>1517325</t>
  </si>
  <si>
    <t>7325</t>
  </si>
  <si>
    <t>1517330</t>
  </si>
  <si>
    <t>7330</t>
  </si>
  <si>
    <t>№ п/п</t>
  </si>
  <si>
    <t>Код КПКВ</t>
  </si>
  <si>
    <t>Заходи, на які виділяються кошти</t>
  </si>
  <si>
    <t>Проведення експертної грошової оцінки земельної ділянки несільськогосподарського призначення</t>
  </si>
  <si>
    <t>%</t>
  </si>
  <si>
    <t>Забезпечення діяльності інших закладів у сфері охорони здоров’я</t>
  </si>
  <si>
    <t>Інші програми та заходи у сфері охорони здоров’я</t>
  </si>
  <si>
    <t>0712151</t>
  </si>
  <si>
    <t>0712152</t>
  </si>
  <si>
    <t>2151</t>
  </si>
  <si>
    <t>2152</t>
  </si>
  <si>
    <t>0813192</t>
  </si>
  <si>
    <t>3192</t>
  </si>
  <si>
    <t>0813241</t>
  </si>
  <si>
    <t>0813242</t>
  </si>
  <si>
    <t>3241</t>
  </si>
  <si>
    <t>3242</t>
  </si>
  <si>
    <t>Забезпечення діяльності інших закладів у сфері соціального захисту і соціального забезпечення</t>
  </si>
  <si>
    <t>Інші заходи у сфері соціального захисту і соціального забезпечення</t>
  </si>
  <si>
    <t>1014081</t>
  </si>
  <si>
    <t>4081</t>
  </si>
  <si>
    <t>1014082</t>
  </si>
  <si>
    <t>4082</t>
  </si>
  <si>
    <t>Інші програми та заходи у сфері освіти</t>
  </si>
  <si>
    <t>7691</t>
  </si>
  <si>
    <t>0217691</t>
  </si>
  <si>
    <t>0610</t>
  </si>
  <si>
    <t>6084</t>
  </si>
  <si>
    <t>1116084</t>
  </si>
  <si>
    <t xml:space="preserve">Кошти від продажу земельних ділянок  несільськогосподарського призначення, що перебувають у державній або комунальній власності </t>
  </si>
  <si>
    <t xml:space="preserve">Дотація з місцевого бюджету на здійснення  переданих з державного бюджету видатків з утримання закладів освіти та охорони здоров"я за рахунок відповідної дотації з державного бюджету </t>
  </si>
  <si>
    <t xml:space="preserve">Дотації з місцевих бюджетів іншим місцевим бюджетам </t>
  </si>
  <si>
    <t>Амбулаторно-поліклінічна допомога населенню, крім первинної медичної допомоги</t>
  </si>
  <si>
    <t>0726</t>
  </si>
  <si>
    <t>3180</t>
  </si>
  <si>
    <t>0813180</t>
  </si>
  <si>
    <t>Проведення навчально-тренувальних зборів і змагань та заходів зі спорту осіб з інвалідністю</t>
  </si>
  <si>
    <t>7370</t>
  </si>
  <si>
    <t>1113133</t>
  </si>
  <si>
    <t>3133</t>
  </si>
  <si>
    <t>Інші заходи та заклади молодіжної політики</t>
  </si>
  <si>
    <t>Управління економіки Хмельницької міської ради (головний розпорядник)</t>
  </si>
  <si>
    <t>Управління економіки Хмельницької міської ради (відповідальний виконавець)</t>
  </si>
  <si>
    <t xml:space="preserve">Зовнішнє фінансування </t>
  </si>
  <si>
    <t xml:space="preserve">Позики, надані міжнародними організаціями </t>
  </si>
  <si>
    <t>Одержано позик</t>
  </si>
  <si>
    <t xml:space="preserve">Погашено позик </t>
  </si>
  <si>
    <t>Зовнішні запозичення</t>
  </si>
  <si>
    <t xml:space="preserve">Погашення </t>
  </si>
  <si>
    <t>0170</t>
  </si>
  <si>
    <t>9770</t>
  </si>
  <si>
    <t>Інші субвенції з місцевого бюджету</t>
  </si>
  <si>
    <t>6082</t>
  </si>
  <si>
    <t>Придбання житла для окремих категорій населення відповідно до законодавства</t>
  </si>
  <si>
    <t>0816082</t>
  </si>
  <si>
    <t>3617650</t>
  </si>
  <si>
    <t>7650</t>
  </si>
  <si>
    <t>Проведення експертної грошової оцінки земельної ділянки чи права на неї</t>
  </si>
  <si>
    <t>Організація та проведення громадських робіт</t>
  </si>
  <si>
    <t>3210</t>
  </si>
  <si>
    <t>1050</t>
  </si>
  <si>
    <t>Управління капітального будівництва Департаменту архітектури, містобудування та земельних ресурсів Хмельницької міської ради (головний розпорядник)</t>
  </si>
  <si>
    <t xml:space="preserve">Плата за встановлення земельного сервітуту </t>
  </si>
  <si>
    <t xml:space="preserve"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 </t>
  </si>
  <si>
    <t>6012</t>
  </si>
  <si>
    <t>Забезпечення діяльності з виробництва, транспортування, постачання теплової енергії</t>
  </si>
  <si>
    <t>Найменування згідно з Класифікацією фінансування бюджету</t>
  </si>
  <si>
    <t xml:space="preserve">Фінансування за типом кредитора </t>
  </si>
  <si>
    <t>Загальне фінансування</t>
  </si>
  <si>
    <t>Х</t>
  </si>
  <si>
    <t xml:space="preserve">Фінансування за типом боргового зобов'язання </t>
  </si>
  <si>
    <t>Усього</t>
  </si>
  <si>
    <t>усього</t>
  </si>
  <si>
    <t>у тому числі бюджет розвитку</t>
  </si>
  <si>
    <t>загальний фонд</t>
  </si>
  <si>
    <t>спеціальний фонд</t>
  </si>
  <si>
    <t>разом</t>
  </si>
  <si>
    <t>Кредитування, усього</t>
  </si>
  <si>
    <t>Код Функціональної класифікації видатків та кредитування бюджету</t>
  </si>
  <si>
    <t>УСЬОГО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</si>
  <si>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</si>
  <si>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</si>
  <si>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</si>
  <si>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</si>
  <si>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</si>
  <si>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</si>
  <si>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</si>
  <si>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</si>
  <si>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</si>
  <si>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</si>
  <si>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</si>
  <si>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</si>
  <si>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(грн)</t>
  </si>
  <si>
    <t>Сума, грн</t>
  </si>
  <si>
    <t>Проведення науково-технічних конференцій і семінарів, організація виставок, фестивалів та інших заходів щодо пропаганди охорони навколишнього природного середовища, видання поліграфічної продукції з екологічної тематики тощо</t>
  </si>
  <si>
    <t>Рішення 19-ї сесії Хмельницької міської ради від 21.02.2001 року №6</t>
  </si>
  <si>
    <t>Рішення 11-ї сесії Хмельницької міської ради від 25.01.2017 року №20</t>
  </si>
  <si>
    <t>Рішення позачергової 10-ї сесії Хмельницької міської ради від 29.12.2016 року №1</t>
  </si>
  <si>
    <t>Оформлення передплати на газети організаціям інвалідів, ветеранів війни і праці, окремим категоріям громадян</t>
  </si>
  <si>
    <t>Рішення позачергової 10-ї сесії Хмельницької міської ради від 29.12.2016 року №4</t>
  </si>
  <si>
    <t>Рішення позачергової 10-ї сесії Хмельницької міської ради від 29.12.2016 року №2</t>
  </si>
  <si>
    <t>7413</t>
  </si>
  <si>
    <t>0451</t>
  </si>
  <si>
    <t>Інші заходи у сфері автотранспорту</t>
  </si>
  <si>
    <t>0810160</t>
  </si>
  <si>
    <t>0710160</t>
  </si>
  <si>
    <t>1510160</t>
  </si>
  <si>
    <t>3610160</t>
  </si>
  <si>
    <t>1610160</t>
  </si>
  <si>
    <t>3710160</t>
  </si>
  <si>
    <t>1210160</t>
  </si>
  <si>
    <t>2810160</t>
  </si>
  <si>
    <t>0817691</t>
  </si>
  <si>
    <t>1217691</t>
  </si>
  <si>
    <t>Рішення 21-ї сесії Хмельницької міської ради від 11.04.2018 року №11</t>
  </si>
  <si>
    <t>у тому числі  бюджет розвитку</t>
  </si>
  <si>
    <t>Офіційні трансферти</t>
  </si>
  <si>
    <t>0813210</t>
  </si>
  <si>
    <t>Забезпечення діяльності інклюзивно-ресурсних центрів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</si>
  <si>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</si>
  <si>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0613140</t>
  </si>
  <si>
    <t>3140</t>
  </si>
  <si>
    <t>1515043</t>
  </si>
  <si>
    <t>Створення нових, будівельно-ремонтні роботи існуючих палаців спорту та завершення розпочатих у попередньому періоді робіт з будівництва/реконструкції палаців спорту</t>
  </si>
  <si>
    <t>5043</t>
  </si>
  <si>
    <t>0717670</t>
  </si>
  <si>
    <t>Програма «Здоров’я хмельничан» на 2017-2021 роки (із змінами і доповненнями)</t>
  </si>
  <si>
    <t>2018 - 2022 роки</t>
  </si>
  <si>
    <t>1517370</t>
  </si>
  <si>
    <t xml:space="preserve">Субвенції з державного бюджету місцевим бюджетам </t>
  </si>
  <si>
    <t>Залишок коштів на 01.01.2020 року</t>
  </si>
  <si>
    <t>Видатки, що здійснюються згідно розпоряджень міського голови, рішень міської ради та її виконавчого комітету (в т.ч. оплата подарунків, квітів, сувенірної продукції, рамок, грамот, подяк, кубків і т.д)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</si>
  <si>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</t>
  </si>
  <si>
    <t>Республіки Крим, органами місцевого самоврядування і місцевими органами виконавчої влади</t>
  </si>
  <si>
    <t>Членські внески до асоціацій органів місцевого самоврядування</t>
  </si>
  <si>
    <t>Субвенція з місцевого бюджету на утримання об'єктів спільного користування чи ліквідацію негативних наслідків діяльності об'єктів спільного користування</t>
  </si>
  <si>
    <t>1900000</t>
  </si>
  <si>
    <t>1910000</t>
  </si>
  <si>
    <t>Управління транспорту та зв'язку Хмельницької міської ради (головний розпорядник)</t>
  </si>
  <si>
    <t>Управління транспорту та зв'язку Хмельницької міської ради (відповідальний виконавець)</t>
  </si>
  <si>
    <t>1910160</t>
  </si>
  <si>
    <t>Програма створення та розвитку індустріального парку "Хмельницький"  (із змінами і доповненнями)</t>
  </si>
  <si>
    <t>Програма
бюджетування за участі громадськості (Бюджет участі) міста Хмельницького на 2020 - 2022 роки</t>
  </si>
  <si>
    <t>Рішення 32-ї сесії Хмельницької міської ради від 26.06.2019 року №9</t>
  </si>
  <si>
    <t>Реверсна дотація</t>
  </si>
  <si>
    <t>Обслуговування місцевого боргу</t>
  </si>
  <si>
    <t xml:space="preserve"> 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</si>
  <si>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Надання пільг населенню (крім ветеранів війни і праці, військової служби, органів внутрішніх справ та громадян, які постраждали внаслідок Чорнобильської катастрофи) на оплату житлово-комунальних послуг</t>
  </si>
  <si>
    <t>Надання реабілітаційних послуг особам з інвалідністю та дітям з інвалідністю</t>
  </si>
  <si>
    <t>Надання пільгових довгострокових кредитів молодим сім'ям та одиноким молодим громадянам на будівництво/придбання житла</t>
  </si>
  <si>
    <t>1118821</t>
  </si>
  <si>
    <t>1118822</t>
  </si>
  <si>
    <t>8821</t>
  </si>
  <si>
    <t>8822</t>
  </si>
  <si>
    <t>Здійснення заходів із землеустрою</t>
  </si>
  <si>
    <t>Будівництвоˈ інших об'єктів комунальної власності</t>
  </si>
  <si>
    <t>Забезпечення діяльності музеїв i виставок</t>
  </si>
  <si>
    <t>Забезпечення діяльності інших закладів в галузі культури і мистецтва</t>
  </si>
  <si>
    <t>Інші заходи в галузі культури і мистецтва</t>
  </si>
  <si>
    <t>Інша діяльність, пов’язана з експлуатацією об’єктів житлово-комунального господарства</t>
  </si>
  <si>
    <t>1917413</t>
  </si>
  <si>
    <t>1917426</t>
  </si>
  <si>
    <t>Будівництвоˈ об'єктів житлово-комунального господарства</t>
  </si>
  <si>
    <t xml:space="preserve">     Виплата грошової винагороди у розмірі, передбаченому Положенням про звання "Почесний громадянин міста Хмельницького", Положенням "Про почесну відзнаку міської громади "Мужність і відвага""</t>
  </si>
  <si>
    <t>Надання грошової допомоги за поданням секретаря ради, або керуючого справами виконавчого комітету на підставі рішення виконавчого комітету Хмельницької міської ради для поховання:   загиблих та померлих учасників ООС; Почесних громадян міста; інших осіб.</t>
  </si>
  <si>
    <t>3.2.4.</t>
  </si>
  <si>
    <t>3.2.10.</t>
  </si>
  <si>
    <t>3.2.15.</t>
  </si>
  <si>
    <t xml:space="preserve">Субвенції з місцевих бюджетів іншим місцевим бюджетам </t>
  </si>
  <si>
    <t>Субвенція з місцевого бюджету на здійснення переданих видатків у сфері освіти за рахунок коштів освітньої субвенції</t>
  </si>
  <si>
    <t>0712144</t>
  </si>
  <si>
    <t>2144</t>
  </si>
  <si>
    <t>Централізовані заходи з лікування хворих на цукровий та нецукровий діабет</t>
  </si>
  <si>
    <t>0813050</t>
  </si>
  <si>
    <t>3050</t>
  </si>
  <si>
    <t>Пільгове медичне обслуговування осіб, які постраждали внаслідок Чорнобильської катастрофи</t>
  </si>
  <si>
    <t>0813090</t>
  </si>
  <si>
    <t>3090</t>
  </si>
  <si>
    <t>Видатки на поховання учасників бойових дій та осіб з інвалідністю внаслідок війни</t>
  </si>
  <si>
    <t>0813171</t>
  </si>
  <si>
    <t>3171</t>
  </si>
  <si>
    <t>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</si>
  <si>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Цільові фонди </t>
  </si>
  <si>
    <t>Усього доходів (без врахування міжбюджетних трансфертів)</t>
  </si>
  <si>
    <t>Рішення 34-ї сесії Хмельницької міської ради від 09.10.2019 року №38</t>
  </si>
  <si>
    <t>(код бюджету)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</si>
  <si>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</si>
  <si>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</si>
  <si>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Додаток 3</t>
  </si>
  <si>
    <t>УСЬОГО:</t>
  </si>
  <si>
    <t>Найменування місцевої / регіональної програми</t>
  </si>
  <si>
    <t>Дата і номер документа, яким затверджено місцеву / регіональну програму</t>
  </si>
  <si>
    <t>Надання загальної середньої освіти спеціальними закладами загальної середньої освіти для дітей, які потребують корекції фізичного та/або розумового розвитку</t>
  </si>
  <si>
    <t>0611030</t>
  </si>
  <si>
    <t>Надання позашкільної освіти закладами позашкільної освіти, заходи із позашкільної роботи з дітьми</t>
  </si>
  <si>
    <t>Підготовка кадрів закладами професійної (професійно-технічної) освіти та іншими закладами освіти</t>
  </si>
  <si>
    <t>Забезпечення діяльності інших закладів у сфері освіти</t>
  </si>
  <si>
    <t>Повернення довгострокових кредитів, наданих громадянам на будівництво/реконструкцію/придбання житла</t>
  </si>
  <si>
    <t>1118842</t>
  </si>
  <si>
    <t>8842</t>
  </si>
  <si>
    <t>0712020</t>
  </si>
  <si>
    <t>Спеціалізована стаціонарна медична допомога населенню</t>
  </si>
  <si>
    <t>0732</t>
  </si>
  <si>
    <t>2020</t>
  </si>
  <si>
    <t>0719770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</si>
  <si>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</si>
  <si>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</si>
  <si>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1115062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</si>
  <si>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</si>
  <si>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</si>
  <si>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</si>
  <si>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1517324</t>
  </si>
  <si>
    <t>7324</t>
  </si>
  <si>
    <t>8110</t>
  </si>
  <si>
    <t>Заходи із запобігання та ліквідації надзвичайних ситуацій та наслідків стихійного лиха</t>
  </si>
  <si>
    <t>Придбання обладнання і предметів довгострокового користування</t>
  </si>
  <si>
    <t>2017 - 2022 роки</t>
  </si>
  <si>
    <t>2019 - 2021 роки</t>
  </si>
  <si>
    <t>Реставрація Хмельницького міського будинку культури по вул.Проскурівській, 43 в м. Хмельницькому</t>
  </si>
  <si>
    <t>2015 - 2022 роки</t>
  </si>
  <si>
    <t xml:space="preserve">М. КРИВАК </t>
  </si>
  <si>
    <t xml:space="preserve">Начальник фінансового управління </t>
  </si>
  <si>
    <t xml:space="preserve">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</si>
  <si>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С. ЯМЧУК </t>
  </si>
  <si>
    <t xml:space="preserve">Начальник фінансового управління                                                                                                                                                                                                            С. ЯМЧУК </t>
  </si>
  <si>
    <t xml:space="preserve">                    Секретар міської ради </t>
  </si>
  <si>
    <t xml:space="preserve">Рентна плата та плата за використання ішших природних ресурсів </t>
  </si>
  <si>
    <t xml:space="preserve">Рентна плата за спеціальне використання лісових ресурсів </t>
  </si>
  <si>
    <t>Рентна плата за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</t>
  </si>
  <si>
    <t xml:space="preserve">Рентна плата за користування надрами </t>
  </si>
  <si>
    <t xml:space="preserve">Рентна плата за користуваання надрами для видобудування корисних копалин загальнодержавного значення </t>
  </si>
  <si>
    <t>Вільний залишок коштів на 01.01.2021  року:</t>
  </si>
  <si>
    <t>Внутрішні податки на товари та послуги</t>
  </si>
  <si>
    <t>Інші податки та збори</t>
  </si>
  <si>
    <t>Надходження  від викидів забруднюючих речовин в атмосферне повітря стаціонарними джерелами забруднення (за винятком викидів в атмосферне повітря двоокису вуглецю)</t>
  </si>
  <si>
    <t>Доходи від власності та підприємницької діяльності</t>
  </si>
  <si>
    <t>Частина чистого прибутку (доходу)  державних або кумунальних унітраних підприємств та їх обєднань, що вилучається до відповідного бюджету</t>
  </si>
  <si>
    <t>Плата за надання адміністративних послуг</t>
  </si>
  <si>
    <t>Надходження від орендної плати за користування цілісним майновим комплексом та іншим державним майном</t>
  </si>
  <si>
    <t xml:space="preserve">Кошти від реалізації скарбів, майна, одержаного державною або територіальною громадою  в порядку спадкування чи дарування, а також валютні цінності і грошові кошти, власники яких невідомі </t>
  </si>
  <si>
    <t xml:space="preserve">Єдиний податок з сільськогосподарських товаровиробників, у яких частка сільськогосподарського виробництва за попередній податковий (звітний) рік дорівнює або перевищує 75 відсотків </t>
  </si>
  <si>
    <t>Забезпечення екологічно безпечного збирання, перевезення, зберігання, оброблення, утилізації, видалення, знешкодження і захоронення відходів та небезпечних хімічних речовин, в тому числі ліквідація стихійних сміттєзвалищ</t>
  </si>
  <si>
    <t>1400000</t>
  </si>
  <si>
    <t>1410000</t>
  </si>
  <si>
    <t>1410160</t>
  </si>
  <si>
    <t>1410180</t>
  </si>
  <si>
    <t>1416012</t>
  </si>
  <si>
    <t>1416013</t>
  </si>
  <si>
    <t>1416020</t>
  </si>
  <si>
    <t>1416030</t>
  </si>
  <si>
    <t>1417310</t>
  </si>
  <si>
    <t>1417461</t>
  </si>
  <si>
    <t>1417640</t>
  </si>
  <si>
    <t>1417670</t>
  </si>
  <si>
    <t>1417691</t>
  </si>
  <si>
    <t>1418110</t>
  </si>
  <si>
    <t>1418120</t>
  </si>
  <si>
    <t>1418130</t>
  </si>
  <si>
    <t>8130</t>
  </si>
  <si>
    <t>Забезпечення діяльності місцевої пожежної охорони</t>
  </si>
  <si>
    <t>2021 рік</t>
  </si>
  <si>
    <t>Управління комунальної інфраструктури Хмельницької міської ради (головний розпорядник)</t>
  </si>
  <si>
    <t>Управління комунальної інфраструктури Хмельницької міської ради (відповідальний виконавець)</t>
  </si>
  <si>
    <t>Управління житлової політики і майна Хмельницької міської ради (головний розпорядник)</t>
  </si>
  <si>
    <t>Управління житлової політики і майна Хмельницької міської ради (відповідальний виконавець)</t>
  </si>
  <si>
    <t>Індивідуальне навчання, оляг сиротам, субвенція на інелюзію</t>
  </si>
  <si>
    <t>Індивідуальне навчання, одяг сиротам</t>
  </si>
  <si>
    <t>Виплата 1810 грн сиротам при досягненні 18 років</t>
  </si>
  <si>
    <t>РОЗПОДІЛ</t>
  </si>
  <si>
    <t>Найменування головного розпорядника коштів бюджету 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</si>
  <si>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доходів та видатків цільового фонду</t>
  </si>
  <si>
    <t>КОШТОРИС</t>
  </si>
  <si>
    <t>природоохоронних заходів,</t>
  </si>
  <si>
    <t>ПЕРЕЛІК</t>
  </si>
  <si>
    <t>КРЕДИТУВАННЯ</t>
  </si>
  <si>
    <t>ФІНАНСУВАННЯ</t>
  </si>
  <si>
    <t>Найменування головного розпорядника коштів бюджету Хмельницької міської територіальної громади 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</si>
  <si>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22530000000</t>
  </si>
  <si>
    <t>Державний бюджет України</t>
  </si>
  <si>
    <t>0219770</t>
  </si>
  <si>
    <t>22317200000</t>
  </si>
  <si>
    <t>Районний бюджет Хмельницького району</t>
  </si>
  <si>
    <t>Бюджет Красилівської міської територіальної громади</t>
  </si>
  <si>
    <t>22548000000</t>
  </si>
  <si>
    <t>Бюджет Заслучненської сільської територіальної громади</t>
  </si>
  <si>
    <t>22522000000</t>
  </si>
  <si>
    <t>Бюджет Чорноострівської селищної територіальної громади</t>
  </si>
  <si>
    <t>Програма розвитку освіти Хмельницької міської територіальної громади на 2017-2021 роки (із змінами і доповненнями)</t>
  </si>
  <si>
    <t>Комплексна програма «Піклування» в Хмельницькій міській територіальній громаді на 2017 - 2021 роки (із змінами і доповненнями)</t>
  </si>
  <si>
    <t>0210160</t>
  </si>
  <si>
    <t>Програма утримання та розвитку житлово-комунального господарства та благоустрою Хмельницької міської територіальної громади на 2017-2021 роки. (зі змінами)</t>
  </si>
  <si>
    <t>Рішення позачергової 10-ї сесії  Хмельницької міської ради від 29.12.2016 року № 6</t>
  </si>
  <si>
    <t>Рішення 42-ї сесії Хмельницької міської ради від 17.06.2020 року №39</t>
  </si>
  <si>
    <t>Програма популяризації та ефективного впрвадження програм у сфері житлово-комунального господарства на 2019-2023 роки</t>
  </si>
  <si>
    <t>1019770</t>
  </si>
  <si>
    <t>Програма
підтримки обдарованих дітей м.Хмельницького</t>
  </si>
  <si>
    <t>Комплексна програма реалізації молодіжної політики та розвитку фізичної культури і спорту у Хмельницькій міській територіальній громаді на 2017 - 2021 роки (із змінами і доповненнями)</t>
  </si>
  <si>
    <t>Рішення 29-ї сесії Хмельницької міської ради від 13.02.2019 року №31</t>
  </si>
  <si>
    <t>Рішення 42-ї сесії Хмельницької міської ради від 17.06.2020 року №40</t>
  </si>
  <si>
    <t>Рішення позачергової 46-ї сесії Хмельницької міської ради від 07.10.2020 року №3</t>
  </si>
  <si>
    <t>Плата за гарантії, надані Верховною Радою Автономної Республіки    Крим та міськими радами</t>
  </si>
  <si>
    <t>Додаток №5</t>
  </si>
  <si>
    <t>Додаток №7</t>
  </si>
  <si>
    <t>Додаток 8</t>
  </si>
  <si>
    <t>Додаток  9</t>
  </si>
  <si>
    <t>Найменування трансферту /
Найменування бюджету – надавача міжбюджетного трансферту</t>
  </si>
  <si>
    <t>Код Класифікації доходу бюджету /
Код бюджету</t>
  </si>
  <si>
    <t>І. Трансферти до загального фонду бюджету</t>
  </si>
  <si>
    <t>ІІ. Трансферти до спеціального фонду бюджету</t>
  </si>
  <si>
    <t>УСЬОГО за розділами І, ІІ, у тому числі:</t>
  </si>
  <si>
    <t>Код Програмної класифікації видатків та кредитування місцевого бюджету /
Код бюджету</t>
  </si>
  <si>
    <t>Найменування трансферту /
Найменування бюджету – отримувача міжбюджетного трансферту</t>
  </si>
  <si>
    <t>І. Трансферти із загального фонду бюджету</t>
  </si>
  <si>
    <t>ІІ. Трансферти із спеціального фонду бюджету</t>
  </si>
  <si>
    <t>3719110</t>
  </si>
  <si>
    <t>9110</t>
  </si>
  <si>
    <t>41033900</t>
  </si>
  <si>
    <t>41030000</t>
  </si>
  <si>
    <t>1117670</t>
  </si>
  <si>
    <t>2019 - 2023 роки</t>
  </si>
  <si>
    <t>22100000000</t>
  </si>
  <si>
    <t>Обласний бюджет Хмельницької області</t>
  </si>
  <si>
    <t>41040000</t>
  </si>
  <si>
    <t>41040200</t>
  </si>
  <si>
    <t>41050000</t>
  </si>
  <si>
    <t xml:space="preserve">Субвеції з місцевих бюджетів іншим місцевим бюджетам </t>
  </si>
  <si>
    <t>41051000</t>
  </si>
  <si>
    <t xml:space="preserve">Субвенції з місцевого бюджету на здійснення переданих видатків у сфері освіти за рахунок коштів освітньої субвенції </t>
  </si>
  <si>
    <t>41051200</t>
  </si>
  <si>
    <t>41055000</t>
  </si>
  <si>
    <t xml:space="preserve">Освітня субвенція  </t>
  </si>
  <si>
    <t xml:space="preserve">Дотація з місцевого бюджету на здійснення переданих з державного бюджету видатків з утримання закладів освіти та охорони здоров'я за рахунок відповідної дотації з державного бюджету </t>
  </si>
  <si>
    <t xml:space="preserve">Субвенції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</si>
  <si>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</t>
  </si>
  <si>
    <t xml:space="preserve">Пальне </t>
  </si>
  <si>
    <t>Акцизний податок з вироблених в Україні підакцизних товарів (продукції)</t>
  </si>
  <si>
    <t>Акцизний податок з ввезених на митну територію  України підакцизних товарів (продукції)</t>
  </si>
  <si>
    <t>0210170</t>
  </si>
  <si>
    <t>0131</t>
  </si>
  <si>
    <t>Підвищення кваліфікації депутатів місцевих рад та посадових осіб місцевого самоврядування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</si>
  <si>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житлово-комунального господарства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</si>
  <si>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освітніх установ та закладів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</si>
  <si>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культури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</si>
  <si>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споруд, установ та закладів фізичної культури і спорту</t>
    </r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</si>
  <si>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інших об'єктів комунальної власності</t>
    </r>
  </si>
  <si>
    <t>1210170</t>
  </si>
  <si>
    <t>0810170</t>
  </si>
  <si>
    <t>1410170</t>
  </si>
  <si>
    <t>1510170</t>
  </si>
  <si>
    <t>1610170</t>
  </si>
  <si>
    <t>1910170</t>
  </si>
  <si>
    <t>2810170</t>
  </si>
  <si>
    <t>3710170</t>
  </si>
  <si>
    <t>Надання фінансової підтримки громадським об'єднанням ветеранів і осіб з інвалідністю, діяльність яких має соціальну спрямованість</t>
  </si>
  <si>
    <t>1011080</t>
  </si>
  <si>
    <t>1080</t>
  </si>
  <si>
    <t>Утримання та забезпечення діяльності центрів соціальних служб</t>
  </si>
  <si>
    <t>Витрати, пов’язані з наданням та обслуговуванням пільгових довгострокових кредитів, наданих громадянам на будівництво/реконструкцію/ придбання житла</t>
  </si>
  <si>
    <t>Резервний фонд місцевого бюджету</t>
  </si>
  <si>
    <t>0611021</t>
  </si>
  <si>
    <t>1021</t>
  </si>
  <si>
    <t>Надання загальної середньої освіти закладами загальної середньої освіти</t>
  </si>
  <si>
    <t>Надання загальної середньої освіти за рахунок коштів місцевого бюджету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</si>
  <si>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</si>
  <si>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</si>
  <si>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</si>
  <si>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0611160</t>
  </si>
  <si>
    <t>1160</t>
  </si>
  <si>
    <t>Забезпечення діяльності центрів професійного розвитку педагогічних працівників</t>
  </si>
  <si>
    <t>0611022</t>
  </si>
  <si>
    <t>1022</t>
  </si>
  <si>
    <t>0611180</t>
  </si>
  <si>
    <t>1180</t>
  </si>
  <si>
    <t>Виконання заходів, спрямованих на забезпечення якісної, сучасної та доступної загальної середньої освіти «Нова українська школа»</t>
  </si>
  <si>
    <t>0611181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</si>
  <si>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</si>
  <si>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"Нова українська школа"</t>
  </si>
  <si>
    <t>Надання загальної середньої освіти за рахунок освітньої субвенції</t>
  </si>
  <si>
    <t>0611031</t>
  </si>
  <si>
    <t>1031</t>
  </si>
  <si>
    <t>0611070</t>
  </si>
  <si>
    <t>0611091</t>
  </si>
  <si>
    <t>1091</t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</si>
  <si>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</si>
  <si>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t>1092</t>
  </si>
  <si>
    <t>0611092</t>
  </si>
  <si>
    <t>Підготовка кадрів закладами професійної (професійно-технічної) освіти та іншими закладами освіти за рахунок освітньої субвенції</t>
  </si>
  <si>
    <t>1140</t>
  </si>
  <si>
    <t>0611140</t>
  </si>
  <si>
    <t>Інші програми, заклади та заходи у сфері освіти</t>
  </si>
  <si>
    <t>0611141</t>
  </si>
  <si>
    <t>1141</t>
  </si>
  <si>
    <t>0611142</t>
  </si>
  <si>
    <t>1142</t>
  </si>
  <si>
    <t>0611150</t>
  </si>
  <si>
    <t>1150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</si>
  <si>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</si>
  <si>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</si>
  <si>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</si>
  <si>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</si>
  <si>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</si>
  <si>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</si>
  <si>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0210100</t>
  </si>
  <si>
    <t>0100</t>
  </si>
  <si>
    <t>Державне управління</t>
  </si>
  <si>
    <t>0217500</t>
  </si>
  <si>
    <t>7500</t>
  </si>
  <si>
    <t>Зв'язок, телекомунікації та інформатика</t>
  </si>
  <si>
    <t>Інші програми та заходи, пов'язані з економічною діяльністю</t>
  </si>
  <si>
    <t>0217600</t>
  </si>
  <si>
    <t>7600</t>
  </si>
  <si>
    <t>Інша економічна діяльність</t>
  </si>
  <si>
    <t>0217690</t>
  </si>
  <si>
    <t>7690</t>
  </si>
  <si>
    <t>0218000</t>
  </si>
  <si>
    <t>8000</t>
  </si>
  <si>
    <t>Інша діяльність</t>
  </si>
  <si>
    <t>0218400</t>
  </si>
  <si>
    <t>8400</t>
  </si>
  <si>
    <t>Засоби масової інформації</t>
  </si>
  <si>
    <t>0219000</t>
  </si>
  <si>
    <t>9000</t>
  </si>
  <si>
    <t>Міжбюджетні трансферти</t>
  </si>
  <si>
    <t>0219700</t>
  </si>
  <si>
    <t>9700</t>
  </si>
  <si>
    <t>Субвенції з місцевого бюджету іншим місцевим бюджетам на здійснення програм та заходів за рахунок коштів місцевих бюджетів</t>
  </si>
  <si>
    <t>0611000</t>
  </si>
  <si>
    <t>1000</t>
  </si>
  <si>
    <t>Освіта</t>
  </si>
  <si>
    <t>0613000</t>
  </si>
  <si>
    <t>3000</t>
  </si>
  <si>
    <t>Соціальний захист та соціальне забезпечення</t>
  </si>
  <si>
    <t>0710100</t>
  </si>
  <si>
    <t>0712000</t>
  </si>
  <si>
    <t>2000</t>
  </si>
  <si>
    <t>Охорона здоров’я</t>
  </si>
  <si>
    <t>0712110</t>
  </si>
  <si>
    <t>2110</t>
  </si>
  <si>
    <t>Первинна медична допомога населенню</t>
  </si>
  <si>
    <t>0712140</t>
  </si>
  <si>
    <t>2140</t>
  </si>
  <si>
    <t>Програми і централізовані заходи у галузі охорони здоров’я</t>
  </si>
  <si>
    <t>0712150</t>
  </si>
  <si>
    <t>2150</t>
  </si>
  <si>
    <t>Інші програми, заклади та заходи у сфері охорони здоров’я</t>
  </si>
  <si>
    <t>0717600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</si>
  <si>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установ та закладів культури</t>
    </r>
  </si>
  <si>
    <t>0810100</t>
  </si>
  <si>
    <t>0813000</t>
  </si>
  <si>
    <t>0813030</t>
  </si>
  <si>
    <t>3030</t>
  </si>
  <si>
    <t>Надання пільг з оплати послуг зв’язку,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</si>
  <si>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</si>
  <si>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</si>
  <si>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</si>
  <si>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0813190</t>
  </si>
  <si>
    <t>3190</t>
  </si>
  <si>
    <t>Соціальний захист ветеранів війни та праці</t>
  </si>
  <si>
    <t>0813240</t>
  </si>
  <si>
    <t>3240</t>
  </si>
  <si>
    <t xml:space="preserve"> Інші заклади та заходи</t>
  </si>
  <si>
    <t>0816000</t>
  </si>
  <si>
    <t>6000</t>
  </si>
  <si>
    <t>Житлово-комунальне господарство</t>
  </si>
  <si>
    <t>0816080</t>
  </si>
  <si>
    <t>6080</t>
  </si>
  <si>
    <t>Реалізація державних та місцевих житлових програм</t>
  </si>
  <si>
    <t>0217000</t>
  </si>
  <si>
    <t>7000</t>
  </si>
  <si>
    <t xml:space="preserve"> Економічна діяльність</t>
  </si>
  <si>
    <t>0717000</t>
  </si>
  <si>
    <t>0817000</t>
  </si>
  <si>
    <t>0817690</t>
  </si>
  <si>
    <t>0817600</t>
  </si>
  <si>
    <t>1011000</t>
  </si>
  <si>
    <t>1014000</t>
  </si>
  <si>
    <t>4000</t>
  </si>
  <si>
    <t>Культура i мистецтво</t>
  </si>
  <si>
    <t>1014080</t>
  </si>
  <si>
    <t>4080</t>
  </si>
  <si>
    <t>Інші заклади та заходи в галузі культури і мистецтва</t>
  </si>
  <si>
    <t>1019000</t>
  </si>
  <si>
    <t>1019700</t>
  </si>
  <si>
    <t>1113000</t>
  </si>
  <si>
    <t>1113120</t>
  </si>
  <si>
    <t>3120</t>
  </si>
  <si>
    <t>Здійснення соціальної роботи з вразливими категоріями населення</t>
  </si>
  <si>
    <t>1113130</t>
  </si>
  <si>
    <t>3130</t>
  </si>
  <si>
    <t>Реалізація державної політики у молодіжній сфері</t>
  </si>
  <si>
    <t>1115000</t>
  </si>
  <si>
    <t>5000</t>
  </si>
  <si>
    <t xml:space="preserve"> Фiзична культура i спорт</t>
  </si>
  <si>
    <t>1115010</t>
  </si>
  <si>
    <t>5010</t>
  </si>
  <si>
    <t>Проведення спортивної роботи в регіоні</t>
  </si>
  <si>
    <t>1115020</t>
  </si>
  <si>
    <t>5020</t>
  </si>
  <si>
    <t>Здійснення фізкультурно-спортивної та реабілітаційної роботи серед осіб з інвалідністю</t>
  </si>
  <si>
    <t>1115030</t>
  </si>
  <si>
    <t>5030</t>
  </si>
  <si>
    <t xml:space="preserve"> Розвиток дитячо-юнацького та резервного спорту</t>
  </si>
  <si>
    <t>1115060</t>
  </si>
  <si>
    <t>5060</t>
  </si>
  <si>
    <t>Інші заходи з розвитку фізичної культури та спорту</t>
  </si>
  <si>
    <t>1116000</t>
  </si>
  <si>
    <t>1116080</t>
  </si>
  <si>
    <t>1117000</t>
  </si>
  <si>
    <t>1117600</t>
  </si>
  <si>
    <t>1210100</t>
  </si>
  <si>
    <t>1216000</t>
  </si>
  <si>
    <t>1216010</t>
  </si>
  <si>
    <t>6010</t>
  </si>
  <si>
    <t>Утримання та ефективна експлуатація об’єктів житлово-комунального господарства</t>
  </si>
  <si>
    <t>1217000</t>
  </si>
  <si>
    <t>Економічна діяльність</t>
  </si>
  <si>
    <t>1217600</t>
  </si>
  <si>
    <t>1217690</t>
  </si>
  <si>
    <t xml:space="preserve"> Інша економічна діяльність</t>
  </si>
  <si>
    <t>1410100</t>
  </si>
  <si>
    <t>1416000</t>
  </si>
  <si>
    <t>1416010</t>
  </si>
  <si>
    <t>1417000</t>
  </si>
  <si>
    <t>1417300</t>
  </si>
  <si>
    <t>7300</t>
  </si>
  <si>
    <t>Будівництво та регіональний розвиток</t>
  </si>
  <si>
    <t>1417400</t>
  </si>
  <si>
    <t>7400</t>
  </si>
  <si>
    <t>Транспорт та транспортна інфраструктура, дорожнє господарство</t>
  </si>
  <si>
    <t>1417600</t>
  </si>
  <si>
    <t>1417690</t>
  </si>
  <si>
    <t>1418000</t>
  </si>
  <si>
    <t>Захист населення і територій від надзвичайних ситуацій техногенного та природного характеру</t>
  </si>
  <si>
    <t>1418100</t>
  </si>
  <si>
    <t>8100</t>
  </si>
  <si>
    <t>1510100</t>
  </si>
  <si>
    <t>1515000</t>
  </si>
  <si>
    <t>1515040</t>
  </si>
  <si>
    <t>5040</t>
  </si>
  <si>
    <t>Підтримка і розвиток спортивної інфраструктури</t>
  </si>
  <si>
    <t>1517000</t>
  </si>
  <si>
    <t>1517300</t>
  </si>
  <si>
    <t>1517320</t>
  </si>
  <si>
    <t>7320</t>
  </si>
  <si>
    <r>
      <t>Будівництво</t>
    </r>
    <r>
      <rPr>
        <b/>
        <i/>
        <vertAlign val="superscript"/>
        <sz val="36"/>
        <rFont val="Times New Roman"/>
        <family val="1"/>
        <charset val="204"/>
      </rPr>
      <t>1</t>
    </r>
    <r>
      <rPr>
        <i/>
        <sz val="36"/>
        <rFont val="Times New Roman"/>
        <family val="1"/>
        <charset val="204"/>
      </rPr>
      <t>  об'єктів соціально-культурного призначення</t>
    </r>
  </si>
  <si>
    <t>1610100</t>
  </si>
  <si>
    <t>1910100</t>
  </si>
  <si>
    <t>1917000</t>
  </si>
  <si>
    <t>1917400</t>
  </si>
  <si>
    <t>1917420</t>
  </si>
  <si>
    <t>7420</t>
  </si>
  <si>
    <t>Забезпечення надання послуг з перевезення пасажирів електротранспортом</t>
  </si>
  <si>
    <t>2717000</t>
  </si>
  <si>
    <t>2717600</t>
  </si>
  <si>
    <t>2717690</t>
  </si>
  <si>
    <t>2810100</t>
  </si>
  <si>
    <t>2818000</t>
  </si>
  <si>
    <t>2818300</t>
  </si>
  <si>
    <t>8300</t>
  </si>
  <si>
    <t>Охорона навколишнього природного середовища</t>
  </si>
  <si>
    <t>3610100</t>
  </si>
  <si>
    <t>3617000</t>
  </si>
  <si>
    <t>3617100</t>
  </si>
  <si>
    <t>7100</t>
  </si>
  <si>
    <t>Сільське, лісове, рибне господарство та мисливство</t>
  </si>
  <si>
    <t>3617600</t>
  </si>
  <si>
    <t xml:space="preserve"> Інші програми та заходи, пов'язані з економічною діяльністю</t>
  </si>
  <si>
    <t>3710100</t>
  </si>
  <si>
    <t>3718000</t>
  </si>
  <si>
    <t>Резервний фонд</t>
  </si>
  <si>
    <t>3719000</t>
  </si>
  <si>
    <t>Дотації з місцевого бюджету іншим бюджетам</t>
  </si>
  <si>
    <t>9100</t>
  </si>
  <si>
    <t>1118000</t>
  </si>
  <si>
    <t xml:space="preserve"> Інша діяльність</t>
  </si>
  <si>
    <t>1118800</t>
  </si>
  <si>
    <t>8800</t>
  </si>
  <si>
    <t>Кредитування</t>
  </si>
  <si>
    <t>1118820</t>
  </si>
  <si>
    <t>8820</t>
  </si>
  <si>
    <t>Рішення 2-ї сесії Хмельницької міської ради від 23.12.2020 року №22</t>
  </si>
  <si>
    <t xml:space="preserve">Цільова програма попередження виникнення надзвичайних ситуацій та забезпечення  пожежної і техногенної безпеки об'єктів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</t>
  </si>
  <si>
    <t>Рішення 2-ї сесії Хмельницької міської ради від 23.12.2020 року №9</t>
  </si>
  <si>
    <t>Програма економічного і соціального розвитку Хмельницької міської територіальної громади на 2021 рік</t>
  </si>
  <si>
    <t>Рішення 2-ї сесії Хмельницької міської ради від 23.12.2020 року №10</t>
  </si>
  <si>
    <t>Програма міжнародного співробітництва та промоції Хмельницької міської територіальної громади на 2021-2025 роки</t>
  </si>
  <si>
    <t>Рішення 2-ї сесії Хмельницької міської ради від 23.12.2020 року №11</t>
  </si>
  <si>
    <t>Програма підтримки книговидання та читацької культури у Хмельницькій міській територіальній громаді на 2021-2025 роки «#ЩодняЧитай українською»</t>
  </si>
  <si>
    <t>Рішення 2-ї сесії Хмельницької міської ради від 23.12.2020 року №31</t>
  </si>
  <si>
    <t>Програма розвитку Хмельницької міської територіальної громади у сфері культури на 2021-2025 роки "Нова лінія культурних змін"</t>
  </si>
  <si>
    <t>Рішення 2-ї сесії Хмельницької міської ради від 23.12.2020 року №32</t>
  </si>
  <si>
    <t>Програма 
підтримки сім'ї на 2021-2025 рр.</t>
  </si>
  <si>
    <t>Рішення 2-ї сесії Хмельницької міської ради від 23.12.2020 року №33</t>
  </si>
  <si>
    <t>Програма соціальної підтримки учасників АТО/ООС, учасників Революції Гідності та членів їх сімей на 2021 - 2025 роки</t>
  </si>
  <si>
    <t>Рішення 2-ї сесії Хмельницької міської ради від 23.12.2020 року №36</t>
  </si>
  <si>
    <t>Рішення 2-ї сесії Хмельницької міської ради від 23.12.2020 року №47</t>
  </si>
  <si>
    <t>Програма забезпечення діяльності Хмельницького міського комунального підприємства "Муніципальна дружина" на 2021 - 2022 роки</t>
  </si>
  <si>
    <t>Програма розвитку, підтримки комунальних закладів охорони здоров’я та надання 
медичних послуг понад обсяг, передбачений програмою державних гарантій медичного обслуговування населення Хмельницької міської 
територіальної громади на 2021 - 2023 роки</t>
  </si>
  <si>
    <t>Рішення 2-ї сесії Хмельницької міської ради від 23.12.2020 року №50</t>
  </si>
  <si>
    <t>Програма забезпечення надання адміністративних послуг територіальних органів Міністерства внутрішніх справ України через управління адміністративних послуг Хмельницької міської ради на 2021 рік</t>
  </si>
  <si>
    <t>Рішення 2-ї сесії Хмельницької міської ради від 23.12.2020 року №57</t>
  </si>
  <si>
    <t>Рішення 30-ї сесії Хмельницької  міської  ради від 17.04.2019 року №48</t>
  </si>
  <si>
    <t>Рішення 2-ї сесії Хмельницької міської ради від 23.12.2020 року №67</t>
  </si>
  <si>
    <t>Програма розвитку велоінфраструктури м.Хмельницького на 2017-2025 роки</t>
  </si>
  <si>
    <t>Програма поводження з побутовими відходами "Розумне Довкілля.  Хмельницький" на 2021 - 2022 роки</t>
  </si>
  <si>
    <t>Пільгові довгострокові кредити молодим сім'ям та одиноким молодим громадянам на будівництво/реконструкцію/придбання житла та їх повернення</t>
  </si>
  <si>
    <t>Повернення пільгових довгострокових кредитів, наданих молодим сім'ям та одиноким молодим громадянам на будівництво/реконструкцію/придбання житла</t>
  </si>
  <si>
    <t xml:space="preserve"> Надання пільгових довгострокових кредитів молодим сім'ям та одиноким молодим громадянам на будівництво/реконструкцію/придбання житла</t>
  </si>
  <si>
    <t>99000000000</t>
  </si>
  <si>
    <t>0813170</t>
  </si>
  <si>
    <t>3170</t>
  </si>
  <si>
    <t>Забезпечення реалізації окремих програм для осіб з інвалідністю</t>
  </si>
  <si>
    <t>Програма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2021 рік</t>
  </si>
  <si>
    <t>Рішення 4-ї сесії Хмельницької міської ради від 17.02.2021 року №7</t>
  </si>
  <si>
    <t xml:space="preserve">Управління з питань екології та контролю за благоустроєм  Хмельницької міської ради  (відповідальний виконавець) </t>
  </si>
  <si>
    <t xml:space="preserve">Управління з питань екології та контролю за благоустроєм 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</si>
  <si>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(головний розпорядник) </t>
  </si>
  <si>
    <t xml:space="preserve">Управління з питань екології та контролю за благоустроєм Хмельницької міської ради  (відповідальний виконавець) </t>
  </si>
  <si>
    <t>Програма розвитку міського комунального підприємства «Муніципальна телерадіокомпанія «Місто» на 2021-2023 роки</t>
  </si>
  <si>
    <t>Рішення 4-ї сесії Хмельницької міської ради від 17.02.2021 року №24</t>
  </si>
  <si>
    <t>Рішення 13-ї сесії Хмельницької міської ради від 22.03.2017 року №33</t>
  </si>
  <si>
    <t>Управління капітального будівництва Хмельницької міської ради (головний розпорядник)</t>
  </si>
  <si>
    <t>Управління капітального будівництва Хмельницької міської ради (відповідальний виконавець)</t>
  </si>
  <si>
    <t>Управління архітектури та містобудування Хмельницької міської ради (головний розпорядник)</t>
  </si>
  <si>
    <t>Управління архітектури та містобудування  Хмельницької міської ради  (відповідальний виконавець)</t>
  </si>
  <si>
    <t>Управління земельних ресурсів  Хмельницької міської ради (головний розпорядник)</t>
  </si>
  <si>
    <t>Управління земельних ресурсів Хмельницької міської ради (відповідальний розпорядник)</t>
  </si>
  <si>
    <t>Управління земельних ресурсів Хмельницької міської ради (головний розпорядник)</t>
  </si>
  <si>
    <t xml:space="preserve">які будуть фінансуватися з Фонду охорони навколишнього природного середовища </t>
  </si>
  <si>
    <t>Управління архітектури та містобудування Хмельницької міської ради (відповідальний виконавець)</t>
  </si>
  <si>
    <t>Управління архітектури та містобудування Хмельницької міської ради  (відповідальний виконавець)</t>
  </si>
  <si>
    <t>Управління земельних ресурсів та земельної реформи Хмельницької міської ради (головний розпорядник)</t>
  </si>
  <si>
    <t>Управління земельних ресурсів та земельної реформи  Хмельницької міської ради (відповідальний розпорядник)</t>
  </si>
  <si>
    <t>Інші субвенції з місцевого бюджету, в тому числі:</t>
  </si>
  <si>
    <t xml:space="preserve"> - пільгове медичне обслуговування осіб, які постраждали внаслідок Чорнобильської катастрофи </t>
  </si>
  <si>
    <t xml:space="preserve"> - компенсаційні виплати особам з інвалідністю на бензин, ремонт, технічне обслуговування автомобілів, мотоколясок і на транспортне обслуговування</t>
  </si>
  <si>
    <t xml:space="preserve">  - поховання учасників бойових дій та осіб з інвалідністю внаслідок війни</t>
  </si>
  <si>
    <t>Внески до статутного капіталу МКП "Хмельницькводоканал" (Реконструкція водопроводу від  вул.Проскурівська по пров. Проскурівський, вул. Пилипчука до пров. Шевченка в м. Хмельницький)</t>
  </si>
  <si>
    <t>2719000</t>
  </si>
  <si>
    <t>2719700</t>
  </si>
  <si>
    <t>2719770</t>
  </si>
  <si>
    <t>Розробка проектно-кошторисної документації на "Реконструкцію аеродромного комплексу КП «Аеропорт Хмельницький» з подовженням штучної злітно-посадкової смуги на 500 метрів"</t>
  </si>
  <si>
    <t>1617000</t>
  </si>
  <si>
    <t>1617300</t>
  </si>
  <si>
    <t>1617350</t>
  </si>
  <si>
    <t>7350</t>
  </si>
  <si>
    <t>Розроблення схем планування та забудови територій (містобудівної документації)</t>
  </si>
  <si>
    <t>Розроблення звіту про стратегічну екологічну оцінку проєкту містобудівної документації "Коригування (внесення змін) генерального плану м.Хмельтницький"</t>
  </si>
  <si>
    <t>Доопрацювання проєкту містобудівної документації "Коригування (внесення змін) генерального плану м.Хмельницький"</t>
  </si>
  <si>
    <t>0217693</t>
  </si>
  <si>
    <t>1017000</t>
  </si>
  <si>
    <t>1017600</t>
  </si>
  <si>
    <t>1017670</t>
  </si>
  <si>
    <t>1217670</t>
  </si>
  <si>
    <t>0810180</t>
  </si>
  <si>
    <t>0813060</t>
  </si>
  <si>
    <t>3060</t>
  </si>
  <si>
    <t>Оздоровлення громадян, які постраждали внаслідок Чорнобильської катастрофи</t>
  </si>
  <si>
    <t>2012 - 2022 роки</t>
  </si>
  <si>
    <t>0817320</t>
  </si>
  <si>
    <t>0817323</t>
  </si>
  <si>
    <t>7323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</si>
  <si>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установ та закладів соціальної сфери</t>
    </r>
  </si>
  <si>
    <t>0817300</t>
  </si>
  <si>
    <t>1517310</t>
  </si>
  <si>
    <t>1510180</t>
  </si>
  <si>
    <t>1216020</t>
  </si>
  <si>
    <t>0611060</t>
  </si>
  <si>
    <t>0611061</t>
  </si>
  <si>
    <t>1061</t>
  </si>
  <si>
    <t xml:space="preserve">Надання загальної середньої освіти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періоді, а також коштів, необхідних для </t>
  </si>
  <si>
    <t>забезпечення безпечного навчального процесу у закладах загальної середньої освіти)</t>
  </si>
  <si>
    <t xml:space="preserve"> Надання загальної середньої освіти закладами загальної середньої освіти</t>
  </si>
  <si>
    <t>Реконструкція будівлі №45/312 (контрольно-технічний пункт), військового містечка №45 військової частини А0661</t>
  </si>
  <si>
    <t>Рішення 42-ї сесії Хмельницької міської ради від 17.06.2020 року №8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</si>
  <si>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</t>
  </si>
  <si>
    <t>Рішення 4-ї сесії Хмельницької міської ради від 17.02.2021 року №2</t>
  </si>
  <si>
    <t>Програма розвитку  електротранспорту Хмельницької міської територіальної громади  на 2021 - 2025 роки</t>
  </si>
  <si>
    <t>Рішення 3-ї сесії Хмельницької міської ради від 14.01.2021 року №1</t>
  </si>
  <si>
    <t>Реконструкція існуючої будівлі краєзнавчого музею під музейний комплекс історії та культури по вул.Свободи, 22 в м.Хмельницькому</t>
  </si>
  <si>
    <t xml:space="preserve">Реконструкція з добудовою їдальні до існуючого приміщення спеціалізованої загальноосвітньої школи І-ІІІ ступенів №8 по вул. Я. Гальчевського, 34 в м.Хмельницькому </t>
  </si>
  <si>
    <t>2017 - 2025 роки</t>
  </si>
  <si>
    <t>2020 - 2025 роки</t>
  </si>
  <si>
    <t>2015 - 2025 роки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</si>
  <si>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</si>
  <si>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</si>
  <si>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</si>
  <si>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Внески до статутного капіталу міського комунального підприємства - Кінотеатр ім. Т.Г.Шевченка (Виготовлення науково-проектної документації «Реставрація будівлі кінотеатру ім. Т. Г. Шевченка (щойно виявлений об’єкт культурної спадщини) по вул. Проскурівській, 40 у м. Хмельницькому)</t>
  </si>
  <si>
    <t>41051700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</si>
  <si>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</si>
  <si>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41053600</t>
  </si>
  <si>
    <t>Субвенція з місцевого бюджету на здійснення природоохоронних заходів</t>
  </si>
  <si>
    <t xml:space="preserve"> - соціально-економічний розвиток</t>
  </si>
  <si>
    <t>Субвенція з місцевого бюджету на здійснення природоохоронних заходів  (Обласний фонд охорони навколишнього природного середовища)</t>
  </si>
  <si>
    <t>Інші субвенції з місцевого бюджету (соціально-економічний розвиток)</t>
  </si>
  <si>
    <t>Програма національно-патріотичного виховання мешканців Хмельницької міської територіальної громади на 2021-2022 роки</t>
  </si>
  <si>
    <t>Рішення 5-ї сесії Хмельницької міської ради від 21.04.2021 року №6</t>
  </si>
  <si>
    <t>Програма забезпечення антитерористичного та протидиверсійного захисту важливих державних об’єктів, місць масового перебування людей, об’єктів критичної та транспортної інфраструктури Хмельницької міської територіальної громади  на 2021-2022 роки</t>
  </si>
  <si>
    <t>Рішення 5-ї сесії Хмельницької міської ради від 21.04.2021 року №5</t>
  </si>
  <si>
    <t>Рішення 5-ї сесії Хмельницької міської ради від 21.04.2021 року №8</t>
  </si>
  <si>
    <t>Програма організаційно-практичних заходів щодо комплексної підтримки державної установи «Хмельницький слідчий ізолятор» на 2021 – 2025 роки</t>
  </si>
  <si>
    <t>Рішення 5-ї сесії Хмельницької міської ради від 21.04.2021 року №7</t>
  </si>
  <si>
    <t>Програма шефської допомоги військовим частинам Збройних Сил України, Національної гвардії України, які розташовані на території м. Хмельницького на 2020 – 2021 роки (із змінами)</t>
  </si>
  <si>
    <t>Рішення 5-ї сесії Хмельницької міської ради від 21.04.2021 року №57</t>
  </si>
  <si>
    <t>Рішення 5-ї сесії Хмельницької міської ради від 21.04.2021 року №55</t>
  </si>
  <si>
    <t>Програма охорони довкілля Хмельницької міської територіальної громади на 2021-2025 роки</t>
  </si>
  <si>
    <t>Рішення 5-ї сесії Хмельницької міської ради від 21.04.2021 року №69</t>
  </si>
  <si>
    <t>Програма розвитку та фінансової підтримки комунального підприємства «Чайка» Хмельницької міської ради на 2021-2022 роки</t>
  </si>
  <si>
    <t>Рішення 5-ї сесії Хмельницької міської ради від 21.04.2021 року №74</t>
  </si>
  <si>
    <t>Програма профілактики адміністративних правопорушень та покращення забезпечення громадського правопорядку для жителів Хмельницької міської територіальної громади на 2021 - 2022 роки</t>
  </si>
  <si>
    <t>Програма для забезпечення виконання судових рішень на 2021-2025 роки</t>
  </si>
  <si>
    <t>1417460</t>
  </si>
  <si>
    <t>7460</t>
  </si>
  <si>
    <t>Утримання та розвиток автомобільних доріг та дорожньої інфраструктури</t>
  </si>
  <si>
    <t>Реконструкція приміщень НВО №1 по вул. Старокостянтинівське шосе, 3Б в м.Хмельницькому (коригування)</t>
  </si>
  <si>
    <t>Програма співфінансування робіт з ремонту багатоквартирних житлових будинків Хмельницької міської територіальної громади на 2020 - 2024 роки</t>
  </si>
  <si>
    <t>до рішення №</t>
  </si>
  <si>
    <t>від                   2021</t>
  </si>
  <si>
    <t xml:space="preserve">до рішення  №       від                    2021 року </t>
  </si>
  <si>
    <t>Додаток 4
до рішення  №    від               2021 року</t>
  </si>
  <si>
    <t>до рішення №    від            2021 року</t>
  </si>
  <si>
    <t xml:space="preserve">Додаток 6
до рішення №         від               2021 року
</t>
  </si>
  <si>
    <t xml:space="preserve">до рішення  №      від            2021 року </t>
  </si>
  <si>
    <t xml:space="preserve">до рішення №  </t>
  </si>
  <si>
    <t xml:space="preserve"> від          .2021</t>
  </si>
  <si>
    <t xml:space="preserve">до рішення №      </t>
  </si>
  <si>
    <t>від                 2021</t>
  </si>
  <si>
    <t>Зовнішні зобов'язання</t>
  </si>
  <si>
    <t xml:space="preserve">Довгострокові зобов'язання </t>
  </si>
  <si>
    <t xml:space="preserve">Середньострокові зобов'язання </t>
  </si>
  <si>
    <t xml:space="preserve">Фінансування за рахунок позик банківських установ </t>
  </si>
  <si>
    <t xml:space="preserve"> Одержано позик </t>
  </si>
  <si>
    <t xml:space="preserve">Фінансування за рахунок інших банків </t>
  </si>
  <si>
    <t xml:space="preserve">Внутрішні запозичення </t>
  </si>
  <si>
    <t xml:space="preserve">Фінансування за рахунок зміни залишків коштів бюджетів </t>
  </si>
  <si>
    <t>Зміни обсягів бюджетних коштів</t>
  </si>
  <si>
    <t xml:space="preserve">На початок періоду </t>
  </si>
  <si>
    <t xml:space="preserve">Інші розрахунки </t>
  </si>
  <si>
    <t xml:space="preserve">Передача коштів із загального до спеціального фонду бюджету </t>
  </si>
  <si>
    <t>Субвенція з державного бюджету місцевим бюджетам на розвиток спортивної інфраструктури</t>
  </si>
  <si>
    <t>41035700</t>
  </si>
  <si>
    <t xml:space="preserve">Виконання експертизи проєкту містобудівної  документації "Коригування (внесення змін) генерального плану м. Хмельницький </t>
  </si>
  <si>
    <t>0217540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</si>
  <si>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</si>
  <si>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</si>
  <si>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0611182</t>
  </si>
  <si>
    <t>1182</t>
  </si>
  <si>
    <t>Виконання заходів, спрямованих на забезпечення якісної, сучасної та доступної загальної середньої освіти "Нова українська школа" за рахунок субвенції з державного бюджету місцевим бюджетам</t>
  </si>
  <si>
    <t>Субвенція з державного бюджету місцевим бюджетам на реалізацію інфраструктурних проектів та розвиток об’єктів соціально-культурної сфери</t>
  </si>
  <si>
    <t>41032300</t>
  </si>
  <si>
    <t>Субвенція з державного бюджету місцевим бюджетам на реалізацію заходів, спрямованих на підвищення доступності широкосмугового доступу до Інтернету в сільській місцевості</t>
  </si>
  <si>
    <t>41035500</t>
  </si>
  <si>
    <t>41051400</t>
  </si>
  <si>
    <t>Субвенція з місцевого бюджету на забезпечення якісної, сучасної та доступної загальної середньої освіти  "Нова українська школа" за рахунок відповідної субвенції з державного бюджету</t>
  </si>
  <si>
    <t>1517600</t>
  </si>
  <si>
    <t>1517690</t>
  </si>
  <si>
    <t>1517691</t>
  </si>
  <si>
    <t>3.2.8.</t>
  </si>
  <si>
    <t>Будівництво, реконструкція та ремонт інженерно-транспортної та соціальної інфраструктури Хмельницької міської територіальної громади, відповідного мікрорайону/кварталу, в т. ч. і тих, в яких розташовані будинки житлово-будівельних кооперативів (ТОВ "ЖЕО")</t>
  </si>
  <si>
    <t>2011 - 2025 роки</t>
  </si>
  <si>
    <t>2021 - 2022 роки</t>
  </si>
  <si>
    <t>41035600</t>
  </si>
  <si>
    <t>Субвенція з державного бюджету місцевим бюджетам на створення мережі спеціалізованих служб підтримки осіб, які постраждали від домашнього насильства та/або насильства за ознакою статі</t>
  </si>
  <si>
    <t>0611023</t>
  </si>
  <si>
    <t>1023</t>
  </si>
  <si>
    <t xml:space="preserve"> Надання загальної середньої освіти спеціалізованими закладами загальної середньої освіти</t>
  </si>
  <si>
    <t>0611190</t>
  </si>
  <si>
    <t>0611191</t>
  </si>
  <si>
    <t>1190</t>
  </si>
  <si>
    <t>1191</t>
  </si>
  <si>
    <t xml:space="preserve"> 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</si>
  <si>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Співфінансування заходів, що реалізуються за рахунок субвенції з державного бюджету місцевим бюджетам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</t>
  </si>
  <si>
    <t>0611220</t>
  </si>
  <si>
    <t>0611221</t>
  </si>
  <si>
    <t>1220</t>
  </si>
  <si>
    <t>1221</t>
  </si>
  <si>
    <t xml:space="preserve"> Виконання заходів щодо створення навчально-практичних центрів сучасної професійної (професійно-технічної) освіти</t>
  </si>
  <si>
    <t xml:space="preserve"> Співфінансування заходів, що реалізуються за рахунок субвенції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</si>
  <si>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створення мережі спеціалізованихслужб підтрмки осіб, які постраждали від домашнього насильства та  або насильства за ознакою статі</t>
  </si>
  <si>
    <t>2.1.4.</t>
  </si>
  <si>
    <t>Кошти участі замовників у створенні і розвитку інженерно-транспортної та соціальної інфраструктури Хмельницької міської територіальної громади</t>
  </si>
  <si>
    <t>2717300</t>
  </si>
  <si>
    <t>2717370</t>
  </si>
  <si>
    <t>Забезпечення надання послуг з перевезення пасажирів автомобільним транспортом</t>
  </si>
  <si>
    <t>1917410</t>
  </si>
  <si>
    <t>7410</t>
  </si>
  <si>
    <t>Програма розвитку  та вдосконалення міського пасажирського транспорту  міста Хмельницького на 2019 - 2023 роки  (із змінами і доповненнями)</t>
  </si>
  <si>
    <t>0611192</t>
  </si>
  <si>
    <t>1192</t>
  </si>
  <si>
    <t>Виконання заходів, спрямованих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субвенції з державного бюджету місцевим бюджетам</t>
  </si>
  <si>
    <t>0813120</t>
  </si>
  <si>
    <t>0813124</t>
  </si>
  <si>
    <t>3124</t>
  </si>
  <si>
    <t>Створення та забезпечення діяльності спеціалізованих служб підтримки осіб, які постраждали від домашнього насильства та/або насильства за ознакою статі</t>
  </si>
  <si>
    <t xml:space="preserve"> Внутрішні зобов'язання </t>
  </si>
  <si>
    <t>41056600</t>
  </si>
  <si>
    <t>Субвенція з місцевого бюджету на заходи, спрямовані на боротьбу з гострою респіраторною хворобою COVID-19, спричиненою коронавірусом SARS-CoV-2, та її наслідками під час навчального процесу у закладах загальної середньої освіти за рахунок відповідної субвенції з державного бюджету</t>
  </si>
  <si>
    <t xml:space="preserve">Субвенція з місцевого  бюджету на заходи, спрямовані на боротьбу з гострою респіраторною хворобою COVID-19, спричиненою коронавірусом  SARS- CoV-2 та її наслідками під час навчального процесу у закладах загальної середньої освіти за рахунок відповідної субвенції з державного бюджету </t>
  </si>
  <si>
    <t>Програма підтримки ОСББ Хмельницької міської територіальної громади на 2020 – 2023 роки (зі змінами)</t>
  </si>
  <si>
    <t xml:space="preserve"> Програма відшкодування частини відсоткових ставок та кредитів, отриманих ОСББ, ЖБК на впровадження відновлювальних джерел енергії та заходів з енергозбереження, термомодернізації багатоквартирних житлових будинків Хмельницької міської теритріальної громади на 2019-2022 роки (зі змінами)</t>
  </si>
  <si>
    <t>2021-2022 роки</t>
  </si>
  <si>
    <t>0619000</t>
  </si>
  <si>
    <t>0619700</t>
  </si>
  <si>
    <t>0619770</t>
  </si>
  <si>
    <t>Розвиток готельного господарства та туризму</t>
  </si>
  <si>
    <t>1017620</t>
  </si>
  <si>
    <t>7620</t>
  </si>
  <si>
    <t>Реалізація програм і заходів в галузі туризму та курортів</t>
  </si>
  <si>
    <t>1017622</t>
  </si>
  <si>
    <t>7622</t>
  </si>
  <si>
    <t>Рішення 5-ї сесії Хмельницької міської ради від 21.04.2021 року №33</t>
  </si>
  <si>
    <t>Програма розвитку інформаційної інфраструктури туристичних послуг на 2021-2023 роки</t>
  </si>
  <si>
    <t xml:space="preserve">Комплексна програма мобілізації зусиль Хмельницької міської ради та Головного управління Державної податкової служби у Хмельницькій області по забезпеченню надходжень до бюджету Хмельницької міської територіальної громади на 2021-2023 роки </t>
  </si>
  <si>
    <t>Програма цифрового розвитку на 2021-2025 роки (із змінами)</t>
  </si>
  <si>
    <t>Рішення 7-ї сесії Хмельницької міської ради від 14.07.2021 року №9</t>
  </si>
  <si>
    <t>Разом  доходів (з врахуванням міжбюджетних трансфертів)</t>
  </si>
  <si>
    <t>до рішення №   від  2021 року</t>
  </si>
  <si>
    <t xml:space="preserve">Акцизний податок з реалізації суб'єктами господарювання роздрібної торгівлі підакцизних товарів </t>
  </si>
  <si>
    <t>Єдиний податок  з юридичних осіб</t>
  </si>
  <si>
    <t xml:space="preserve"> Інші надходження  </t>
  </si>
  <si>
    <t>Програма забезпечення охорони прав і свобод людини, профілактики злочинності та підтримання публічної безпеки і порядку на території Хмельницької міської територіальної громади на 2021 – 2025 роки (із змінами)</t>
  </si>
  <si>
    <t>Субвенція з державного бюджету місцевим бюджетам на створення навчально-практичних центрів сучасної професійної (професійно-технічної) освіти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</si>
  <si>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</si>
  <si>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"Про статус ветеранів війни, гарантії їх соціального захисту",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</si>
  <si>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 - 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</si>
  <si>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перебуваючи безпосереденьо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</si>
  <si>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Субвенція з місцевого бюджету на проектні,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 за рахунок відповідної субвенції з державного бюджету</t>
  </si>
  <si>
    <t xml:space="preserve">Субвенція з місцевого бюджету на здійснення підтримки окремих закладів та заходів у системі охорони здоров'я за рахунок відповідної субвенції з державного бюджету 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</si>
  <si>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 - II групи, які стали особами з інвалідністю внаслідок 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</si>
  <si>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Виконання заходів щодо створення навчально-практичних центрів сучасної професійної (професійно-технічної) освіти за рахунок субвенції з державного бюджету місцевим бюджетам</t>
  </si>
  <si>
    <t>0611222</t>
  </si>
  <si>
    <t>1222</t>
  </si>
  <si>
    <t>Виконання інвестиційних проектів</t>
  </si>
  <si>
    <t>7360</t>
  </si>
  <si>
    <t>0717300</t>
  </si>
  <si>
    <t>0717360</t>
  </si>
  <si>
    <t>0717363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</si>
  <si>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</si>
  <si>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</si>
  <si>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Грошова компенсація за належні для отримання жилі приміщення для окремих категорій населення відповідно до законодавства</t>
  </si>
  <si>
    <t>0813220</t>
  </si>
  <si>
    <t>3220</t>
  </si>
  <si>
    <t>Грошова компенсація за належні для отримання жилі приміщення для сімей осіб, визначених абзацами 5-8 пункту 1 статті 10 Закону України "Про статус ветеранів війни, гарантії їх соціального захисту", для осіб з інвалідністю I-II групи, яка настала внаслідок поранення,</t>
  </si>
  <si>
    <t xml:space="preserve">контузії, каліцтва або захворювання, одержаних під час безпосередньої участі в антитерористичній операції, забезпеченні її проведення, здійсненні заходів із забезпечення національної безпеки і оборони, відсічі і стримування збройної агресії Російської Федерації у </t>
  </si>
  <si>
    <t>Донецькій та Луганській областях, забезпеченні їх здійснення, визначених пунктами 11-14 частини другої статті 7 Закону України "Про статус ветеранів війни, гарантії їх соціального захисту", та які потребують поліпшення житлових умов</t>
  </si>
  <si>
    <t>0813221</t>
  </si>
  <si>
    <t>3221</t>
  </si>
  <si>
    <t>Грошова компенсація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</t>
  </si>
  <si>
    <t>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</t>
  </si>
  <si>
    <t>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11-14 частини другої статті 7 або учасниками бойових дій відповідно до пунктів 19-20 частини першої статті 6 Закону</t>
  </si>
  <si>
    <t xml:space="preserve"> України "Про статус ветеранів війни, гарантії їх соціального захисту", та які потребують поліпшення житлових умов</t>
  </si>
  <si>
    <t>0813222</t>
  </si>
  <si>
    <t>3222</t>
  </si>
  <si>
    <t>0813223</t>
  </si>
  <si>
    <t>3223</t>
  </si>
  <si>
    <t>Грошова компенсація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</t>
  </si>
  <si>
    <t>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 визначених пунктом 7 частини другої статті 7 Закону України "Про статус ветеранів війни,</t>
  </si>
  <si>
    <t>гарантії їх соціального захисту", та які потребують поліпшення житлових умов</t>
  </si>
  <si>
    <t>Грошова компенсація за належні для отримання жилі приміщення для сімей осіб, визначених у абзаці чотирнадцятому пункту 1 статті 10 Закону України "Про статус ветеранів війни, гарантії їх соціального захисту", для осіб з інвалідністю I-II групи, які стали особами з інвалідністю внаслідок</t>
  </si>
  <si>
    <t>поранень, каліцтва, контузії чи інших ушкоджень здоров'я, одержаних під час участі у Революції Гідності, визначених пунктом 10 частини другої статті 7 Закону України "Про статус ветеранів війни, гарантії їх соціального захисту", та які</t>
  </si>
  <si>
    <t>потребують поліпшення житлових умов</t>
  </si>
  <si>
    <t>0813224</t>
  </si>
  <si>
    <t>3224</t>
  </si>
  <si>
    <t>0816083</t>
  </si>
  <si>
    <t>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</si>
  <si>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</si>
  <si>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41034500</t>
  </si>
  <si>
    <t>41050500</t>
  </si>
  <si>
    <t>Субвенція з місцевого бюджету на виплату грошової  компенсації за належні для отримання жилі приміщення для сімей учасників бойових дій на території інших держав, визначених у абзаці першому пункту 1 статті 10 Закону України "Про статус ветеранів війни, гарантії їх соціального захисту", для осіб з інвалідністю I-II групи з числа учасників бойових дій на території інших держав, інвалідність яких настала внаслідок поранення, контузії, каліцтва або захворювання, пов'язаних з перебуванням у цих державах,</t>
  </si>
  <si>
    <t>визначених пунктом 7 частини другої статті 7 Закону України "Про статус ветеранів війни, гарантії їх соціального захисту", та які потребують поліпшення житлових умов, за рахунок відповідної субвенції з державного бюджету</t>
  </si>
  <si>
    <t>Субвенція з місцевого бюджету на виплату грошової компенсації за належні для отримання жилі приміщення для внутрішньо переміщених осіб, які захищали незалежність, суверенітет та територіальну цілісність України і брали безпосередню участь в антитерористичній операції, забезпеченні її проведення, перебуваючи безпосередньо в районах антитерористичної операції у період її проведення, у здійсненні заходів із забезпечення національної безпеки і оборони, відсічі і стримування збройної агресії Російської</t>
  </si>
  <si>
    <t>Федерації у Донецькій та Луганській областях, забезпеченні їх здійснення, перебуваючи безпосередньо в районах та у період здійснення зазначених заходів, та визнані особами з інвалідністю внаслідок війни III групи відповідно до пунктів 11 - 14 частини другої статті 7 або учасниками бойових дій відповідно до пунктів 19 - 20 частини першої статті 6 Закону України "Про статус ветеранів війни, гарантії їх соціального захисту", та які потребують поліпшення житлових умов за рахунок відповідної субвенції з державного бюджету</t>
  </si>
  <si>
    <t>41033800</t>
  </si>
  <si>
    <t xml:space="preserve">Субвенція з місцевого бюджету на виплату грошової компенсації за належні для отримання жилі приміщення для сімей осіб, визначених абзацами 5 - 8 пункту 1 статті 10 Закону України «Про статус ветеранів війни, гарантії їх соціального захисту», для осіб з інвалідністю I - II групи, яка настала внаслідок поранення, контузії, каліцтва або захворювання, одержаних під час безпосередньої участі в антитерористичній операції, забезпеченні її проведення, </t>
  </si>
  <si>
    <t>здійсненні заходів із забезпечення національної безпеки і оборони, відсічі і стримування збройної агресії Російської Федерації у Донецькій та Луганській областях, забезпеченні їх здійснення, визначених пунктами 11 - 14 частини другої статті 7 Закону України «Про статус ветеранів війни, гарантії їх соціального захисту», та які потребують поліпшення житлових умов за рахунок відповідної субвенції з державного бюджету</t>
  </si>
  <si>
    <t>41050400</t>
  </si>
  <si>
    <t>Субвенція з місцевого бюджету на проєктні, будівельно-ремонтні роботи, придбання житла та приміщень для розвитку сімейних та інших форм виховання, наближених до сімейних, підтримку малих групових будинків та забезпечення житлом дітей-сиріт, дітей, позбавлених батьківського піклування, осіб з їх числа, за рахунок відповідної субвенції з державного бюджету</t>
  </si>
  <si>
    <t>41054200</t>
  </si>
  <si>
    <t>Субвенція з місцевого бюджету на виплату грошової компенсації за належні для отримання жилі приміщення для сімей осіб, визначених у абзаці чотирнадцятому пункту 1 статті 10 Закону України «Про статус ветеранів війни, гарантії їх соціального захисту», для осіб з інвалідністю І – ІІ групи, які стали особами з інвалідністю внаслідок поранень, каліцтва, контузії чи інших ушкоджень здоров’я, одержаних під час участі у Революції Гідності, визначених пунктом 10 частини другої статті 7 Закону України «Про</t>
  </si>
  <si>
    <t xml:space="preserve">статус ветеранів війни, гарантії їх соціального захисту», та які потребують поліпшення житлових умов, за рахунок відповідної субвенції з державного бюджету </t>
  </si>
  <si>
    <t xml:space="preserve">  - для забезпечення функціонування відділення боксу Хмельницької ДЮСШ №2 "Авангард" ФСТ "Україна)</t>
  </si>
  <si>
    <t xml:space="preserve">  - на нове будівництво зовнішніх мереж водопостачання в с. Копистин</t>
  </si>
  <si>
    <t>0617300</t>
  </si>
  <si>
    <t xml:space="preserve">	Економічна діяльність</t>
  </si>
  <si>
    <t>0617000</t>
  </si>
  <si>
    <t>0617320</t>
  </si>
  <si>
    <r>
      <t>Будівництво</t>
    </r>
    <r>
      <rPr>
        <b/>
        <vertAlign val="superscript"/>
        <sz val="36"/>
        <rFont val="Times New Roman"/>
        <family val="1"/>
        <charset val="204"/>
      </rPr>
      <t>1</t>
    </r>
    <r>
      <rPr>
        <sz val="36"/>
        <rFont val="Times New Roman"/>
        <family val="1"/>
        <charset val="204"/>
      </rPr>
      <t>  об'єктів соціально-культурного призначення</t>
    </r>
  </si>
  <si>
    <t>0617600</t>
  </si>
  <si>
    <t>0617640</t>
  </si>
  <si>
    <t>Капітальний ремонт приміщень Хмельницької міської ради за адресою: Хмеьницька область, м. Хмельницький, вулиця Пушкіна, 1 (в тому числі виготовлення проєктно-кошторисної документації)</t>
  </si>
  <si>
    <t>Капітальний ремонт системи опалення (з встановленням електричних котлів) адміністративної будівлі управління охорони здоров'я Хмельницької міської ради за адресою: вул. Грушевського, 64 в м. Хмельницькому</t>
  </si>
  <si>
    <t>2021 рsк</t>
  </si>
  <si>
    <t>Інша діяльність у сфері транспорту</t>
  </si>
  <si>
    <t>1917450</t>
  </si>
  <si>
    <t>7450</t>
  </si>
  <si>
    <t>1117300</t>
  </si>
  <si>
    <t>1117320</t>
  </si>
  <si>
    <t>1117325</t>
  </si>
  <si>
    <t>0617321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</si>
  <si>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освітніх установ та закладів</t>
    </r>
  </si>
  <si>
    <t>Інші субвенції з місцевого бюджету (на нове будівництво зовнішніх мереж водопостачання в с. Копистин)</t>
  </si>
  <si>
    <t>41053900</t>
  </si>
  <si>
    <t>Інші субвенції з місцевого бюджету (для забезпечення функціонування відділення боксу Хмельницької ДЮСШ №2 "Авангард" ФСТ "Україна" (на підготовку спортсменів, проведення спортивних змагань, навчально-тренувальних зборів, придбання спортивного інвентаря та обладнання))</t>
  </si>
  <si>
    <t>Реконструкція будівлі Шаровечківської ЗОШ І-ІІІ ст. за адресою: с. Шаровечка, вул. Шкільна, 10 Хмельницького району Хмельницької області (коригування)</t>
  </si>
  <si>
    <t>Реконструкція спортивного майданчика Національної академії Державної прикордонної служби України імені Богдана Хмельницького з влаштування футбольного поля (91 х 46) зі штучним покриттям по вулиці Шевченка, 46, для проведення спільних спортивних заходів та заходів військово-патріотичного виховання молоді міста Хмельницького, пропаганди здорового способу життя, формування відповідного рівня фізичної підготовки та витривалості</t>
  </si>
  <si>
    <t>1119000</t>
  </si>
  <si>
    <t>1119700</t>
  </si>
  <si>
    <t>1119770</t>
  </si>
  <si>
    <t>ДОХОДИ</t>
  </si>
  <si>
    <r>
      <t xml:space="preserve">Найменування згідно
 з </t>
    </r>
    <r>
      <rPr>
        <b/>
        <u/>
        <sz val="10"/>
        <rFont val="Times New Roman"/>
        <family val="1"/>
        <charset val="204"/>
      </rPr>
      <t>Класифікацією доходів бюджету</t>
    </r>
  </si>
  <si>
    <t>бюджету Хмельницької міської територіальної громади  на 2022 рік</t>
  </si>
  <si>
    <t>бюджету Хмельницької міської територіальної громади на 2022 рік</t>
  </si>
  <si>
    <t>видатків бюджету Хмельницької міської територіальної громади на 2022 рік</t>
  </si>
  <si>
    <t>бюджету Хмельницької міської територіальної громади у 2022 році</t>
  </si>
  <si>
    <t>на 2022 рік</t>
  </si>
  <si>
    <t>МІЖБЮДЖЕТНІ ТРАНСФЕРТИ НА 2022 РІК</t>
  </si>
  <si>
    <t xml:space="preserve">          1. Показники міжбюджетних трансфертів з інших бюджетів</t>
  </si>
  <si>
    <t xml:space="preserve">          2. Показники міжбюджетних трансфертів іншим бюджетам</t>
  </si>
  <si>
    <t>ОБСЯГИ</t>
  </si>
  <si>
    <t>капітальних вкладень бюджету у розрізі інвестиційних проектів</t>
  </si>
  <si>
    <t>у 2022 році</t>
  </si>
  <si>
    <t>Найменування інвестиційного проекту</t>
  </si>
  <si>
    <r>
      <t xml:space="preserve">1 </t>
    </r>
    <r>
      <rPr>
        <sz val="2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</si>
  <si>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r>
      <t xml:space="preserve">1 </t>
    </r>
    <r>
      <rPr>
        <sz val="10"/>
        <rFont val="Times New Roman"/>
        <family val="1"/>
        <charset val="204"/>
      </rPr>
      <t>Будівни́цтво — будівництво, реконструкція і реставрація об'єктів виробничої, комунікаційної та соціальної інфраструктури за рахунок власних коштів місцевих бюджетів.</t>
    </r>
  </si>
  <si>
    <t>Загальний період реалізації проекту, (рік початку і завершення)</t>
  </si>
  <si>
    <t>Загальна вартість проекту, гривень</t>
  </si>
  <si>
    <t>Обсяг капітальних вкладень бюджету Хмельницької міської територіальної громади всього, гривень</t>
  </si>
  <si>
    <t>Обсяг капітальних вкладень бюджету Хмельницької міської територіальної громади у 2022 році, гривень</t>
  </si>
  <si>
    <t>Очікуваний рівень готовності проекту на кінець 2022 року, %</t>
  </si>
  <si>
    <t>витрат бюджету Хмельницької міської територіальної громади на реалізацію місцевих/регіональних</t>
  </si>
  <si>
    <t>програм у 2022 році</t>
  </si>
  <si>
    <t>Хмельницької міської територіальної громади у 2022 році</t>
  </si>
  <si>
    <t>Надання спеціалізованої освіти мистецькими школами</t>
  </si>
  <si>
    <t>Реконструкція відділення невідкладної допомоги та реанімації комунального підприємства "Хмельницька міська дитяча лікарня" Хмельницької міської ради за адресою: м. Хмельницький, вул. Степана Разіна, 1</t>
  </si>
  <si>
    <t>Будівництво Палацу спорту по вул.Прибузькій, 5/1а у м.Хмельницькому (коригування)</t>
  </si>
  <si>
    <t>Будівництво артезіанської свердловини, водонапірної башти та водогону в с.Малашівці Хмельницького району Хмельницької області</t>
  </si>
  <si>
    <t xml:space="preserve"> Реконструкція з добудовою приміщень Хмельницького ліцею №17 під спортивну залу на вул. Героїв Майдану, 5 в м. Хмельницькому (коригування)</t>
  </si>
  <si>
    <t>Реставрація будівлі дитячої музичної школи № 1 ім. Миколи Мозгового по вул. Проскурівській,  18 в м. Хмельницькому</t>
  </si>
  <si>
    <t>Будівництвоˈ споруд, установ та закладів фізичної культури і спорту</t>
  </si>
  <si>
    <t>Будівництво спеціалізованого залу боксу на території спортивного комплексу "Поділля" ДЮСШ №1 по вул. Проскурівській, 81  в м. Хмельницькому (коригування)</t>
  </si>
  <si>
    <t>2018 - 2025 роки</t>
  </si>
  <si>
    <t xml:space="preserve">   Будівництво Льодового палацу  по вул.Прибузькій, 7/3А в м. Хмельницькому</t>
  </si>
  <si>
    <t>2018 - 2024 роки</t>
  </si>
  <si>
    <t>Будівництво внутрішньоквартального проїзду між земельними ділянками по вул. Старокостянтинівське шосе, 2/1 "З" в м. Хмельницькому</t>
  </si>
  <si>
    <t>Реконструкція  вбудовано-прибудованої аптеки під адміністративне приміщення управління адміністративних послуг Хмельницької міської ради  по вул. Кам'янецькій, 38 в м. Хмельницькому</t>
  </si>
  <si>
    <t xml:space="preserve">Будівництво каналізаційних мереж в мікрорайоні "Озерна" в м. Хмельницькому </t>
  </si>
  <si>
    <t>Будівництво вулиці Мельникова (від вул. Зарічанської до вул. Трудової) в м. Хмельницькому (коригування)</t>
  </si>
  <si>
    <t>Будівництво автодорожнього тунелю під залізничними коліями на перегоні Хмельницький - Гречани ПК 12256+71.00 в м. Хмельницькому</t>
  </si>
  <si>
    <t>Нове будівництво зовнішніх  мереж газопостачання індустріального парку  "Хмельницький" по вул. Вінницьке шосе, 18 в м. Хмельницькому</t>
  </si>
  <si>
    <t xml:space="preserve"> Нове будівництво зовнішніх мереж  водопостачання та каналізації індустріального парку  "Хмельницький" по  вул. Вінницьке шосе, 18 в м. Хмельницькому</t>
  </si>
  <si>
    <t>2818340</t>
  </si>
  <si>
    <t>8340</t>
  </si>
  <si>
    <t>Природоохоронні заходи за рахунок цільових фондів</t>
  </si>
  <si>
    <t>Придбання систем, приладів для здійснення контролю за якістю поверхневих та підземних вод на території міста</t>
  </si>
  <si>
    <t>Виготовлення проектів землеустрою щодо встановлення меж прибережних захисних смуг поверхневих водних об‘єктів на території територіальної громади</t>
  </si>
  <si>
    <t>0611033</t>
  </si>
  <si>
    <t>1033</t>
  </si>
  <si>
    <t>Надання загальної середньої освіти спеціалізованими закладами загальної середньої освіти</t>
  </si>
  <si>
    <t>2019 - 2022 роки</t>
  </si>
  <si>
    <t>Реконструкція стадіону Хмельницької середньої загальноосвітньої школи №18 І-ІІІ ступенів ім.В.Чорновола по вул. Купріна, 12 в  м.Хмельницькому</t>
  </si>
  <si>
    <t xml:space="preserve"> Реконструкція парку-пам'ятки садово-паркового мистецтва місцевого значення "Парк ім. М.Чекмана". Ділянка колеса огляду. </t>
  </si>
  <si>
    <t>Нове будівництво парку "Молодіжний" по вул. Бандери в м. Хмельницькому 1-а черга</t>
  </si>
  <si>
    <t>Наове будівництво зовнішніх мереж водопостачання в с. Копистин Хмельницького району Хмельницької області</t>
  </si>
  <si>
    <t>2022 рік</t>
  </si>
  <si>
    <t>Підвищення енергоефективності систем водопостачання та водоочищення: Реконструкція каналізаційних насосних станцій № 2, 7, 12 у місті Хмельницькому</t>
  </si>
  <si>
    <t>Внески до статутного капіталу ХКП "Спецкомунтранс" (Реконструкція "Винос газопроводу високого тиску з тіла полігону твердих побутових відходів м.Хмельницького" (коригування))</t>
  </si>
  <si>
    <t>Внески до статутного капіталу МКП "Хмельницькводоканал" (Будіництво ділянки водопроводу діам. 315 мм по вул. К.Степанкова в м. Хмельницький)</t>
  </si>
  <si>
    <t>Внески до статутного капіталу МКП "Хмельницькводоканал" (Будівництво мереж водовідведення вул.Д.Нечая, вул.Блакитної, пров. Молодіжного в м.Хмельницькому)</t>
  </si>
  <si>
    <t>Внески до статутного капіталу МКП "Хмельницькводоканал" (Нове будівництво зовнішніх мереж водопроводу в  с. Шаровечка Хмельницького району, Хмельницької області (ІІ черга))</t>
  </si>
  <si>
    <t>Внески до статутного капіталу МКП "Хмельницькводоканал" (Реконструкція ділянки водопроводу діаметром 500мм по вул. Тернопільська в м. Хмельницькій)</t>
  </si>
  <si>
    <t>2020 - 2022 роки</t>
  </si>
  <si>
    <t>Будівництво системи водопостачання в с.Бахматівці Хмельницького району Хмельницької області</t>
  </si>
  <si>
    <t>Будівництво другої черги водогону  від с.Чернелівка Красилівського району до м.Хмельницький</t>
  </si>
  <si>
    <t>Внески до статутного капіталу ХКП "Спецкомунтранс" (Нове будівництво нежитлового приміщення за адресою: вул.Заводська, 165 в м.Хмельницькому)</t>
  </si>
  <si>
    <t>Внески до статутного капіталу МКП "Хмельницькводоканал" (Реконструкція напірного каналізаційного колектора діаметром 225 мм від КНС-22, вул.Камянецька, 134/1Д в м.Хмельницький)</t>
  </si>
  <si>
    <t>1210180</t>
  </si>
  <si>
    <t>Проєкт Програми економічного і соціального розвитку Хмельницької міської територіальної громади на 2022 рік</t>
  </si>
  <si>
    <t xml:space="preserve"> Програма співфінансування робіт з реконструкції покрівель багатоквартирних житлових будинків на 2018 - 2022 роки</t>
  </si>
  <si>
    <t>Рішення 22-ї сесії Хмельницької міської ради від 04.07.2018 року №31</t>
  </si>
  <si>
    <t>1217300</t>
  </si>
  <si>
    <t>1217310</t>
  </si>
  <si>
    <t>Інша діяльність у сфері житлово-комунального господарства</t>
  </si>
  <si>
    <t>1416090</t>
  </si>
  <si>
    <t>6090</t>
  </si>
  <si>
    <t>0640</t>
  </si>
  <si>
    <t>Рішення 2-ї сесії Хмельницької міської ради від 23.12.2020 року №23</t>
  </si>
  <si>
    <t>Програма розвитку геоінформаційної системи Хмельницької міської ради на 2021 - 2025 роки</t>
  </si>
  <si>
    <t>2020 - 2023 роки</t>
  </si>
  <si>
    <r>
      <t>Будівництво</t>
    </r>
    <r>
      <rPr>
        <b/>
        <vertAlign val="superscript"/>
        <sz val="11"/>
        <rFont val="Times New Roman"/>
        <family val="1"/>
        <charset val="204"/>
      </rPr>
      <t>1</t>
    </r>
    <r>
      <rPr>
        <sz val="11"/>
        <rFont val="Times New Roman"/>
        <family val="1"/>
        <charset val="204"/>
      </rPr>
      <t>  об'єктів житлово-комунального господарства</t>
    </r>
  </si>
  <si>
    <t>Реконструкція покрівлі житлового будинку по вулиці Інститутська, 13 в м.Хмельницькому</t>
  </si>
  <si>
    <t>Проєкт Комплексної програми «Піклування» в Хмельницькій міській територіальній громаді на 2022 - 2026 роки</t>
  </si>
  <si>
    <t xml:space="preserve">Програма зайнятості населення Хмельницької міської територіальної громади на 2021 - 2023 роки </t>
  </si>
  <si>
    <t>Реконструкція футбольного поля під штучним покриттям Хмельницької дитячо-юнацької спортивної школи № 1 по вул.Спортивній,17 в м. Хмельницькому</t>
  </si>
  <si>
    <t>Проєкт комплексної Програми реалізації молодіжної політики та розвитку фізичної культури і спорту в Хмельницькій міській територіальній громаді на 2022 - 2026 роки</t>
  </si>
  <si>
    <t>Виконання гарантійних зобов'язань за позичальників, що отримали кредити під місцеві гарантії</t>
  </si>
  <si>
    <t>Надання коштів для забезпечення гарантійних зобов'язань за позичальників, що отримали кредити під місцеві гарантії</t>
  </si>
  <si>
    <t>Програма «Громадські ініціативи»
Хмельницької міської територіальної громади на 2021-2025 роки (із змінами)</t>
  </si>
  <si>
    <t xml:space="preserve">Збір за місця для паркування транспортних засобів </t>
  </si>
  <si>
    <t xml:space="preserve">Збір за місця для паркування транспортних засобів, сплачений юридичними особами </t>
  </si>
  <si>
    <t xml:space="preserve"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  </t>
  </si>
  <si>
    <t>Проєкт Програми навчання, підготовки та підвищення кваліфікації посадових осіб місцевого самоврядування, керівних працівників підприємств, установ і організацій Хмельницької міської територіальної громади, членів виконавчого комітету та депутатів міської ради на 2022 рік</t>
  </si>
  <si>
    <t>Проєкт Програми фінансової підтримки комунальної установи Хмельницької міської ради "Агенція розвитку Хмельницького" на 2022-2024 роки</t>
  </si>
  <si>
    <t>Проєкт Програми висвітлення діяльності Хмельницької міської ради
та її виконавчих органів на 2022 рік</t>
  </si>
  <si>
    <t>Проєкт Програми розвитку освіти Хмельницької міської територіальної громади на 2022 - 2026 роки</t>
  </si>
  <si>
    <t>Проєкт Програми розвитку підприємництва Хмельницької міської територіальної громади на 2022 - 2025 роки</t>
  </si>
  <si>
    <t xml:space="preserve">Керуючий справами </t>
  </si>
  <si>
    <t>Ю. САБІЙ</t>
  </si>
  <si>
    <t xml:space="preserve">Керуючий справами  </t>
  </si>
  <si>
    <t>Керуючий справами</t>
  </si>
  <si>
    <t>Проєкт Програми підтримки і розвитку житлово-комунальної інфраструктури Хмельницької міської територіальної громади на 2022 - 2027 роки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</si>
</sst>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₴_-;\-* #,##0.00\ _₴_-;_-* &quot;-&quot;??\ _₴_-;_-@_-"/>
    <numFmt numFmtId="165" formatCode="#,##0.0"/>
    <numFmt numFmtId="166" formatCode="0.0"/>
    <numFmt numFmtId="167" formatCode="#,##0.00000"/>
    <numFmt numFmtId="168" formatCode="#,##0.0000"/>
    <numFmt numFmtId="169" formatCode="_-* #,##0.00_₴_-;\-* #,##0.00_₴_-;_-* &quot;-&quot;??_₴_-;_-@_-"/>
    <numFmt numFmtId="170" formatCode="_-* #,##0.00_₴_-;\-* #,##0.00_₴_-;_-* \-??_₴_-;_-@_-"/>
  </numFmts>
  <fonts count="198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0"/>
      <name val="Times New Roman"/>
      <family val="1"/>
      <charset val="204"/>
    </font>
    <font>
      <sz val="10"/>
      <name val="Times New Roman Cyr"/>
      <family val="1"/>
      <charset val="204"/>
    </font>
    <font>
      <b/>
      <sz val="10"/>
      <name val="Times New Roman Cyr"/>
      <family val="1"/>
      <charset val="204"/>
    </font>
    <font>
      <b/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6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Helv"/>
      <charset val="204"/>
    </font>
    <font>
      <sz val="10"/>
      <name val="Courier New"/>
      <family val="3"/>
      <charset val="204"/>
    </font>
    <font>
      <sz val="11"/>
      <color indexed="19"/>
      <name val="Calibri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36"/>
      <name val="Times New Roman"/>
      <family val="1"/>
      <charset val="204"/>
    </font>
    <font>
      <sz val="36"/>
      <name val="Times New Roman"/>
      <family val="1"/>
      <charset val="204"/>
    </font>
    <font>
      <b/>
      <sz val="37"/>
      <name val="Times New Roman"/>
      <family val="1"/>
      <charset val="204"/>
    </font>
    <font>
      <sz val="37"/>
      <name val="Times New Roman"/>
      <family val="1"/>
      <charset val="204"/>
    </font>
    <font>
      <sz val="36"/>
      <name val="Arial Cyr"/>
      <charset val="204"/>
    </font>
    <font>
      <b/>
      <sz val="18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i/>
      <sz val="11"/>
      <name val="Times New Roman"/>
      <family val="1"/>
      <charset val="204"/>
    </font>
    <font>
      <sz val="10"/>
      <name val="Arial Cyr"/>
      <charset val="204"/>
    </font>
    <font>
      <sz val="11"/>
      <name val="Times New Roman Cyr"/>
      <charset val="204"/>
    </font>
    <font>
      <i/>
      <sz val="10"/>
      <name val="Arial Cyr"/>
      <charset val="204"/>
    </font>
    <font>
      <sz val="11"/>
      <name val="Arial Cyr"/>
      <charset val="204"/>
    </font>
    <font>
      <b/>
      <sz val="36"/>
      <name val="Times New Roman Cyr"/>
      <family val="1"/>
      <charset val="204"/>
    </font>
    <font>
      <b/>
      <sz val="16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indexed="8"/>
      <name val="Times New Roman"/>
      <family val="1"/>
      <charset val="204"/>
    </font>
    <font>
      <sz val="10"/>
      <name val="Times New Roman CYR"/>
      <charset val="204"/>
    </font>
    <font>
      <sz val="9"/>
      <name val="Times New Roman CYR"/>
      <charset val="204"/>
    </font>
    <font>
      <b/>
      <sz val="12.5"/>
      <name val="Times New Roman"/>
      <family val="1"/>
      <charset val="204"/>
    </font>
    <font>
      <sz val="12"/>
      <name val="Arial Cyr"/>
      <charset val="204"/>
    </font>
    <font>
      <sz val="12.5"/>
      <name val="Times New Roman"/>
      <family val="1"/>
      <charset val="204"/>
    </font>
    <font>
      <b/>
      <i/>
      <sz val="12.5"/>
      <name val="Times New Roman"/>
      <family val="1"/>
      <charset val="204"/>
    </font>
    <font>
      <b/>
      <i/>
      <sz val="10"/>
      <name val="Arial"/>
      <family val="2"/>
      <charset val="204"/>
    </font>
    <font>
      <sz val="28"/>
      <name val="Arial Cyr"/>
      <charset val="204"/>
    </font>
    <font>
      <u/>
      <sz val="10"/>
      <color indexed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48"/>
      <name val="Times New Roman Cyr"/>
      <family val="1"/>
      <charset val="204"/>
    </font>
    <font>
      <vertAlign val="superscript"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20"/>
      <name val="Arial Cyr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sz val="10"/>
      <name val="Arial Cyr"/>
      <family val="2"/>
      <charset val="204"/>
    </font>
    <font>
      <sz val="36"/>
      <name val="Times New Roman Cyr"/>
      <family val="1"/>
      <charset val="204"/>
    </font>
    <font>
      <i/>
      <sz val="10"/>
      <name val="Times New Roman"/>
      <family val="1"/>
      <charset val="204"/>
    </font>
    <font>
      <sz val="50"/>
      <name val="Arial Cyr"/>
      <charset val="204"/>
    </font>
    <font>
      <sz val="11"/>
      <name val="Times New Roman Cyr"/>
      <family val="1"/>
      <charset val="204"/>
    </font>
    <font>
      <b/>
      <sz val="11"/>
      <name val="Times New Roman Cyr"/>
      <family val="1"/>
      <charset val="204"/>
    </font>
    <font>
      <i/>
      <sz val="11"/>
      <name val="Times New Roman Cyr"/>
      <family val="1"/>
      <charset val="204"/>
    </font>
    <font>
      <sz val="22"/>
      <name val="Times New Roman"/>
      <family val="1"/>
      <charset val="204"/>
    </font>
    <font>
      <sz val="36"/>
      <color indexed="8"/>
      <name val="Times New Roman"/>
      <family val="1"/>
      <charset val="204"/>
    </font>
    <font>
      <sz val="72"/>
      <name val="Arial Cyr"/>
      <charset val="204"/>
    </font>
    <font>
      <sz val="11"/>
      <color theme="1"/>
      <name val="Calibri"/>
      <family val="2"/>
      <scheme val="minor"/>
    </font>
    <font>
      <sz val="9"/>
      <name val="Arial Cyr"/>
      <charset val="204"/>
    </font>
    <font>
      <u/>
      <sz val="9"/>
      <color indexed="8"/>
      <name val="Times New Roman"/>
      <family val="1"/>
      <charset val="204"/>
    </font>
    <font>
      <u/>
      <sz val="9"/>
      <name val="Arial Cyr"/>
      <charset val="204"/>
    </font>
    <font>
      <u/>
      <sz val="36"/>
      <color indexed="8"/>
      <name val="Times New Roman"/>
      <family val="1"/>
      <charset val="204"/>
    </font>
    <font>
      <u/>
      <sz val="36"/>
      <name val="Arial Cyr"/>
      <charset val="204"/>
    </font>
    <font>
      <u/>
      <sz val="10"/>
      <color indexed="8"/>
      <name val="Times New Roman"/>
      <family val="1"/>
      <charset val="204"/>
    </font>
    <font>
      <u/>
      <sz val="10"/>
      <name val="Arial Cyr"/>
      <charset val="204"/>
    </font>
    <font>
      <sz val="28"/>
      <name val="Times New Roman Cyr"/>
      <family val="1"/>
      <charset val="204"/>
    </font>
    <font>
      <b/>
      <sz val="36"/>
      <color rgb="FFFF0000"/>
      <name val="Times New Roman"/>
      <family val="1"/>
      <charset val="204"/>
    </font>
    <font>
      <sz val="10"/>
      <color rgb="FFFF0000"/>
      <name val="Arial Cyr"/>
      <charset val="204"/>
    </font>
    <font>
      <b/>
      <sz val="10"/>
      <color rgb="FFFF0000"/>
      <name val="Arial Cyr"/>
      <charset val="204"/>
    </font>
    <font>
      <b/>
      <i/>
      <sz val="36"/>
      <color rgb="FFFF0000"/>
      <name val="Times New Roman"/>
      <family val="1"/>
      <charset val="204"/>
    </font>
    <font>
      <sz val="36"/>
      <color rgb="FFFF0000"/>
      <name val="Times New Roman"/>
      <family val="1"/>
      <charset val="204"/>
    </font>
    <font>
      <sz val="37"/>
      <color rgb="FFFF0000"/>
      <name val="Times New Roman"/>
      <family val="1"/>
      <charset val="204"/>
    </font>
    <font>
      <b/>
      <sz val="12.5"/>
      <color rgb="FFFF0000"/>
      <name val="Times New Roman"/>
      <family val="1"/>
      <charset val="204"/>
    </font>
    <font>
      <b/>
      <sz val="37"/>
      <color rgb="FFFF0000"/>
      <name val="Times New Roman"/>
      <family val="1"/>
      <charset val="204"/>
    </font>
    <font>
      <b/>
      <i/>
      <sz val="36"/>
      <name val="Times New Roman"/>
      <family val="1"/>
      <charset val="204"/>
    </font>
    <font>
      <b/>
      <sz val="10"/>
      <name val="Times New Roman CYR"/>
      <charset val="204"/>
    </font>
    <font>
      <i/>
      <sz val="10"/>
      <color rgb="FFFF0000"/>
      <name val="Arial Cyr"/>
      <charset val="204"/>
    </font>
    <font>
      <sz val="36"/>
      <color rgb="FFFF0000"/>
      <name val="Arial Cyr"/>
      <charset val="204"/>
    </font>
    <font>
      <b/>
      <sz val="36"/>
      <color rgb="FFFF0000"/>
      <name val="Arial Cyr"/>
      <charset val="204"/>
    </font>
    <font>
      <b/>
      <sz val="48"/>
      <color rgb="FFFF0000"/>
      <name val="Times New Roman Cyr"/>
      <family val="1"/>
      <charset val="204"/>
    </font>
    <font>
      <b/>
      <sz val="36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0"/>
      <color rgb="FFFF0000"/>
      <name val="Times New Roman CYR"/>
      <charset val="204"/>
    </font>
    <font>
      <b/>
      <sz val="14"/>
      <color rgb="FFFF0000"/>
      <name val="Times New Roman CYR"/>
      <charset val="204"/>
    </font>
    <font>
      <sz val="12"/>
      <color rgb="FFFF0000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4"/>
      <color rgb="FFFF0000"/>
      <name val="Times New Roman"/>
      <family val="1"/>
      <charset val="204"/>
    </font>
    <font>
      <b/>
      <i/>
      <sz val="37"/>
      <color rgb="FFFF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i/>
      <sz val="37"/>
      <name val="Times New Roman"/>
      <family val="1"/>
      <charset val="204"/>
    </font>
    <font>
      <b/>
      <sz val="37"/>
      <color theme="1"/>
      <name val="Times New Roman"/>
      <family val="1"/>
      <charset val="204"/>
    </font>
    <font>
      <sz val="26"/>
      <name val="Times New Roman Cyr"/>
      <family val="1"/>
      <charset val="204"/>
    </font>
    <font>
      <sz val="22"/>
      <name val="Arial Cyr"/>
      <charset val="204"/>
    </font>
    <font>
      <sz val="36"/>
      <color rgb="FF000099"/>
      <name val="Times New Roman"/>
      <family val="1"/>
      <charset val="204"/>
    </font>
    <font>
      <sz val="10"/>
      <color rgb="FFFF0000"/>
      <name val="Times New Roman Cyr"/>
      <family val="1"/>
      <charset val="204"/>
    </font>
    <font>
      <sz val="10"/>
      <color rgb="FF000099"/>
      <name val="Arial Cyr"/>
      <charset val="204"/>
    </font>
    <font>
      <sz val="48"/>
      <name val="Times New Roman Cyr"/>
      <family val="1"/>
      <charset val="204"/>
    </font>
    <font>
      <sz val="37"/>
      <color theme="1"/>
      <name val="Times New Roman"/>
      <family val="1"/>
      <charset val="204"/>
    </font>
    <font>
      <b/>
      <i/>
      <sz val="36"/>
      <color theme="1"/>
      <name val="Times New Roman"/>
      <family val="1"/>
      <charset val="204"/>
    </font>
    <font>
      <sz val="10"/>
      <color theme="1"/>
      <name val="Arial Cyr"/>
      <charset val="204"/>
    </font>
    <font>
      <sz val="36"/>
      <color theme="1"/>
      <name val="Arial Cyr"/>
      <charset val="204"/>
    </font>
    <font>
      <b/>
      <vertAlign val="superscript"/>
      <sz val="36"/>
      <name val="Times New Roman"/>
      <family val="1"/>
      <charset val="204"/>
    </font>
    <font>
      <i/>
      <sz val="36"/>
      <name val="Times New Roman"/>
      <family val="1"/>
      <charset val="204"/>
    </font>
    <font>
      <i/>
      <sz val="37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0"/>
      <name val="Arial Cyr"/>
      <charset val="204"/>
    </font>
    <font>
      <i/>
      <sz val="36"/>
      <color theme="1"/>
      <name val="Times New Roman"/>
      <family val="1"/>
      <charset val="204"/>
    </font>
    <font>
      <b/>
      <i/>
      <sz val="36"/>
      <color rgb="FFFF0000"/>
      <name val="Arial Cyr"/>
      <charset val="204"/>
    </font>
    <font>
      <b/>
      <vertAlign val="superscript"/>
      <sz val="11"/>
      <name val="Times New Roman"/>
      <family val="1"/>
      <charset val="204"/>
    </font>
    <font>
      <i/>
      <sz val="36"/>
      <color rgb="FFFF0000"/>
      <name val="Times New Roman"/>
      <family val="1"/>
      <charset val="204"/>
    </font>
    <font>
      <i/>
      <sz val="37"/>
      <color theme="1"/>
      <name val="Times New Roman"/>
      <family val="1"/>
      <charset val="204"/>
    </font>
    <font>
      <b/>
      <i/>
      <vertAlign val="superscript"/>
      <sz val="36"/>
      <name val="Times New Roman"/>
      <family val="1"/>
      <charset val="204"/>
    </font>
    <font>
      <sz val="35"/>
      <name val="Times New Roman"/>
      <family val="1"/>
      <charset val="204"/>
    </font>
    <font>
      <sz val="34"/>
      <name val="Times New Roman"/>
      <family val="1"/>
      <charset val="204"/>
    </font>
    <font>
      <u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b/>
      <sz val="2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.5"/>
      <color rgb="FF000000"/>
      <name val="Times New Roman"/>
      <family val="1"/>
      <charset val="204"/>
    </font>
    <font>
      <sz val="12.5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8"/>
      <color indexed="62"/>
      <name val="Cambria"/>
      <family val="2"/>
      <charset val="204"/>
    </font>
    <font>
      <b/>
      <sz val="36"/>
      <color rgb="FF000099"/>
      <name val="Times New Roman"/>
      <family val="1"/>
      <charset val="204"/>
    </font>
    <font>
      <b/>
      <sz val="10"/>
      <color rgb="FF000099"/>
      <name val="Arial Cyr"/>
      <charset val="204"/>
    </font>
    <font>
      <i/>
      <sz val="10"/>
      <color indexed="8"/>
      <name val="Times New Roman"/>
      <family val="1"/>
      <charset val="204"/>
    </font>
    <font>
      <b/>
      <sz val="28"/>
      <name val="Arial Cyr"/>
      <charset val="204"/>
    </font>
    <font>
      <b/>
      <u/>
      <sz val="16"/>
      <name val="Times New Roman"/>
      <family val="1"/>
      <charset val="204"/>
    </font>
    <font>
      <b/>
      <u/>
      <sz val="10"/>
      <name val="Times New Roman"/>
      <family val="1"/>
      <charset val="204"/>
    </font>
    <font>
      <b/>
      <sz val="14"/>
      <color rgb="FF00FFCC"/>
      <name val="Times New Roman"/>
      <family val="1"/>
      <charset val="204"/>
    </font>
    <font>
      <b/>
      <sz val="12"/>
      <color rgb="FF00FFCC"/>
      <name val="Times New Roman"/>
      <family val="1"/>
      <charset val="204"/>
    </font>
    <font>
      <sz val="10"/>
      <color rgb="FF00FFCC"/>
      <name val="Arial Cyr"/>
      <charset val="204"/>
    </font>
    <font>
      <b/>
      <sz val="48"/>
      <color rgb="FF00FFCC"/>
      <name val="Times New Roman Cyr"/>
      <family val="1"/>
      <charset val="204"/>
    </font>
    <font>
      <sz val="36"/>
      <color rgb="FF00FFCC"/>
      <name val="Times New Roman"/>
      <family val="1"/>
      <charset val="204"/>
    </font>
    <font>
      <b/>
      <sz val="10"/>
      <color rgb="FF00FFCC"/>
      <name val="Arial Cyr"/>
      <charset val="204"/>
    </font>
    <font>
      <b/>
      <sz val="36"/>
      <color rgb="FF00FFCC"/>
      <name val="Times New Roman"/>
      <family val="1"/>
      <charset val="204"/>
    </font>
    <font>
      <b/>
      <i/>
      <sz val="36"/>
      <color rgb="FF00FFCC"/>
      <name val="Times New Roman"/>
      <family val="1"/>
      <charset val="204"/>
    </font>
    <font>
      <b/>
      <sz val="10"/>
      <color rgb="FF00FFCC"/>
      <name val="Times New Roman"/>
      <family val="1"/>
      <charset val="204"/>
    </font>
    <font>
      <b/>
      <i/>
      <sz val="10"/>
      <color rgb="FF00FFCC"/>
      <name val="Times New Roman"/>
      <family val="1"/>
      <charset val="204"/>
    </font>
    <font>
      <i/>
      <sz val="10"/>
      <color rgb="FF00FFCC"/>
      <name val="Times New Roman"/>
      <family val="1"/>
      <charset val="204"/>
    </font>
    <font>
      <sz val="10"/>
      <color rgb="FF00FFCC"/>
      <name val="Times New Roman"/>
      <family val="1"/>
      <charset val="204"/>
    </font>
    <font>
      <i/>
      <sz val="36"/>
      <color rgb="FF00FFCC"/>
      <name val="Arial Cyr"/>
      <charset val="204"/>
    </font>
    <font>
      <i/>
      <sz val="10"/>
      <color rgb="FF00FFCC"/>
      <name val="Arial Cyr"/>
      <charset val="204"/>
    </font>
    <font>
      <sz val="36"/>
      <color rgb="FF00FFCC"/>
      <name val="Arial Cyr"/>
      <charset val="204"/>
    </font>
    <font>
      <b/>
      <sz val="36"/>
      <color rgb="FF00FFCC"/>
      <name val="Arial Cyr"/>
      <charset val="204"/>
    </font>
    <font>
      <b/>
      <i/>
      <sz val="10"/>
      <color rgb="FF00FFCC"/>
      <name val="Arial Cyr"/>
      <charset val="204"/>
    </font>
    <font>
      <b/>
      <sz val="37"/>
      <color rgb="FF00FFCC"/>
      <name val="Times New Roman"/>
      <family val="1"/>
      <charset val="204"/>
    </font>
    <font>
      <sz val="37"/>
      <color rgb="FF00FFCC"/>
      <name val="Times New Roman"/>
      <family val="1"/>
      <charset val="204"/>
    </font>
    <font>
      <i/>
      <sz val="37"/>
      <color rgb="FF00FFCC"/>
      <name val="Times New Roman"/>
      <family val="1"/>
      <charset val="204"/>
    </font>
    <font>
      <b/>
      <i/>
      <sz val="37"/>
      <color rgb="FF00FFCC"/>
      <name val="Times New Roman"/>
      <family val="1"/>
      <charset val="204"/>
    </font>
    <font>
      <sz val="12"/>
      <color rgb="FF00FFCC"/>
      <name val="Times New Roman"/>
      <family val="1"/>
      <charset val="204"/>
    </font>
    <font>
      <sz val="48"/>
      <color rgb="FF00FFCC"/>
      <name val="Arial Cyr"/>
      <charset val="204"/>
    </font>
    <font>
      <b/>
      <sz val="16"/>
      <color rgb="FF00FFCC"/>
      <name val="Times New Roman"/>
      <family val="1"/>
      <charset val="204"/>
    </font>
    <font>
      <sz val="36"/>
      <color rgb="FF00FFCC"/>
      <name val="Times New Roman Cyr"/>
      <family val="1"/>
      <charset val="204"/>
    </font>
    <font>
      <sz val="48"/>
      <color rgb="FF00FFCC"/>
      <name val="Times New Roman Cyr"/>
      <family val="1"/>
      <charset val="204"/>
    </font>
    <font>
      <sz val="22"/>
      <color rgb="FF00FFCC"/>
      <name val="Times New Roman Cyr"/>
      <family val="1"/>
      <charset val="204"/>
    </font>
    <font>
      <b/>
      <sz val="10"/>
      <color rgb="FF00FFCC"/>
      <name val="Times New Roman Cyr"/>
      <family val="1"/>
      <charset val="204"/>
    </font>
    <font>
      <sz val="10"/>
      <color rgb="FF00FFCC"/>
      <name val="Times New Roman Cyr"/>
      <family val="1"/>
      <charset val="204"/>
    </font>
    <font>
      <sz val="22"/>
      <color rgb="FF00FFCC"/>
      <name val="Times New Roman"/>
      <family val="1"/>
      <charset val="204"/>
    </font>
    <font>
      <b/>
      <sz val="72"/>
      <color rgb="FF00FFCC"/>
      <name val="Times New Roman"/>
      <family val="1"/>
      <charset val="204"/>
    </font>
    <font>
      <sz val="48"/>
      <color rgb="FF00FFCC"/>
      <name val="Times New Roman"/>
      <family val="1"/>
      <charset val="204"/>
    </font>
    <font>
      <sz val="28"/>
      <color rgb="FF00FFCC"/>
      <name val="Times New Roman"/>
      <family val="1"/>
      <charset val="204"/>
    </font>
  </fonts>
  <fills count="42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45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gradientFill type="path" left="0.5" right="0.5" top="0.5" bottom="0.5">
        <stop position="0">
          <color theme="0"/>
        </stop>
        <stop position="1">
          <color theme="9" tint="0.80001220740379042"/>
        </stop>
      </gradientFill>
    </fill>
    <fill>
      <gradientFill type="path" left="0.5" right="0.5" top="0.5" bottom="0.5">
        <stop position="0">
          <color theme="0"/>
        </stop>
        <stop position="1">
          <color rgb="FFCCFFCC"/>
        </stop>
      </gradientFill>
    </fill>
    <fill>
      <patternFill patternType="solid">
        <fgColor rgb="FFFF0000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rgb="FF00FF99"/>
        <bgColor auto="1"/>
      </patternFill>
    </fill>
    <fill>
      <patternFill patternType="solid">
        <fgColor rgb="FFFFFF99"/>
        <bgColor indexed="64"/>
      </patternFill>
    </fill>
    <fill>
      <patternFill patternType="solid">
        <fgColor rgb="FF00CCFF"/>
        <bgColor indexed="64"/>
      </patternFill>
    </fill>
    <fill>
      <gradientFill degree="270">
        <stop position="0">
          <color theme="0"/>
        </stop>
        <stop position="1">
          <color rgb="FF00CCFF"/>
        </stop>
      </gradientFill>
    </fill>
    <fill>
      <gradientFill degree="90">
        <stop position="0">
          <color theme="0"/>
        </stop>
        <stop position="1">
          <color rgb="FF00CCFF"/>
        </stop>
      </gradientFill>
    </fill>
    <fill>
      <gradientFill degree="270">
        <stop position="0">
          <color theme="0"/>
        </stop>
        <stop position="1">
          <color theme="5" tint="0.80001220740379042"/>
        </stop>
      </gradientFill>
    </fill>
    <fill>
      <gradientFill degree="90">
        <stop position="0">
          <color theme="0"/>
        </stop>
        <stop position="1">
          <color theme="9" tint="0.59999389629810485"/>
        </stop>
      </gradientFill>
    </fill>
    <fill>
      <gradientFill degree="90">
        <stop position="0">
          <color theme="0"/>
        </stop>
        <stop position="1">
          <color rgb="FF00B0F0"/>
        </stop>
      </gradientFill>
    </fill>
    <fill>
      <gradientFill degree="270">
        <stop position="0">
          <color theme="0"/>
        </stop>
        <stop position="1">
          <color theme="9" tint="0.80001220740379042"/>
        </stop>
      </gradientFill>
    </fill>
    <fill>
      <gradientFill degree="270">
        <stop position="0">
          <color theme="0"/>
        </stop>
        <stop position="1">
          <color rgb="FFFFFF99"/>
        </stop>
      </gradientFill>
    </fill>
    <fill>
      <gradientFill degree="270">
        <stop position="0">
          <color theme="0"/>
        </stop>
        <stop position="1">
          <color theme="7" tint="0.80001220740379042"/>
        </stop>
      </gradientFill>
    </fill>
    <fill>
      <gradientFill degree="270">
        <stop position="0">
          <color theme="0"/>
        </stop>
        <stop position="1">
          <color rgb="FFCCCCFF"/>
        </stop>
      </gradientFill>
    </fill>
  </fills>
  <borders count="3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64"/>
      </right>
      <top/>
      <bottom/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/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/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thin">
        <color indexed="64"/>
      </bottom>
      <diagonal/>
    </border>
    <border>
      <left/>
      <right/>
      <top style="double">
        <color theme="0" tint="-0.499984740745262"/>
      </top>
      <bottom style="double">
        <color theme="0" tint="-0.499984740745262"/>
      </bottom>
      <diagonal/>
    </border>
    <border>
      <left/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</borders>
  <cellStyleXfs count="190">
    <xf numFmtId="0" fontId="0" fillId="0" borderId="0"/>
    <xf numFmtId="0" fontId="9" fillId="0" borderId="0"/>
    <xf numFmtId="0" fontId="22" fillId="2" borderId="1" applyNumberFormat="0" applyAlignment="0" applyProtection="0"/>
    <xf numFmtId="0" fontId="30" fillId="3" borderId="0" applyNumberFormat="0" applyBorder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9" fillId="0" borderId="0"/>
    <xf numFmtId="0" fontId="48" fillId="0" borderId="0"/>
    <xf numFmtId="0" fontId="32" fillId="0" borderId="0"/>
    <xf numFmtId="0" fontId="9" fillId="0" borderId="0"/>
    <xf numFmtId="0" fontId="48" fillId="0" borderId="0"/>
    <xf numFmtId="0" fontId="9" fillId="0" borderId="0"/>
    <xf numFmtId="0" fontId="48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6" fillId="0" borderId="0">
      <alignment vertical="top"/>
    </xf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9" fillId="0" borderId="0"/>
    <xf numFmtId="0" fontId="48" fillId="0" borderId="0"/>
    <xf numFmtId="0" fontId="11" fillId="0" borderId="0"/>
    <xf numFmtId="0" fontId="56" fillId="0" borderId="0" applyNumberFormat="0" applyFont="0" applyFill="0" applyBorder="0" applyAlignment="0" applyProtection="0">
      <alignment vertical="top"/>
    </xf>
    <xf numFmtId="0" fontId="31" fillId="0" borderId="0"/>
    <xf numFmtId="0" fontId="10" fillId="0" borderId="0" applyNumberFormat="0" applyFont="0" applyFill="0" applyBorder="0" applyAlignment="0" applyProtection="0">
      <alignment vertical="top"/>
    </xf>
    <xf numFmtId="0" fontId="11" fillId="0" borderId="0"/>
    <xf numFmtId="0" fontId="31" fillId="0" borderId="0"/>
    <xf numFmtId="0" fontId="28" fillId="0" borderId="6" applyNumberFormat="0" applyFill="0" applyAlignment="0" applyProtection="0"/>
    <xf numFmtId="0" fontId="33" fillId="4" borderId="0" applyNumberFormat="0" applyBorder="0" applyAlignment="0" applyProtection="0"/>
    <xf numFmtId="0" fontId="31" fillId="0" borderId="0"/>
    <xf numFmtId="0" fontId="29" fillId="0" borderId="0" applyNumberFormat="0" applyFill="0" applyBorder="0" applyAlignment="0" applyProtection="0"/>
    <xf numFmtId="0" fontId="9" fillId="0" borderId="0"/>
    <xf numFmtId="0" fontId="67" fillId="7" borderId="0" applyNumberFormat="0" applyBorder="0" applyAlignment="0" applyProtection="0"/>
    <xf numFmtId="0" fontId="67" fillId="8" borderId="0" applyNumberFormat="0" applyBorder="0" applyAlignment="0" applyProtection="0"/>
    <xf numFmtId="0" fontId="67" fillId="9" borderId="0" applyNumberFormat="0" applyBorder="0" applyAlignment="0" applyProtection="0"/>
    <xf numFmtId="0" fontId="67" fillId="10" borderId="0" applyNumberFormat="0" applyBorder="0" applyAlignment="0" applyProtection="0"/>
    <xf numFmtId="0" fontId="67" fillId="3" borderId="0" applyNumberFormat="0" applyBorder="0" applyAlignment="0" applyProtection="0"/>
    <xf numFmtId="0" fontId="67" fillId="2" borderId="0" applyNumberFormat="0" applyBorder="0" applyAlignment="0" applyProtection="0"/>
    <xf numFmtId="0" fontId="67" fillId="11" borderId="0" applyNumberFormat="0" applyBorder="0" applyAlignment="0" applyProtection="0"/>
    <xf numFmtId="0" fontId="67" fillId="12" borderId="0" applyNumberFormat="0" applyBorder="0" applyAlignment="0" applyProtection="0"/>
    <xf numFmtId="0" fontId="67" fillId="13" borderId="0" applyNumberFormat="0" applyBorder="0" applyAlignment="0" applyProtection="0"/>
    <xf numFmtId="0" fontId="67" fillId="10" borderId="0" applyNumberFormat="0" applyBorder="0" applyAlignment="0" applyProtection="0"/>
    <xf numFmtId="0" fontId="67" fillId="11" borderId="0" applyNumberFormat="0" applyBorder="0" applyAlignment="0" applyProtection="0"/>
    <xf numFmtId="0" fontId="67" fillId="14" borderId="0" applyNumberFormat="0" applyBorder="0" applyAlignment="0" applyProtection="0"/>
    <xf numFmtId="0" fontId="68" fillId="15" borderId="0" applyNumberFormat="0" applyBorder="0" applyAlignment="0" applyProtection="0"/>
    <xf numFmtId="0" fontId="68" fillId="12" borderId="0" applyNumberFormat="0" applyBorder="0" applyAlignment="0" applyProtection="0"/>
    <xf numFmtId="0" fontId="68" fillId="13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18" borderId="0" applyNumberFormat="0" applyBorder="0" applyAlignment="0" applyProtection="0"/>
    <xf numFmtId="0" fontId="68" fillId="19" borderId="0" applyNumberFormat="0" applyBorder="0" applyAlignment="0" applyProtection="0"/>
    <xf numFmtId="0" fontId="68" fillId="20" borderId="0" applyNumberFormat="0" applyBorder="0" applyAlignment="0" applyProtection="0"/>
    <xf numFmtId="0" fontId="68" fillId="21" borderId="0" applyNumberFormat="0" applyBorder="0" applyAlignment="0" applyProtection="0"/>
    <xf numFmtId="0" fontId="68" fillId="16" borderId="0" applyNumberFormat="0" applyBorder="0" applyAlignment="0" applyProtection="0"/>
    <xf numFmtId="0" fontId="68" fillId="17" borderId="0" applyNumberFormat="0" applyBorder="0" applyAlignment="0" applyProtection="0"/>
    <xf numFmtId="0" fontId="68" fillId="22" borderId="0" applyNumberFormat="0" applyBorder="0" applyAlignment="0" applyProtection="0"/>
    <xf numFmtId="0" fontId="22" fillId="2" borderId="1" applyNumberFormat="0" applyAlignment="0" applyProtection="0"/>
    <xf numFmtId="0" fontId="69" fillId="23" borderId="13" applyNumberFormat="0" applyAlignment="0" applyProtection="0"/>
    <xf numFmtId="0" fontId="70" fillId="23" borderId="1" applyNumberFormat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71" fillId="0" borderId="14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72" fillId="4" borderId="0" applyNumberFormat="0" applyBorder="0" applyAlignment="0" applyProtection="0"/>
    <xf numFmtId="0" fontId="73" fillId="8" borderId="0" applyNumberFormat="0" applyBorder="0" applyAlignment="0" applyProtection="0"/>
    <xf numFmtId="0" fontId="74" fillId="0" borderId="0" applyNumberFormat="0" applyFill="0" applyBorder="0" applyAlignment="0" applyProtection="0"/>
    <xf numFmtId="0" fontId="67" fillId="24" borderId="15" applyNumberFormat="0" applyFont="0" applyAlignment="0" applyProtection="0"/>
    <xf numFmtId="0" fontId="28" fillId="0" borderId="6" applyNumberFormat="0" applyFill="0" applyAlignment="0" applyProtection="0"/>
    <xf numFmtId="0" fontId="29" fillId="0" borderId="0" applyNumberFormat="0" applyFill="0" applyBorder="0" applyAlignment="0" applyProtection="0"/>
    <xf numFmtId="0" fontId="30" fillId="9" borderId="0" applyNumberFormat="0" applyBorder="0" applyAlignment="0" applyProtection="0"/>
    <xf numFmtId="0" fontId="82" fillId="0" borderId="0"/>
    <xf numFmtId="0" fontId="9" fillId="0" borderId="0"/>
    <xf numFmtId="0" fontId="8" fillId="0" borderId="0"/>
    <xf numFmtId="0" fontId="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92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67" fillId="0" borderId="0"/>
    <xf numFmtId="0" fontId="22" fillId="4" borderId="1" applyNumberFormat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5" fillId="0" borderId="4" applyNumberFormat="0" applyFill="0" applyAlignment="0" applyProtection="0"/>
    <xf numFmtId="0" fontId="25" fillId="0" borderId="0" applyNumberFormat="0" applyFill="0" applyBorder="0" applyAlignment="0" applyProtection="0"/>
    <xf numFmtId="0" fontId="29" fillId="0" borderId="28" applyNumberFormat="0" applyFill="0" applyAlignment="0" applyProtection="0"/>
    <xf numFmtId="0" fontId="158" fillId="0" borderId="0" applyNumberFormat="0" applyFill="0" applyBorder="0" applyAlignment="0" applyProtection="0"/>
    <xf numFmtId="0" fontId="46" fillId="0" borderId="0"/>
    <xf numFmtId="0" fontId="67" fillId="0" borderId="0"/>
    <xf numFmtId="0" fontId="92" fillId="0" borderId="0"/>
    <xf numFmtId="0" fontId="56" fillId="0" borderId="0"/>
    <xf numFmtId="0" fontId="1" fillId="0" borderId="0"/>
    <xf numFmtId="0" fontId="1" fillId="0" borderId="0"/>
    <xf numFmtId="0" fontId="56" fillId="0" borderId="0"/>
    <xf numFmtId="0" fontId="82" fillId="0" borderId="0"/>
    <xf numFmtId="0" fontId="56" fillId="0" borderId="0"/>
    <xf numFmtId="0" fontId="82" fillId="0" borderId="0"/>
    <xf numFmtId="0" fontId="11" fillId="0" borderId="0"/>
    <xf numFmtId="0" fontId="15" fillId="0" borderId="0"/>
    <xf numFmtId="0" fontId="56" fillId="0" borderId="0"/>
    <xf numFmtId="0" fontId="67" fillId="0" borderId="0"/>
    <xf numFmtId="0" fontId="67" fillId="0" borderId="0"/>
    <xf numFmtId="0" fontId="15" fillId="0" borderId="0"/>
    <xf numFmtId="0" fontId="15" fillId="0" borderId="0"/>
    <xf numFmtId="0" fontId="67" fillId="0" borderId="0"/>
    <xf numFmtId="0" fontId="9" fillId="0" borderId="0"/>
    <xf numFmtId="0" fontId="1" fillId="0" borderId="0"/>
    <xf numFmtId="0" fontId="1" fillId="0" borderId="0"/>
    <xf numFmtId="0" fontId="82" fillId="0" borderId="0"/>
    <xf numFmtId="0" fontId="157" fillId="0" borderId="0"/>
    <xf numFmtId="169" fontId="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6" fillId="0" borderId="0"/>
    <xf numFmtId="0" fontId="1" fillId="0" borderId="0"/>
    <xf numFmtId="0" fontId="1" fillId="0" borderId="0"/>
    <xf numFmtId="0" fontId="15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0" fontId="82" fillId="0" borderId="0" applyBorder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2" borderId="1" applyNumberFormat="0" applyAlignment="0" applyProtection="0"/>
    <xf numFmtId="0" fontId="1" fillId="0" borderId="0"/>
    <xf numFmtId="0" fontId="1" fillId="0" borderId="0"/>
    <xf numFmtId="0" fontId="28" fillId="0" borderId="6" applyNumberFormat="0" applyFill="0" applyAlignment="0" applyProtection="0"/>
    <xf numFmtId="0" fontId="26" fillId="5" borderId="5" applyNumberFormat="0" applyAlignment="0" applyProtection="0"/>
    <xf numFmtId="0" fontId="27" fillId="0" borderId="0" applyNumberFormat="0" applyFill="0" applyBorder="0" applyAlignment="0" applyProtection="0"/>
    <xf numFmtId="0" fontId="157" fillId="0" borderId="0"/>
    <xf numFmtId="0" fontId="9" fillId="0" borderId="0"/>
    <xf numFmtId="0" fontId="11" fillId="0" borderId="0"/>
    <xf numFmtId="0" fontId="29" fillId="0" borderId="0" applyNumberFormat="0" applyFill="0" applyBorder="0" applyAlignment="0" applyProtection="0"/>
  </cellStyleXfs>
  <cellXfs count="978">
    <xf numFmtId="0" fontId="0" fillId="0" borderId="0" xfId="0"/>
    <xf numFmtId="0" fontId="12" fillId="0" borderId="0" xfId="0" applyFont="1" applyAlignment="1">
      <alignment vertical="center"/>
    </xf>
    <xf numFmtId="0" fontId="14" fillId="0" borderId="0" xfId="0" applyFont="1"/>
    <xf numFmtId="4" fontId="12" fillId="0" borderId="0" xfId="0" applyNumberFormat="1" applyFont="1" applyAlignment="1">
      <alignment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0" fontId="15" fillId="0" borderId="0" xfId="35" applyFont="1"/>
    <xf numFmtId="0" fontId="11" fillId="0" borderId="0" xfId="35"/>
    <xf numFmtId="4" fontId="52" fillId="0" borderId="0" xfId="0" applyNumberFormat="1" applyFont="1" applyAlignment="1">
      <alignment vertical="center"/>
    </xf>
    <xf numFmtId="0" fontId="52" fillId="0" borderId="0" xfId="0" applyFont="1" applyAlignment="1">
      <alignment vertical="center"/>
    </xf>
    <xf numFmtId="0" fontId="11" fillId="0" borderId="0" xfId="39"/>
    <xf numFmtId="0" fontId="34" fillId="0" borderId="0" xfId="39" applyFont="1" applyAlignment="1">
      <alignment horizontal="center" vertical="center"/>
    </xf>
    <xf numFmtId="0" fontId="16" fillId="0" borderId="0" xfId="39" applyFont="1"/>
    <xf numFmtId="0" fontId="21" fillId="0" borderId="0" xfId="0" applyFont="1"/>
    <xf numFmtId="0" fontId="58" fillId="0" borderId="0" xfId="35" applyFont="1"/>
    <xf numFmtId="0" fontId="54" fillId="0" borderId="0" xfId="35" applyFont="1"/>
    <xf numFmtId="0" fontId="59" fillId="0" borderId="0" xfId="35" applyFont="1"/>
    <xf numFmtId="0" fontId="56" fillId="0" borderId="0" xfId="36">
      <alignment vertical="top"/>
    </xf>
    <xf numFmtId="2" fontId="56" fillId="0" borderId="0" xfId="36" applyNumberFormat="1" applyAlignment="1">
      <alignment horizontal="center" vertical="top"/>
    </xf>
    <xf numFmtId="0" fontId="62" fillId="0" borderId="0" xfId="36" applyFont="1" applyAlignment="1">
      <alignment horizontal="center" vertical="top" wrapText="1"/>
    </xf>
    <xf numFmtId="2" fontId="62" fillId="0" borderId="0" xfId="36" applyNumberFormat="1" applyFont="1" applyAlignment="1">
      <alignment horizontal="center" vertical="top" wrapText="1"/>
    </xf>
    <xf numFmtId="166" fontId="15" fillId="0" borderId="0" xfId="36" applyNumberFormat="1" applyFont="1" applyAlignment="1">
      <alignment horizontal="center" vertical="top"/>
    </xf>
    <xf numFmtId="0" fontId="64" fillId="0" borderId="0" xfId="38" applyFont="1" applyAlignment="1" applyProtection="1">
      <alignment horizontal="left" vertical="center" wrapText="1"/>
      <protection locked="0"/>
    </xf>
    <xf numFmtId="0" fontId="62" fillId="0" borderId="0" xfId="36" applyFont="1" applyAlignment="1">
      <alignment horizontal="left" vertical="top" wrapText="1"/>
    </xf>
    <xf numFmtId="0" fontId="50" fillId="0" borderId="0" xfId="0" applyFont="1"/>
    <xf numFmtId="0" fontId="11" fillId="0" borderId="0" xfId="0" applyFont="1"/>
    <xf numFmtId="0" fontId="15" fillId="0" borderId="0" xfId="0" applyFont="1"/>
    <xf numFmtId="2" fontId="15" fillId="0" borderId="0" xfId="36" applyNumberFormat="1" applyFont="1">
      <alignment vertical="top"/>
    </xf>
    <xf numFmtId="0" fontId="79" fillId="0" borderId="0" xfId="0" applyFont="1" applyAlignment="1">
      <alignment horizontal="center" vertical="center"/>
    </xf>
    <xf numFmtId="4" fontId="79" fillId="0" borderId="0" xfId="0" applyNumberFormat="1" applyFont="1" applyAlignment="1">
      <alignment horizontal="center" vertical="center"/>
    </xf>
    <xf numFmtId="4" fontId="83" fillId="0" borderId="0" xfId="0" applyNumberFormat="1" applyFont="1" applyAlignment="1">
      <alignment vertical="center"/>
    </xf>
    <xf numFmtId="4" fontId="14" fillId="0" borderId="0" xfId="0" applyNumberFormat="1" applyFont="1"/>
    <xf numFmtId="0" fontId="84" fillId="0" borderId="0" xfId="35" applyFont="1"/>
    <xf numFmtId="0" fontId="85" fillId="0" borderId="0" xfId="0" applyFont="1"/>
    <xf numFmtId="0" fontId="43" fillId="0" borderId="0" xfId="0" applyFont="1"/>
    <xf numFmtId="0" fontId="34" fillId="0" borderId="0" xfId="35" applyFont="1" applyAlignment="1">
      <alignment horizontal="center" vertical="center" wrapText="1"/>
    </xf>
    <xf numFmtId="4" fontId="35" fillId="0" borderId="0" xfId="35" applyNumberFormat="1" applyFont="1" applyAlignment="1">
      <alignment horizontal="center" vertical="center"/>
    </xf>
    <xf numFmtId="0" fontId="86" fillId="0" borderId="0" xfId="0" applyFont="1" applyAlignment="1">
      <alignment vertical="center"/>
    </xf>
    <xf numFmtId="4" fontId="87" fillId="0" borderId="0" xfId="0" applyNumberFormat="1" applyFont="1" applyAlignment="1">
      <alignment vertical="center"/>
    </xf>
    <xf numFmtId="4" fontId="88" fillId="0" borderId="0" xfId="0" applyNumberFormat="1" applyFont="1" applyAlignment="1">
      <alignment vertical="center"/>
    </xf>
    <xf numFmtId="0" fontId="88" fillId="0" borderId="0" xfId="0" applyFont="1" applyAlignment="1">
      <alignment vertical="center"/>
    </xf>
    <xf numFmtId="4" fontId="86" fillId="0" borderId="0" xfId="0" applyNumberFormat="1" applyFont="1" applyAlignment="1">
      <alignment vertical="center"/>
    </xf>
    <xf numFmtId="0" fontId="87" fillId="0" borderId="0" xfId="0" applyFont="1" applyAlignment="1">
      <alignment vertical="center"/>
    </xf>
    <xf numFmtId="0" fontId="49" fillId="0" borderId="0" xfId="35" applyFont="1"/>
    <xf numFmtId="0" fontId="80" fillId="0" borderId="0" xfId="0" applyFont="1" applyAlignment="1">
      <alignment horizontal="center" vertical="center"/>
    </xf>
    <xf numFmtId="4" fontId="80" fillId="0" borderId="0" xfId="0" applyNumberFormat="1" applyFont="1" applyAlignment="1">
      <alignment horizontal="center" vertical="center"/>
    </xf>
    <xf numFmtId="4" fontId="80" fillId="0" borderId="0" xfId="0" applyNumberFormat="1" applyFont="1" applyAlignment="1">
      <alignment horizontal="left" vertical="center"/>
    </xf>
    <xf numFmtId="2" fontId="18" fillId="0" borderId="0" xfId="36" applyNumberFormat="1" applyFont="1">
      <alignment vertical="top"/>
    </xf>
    <xf numFmtId="0" fontId="18" fillId="0" borderId="0" xfId="36" applyFont="1">
      <alignment vertical="top"/>
    </xf>
    <xf numFmtId="0" fontId="15" fillId="0" borderId="0" xfId="39" applyFont="1"/>
    <xf numFmtId="0" fontId="83" fillId="0" borderId="0" xfId="0" applyFont="1" applyAlignment="1">
      <alignment vertical="center"/>
    </xf>
    <xf numFmtId="0" fontId="9" fillId="0" borderId="0" xfId="0" applyFont="1"/>
    <xf numFmtId="4" fontId="9" fillId="0" borderId="0" xfId="0" applyNumberFormat="1" applyFont="1"/>
    <xf numFmtId="0" fontId="91" fillId="0" borderId="0" xfId="0" applyFont="1"/>
    <xf numFmtId="0" fontId="91" fillId="0" borderId="0" xfId="36" applyFont="1">
      <alignment vertical="top"/>
    </xf>
    <xf numFmtId="0" fontId="91" fillId="0" borderId="0" xfId="35" applyFont="1"/>
    <xf numFmtId="0" fontId="43" fillId="0" borderId="0" xfId="36" applyFont="1">
      <alignment vertical="top"/>
    </xf>
    <xf numFmtId="0" fontId="43" fillId="0" borderId="0" xfId="35" applyFont="1"/>
    <xf numFmtId="0" fontId="0" fillId="0" borderId="0" xfId="0" applyFont="1"/>
    <xf numFmtId="0" fontId="0" fillId="0" borderId="0" xfId="0" applyAlignment="1">
      <alignment vertical="center"/>
    </xf>
    <xf numFmtId="0" fontId="58" fillId="0" borderId="0" xfId="35" applyFont="1"/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56" fillId="0" borderId="0" xfId="36">
      <alignment vertical="top"/>
    </xf>
    <xf numFmtId="0" fontId="60" fillId="0" borderId="0" xfId="36" applyFont="1" applyAlignment="1">
      <alignment horizontal="center" vertical="center"/>
    </xf>
    <xf numFmtId="0" fontId="58" fillId="0" borderId="0" xfId="35" applyFont="1"/>
    <xf numFmtId="0" fontId="43" fillId="27" borderId="0" xfId="35" applyFont="1" applyFill="1" applyAlignment="1">
      <alignment horizontal="center" vertical="center"/>
    </xf>
    <xf numFmtId="0" fontId="11" fillId="0" borderId="0" xfId="35" applyFill="1"/>
    <xf numFmtId="0" fontId="0" fillId="0" borderId="0" xfId="0"/>
    <xf numFmtId="0" fontId="35" fillId="0" borderId="0" xfId="0" applyFont="1" applyFill="1" applyBorder="1" applyAlignment="1">
      <alignment horizontal="center" vertical="center"/>
    </xf>
    <xf numFmtId="4" fontId="35" fillId="0" borderId="0" xfId="0" applyNumberFormat="1" applyFont="1" applyFill="1" applyBorder="1" applyAlignment="1">
      <alignment horizontal="center" vertical="center"/>
    </xf>
    <xf numFmtId="0" fontId="58" fillId="0" borderId="0" xfId="35" applyFont="1" applyFill="1"/>
    <xf numFmtId="0" fontId="60" fillId="0" borderId="0" xfId="0" applyFont="1" applyFill="1" applyBorder="1" applyAlignment="1">
      <alignment horizontal="center" vertical="center"/>
    </xf>
    <xf numFmtId="2" fontId="60" fillId="0" borderId="0" xfId="36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4" fontId="60" fillId="0" borderId="0" xfId="36" applyNumberFormat="1" applyFont="1" applyFill="1" applyBorder="1" applyAlignment="1">
      <alignment horizontal="center" vertical="center" wrapText="1"/>
    </xf>
    <xf numFmtId="2" fontId="56" fillId="0" borderId="0" xfId="36" applyNumberFormat="1" applyFill="1" applyAlignment="1">
      <alignment horizontal="center" vertical="top"/>
    </xf>
    <xf numFmtId="0" fontId="34" fillId="0" borderId="0" xfId="35" applyFont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4" fontId="34" fillId="0" borderId="0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left" vertical="center"/>
    </xf>
    <xf numFmtId="0" fontId="0" fillId="0" borderId="0" xfId="0"/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horizontal="center" vertical="center"/>
    </xf>
    <xf numFmtId="0" fontId="76" fillId="0" borderId="0" xfId="0" applyFont="1" applyAlignment="1">
      <alignment horizontal="left" vertical="center"/>
    </xf>
    <xf numFmtId="0" fontId="78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4" fontId="34" fillId="0" borderId="0" xfId="0" applyNumberFormat="1" applyFont="1" applyAlignment="1">
      <alignment horizontal="center" vertical="center"/>
    </xf>
    <xf numFmtId="0" fontId="0" fillId="0" borderId="0" xfId="0"/>
    <xf numFmtId="0" fontId="41" fillId="0" borderId="0" xfId="39" applyFont="1"/>
    <xf numFmtId="0" fontId="34" fillId="0" borderId="0" xfId="39" applyFont="1"/>
    <xf numFmtId="0" fontId="51" fillId="0" borderId="0" xfId="0" applyFont="1"/>
    <xf numFmtId="0" fontId="34" fillId="0" borderId="0" xfId="39" applyFont="1" applyFill="1"/>
    <xf numFmtId="0" fontId="34" fillId="0" borderId="0" xfId="0" applyFont="1" applyFill="1" applyAlignment="1">
      <alignment horizontal="left" vertical="center"/>
    </xf>
    <xf numFmtId="0" fontId="62" fillId="0" borderId="0" xfId="35" applyFont="1" applyAlignment="1">
      <alignment horizontal="center" vertical="center"/>
    </xf>
    <xf numFmtId="0" fontId="62" fillId="0" borderId="0" xfId="35" applyFont="1" applyFill="1" applyAlignment="1">
      <alignment horizontal="center" vertical="center"/>
    </xf>
    <xf numFmtId="0" fontId="15" fillId="0" borderId="0" xfId="39" applyFont="1" applyFill="1"/>
    <xf numFmtId="0" fontId="0" fillId="0" borderId="0" xfId="0"/>
    <xf numFmtId="0" fontId="58" fillId="0" borderId="0" xfId="35" applyFont="1"/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6" fillId="0" borderId="0" xfId="36">
      <alignment vertical="top"/>
    </xf>
    <xf numFmtId="0" fontId="0" fillId="0" borderId="0" xfId="0"/>
    <xf numFmtId="0" fontId="0" fillId="0" borderId="0" xfId="0"/>
    <xf numFmtId="0" fontId="102" fillId="0" borderId="0" xfId="0" applyFont="1"/>
    <xf numFmtId="0" fontId="103" fillId="0" borderId="0" xfId="0" applyFont="1"/>
    <xf numFmtId="0" fontId="111" fillId="0" borderId="0" xfId="0" applyFont="1"/>
    <xf numFmtId="0" fontId="112" fillId="0" borderId="0" xfId="0" applyFont="1"/>
    <xf numFmtId="0" fontId="117" fillId="0" borderId="0" xfId="35" applyFont="1"/>
    <xf numFmtId="0" fontId="118" fillId="0" borderId="0" xfId="35" applyFont="1" applyAlignment="1">
      <alignment horizontal="center" vertical="center"/>
    </xf>
    <xf numFmtId="0" fontId="117" fillId="0" borderId="0" xfId="35" applyFont="1" applyFill="1"/>
    <xf numFmtId="0" fontId="102" fillId="0" borderId="0" xfId="0" applyFont="1"/>
    <xf numFmtId="0" fontId="106" fillId="0" borderId="0" xfId="0" applyFont="1"/>
    <xf numFmtId="0" fontId="119" fillId="0" borderId="0" xfId="36" applyFont="1">
      <alignment vertical="top"/>
    </xf>
    <xf numFmtId="0" fontId="120" fillId="0" borderId="0" xfId="36" applyFont="1">
      <alignment vertical="top"/>
    </xf>
    <xf numFmtId="0" fontId="107" fillId="0" borderId="0" xfId="36" applyFont="1" applyAlignment="1">
      <alignment horizontal="center"/>
    </xf>
    <xf numFmtId="0" fontId="107" fillId="0" borderId="0" xfId="0" applyFont="1" applyAlignment="1">
      <alignment horizontal="center"/>
    </xf>
    <xf numFmtId="0" fontId="107" fillId="0" borderId="0" xfId="36" applyFont="1" applyAlignment="1">
      <alignment horizontal="center" vertical="top"/>
    </xf>
    <xf numFmtId="2" fontId="121" fillId="0" borderId="0" xfId="36" applyNumberFormat="1" applyFont="1" applyFill="1" applyAlignment="1">
      <alignment horizontal="center" vertical="top"/>
    </xf>
    <xf numFmtId="0" fontId="116" fillId="0" borderId="0" xfId="35" applyFont="1" applyFill="1" applyAlignment="1">
      <alignment horizontal="center" vertical="center"/>
    </xf>
    <xf numFmtId="0" fontId="106" fillId="0" borderId="0" xfId="36" applyFont="1">
      <alignment vertical="top"/>
    </xf>
    <xf numFmtId="0" fontId="0" fillId="0" borderId="0" xfId="0"/>
    <xf numFmtId="0" fontId="102" fillId="0" borderId="0" xfId="0" applyFont="1"/>
    <xf numFmtId="0" fontId="11" fillId="0" borderId="0" xfId="35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26" borderId="0" xfId="35" applyFont="1" applyFill="1"/>
    <xf numFmtId="0" fontId="34" fillId="0" borderId="17" xfId="35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41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02" fillId="0" borderId="0" xfId="0" applyFont="1"/>
    <xf numFmtId="0" fontId="58" fillId="0" borderId="0" xfId="35" applyFont="1"/>
    <xf numFmtId="49" fontId="40" fillId="0" borderId="17" xfId="0" applyNumberFormat="1" applyFont="1" applyFill="1" applyBorder="1" applyAlignment="1">
      <alignment horizontal="center" vertical="center" wrapText="1"/>
    </xf>
    <xf numFmtId="0" fontId="0" fillId="0" borderId="0" xfId="0"/>
    <xf numFmtId="0" fontId="102" fillId="0" borderId="0" xfId="0" applyFont="1"/>
    <xf numFmtId="0" fontId="102" fillId="0" borderId="0" xfId="0" applyFont="1" applyFill="1"/>
    <xf numFmtId="0" fontId="0" fillId="0" borderId="0" xfId="0"/>
    <xf numFmtId="0" fontId="16" fillId="0" borderId="0" xfId="0" applyFont="1" applyAlignme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1" fillId="0" borderId="0" xfId="35" applyFont="1" applyAlignment="1">
      <alignment horizontal="center" vertical="center"/>
    </xf>
    <xf numFmtId="0" fontId="11" fillId="6" borderId="0" xfId="35" applyFont="1" applyFill="1"/>
    <xf numFmtId="0" fontId="11" fillId="25" borderId="0" xfId="35" applyFont="1" applyFill="1"/>
    <xf numFmtId="0" fontId="11" fillId="0" borderId="0" xfId="35" applyFont="1" applyFill="1" applyAlignment="1">
      <alignment horizontal="center" vertical="center"/>
    </xf>
    <xf numFmtId="0" fontId="11" fillId="27" borderId="0" xfId="35" applyFont="1" applyFill="1" applyAlignment="1">
      <alignment horizontal="center" vertical="center"/>
    </xf>
    <xf numFmtId="0" fontId="102" fillId="0" borderId="0" xfId="0" applyFont="1"/>
    <xf numFmtId="0" fontId="0" fillId="0" borderId="0" xfId="0"/>
    <xf numFmtId="0" fontId="102" fillId="0" borderId="0" xfId="0" applyFont="1"/>
    <xf numFmtId="0" fontId="151" fillId="0" borderId="0" xfId="0" applyFont="1" applyAlignment="1">
      <alignment horizontal="left" vertical="center"/>
    </xf>
    <xf numFmtId="0" fontId="152" fillId="0" borderId="0" xfId="0" applyFont="1" applyAlignment="1">
      <alignment horizontal="left" vertical="center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0" fillId="0" borderId="0" xfId="36" applyNumberFormat="1" applyFont="1" applyFill="1" applyBorder="1" applyAlignment="1">
      <alignment horizontal="center" vertical="center" wrapText="1"/>
    </xf>
    <xf numFmtId="0" fontId="34" fillId="0" borderId="0" xfId="0" applyFont="1" applyFill="1"/>
    <xf numFmtId="4" fontId="40" fillId="0" borderId="0" xfId="0" applyNumberFormat="1" applyFont="1" applyAlignment="1">
      <alignment vertical="center"/>
    </xf>
    <xf numFmtId="4" fontId="41" fillId="0" borderId="0" xfId="0" applyNumberFormat="1" applyFont="1" applyAlignment="1">
      <alignment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17" fillId="0" borderId="0" xfId="35" applyFont="1" applyAlignment="1">
      <alignment horizontal="center" vertical="center" wrapText="1"/>
    </xf>
    <xf numFmtId="0" fontId="34" fillId="0" borderId="0" xfId="35" applyFont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54" fillId="0" borderId="0" xfId="0" applyFont="1" applyAlignment="1">
      <alignment horizontal="left" vertical="center"/>
    </xf>
    <xf numFmtId="0" fontId="35" fillId="0" borderId="0" xfId="0" applyFont="1" applyFill="1" applyBorder="1" applyAlignment="1">
      <alignment horizontal="left"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151" fillId="0" borderId="0" xfId="0" applyFont="1" applyAlignment="1">
      <alignment horizontal="justify" vertical="center"/>
    </xf>
    <xf numFmtId="0" fontId="0" fillId="0" borderId="0" xfId="0"/>
    <xf numFmtId="0" fontId="41" fillId="0" borderId="0" xfId="0" applyFont="1"/>
    <xf numFmtId="0" fontId="34" fillId="0" borderId="0" xfId="0" applyFont="1"/>
    <xf numFmtId="0" fontId="152" fillId="0" borderId="0" xfId="0" applyFont="1" applyAlignment="1">
      <alignment horizontal="justify" vertical="center"/>
    </xf>
    <xf numFmtId="0" fontId="80" fillId="0" borderId="0" xfId="0" applyFont="1" applyAlignment="1">
      <alignment horizontal="right" vertical="center"/>
    </xf>
    <xf numFmtId="0" fontId="151" fillId="0" borderId="0" xfId="0" applyFont="1" applyAlignment="1">
      <alignment horizontal="justify" vertical="center"/>
    </xf>
    <xf numFmtId="0" fontId="62" fillId="0" borderId="0" xfId="0" applyFont="1"/>
    <xf numFmtId="0" fontId="0" fillId="0" borderId="0" xfId="0"/>
    <xf numFmtId="0" fontId="102" fillId="0" borderId="0" xfId="0" applyFont="1"/>
    <xf numFmtId="4" fontId="11" fillId="0" borderId="0" xfId="39" applyNumberFormat="1"/>
    <xf numFmtId="0" fontId="19" fillId="0" borderId="27" xfId="39" applyFont="1" applyFill="1" applyBorder="1" applyAlignment="1">
      <alignment horizontal="center" vertical="center" wrapText="1"/>
    </xf>
    <xf numFmtId="0" fontId="11" fillId="0" borderId="0" xfId="39" applyAlignment="1">
      <alignment vertical="center"/>
    </xf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0" fontId="0" fillId="0" borderId="0" xfId="0"/>
    <xf numFmtId="0" fontId="102" fillId="0" borderId="0" xfId="0" applyFont="1"/>
    <xf numFmtId="49" fontId="41" fillId="0" borderId="17" xfId="0" applyNumberFormat="1" applyFont="1" applyFill="1" applyBorder="1" applyAlignment="1">
      <alignment horizontal="center" vertical="center" wrapText="1"/>
    </xf>
    <xf numFmtId="4" fontId="21" fillId="29" borderId="27" xfId="39" applyNumberFormat="1" applyFont="1" applyFill="1" applyBorder="1" applyAlignment="1">
      <alignment horizontal="center" vertical="center" wrapText="1"/>
    </xf>
    <xf numFmtId="4" fontId="38" fillId="29" borderId="27" xfId="39" applyNumberFormat="1" applyFont="1" applyFill="1" applyBorder="1" applyAlignment="1">
      <alignment horizontal="center" vertical="center" wrapText="1"/>
    </xf>
    <xf numFmtId="0" fontId="11" fillId="29" borderId="27" xfId="39" applyFont="1" applyFill="1" applyBorder="1" applyAlignment="1">
      <alignment horizontal="center" vertical="center" wrapText="1"/>
    </xf>
    <xf numFmtId="0" fontId="11" fillId="29" borderId="27" xfId="39" applyFont="1" applyFill="1" applyBorder="1" applyAlignment="1">
      <alignment vertical="center" wrapText="1"/>
    </xf>
    <xf numFmtId="4" fontId="39" fillId="29" borderId="27" xfId="39" applyNumberFormat="1" applyFont="1" applyFill="1" applyBorder="1" applyAlignment="1">
      <alignment horizontal="center" vertical="center" wrapText="1"/>
    </xf>
    <xf numFmtId="4" fontId="11" fillId="29" borderId="27" xfId="39" applyNumberFormat="1" applyFont="1" applyFill="1" applyBorder="1" applyAlignment="1">
      <alignment horizontal="center" vertical="center" wrapText="1"/>
    </xf>
    <xf numFmtId="4" fontId="161" fillId="29" borderId="27" xfId="39" applyNumberFormat="1" applyFont="1" applyFill="1" applyBorder="1" applyAlignment="1">
      <alignment horizontal="center" vertical="center" wrapText="1"/>
    </xf>
    <xf numFmtId="0" fontId="84" fillId="29" borderId="27" xfId="39" applyFont="1" applyFill="1" applyBorder="1" applyAlignment="1">
      <alignment vertical="center" wrapText="1"/>
    </xf>
    <xf numFmtId="4" fontId="84" fillId="29" borderId="27" xfId="39" applyNumberFormat="1" applyFont="1" applyFill="1" applyBorder="1" applyAlignment="1">
      <alignment horizontal="center" vertical="center" wrapText="1"/>
    </xf>
    <xf numFmtId="0" fontId="9" fillId="29" borderId="0" xfId="0" applyFont="1" applyFill="1"/>
    <xf numFmtId="4" fontId="19" fillId="29" borderId="27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/>
    <xf numFmtId="0" fontId="37" fillId="29" borderId="27" xfId="0" applyFont="1" applyFill="1" applyBorder="1" applyAlignment="1">
      <alignment horizontal="center" vertical="center" wrapText="1"/>
    </xf>
    <xf numFmtId="0" fontId="37" fillId="29" borderId="27" xfId="0" applyFont="1" applyFill="1" applyBorder="1" applyAlignment="1">
      <alignment horizontal="left" vertical="center" wrapText="1"/>
    </xf>
    <xf numFmtId="4" fontId="37" fillId="29" borderId="27" xfId="0" applyNumberFormat="1" applyFont="1" applyFill="1" applyBorder="1" applyAlignment="1">
      <alignment horizontal="center" vertical="center" wrapText="1"/>
    </xf>
    <xf numFmtId="0" fontId="11" fillId="29" borderId="27" xfId="0" applyFont="1" applyFill="1" applyBorder="1" applyAlignment="1">
      <alignment horizontal="center" vertical="center" wrapText="1"/>
    </xf>
    <xf numFmtId="0" fontId="11" fillId="29" borderId="27" xfId="0" applyFont="1" applyFill="1" applyBorder="1" applyAlignment="1">
      <alignment horizontal="left" vertical="center" wrapText="1"/>
    </xf>
    <xf numFmtId="4" fontId="11" fillId="29" borderId="27" xfId="0" applyNumberFormat="1" applyFont="1" applyFill="1" applyBorder="1" applyAlignment="1">
      <alignment horizontal="center" vertical="center" wrapText="1"/>
    </xf>
    <xf numFmtId="4" fontId="9" fillId="29" borderId="0" xfId="0" applyNumberFormat="1" applyFont="1" applyFill="1" applyAlignment="1">
      <alignment horizontal="center" vertical="center"/>
    </xf>
    <xf numFmtId="4" fontId="14" fillId="29" borderId="0" xfId="0" applyNumberFormat="1" applyFont="1" applyFill="1"/>
    <xf numFmtId="0" fontId="12" fillId="29" borderId="0" xfId="0" applyFont="1" applyFill="1" applyAlignment="1">
      <alignment vertical="center"/>
    </xf>
    <xf numFmtId="0" fontId="41" fillId="29" borderId="0" xfId="0" applyFont="1" applyFill="1" applyAlignment="1">
      <alignment vertical="center"/>
    </xf>
    <xf numFmtId="0" fontId="102" fillId="29" borderId="0" xfId="0" applyFont="1" applyFill="1"/>
    <xf numFmtId="0" fontId="0" fillId="29" borderId="0" xfId="0" applyFill="1"/>
    <xf numFmtId="0" fontId="41" fillId="29" borderId="0" xfId="0" applyFont="1" applyFill="1" applyAlignment="1">
      <alignment horizontal="right" vertical="center"/>
    </xf>
    <xf numFmtId="49" fontId="40" fillId="29" borderId="17" xfId="0" applyNumberFormat="1" applyFont="1" applyFill="1" applyBorder="1" applyAlignment="1">
      <alignment horizontal="center" vertical="center" wrapText="1"/>
    </xf>
    <xf numFmtId="0" fontId="105" fillId="29" borderId="0" xfId="38" applyFont="1" applyFill="1" applyBorder="1" applyAlignment="1" applyProtection="1">
      <alignment horizontal="center" vertical="center" wrapText="1"/>
      <protection locked="0"/>
    </xf>
    <xf numFmtId="0" fontId="14" fillId="29" borderId="0" xfId="0" applyFont="1" applyFill="1"/>
    <xf numFmtId="49" fontId="109" fillId="29" borderId="17" xfId="0" applyNumberFormat="1" applyFont="1" applyFill="1" applyBorder="1" applyAlignment="1">
      <alignment horizontal="center" vertical="center" wrapText="1"/>
    </xf>
    <xf numFmtId="0" fontId="103" fillId="29" borderId="0" xfId="0" applyFont="1" applyFill="1"/>
    <xf numFmtId="4" fontId="40" fillId="29" borderId="0" xfId="0" applyNumberFormat="1" applyFont="1" applyFill="1" applyAlignment="1">
      <alignment horizontal="left" vertical="center"/>
    </xf>
    <xf numFmtId="4" fontId="42" fillId="29" borderId="17" xfId="0" applyNumberFormat="1" applyFont="1" applyFill="1" applyBorder="1" applyAlignment="1">
      <alignment horizontal="center" vertical="center" wrapText="1"/>
    </xf>
    <xf numFmtId="4" fontId="109" fillId="29" borderId="0" xfId="0" applyNumberFormat="1" applyFont="1" applyFill="1" applyAlignment="1">
      <alignment horizontal="left" vertical="center"/>
    </xf>
    <xf numFmtId="0" fontId="140" fillId="29" borderId="0" xfId="0" applyFont="1" applyFill="1"/>
    <xf numFmtId="49" fontId="41" fillId="29" borderId="17" xfId="0" applyNumberFormat="1" applyFont="1" applyFill="1" applyBorder="1" applyAlignment="1">
      <alignment horizontal="center" vertical="center" wrapText="1"/>
    </xf>
    <xf numFmtId="4" fontId="43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29" borderId="17" xfId="38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4" fontId="115" fillId="29" borderId="0" xfId="0" applyNumberFormat="1" applyFont="1" applyFill="1" applyAlignment="1">
      <alignment horizontal="left" vertical="center"/>
    </xf>
    <xf numFmtId="49" fontId="123" fillId="29" borderId="17" xfId="0" applyNumberFormat="1" applyFont="1" applyFill="1" applyBorder="1" applyAlignment="1">
      <alignment horizontal="center" vertical="center" wrapText="1"/>
    </xf>
    <xf numFmtId="4" fontId="125" fillId="29" borderId="17" xfId="0" applyNumberFormat="1" applyFont="1" applyFill="1" applyBorder="1" applyAlignment="1">
      <alignment horizontal="center" vertical="center" wrapText="1"/>
    </xf>
    <xf numFmtId="4" fontId="132" fillId="29" borderId="17" xfId="0" applyNumberFormat="1" applyFont="1" applyFill="1" applyBorder="1" applyAlignment="1">
      <alignment horizontal="center" vertical="center"/>
    </xf>
    <xf numFmtId="4" fontId="101" fillId="29" borderId="0" xfId="0" applyNumberFormat="1" applyFont="1" applyFill="1" applyAlignment="1">
      <alignment horizontal="left" vertical="center"/>
    </xf>
    <xf numFmtId="4" fontId="132" fillId="29" borderId="17" xfId="0" applyNumberFormat="1" applyFont="1" applyFill="1" applyBorder="1" applyAlignment="1">
      <alignment horizontal="center" vertical="center" wrapText="1"/>
    </xf>
    <xf numFmtId="49" fontId="115" fillId="29" borderId="17" xfId="0" applyNumberFormat="1" applyFont="1" applyFill="1" applyBorder="1" applyAlignment="1">
      <alignment horizontal="center" vertical="center" wrapText="1"/>
    </xf>
    <xf numFmtId="4" fontId="104" fillId="29" borderId="0" xfId="0" applyNumberFormat="1" applyFont="1" applyFill="1" applyAlignment="1">
      <alignment horizontal="left" vertical="center"/>
    </xf>
    <xf numFmtId="4" fontId="124" fillId="29" borderId="17" xfId="0" applyNumberFormat="1" applyFont="1" applyFill="1" applyBorder="1" applyAlignment="1">
      <alignment horizontal="center" vertical="center" wrapText="1"/>
    </xf>
    <xf numFmtId="4" fontId="144" fillId="29" borderId="0" xfId="0" applyNumberFormat="1" applyFont="1" applyFill="1" applyAlignment="1">
      <alignment horizontal="left" vertical="center"/>
    </xf>
    <xf numFmtId="0" fontId="50" fillId="29" borderId="0" xfId="0" applyFont="1" applyFill="1"/>
    <xf numFmtId="4" fontId="123" fillId="29" borderId="0" xfId="0" applyNumberFormat="1" applyFont="1" applyFill="1" applyAlignment="1">
      <alignment horizontal="left" vertical="center"/>
    </xf>
    <xf numFmtId="0" fontId="0" fillId="29" borderId="0" xfId="0" applyFont="1" applyFill="1"/>
    <xf numFmtId="4" fontId="138" fillId="29" borderId="17" xfId="0" applyNumberFormat="1" applyFont="1" applyFill="1" applyBorder="1" applyAlignment="1">
      <alignment horizontal="center" vertical="center" wrapText="1"/>
    </xf>
    <xf numFmtId="4" fontId="105" fillId="29" borderId="0" xfId="0" applyNumberFormat="1" applyFont="1" applyFill="1" applyAlignment="1">
      <alignment horizontal="left" vertical="center"/>
    </xf>
    <xf numFmtId="0" fontId="111" fillId="29" borderId="0" xfId="0" applyFont="1" applyFill="1"/>
    <xf numFmtId="4" fontId="43" fillId="29" borderId="17" xfId="0" applyNumberFormat="1" applyFont="1" applyFill="1" applyBorder="1" applyAlignment="1">
      <alignment horizontal="center" vertical="center" wrapText="1"/>
    </xf>
    <xf numFmtId="49" fontId="137" fillId="29" borderId="17" xfId="0" applyNumberFormat="1" applyFont="1" applyFill="1" applyBorder="1" applyAlignment="1">
      <alignment horizontal="center" vertical="center" wrapText="1"/>
    </xf>
    <xf numFmtId="4" fontId="41" fillId="29" borderId="0" xfId="0" applyNumberFormat="1" applyFont="1" applyFill="1" applyAlignment="1">
      <alignment horizontal="left" vertical="center"/>
    </xf>
    <xf numFmtId="4" fontId="65" fillId="29" borderId="0" xfId="0" applyNumberFormat="1" applyFont="1" applyFill="1"/>
    <xf numFmtId="49" fontId="137" fillId="29" borderId="0" xfId="0" applyNumberFormat="1" applyFont="1" applyFill="1" applyBorder="1" applyAlignment="1">
      <alignment horizontal="center" wrapText="1"/>
    </xf>
    <xf numFmtId="49" fontId="137" fillId="29" borderId="19" xfId="0" applyNumberFormat="1" applyFont="1" applyFill="1" applyBorder="1" applyAlignment="1">
      <alignment horizontal="center" vertical="top" wrapText="1"/>
    </xf>
    <xf numFmtId="4" fontId="113" fillId="29" borderId="0" xfId="0" applyNumberFormat="1" applyFont="1" applyFill="1" applyAlignment="1">
      <alignment horizontal="left" vertical="center"/>
    </xf>
    <xf numFmtId="0" fontId="41" fillId="29" borderId="17" xfId="38" applyFont="1" applyFill="1" applyBorder="1" applyAlignment="1" applyProtection="1">
      <alignment horizontal="center" vertical="center" wrapText="1"/>
      <protection locked="0"/>
    </xf>
    <xf numFmtId="4" fontId="142" fillId="29" borderId="0" xfId="0" applyNumberFormat="1" applyFont="1" applyFill="1" applyAlignment="1">
      <alignment horizontal="left" vertical="center"/>
    </xf>
    <xf numFmtId="49" fontId="105" fillId="29" borderId="17" xfId="0" applyNumberFormat="1" applyFont="1" applyFill="1" applyBorder="1" applyAlignment="1">
      <alignment horizontal="center" vertical="center" wrapText="1"/>
    </xf>
    <xf numFmtId="4" fontId="108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 wrapText="1"/>
    </xf>
    <xf numFmtId="4" fontId="106" fillId="29" borderId="17" xfId="0" applyNumberFormat="1" applyFont="1" applyFill="1" applyBorder="1" applyAlignment="1">
      <alignment horizontal="center" vertical="center"/>
    </xf>
    <xf numFmtId="4" fontId="42" fillId="29" borderId="0" xfId="0" applyNumberFormat="1" applyFont="1" applyFill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4" fontId="108" fillId="29" borderId="0" xfId="0" applyNumberFormat="1" applyFont="1" applyFill="1" applyAlignment="1">
      <alignment horizontal="center" vertical="center" wrapText="1"/>
    </xf>
    <xf numFmtId="4" fontId="43" fillId="29" borderId="0" xfId="0" applyNumberFormat="1" applyFont="1" applyFill="1" applyAlignment="1">
      <alignment horizontal="left" vertical="center" wrapText="1"/>
    </xf>
    <xf numFmtId="4" fontId="43" fillId="29" borderId="0" xfId="0" applyNumberFormat="1" applyFont="1" applyFill="1" applyAlignment="1">
      <alignment horizontal="center" vertical="center" wrapText="1"/>
    </xf>
    <xf numFmtId="0" fontId="41" fillId="29" borderId="17" xfId="0" applyFont="1" applyFill="1" applyBorder="1" applyAlignment="1">
      <alignment horizontal="center" vertical="center" wrapText="1"/>
    </xf>
    <xf numFmtId="4" fontId="108" fillId="29" borderId="0" xfId="0" applyNumberFormat="1" applyFont="1" applyFill="1" applyAlignment="1">
      <alignment horizontal="left" vertical="center" wrapText="1"/>
    </xf>
    <xf numFmtId="4" fontId="122" fillId="29" borderId="0" xfId="0" applyNumberFormat="1" applyFont="1" applyFill="1" applyAlignment="1">
      <alignment horizontal="left" vertical="center" wrapText="1"/>
    </xf>
    <xf numFmtId="49" fontId="41" fillId="29" borderId="18" xfId="0" applyNumberFormat="1" applyFont="1" applyFill="1" applyBorder="1" applyAlignment="1">
      <alignment horizontal="center" wrapText="1"/>
    </xf>
    <xf numFmtId="49" fontId="41" fillId="29" borderId="0" xfId="0" applyNumberFormat="1" applyFont="1" applyFill="1" applyBorder="1" applyAlignment="1">
      <alignment horizontal="center" vertical="center" wrapText="1"/>
    </xf>
    <xf numFmtId="49" fontId="41" fillId="29" borderId="19" xfId="0" applyNumberFormat="1" applyFont="1" applyFill="1" applyBorder="1" applyAlignment="1">
      <alignment horizontal="center" vertical="top" wrapText="1"/>
    </xf>
    <xf numFmtId="4" fontId="138" fillId="29" borderId="0" xfId="0" applyNumberFormat="1" applyFont="1" applyFill="1" applyAlignment="1">
      <alignment horizontal="left" vertical="center" wrapText="1"/>
    </xf>
    <xf numFmtId="0" fontId="41" fillId="29" borderId="0" xfId="38" applyFont="1" applyFill="1" applyBorder="1" applyAlignment="1" applyProtection="1">
      <alignment horizontal="center" wrapText="1"/>
      <protection locked="0"/>
    </xf>
    <xf numFmtId="0" fontId="41" fillId="29" borderId="19" xfId="38" applyFont="1" applyFill="1" applyBorder="1" applyAlignment="1" applyProtection="1">
      <alignment horizontal="center" vertical="top" wrapText="1"/>
      <protection locked="0"/>
    </xf>
    <xf numFmtId="4" fontId="42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138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124" fillId="29" borderId="0" xfId="0" applyNumberFormat="1" applyFont="1" applyFill="1" applyAlignment="1">
      <alignment horizontal="left" vertical="center" wrapText="1"/>
    </xf>
    <xf numFmtId="4" fontId="124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125" fillId="29" borderId="0" xfId="0" applyNumberFormat="1" applyFont="1" applyFill="1" applyAlignment="1">
      <alignment horizontal="center" vertical="center" wrapText="1"/>
    </xf>
    <xf numFmtId="4" fontId="75" fillId="29" borderId="0" xfId="0" applyNumberFormat="1" applyFont="1" applyFill="1" applyAlignment="1">
      <alignment vertical="center"/>
    </xf>
    <xf numFmtId="4" fontId="105" fillId="29" borderId="0" xfId="0" applyNumberFormat="1" applyFont="1" applyFill="1" applyAlignment="1">
      <alignment horizontal="center" vertical="center"/>
    </xf>
    <xf numFmtId="0" fontId="13" fillId="29" borderId="0" xfId="0" applyFont="1" applyFill="1" applyAlignment="1">
      <alignment vertical="center"/>
    </xf>
    <xf numFmtId="0" fontId="129" fillId="29" borderId="0" xfId="0" applyFont="1" applyFill="1" applyAlignment="1">
      <alignment vertical="center"/>
    </xf>
    <xf numFmtId="4" fontId="13" fillId="29" borderId="0" xfId="0" applyNumberFormat="1" applyFont="1" applyFill="1" applyAlignment="1">
      <alignment vertical="center"/>
    </xf>
    <xf numFmtId="4" fontId="12" fillId="29" borderId="0" xfId="0" applyNumberFormat="1" applyFont="1" applyFill="1" applyAlignment="1">
      <alignment vertical="center"/>
    </xf>
    <xf numFmtId="0" fontId="131" fillId="29" borderId="0" xfId="0" applyFont="1" applyFill="1" applyAlignment="1">
      <alignment vertical="center"/>
    </xf>
    <xf numFmtId="4" fontId="83" fillId="29" borderId="0" xfId="0" applyNumberFormat="1" applyFont="1" applyFill="1" applyAlignment="1">
      <alignment vertical="center"/>
    </xf>
    <xf numFmtId="167" fontId="52" fillId="29" borderId="0" xfId="0" applyNumberFormat="1" applyFont="1" applyFill="1" applyAlignment="1">
      <alignment vertical="center"/>
    </xf>
    <xf numFmtId="4" fontId="40" fillId="30" borderId="0" xfId="36" applyNumberFormat="1" applyFont="1" applyFill="1" applyBorder="1" applyAlignment="1">
      <alignment horizontal="center" vertical="center" wrapText="1"/>
    </xf>
    <xf numFmtId="4" fontId="114" fillId="29" borderId="0" xfId="0" applyNumberFormat="1" applyFont="1" applyFill="1" applyAlignment="1">
      <alignment vertical="center"/>
    </xf>
    <xf numFmtId="0" fontId="40" fillId="29" borderId="0" xfId="0" applyFont="1" applyFill="1" applyAlignment="1">
      <alignment horizontal="right" vertical="center"/>
    </xf>
    <xf numFmtId="0" fontId="83" fillId="29" borderId="0" xfId="0" applyFont="1" applyFill="1" applyAlignment="1">
      <alignment vertical="center"/>
    </xf>
    <xf numFmtId="4" fontId="126" fillId="29" borderId="0" xfId="0" applyNumberFormat="1" applyFont="1" applyFill="1" applyAlignment="1">
      <alignment vertical="center"/>
    </xf>
    <xf numFmtId="4" fontId="100" fillId="29" borderId="0" xfId="0" applyNumberFormat="1" applyFont="1" applyFill="1" applyAlignment="1">
      <alignment vertical="center"/>
    </xf>
    <xf numFmtId="4" fontId="52" fillId="29" borderId="0" xfId="0" applyNumberFormat="1" applyFont="1" applyFill="1" applyAlignment="1">
      <alignment vertical="center"/>
    </xf>
    <xf numFmtId="0" fontId="85" fillId="29" borderId="0" xfId="0" applyFont="1" applyFill="1"/>
    <xf numFmtId="10" fontId="52" fillId="29" borderId="0" xfId="0" applyNumberFormat="1" applyFont="1" applyFill="1" applyAlignment="1">
      <alignment vertical="center"/>
    </xf>
    <xf numFmtId="0" fontId="52" fillId="29" borderId="0" xfId="0" applyFont="1" applyFill="1" applyAlignment="1">
      <alignment vertical="center"/>
    </xf>
    <xf numFmtId="4" fontId="123" fillId="29" borderId="17" xfId="0" applyNumberFormat="1" applyFont="1" applyFill="1" applyBorder="1" applyAlignment="1">
      <alignment horizontal="center" vertical="center" wrapText="1"/>
    </xf>
    <xf numFmtId="4" fontId="41" fillId="29" borderId="17" xfId="0" applyNumberFormat="1" applyFont="1" applyFill="1" applyBorder="1" applyAlignment="1">
      <alignment horizontal="center" vertical="center" wrapText="1"/>
    </xf>
    <xf numFmtId="0" fontId="11" fillId="29" borderId="0" xfId="35" applyFont="1" applyFill="1"/>
    <xf numFmtId="49" fontId="34" fillId="29" borderId="17" xfId="0" applyNumberFormat="1" applyFont="1" applyFill="1" applyBorder="1" applyAlignment="1">
      <alignment horizontal="center" vertical="center" wrapText="1"/>
    </xf>
    <xf numFmtId="0" fontId="34" fillId="29" borderId="17" xfId="18" applyFont="1" applyFill="1" applyBorder="1" applyAlignment="1">
      <alignment horizontal="center" vertical="center" wrapText="1"/>
    </xf>
    <xf numFmtId="0" fontId="35" fillId="29" borderId="17" xfId="35" applyFont="1" applyFill="1" applyBorder="1" applyAlignment="1">
      <alignment horizontal="center" vertical="center" wrapText="1"/>
    </xf>
    <xf numFmtId="4" fontId="35" fillId="29" borderId="17" xfId="35" applyNumberFormat="1" applyFont="1" applyFill="1" applyBorder="1" applyAlignment="1">
      <alignment horizontal="center" vertical="center" wrapText="1"/>
    </xf>
    <xf numFmtId="4" fontId="34" fillId="29" borderId="17" xfId="0" applyNumberFormat="1" applyFont="1" applyFill="1" applyBorder="1" applyAlignment="1">
      <alignment horizontal="center" vertical="center" wrapText="1"/>
    </xf>
    <xf numFmtId="165" fontId="34" fillId="29" borderId="17" xfId="30" applyNumberFormat="1" applyFont="1" applyFill="1" applyBorder="1" applyAlignment="1">
      <alignment horizontal="center" vertical="center"/>
    </xf>
    <xf numFmtId="4" fontId="34" fillId="29" borderId="17" xfId="30" applyNumberFormat="1" applyFont="1" applyFill="1" applyBorder="1" applyAlignment="1">
      <alignment horizontal="center" vertical="center"/>
    </xf>
    <xf numFmtId="9" fontId="34" fillId="29" borderId="17" xfId="0" applyNumberFormat="1" applyFont="1" applyFill="1" applyBorder="1" applyAlignment="1">
      <alignment horizontal="center" vertical="center" wrapText="1"/>
    </xf>
    <xf numFmtId="4" fontId="11" fillId="29" borderId="0" xfId="35" applyNumberFormat="1" applyFont="1" applyFill="1"/>
    <xf numFmtId="0" fontId="19" fillId="29" borderId="0" xfId="35" applyFont="1" applyFill="1" applyAlignment="1">
      <alignment horizontal="left" vertical="center"/>
    </xf>
    <xf numFmtId="0" fontId="153" fillId="29" borderId="0" xfId="35" applyFont="1" applyFill="1" applyAlignment="1">
      <alignment horizontal="left" vertical="center"/>
    </xf>
    <xf numFmtId="4" fontId="11" fillId="29" borderId="0" xfId="35" applyNumberFormat="1" applyFont="1" applyFill="1" applyAlignment="1">
      <alignment horizontal="left" vertical="center"/>
    </xf>
    <xf numFmtId="4" fontId="34" fillId="29" borderId="0" xfId="0" applyNumberFormat="1" applyFont="1" applyFill="1" applyBorder="1" applyAlignment="1">
      <alignment horizontal="center" vertical="center" wrapText="1"/>
    </xf>
    <xf numFmtId="0" fontId="34" fillId="29" borderId="17" xfId="100" applyFont="1" applyFill="1" applyBorder="1" applyAlignment="1">
      <alignment horizontal="center" vertical="center" wrapText="1"/>
    </xf>
    <xf numFmtId="9" fontId="34" fillId="29" borderId="17" xfId="30" applyNumberFormat="1" applyFont="1" applyFill="1" applyBorder="1" applyAlignment="1">
      <alignment horizontal="center" vertical="center"/>
    </xf>
    <xf numFmtId="0" fontId="84" fillId="29" borderId="0" xfId="35" applyFont="1" applyFill="1"/>
    <xf numFmtId="0" fontId="150" fillId="29" borderId="0" xfId="35" applyFont="1" applyFill="1" applyAlignment="1">
      <alignment vertical="center"/>
    </xf>
    <xf numFmtId="4" fontId="15" fillId="29" borderId="0" xfId="35" applyNumberFormat="1" applyFont="1" applyFill="1" applyAlignment="1">
      <alignment horizontal="center" vertical="center"/>
    </xf>
    <xf numFmtId="0" fontId="34" fillId="29" borderId="17" xfId="40" applyFont="1" applyFill="1" applyBorder="1" applyAlignment="1">
      <alignment horizontal="center" vertical="center" wrapText="1"/>
    </xf>
    <xf numFmtId="0" fontId="34" fillId="29" borderId="7" xfId="40" applyFont="1" applyFill="1" applyBorder="1" applyAlignment="1">
      <alignment horizontal="center" vertical="center" wrapText="1"/>
    </xf>
    <xf numFmtId="4" fontId="34" fillId="29" borderId="7" xfId="0" applyNumberFormat="1" applyFont="1" applyFill="1" applyBorder="1" applyAlignment="1">
      <alignment horizontal="center" vertical="center" wrapText="1"/>
    </xf>
    <xf numFmtId="0" fontId="34" fillId="29" borderId="29" xfId="40" applyFont="1" applyFill="1" applyBorder="1" applyAlignment="1">
      <alignment horizontal="center" vertical="center" wrapText="1"/>
    </xf>
    <xf numFmtId="165" fontId="123" fillId="29" borderId="17" xfId="30" applyNumberFormat="1" applyFont="1" applyFill="1" applyBorder="1" applyAlignment="1">
      <alignment horizontal="center" vertical="center" wrapText="1"/>
    </xf>
    <xf numFmtId="4" fontId="123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165" fontId="41" fillId="29" borderId="17" xfId="30" applyNumberFormat="1" applyFont="1" applyFill="1" applyBorder="1" applyAlignment="1">
      <alignment horizontal="center" vertical="center" wrapText="1"/>
    </xf>
    <xf numFmtId="4" fontId="148" fillId="29" borderId="17" xfId="0" applyNumberFormat="1" applyFont="1" applyFill="1" applyBorder="1" applyAlignment="1">
      <alignment horizontal="center" vertical="center" wrapText="1"/>
    </xf>
    <xf numFmtId="4" fontId="41" fillId="29" borderId="20" xfId="0" applyNumberFormat="1" applyFont="1" applyFill="1" applyBorder="1" applyAlignment="1">
      <alignment horizontal="center" vertical="center" wrapText="1"/>
    </xf>
    <xf numFmtId="4" fontId="105" fillId="29" borderId="17" xfId="0" applyNumberFormat="1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4" fontId="41" fillId="29" borderId="17" xfId="38" applyNumberFormat="1" applyFont="1" applyFill="1" applyBorder="1" applyAlignment="1">
      <alignment horizontal="center" vertical="center" wrapText="1"/>
    </xf>
    <xf numFmtId="4" fontId="147" fillId="29" borderId="17" xfId="38" applyNumberFormat="1" applyFont="1" applyFill="1" applyBorder="1" applyAlignment="1" applyProtection="1">
      <alignment horizontal="center" vertical="center" wrapText="1"/>
      <protection locked="0"/>
    </xf>
    <xf numFmtId="0" fontId="107" fillId="29" borderId="0" xfId="36" applyFont="1" applyFill="1" applyAlignment="1">
      <alignment horizontal="center" vertical="top"/>
    </xf>
    <xf numFmtId="0" fontId="60" fillId="29" borderId="0" xfId="36" applyFont="1" applyFill="1" applyAlignment="1">
      <alignment horizontal="center" vertical="top"/>
    </xf>
    <xf numFmtId="0" fontId="16" fillId="29" borderId="0" xfId="36" applyFont="1" applyFill="1" applyAlignment="1">
      <alignment horizontal="center" vertical="top"/>
    </xf>
    <xf numFmtId="2" fontId="120" fillId="29" borderId="0" xfId="36" applyNumberFormat="1" applyFont="1" applyFill="1" applyAlignment="1">
      <alignment horizontal="center" vertical="top"/>
    </xf>
    <xf numFmtId="2" fontId="56" fillId="29" borderId="0" xfId="36" applyNumberFormat="1" applyFill="1" applyAlignment="1">
      <alignment horizontal="center" vertical="top"/>
    </xf>
    <xf numFmtId="2" fontId="15" fillId="29" borderId="17" xfId="36" applyNumberFormat="1" applyFont="1" applyFill="1" applyBorder="1" applyAlignment="1">
      <alignment horizontal="center" vertical="center" wrapText="1"/>
    </xf>
    <xf numFmtId="4" fontId="15" fillId="29" borderId="17" xfId="36" applyNumberFormat="1" applyFont="1" applyFill="1" applyBorder="1" applyAlignment="1">
      <alignment horizontal="center" vertical="center"/>
    </xf>
    <xf numFmtId="2" fontId="62" fillId="29" borderId="17" xfId="36" applyNumberFormat="1" applyFont="1" applyFill="1" applyBorder="1" applyAlignment="1">
      <alignment horizontal="center" vertical="center" wrapText="1"/>
    </xf>
    <xf numFmtId="0" fontId="9" fillId="29" borderId="17" xfId="0" applyFont="1" applyFill="1" applyBorder="1" applyAlignment="1">
      <alignment horizontal="center"/>
    </xf>
    <xf numFmtId="0" fontId="11" fillId="0" borderId="0" xfId="39" applyFill="1"/>
    <xf numFmtId="0" fontId="34" fillId="0" borderId="0" xfId="39" applyFont="1" applyFill="1" applyAlignment="1">
      <alignment horizontal="center" vertical="center"/>
    </xf>
    <xf numFmtId="0" fontId="53" fillId="0" borderId="0" xfId="39" applyFont="1" applyFill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ill="1" applyAlignment="1"/>
    <xf numFmtId="0" fontId="20" fillId="0" borderId="0" xfId="39" applyFont="1" applyFill="1" applyAlignment="1">
      <alignment vertical="center"/>
    </xf>
    <xf numFmtId="0" fontId="11" fillId="0" borderId="0" xfId="39" applyFont="1" applyFill="1" applyAlignment="1">
      <alignment horizontal="right" vertical="center"/>
    </xf>
    <xf numFmtId="0" fontId="11" fillId="0" borderId="0" xfId="39" applyFill="1" applyAlignment="1">
      <alignment vertical="center" wrapText="1"/>
    </xf>
    <xf numFmtId="0" fontId="34" fillId="0" borderId="0" xfId="39" applyFont="1" applyFill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left"/>
    </xf>
    <xf numFmtId="0" fontId="9" fillId="0" borderId="0" xfId="0" applyFont="1" applyFill="1"/>
    <xf numFmtId="0" fontId="39" fillId="0" borderId="0" xfId="0" applyFont="1" applyFill="1" applyAlignment="1">
      <alignment horizontal="right"/>
    </xf>
    <xf numFmtId="0" fontId="55" fillId="0" borderId="27" xfId="0" applyFont="1" applyFill="1" applyBorder="1" applyAlignment="1">
      <alignment horizontal="center" vertical="center" wrapText="1"/>
    </xf>
    <xf numFmtId="0" fontId="20" fillId="0" borderId="27" xfId="0" applyFont="1" applyFill="1" applyBorder="1" applyAlignment="1">
      <alignment horizontal="center" vertical="top" wrapText="1"/>
    </xf>
    <xf numFmtId="0" fontId="12" fillId="0" borderId="0" xfId="0" applyFont="1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center" vertical="center"/>
    </xf>
    <xf numFmtId="0" fontId="41" fillId="0" borderId="0" xfId="0" applyFont="1" applyFill="1" applyAlignment="1">
      <alignment horizontal="right" vertical="center"/>
    </xf>
    <xf numFmtId="0" fontId="40" fillId="0" borderId="17" xfId="0" applyFont="1" applyFill="1" applyBorder="1" applyAlignment="1">
      <alignment horizontal="center" vertical="top" wrapText="1"/>
    </xf>
    <xf numFmtId="0" fontId="20" fillId="0" borderId="0" xfId="35" applyFont="1" applyFill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8" fillId="0" borderId="0" xfId="35" applyFont="1" applyFill="1" applyAlignment="1">
      <alignment horizontal="center"/>
    </xf>
    <xf numFmtId="0" fontId="20" fillId="0" borderId="0" xfId="35" applyFont="1" applyFill="1" applyAlignment="1">
      <alignment horizontal="right"/>
    </xf>
    <xf numFmtId="0" fontId="17" fillId="0" borderId="0" xfId="35" applyFont="1" applyFill="1" applyAlignment="1">
      <alignment horizontal="center" vertical="center" wrapText="1"/>
    </xf>
    <xf numFmtId="0" fontId="17" fillId="0" borderId="0" xfId="35" applyFont="1" applyFill="1" applyAlignment="1">
      <alignment horizontal="center"/>
    </xf>
    <xf numFmtId="0" fontId="11" fillId="0" borderId="0" xfId="35" applyFill="1" applyBorder="1" applyAlignment="1">
      <alignment horizontal="right" vertical="center"/>
    </xf>
    <xf numFmtId="0" fontId="58" fillId="0" borderId="11" xfId="35" applyFont="1" applyFill="1" applyBorder="1"/>
    <xf numFmtId="0" fontId="58" fillId="0" borderId="12" xfId="35" applyFont="1" applyFill="1" applyBorder="1"/>
    <xf numFmtId="0" fontId="19" fillId="0" borderId="17" xfId="35" applyFont="1" applyFill="1" applyBorder="1" applyAlignment="1">
      <alignment horizontal="center" vertical="center" wrapText="1"/>
    </xf>
    <xf numFmtId="0" fontId="19" fillId="0" borderId="17" xfId="0" applyFont="1" applyFill="1" applyBorder="1" applyAlignment="1">
      <alignment horizontal="center" vertical="center"/>
    </xf>
    <xf numFmtId="0" fontId="110" fillId="0" borderId="17" xfId="35" applyFont="1" applyFill="1" applyBorder="1" applyAlignment="1">
      <alignment horizontal="center" vertical="top" wrapText="1"/>
    </xf>
    <xf numFmtId="0" fontId="12" fillId="28" borderId="0" xfId="0" applyFont="1" applyFill="1" applyAlignment="1">
      <alignment vertical="center"/>
    </xf>
    <xf numFmtId="0" fontId="127" fillId="28" borderId="0" xfId="0" applyFont="1" applyFill="1"/>
    <xf numFmtId="0" fontId="0" fillId="28" borderId="0" xfId="0" applyFill="1"/>
    <xf numFmtId="0" fontId="14" fillId="28" borderId="0" xfId="0" applyFont="1" applyFill="1"/>
    <xf numFmtId="49" fontId="159" fillId="28" borderId="17" xfId="0" applyNumberFormat="1" applyFont="1" applyFill="1" applyBorder="1" applyAlignment="1">
      <alignment horizontal="center" vertical="center" wrapText="1"/>
    </xf>
    <xf numFmtId="4" fontId="159" fillId="28" borderId="25" xfId="0" applyNumberFormat="1" applyFont="1" applyFill="1" applyBorder="1" applyAlignment="1">
      <alignment horizontal="center" vertical="center" wrapText="1"/>
    </xf>
    <xf numFmtId="49" fontId="128" fillId="28" borderId="17" xfId="0" applyNumberFormat="1" applyFont="1" applyFill="1" applyBorder="1" applyAlignment="1">
      <alignment horizontal="center" vertical="center" wrapText="1"/>
    </xf>
    <xf numFmtId="4" fontId="128" fillId="28" borderId="25" xfId="0" applyNumberFormat="1" applyFont="1" applyFill="1" applyBorder="1" applyAlignment="1">
      <alignment horizontal="center" vertical="center" wrapText="1"/>
    </xf>
    <xf numFmtId="4" fontId="128" fillId="28" borderId="17" xfId="0" applyNumberFormat="1" applyFont="1" applyFill="1" applyBorder="1" applyAlignment="1">
      <alignment horizontal="center" vertical="center" wrapText="1"/>
    </xf>
    <xf numFmtId="49" fontId="123" fillId="28" borderId="17" xfId="0" applyNumberFormat="1" applyFont="1" applyFill="1" applyBorder="1" applyAlignment="1">
      <alignment horizontal="center" vertical="center" wrapText="1"/>
    </xf>
    <xf numFmtId="4" fontId="123" fillId="28" borderId="17" xfId="0" applyNumberFormat="1" applyFont="1" applyFill="1" applyBorder="1" applyAlignment="1">
      <alignment horizontal="center" vertical="center" wrapText="1"/>
    </xf>
    <xf numFmtId="4" fontId="41" fillId="28" borderId="17" xfId="0" applyNumberFormat="1" applyFont="1" applyFill="1" applyBorder="1" applyAlignment="1">
      <alignment horizontal="center" vertical="center" wrapText="1"/>
    </xf>
    <xf numFmtId="4" fontId="40" fillId="28" borderId="17" xfId="0" applyNumberFormat="1" applyFont="1" applyFill="1" applyBorder="1" applyAlignment="1">
      <alignment horizontal="center" vertical="center" wrapText="1"/>
    </xf>
    <xf numFmtId="0" fontId="162" fillId="28" borderId="0" xfId="0" applyFont="1" applyFill="1"/>
    <xf numFmtId="49" fontId="128" fillId="28" borderId="17" xfId="0" applyNumberFormat="1" applyFont="1" applyFill="1" applyBorder="1" applyAlignment="1">
      <alignment horizontal="left" vertical="center" wrapText="1"/>
    </xf>
    <xf numFmtId="49" fontId="123" fillId="28" borderId="17" xfId="0" applyNumberFormat="1" applyFont="1" applyFill="1" applyBorder="1" applyAlignment="1">
      <alignment horizontal="left" vertical="center" wrapText="1"/>
    </xf>
    <xf numFmtId="0" fontId="41" fillId="28" borderId="0" xfId="0" applyFont="1" applyFill="1" applyAlignment="1">
      <alignment horizontal="left" vertical="center"/>
    </xf>
    <xf numFmtId="0" fontId="152" fillId="28" borderId="0" xfId="0" applyFont="1" applyFill="1" applyAlignment="1">
      <alignment horizontal="left" vertical="center"/>
    </xf>
    <xf numFmtId="0" fontId="89" fillId="0" borderId="0" xfId="0" applyFont="1" applyFill="1" applyAlignment="1">
      <alignment vertical="center"/>
    </xf>
    <xf numFmtId="0" fontId="89" fillId="0" borderId="0" xfId="0" applyFont="1" applyFill="1" applyAlignment="1">
      <alignment horizontal="center" vertical="center"/>
    </xf>
    <xf numFmtId="0" fontId="90" fillId="0" borderId="0" xfId="0" applyFont="1" applyFill="1" applyAlignment="1">
      <alignment horizontal="center" vertical="top"/>
    </xf>
    <xf numFmtId="0" fontId="41" fillId="0" borderId="17" xfId="0" applyFont="1" applyFill="1" applyBorder="1" applyAlignment="1">
      <alignment horizontal="center" vertical="top" wrapText="1"/>
    </xf>
    <xf numFmtId="0" fontId="40" fillId="0" borderId="17" xfId="0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left" vertical="center" wrapText="1"/>
    </xf>
    <xf numFmtId="0" fontId="11" fillId="0" borderId="0" xfId="35" applyFont="1" applyFill="1"/>
    <xf numFmtId="0" fontId="34" fillId="0" borderId="17" xfId="0" applyFont="1" applyFill="1" applyBorder="1" applyAlignment="1">
      <alignment horizontal="center" vertical="center" wrapText="1"/>
    </xf>
    <xf numFmtId="0" fontId="0" fillId="0" borderId="0" xfId="0"/>
    <xf numFmtId="4" fontId="41" fillId="29" borderId="17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98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4" fontId="41" fillId="29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7" xfId="38" applyNumberFormat="1" applyFont="1" applyFill="1" applyBorder="1" applyAlignment="1">
      <alignment horizontal="center" vertical="center" wrapText="1"/>
    </xf>
    <xf numFmtId="0" fontId="102" fillId="0" borderId="0" xfId="0" applyFont="1"/>
    <xf numFmtId="0" fontId="152" fillId="0" borderId="0" xfId="0" applyFont="1" applyFill="1" applyAlignment="1">
      <alignment horizontal="justify" vertical="center"/>
    </xf>
    <xf numFmtId="0" fontId="152" fillId="0" borderId="0" xfId="0" applyFont="1" applyFill="1" applyAlignment="1">
      <alignment horizontal="left" vertical="center"/>
    </xf>
    <xf numFmtId="0" fontId="41" fillId="0" borderId="0" xfId="0" applyFont="1" applyFill="1"/>
    <xf numFmtId="0" fontId="41" fillId="0" borderId="0" xfId="0" applyFont="1" applyFill="1" applyAlignment="1">
      <alignment horizontal="left" vertical="center"/>
    </xf>
    <xf numFmtId="0" fontId="41" fillId="0" borderId="0" xfId="39" applyFont="1" applyFill="1"/>
    <xf numFmtId="4" fontId="40" fillId="31" borderId="7" xfId="36" applyNumberFormat="1" applyFont="1" applyFill="1" applyBorder="1" applyAlignment="1">
      <alignment horizontal="center" vertical="center" wrapText="1"/>
    </xf>
    <xf numFmtId="49" fontId="109" fillId="32" borderId="17" xfId="0" applyNumberFormat="1" applyFont="1" applyFill="1" applyBorder="1" applyAlignment="1">
      <alignment horizontal="center" vertical="center" wrapText="1"/>
    </xf>
    <xf numFmtId="0" fontId="109" fillId="32" borderId="17" xfId="38" applyFont="1" applyFill="1" applyBorder="1" applyAlignment="1" applyProtection="1">
      <alignment horizontal="center" vertical="center" wrapText="1"/>
      <protection locked="0"/>
    </xf>
    <xf numFmtId="4" fontId="109" fillId="32" borderId="17" xfId="38" applyNumberFormat="1" applyFont="1" applyFill="1" applyBorder="1" applyAlignment="1" applyProtection="1">
      <alignment horizontal="center" vertical="center" wrapText="1"/>
      <protection locked="0"/>
    </xf>
    <xf numFmtId="4" fontId="109" fillId="32" borderId="17" xfId="0" applyNumberFormat="1" applyFont="1" applyFill="1" applyBorder="1" applyAlignment="1">
      <alignment horizontal="center" vertical="center" wrapText="1"/>
    </xf>
    <xf numFmtId="49" fontId="40" fillId="33" borderId="17" xfId="0" applyNumberFormat="1" applyFont="1" applyFill="1" applyBorder="1" applyAlignment="1">
      <alignment horizontal="center" vertical="center" wrapText="1"/>
    </xf>
    <xf numFmtId="0" fontId="40" fillId="33" borderId="17" xfId="38" applyFont="1" applyFill="1" applyBorder="1" applyAlignment="1" applyProtection="1">
      <alignment horizontal="center" vertical="center" wrapText="1"/>
      <protection locked="0"/>
    </xf>
    <xf numFmtId="4" fontId="40" fillId="33" borderId="17" xfId="38" applyNumberFormat="1" applyFont="1" applyFill="1" applyBorder="1" applyAlignment="1" applyProtection="1">
      <alignment horizontal="center" vertical="center" wrapText="1"/>
      <protection locked="0"/>
    </xf>
    <xf numFmtId="2" fontId="40" fillId="34" borderId="17" xfId="0" applyNumberFormat="1" applyFont="1" applyFill="1" applyBorder="1" applyAlignment="1">
      <alignment horizontal="center" vertical="center"/>
    </xf>
    <xf numFmtId="4" fontId="42" fillId="34" borderId="17" xfId="0" applyNumberFormat="1" applyFont="1" applyFill="1" applyBorder="1" applyAlignment="1">
      <alignment horizontal="center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2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3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23" fillId="0" borderId="17" xfId="0" applyNumberFormat="1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 wrapText="1"/>
    </xf>
    <xf numFmtId="4" fontId="132" fillId="0" borderId="17" xfId="38" applyNumberFormat="1" applyFont="1" applyFill="1" applyBorder="1" applyAlignment="1" applyProtection="1">
      <alignment horizontal="center" vertical="center" wrapText="1"/>
      <protection locked="0"/>
    </xf>
    <xf numFmtId="165" fontId="123" fillId="0" borderId="17" xfId="3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165" fontId="41" fillId="0" borderId="17" xfId="30" applyNumberFormat="1" applyFont="1" applyFill="1" applyBorder="1" applyAlignment="1">
      <alignment horizontal="center" vertical="center" wrapText="1"/>
    </xf>
    <xf numFmtId="165" fontId="41" fillId="27" borderId="17" xfId="30" applyNumberFormat="1" applyFont="1" applyFill="1" applyBorder="1" applyAlignment="1">
      <alignment horizontal="center" vertical="center" wrapText="1"/>
    </xf>
    <xf numFmtId="4" fontId="41" fillId="27" borderId="17" xfId="0" applyNumberFormat="1" applyFont="1" applyFill="1" applyBorder="1" applyAlignment="1">
      <alignment horizontal="center" vertical="center" wrapText="1"/>
    </xf>
    <xf numFmtId="165" fontId="123" fillId="27" borderId="17" xfId="30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3" fillId="0" borderId="17" xfId="38" applyNumberFormat="1" applyFont="1" applyFill="1" applyBorder="1" applyAlignment="1">
      <alignment horizontal="center" vertical="center" wrapText="1"/>
    </xf>
    <xf numFmtId="4" fontId="132" fillId="0" borderId="17" xfId="38" applyNumberFormat="1" applyFont="1" applyFill="1" applyBorder="1" applyAlignment="1">
      <alignment horizontal="center" vertical="center" wrapText="1"/>
    </xf>
    <xf numFmtId="4" fontId="125" fillId="0" borderId="17" xfId="38" applyNumberFormat="1" applyFont="1" applyFill="1" applyBorder="1" applyAlignment="1">
      <alignment horizontal="center" vertical="center" wrapText="1"/>
    </xf>
    <xf numFmtId="4" fontId="132" fillId="0" borderId="17" xfId="0" applyNumberFormat="1" applyFont="1" applyFill="1" applyBorder="1" applyAlignment="1">
      <alignment horizontal="center" vertical="center"/>
    </xf>
    <xf numFmtId="4" fontId="123" fillId="0" borderId="17" xfId="0" applyNumberFormat="1" applyFont="1" applyFill="1" applyBorder="1" applyAlignment="1">
      <alignment horizontal="center" vertical="center" wrapText="1"/>
    </xf>
    <xf numFmtId="4" fontId="123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2" fillId="0" borderId="17" xfId="0" applyNumberFormat="1" applyFont="1" applyFill="1" applyBorder="1" applyAlignment="1">
      <alignment horizontal="center" vertical="center" wrapText="1"/>
    </xf>
    <xf numFmtId="49" fontId="115" fillId="0" borderId="17" xfId="0" applyNumberFormat="1" applyFont="1" applyFill="1" applyBorder="1" applyAlignment="1">
      <alignment horizontal="center" vertical="center" wrapText="1"/>
    </xf>
    <xf numFmtId="49" fontId="109" fillId="0" borderId="17" xfId="0" applyNumberFormat="1" applyFont="1" applyFill="1" applyBorder="1" applyAlignment="1">
      <alignment horizontal="center" vertical="center" wrapText="1"/>
    </xf>
    <xf numFmtId="4" fontId="124" fillId="0" borderId="17" xfId="0" applyNumberFormat="1" applyFont="1" applyFill="1" applyBorder="1" applyAlignment="1">
      <alignment horizontal="center" vertical="center" wrapText="1"/>
    </xf>
    <xf numFmtId="49" fontId="133" fillId="0" borderId="17" xfId="0" applyNumberFormat="1" applyFont="1" applyFill="1" applyBorder="1" applyAlignment="1">
      <alignment horizontal="center" vertical="center" wrapText="1"/>
    </xf>
    <xf numFmtId="49" fontId="141" fillId="0" borderId="17" xfId="0" applyNumberFormat="1" applyFont="1" applyFill="1" applyBorder="1" applyAlignment="1">
      <alignment horizontal="center" vertical="center" wrapText="1"/>
    </xf>
    <xf numFmtId="49" fontId="141" fillId="0" borderId="18" xfId="0" applyNumberFormat="1" applyFont="1" applyFill="1" applyBorder="1" applyAlignment="1">
      <alignment horizontal="center" vertical="center" wrapText="1"/>
    </xf>
    <xf numFmtId="4" fontId="138" fillId="0" borderId="17" xfId="0" applyNumberFormat="1" applyFont="1" applyFill="1" applyBorder="1" applyAlignment="1">
      <alignment horizontal="center" vertical="center" wrapText="1"/>
    </xf>
    <xf numFmtId="49" fontId="123" fillId="0" borderId="17" xfId="0" applyNumberFormat="1" applyFont="1" applyFill="1" applyBorder="1" applyAlignment="1">
      <alignment horizontal="center" vertical="center" wrapText="1"/>
    </xf>
    <xf numFmtId="0" fontId="123" fillId="0" borderId="18" xfId="38" applyFont="1" applyFill="1" applyBorder="1" applyAlignment="1" applyProtection="1">
      <alignment horizontal="center" wrapText="1"/>
      <protection locked="0"/>
    </xf>
    <xf numFmtId="4" fontId="125" fillId="0" borderId="17" xfId="0" applyNumberFormat="1" applyFont="1" applyFill="1" applyBorder="1" applyAlignment="1">
      <alignment horizontal="center" vertical="center" wrapText="1"/>
    </xf>
    <xf numFmtId="0" fontId="123" fillId="0" borderId="0" xfId="38" applyFont="1" applyFill="1" applyBorder="1" applyAlignment="1" applyProtection="1">
      <alignment horizontal="center" vertical="top" wrapText="1"/>
      <protection locked="0"/>
    </xf>
    <xf numFmtId="49" fontId="128" fillId="0" borderId="17" xfId="0" applyNumberFormat="1" applyFont="1" applyFill="1" applyBorder="1" applyAlignment="1">
      <alignment horizontal="center" vertical="center" wrapText="1"/>
    </xf>
    <xf numFmtId="49" fontId="128" fillId="0" borderId="17" xfId="0" applyNumberFormat="1" applyFont="1" applyFill="1" applyBorder="1" applyAlignment="1">
      <alignment horizontal="left" vertical="center" wrapText="1"/>
    </xf>
    <xf numFmtId="4" fontId="128" fillId="0" borderId="17" xfId="0" applyNumberFormat="1" applyFont="1" applyFill="1" applyBorder="1" applyAlignment="1">
      <alignment horizontal="center" vertical="center" wrapText="1"/>
    </xf>
    <xf numFmtId="49" fontId="123" fillId="0" borderId="17" xfId="0" applyNumberFormat="1" applyFont="1" applyFill="1" applyBorder="1" applyAlignment="1">
      <alignment horizontal="left" vertical="center" wrapText="1"/>
    </xf>
    <xf numFmtId="4" fontId="42" fillId="0" borderId="17" xfId="38" applyNumberFormat="1" applyFont="1" applyFill="1" applyBorder="1" applyAlignment="1">
      <alignment horizontal="center" vertical="center" wrapText="1"/>
    </xf>
    <xf numFmtId="0" fontId="137" fillId="0" borderId="17" xfId="38" applyFont="1" applyFill="1" applyBorder="1" applyAlignment="1" applyProtection="1">
      <alignment horizontal="center" vertical="center" wrapText="1"/>
      <protection locked="0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38" applyFont="1" applyFill="1" applyBorder="1" applyAlignment="1" applyProtection="1">
      <alignment horizontal="center" wrapText="1"/>
      <protection locked="0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41" fillId="0" borderId="19" xfId="38" applyFont="1" applyFill="1" applyBorder="1" applyAlignment="1" applyProtection="1">
      <alignment horizontal="center" vertical="top" wrapText="1"/>
      <protection locked="0"/>
    </xf>
    <xf numFmtId="49" fontId="137" fillId="0" borderId="17" xfId="0" applyNumberFormat="1" applyFont="1" applyFill="1" applyBorder="1" applyAlignment="1">
      <alignment horizontal="center" vertical="center" wrapText="1"/>
    </xf>
    <xf numFmtId="4" fontId="138" fillId="0" borderId="17" xfId="38" applyNumberFormat="1" applyFont="1" applyFill="1" applyBorder="1" applyAlignment="1" applyProtection="1">
      <alignment horizontal="center" vertical="center" wrapText="1"/>
      <protection locked="0"/>
    </xf>
    <xf numFmtId="0" fontId="41" fillId="0" borderId="18" xfId="38" applyFont="1" applyFill="1" applyBorder="1" applyAlignment="1" applyProtection="1">
      <alignment horizontal="center" wrapText="1"/>
      <protection locked="0"/>
    </xf>
    <xf numFmtId="0" fontId="41" fillId="0" borderId="0" xfId="38" applyFont="1" applyFill="1" applyBorder="1" applyAlignment="1" applyProtection="1">
      <alignment horizontal="center" vertical="top" wrapText="1"/>
      <protection locked="0"/>
    </xf>
    <xf numFmtId="49" fontId="47" fillId="32" borderId="17" xfId="0" applyNumberFormat="1" applyFont="1" applyFill="1" applyBorder="1" applyAlignment="1">
      <alignment horizontal="center" vertical="center" wrapText="1"/>
    </xf>
    <xf numFmtId="0" fontId="47" fillId="32" borderId="17" xfId="38" applyFont="1" applyFill="1" applyBorder="1" applyAlignment="1" applyProtection="1">
      <alignment horizontal="center" vertical="center" wrapText="1"/>
      <protection locked="0"/>
    </xf>
    <xf numFmtId="49" fontId="35" fillId="33" borderId="17" xfId="0" applyNumberFormat="1" applyFont="1" applyFill="1" applyBorder="1" applyAlignment="1">
      <alignment horizontal="center" vertical="center" wrapText="1"/>
    </xf>
    <xf numFmtId="0" fontId="35" fillId="33" borderId="17" xfId="38" applyFont="1" applyFill="1" applyBorder="1" applyAlignment="1" applyProtection="1">
      <alignment horizontal="center" vertical="center" wrapText="1"/>
      <protection locked="0"/>
    </xf>
    <xf numFmtId="4" fontId="47" fillId="32" borderId="17" xfId="0" applyNumberFormat="1" applyFont="1" applyFill="1" applyBorder="1" applyAlignment="1">
      <alignment horizontal="center" vertical="center" wrapText="1"/>
    </xf>
    <xf numFmtId="4" fontId="35" fillId="33" borderId="17" xfId="0" applyNumberFormat="1" applyFont="1" applyFill="1" applyBorder="1" applyAlignment="1">
      <alignment horizontal="center" vertical="center" wrapText="1"/>
    </xf>
    <xf numFmtId="0" fontId="41" fillId="0" borderId="17" xfId="38" applyFont="1" applyFill="1" applyBorder="1" applyAlignment="1" applyProtection="1">
      <alignment horizontal="center" vertical="center" wrapText="1"/>
      <protection locked="0"/>
    </xf>
    <xf numFmtId="49" fontId="34" fillId="0" borderId="17" xfId="0" applyNumberFormat="1" applyFont="1" applyFill="1" applyBorder="1" applyAlignment="1">
      <alignment horizontal="center" vertical="center" wrapText="1"/>
    </xf>
    <xf numFmtId="0" fontId="34" fillId="0" borderId="17" xfId="100" applyFont="1" applyBorder="1" applyAlignment="1">
      <alignment horizontal="center" vertical="center" wrapText="1"/>
    </xf>
    <xf numFmtId="165" fontId="34" fillId="0" borderId="17" xfId="30" applyNumberFormat="1" applyFont="1" applyBorder="1" applyAlignment="1">
      <alignment horizontal="center" vertical="center"/>
    </xf>
    <xf numFmtId="4" fontId="34" fillId="0" borderId="17" xfId="30" applyNumberFormat="1" applyFont="1" applyBorder="1" applyAlignment="1">
      <alignment horizontal="center" vertical="center"/>
    </xf>
    <xf numFmtId="9" fontId="34" fillId="0" borderId="17" xfId="0" applyNumberFormat="1" applyFont="1" applyBorder="1" applyAlignment="1">
      <alignment horizontal="center" vertical="center" wrapText="1"/>
    </xf>
    <xf numFmtId="4" fontId="34" fillId="0" borderId="17" xfId="0" applyNumberFormat="1" applyFont="1" applyBorder="1" applyAlignment="1">
      <alignment horizontal="center" vertical="center" wrapText="1"/>
    </xf>
    <xf numFmtId="4" fontId="148" fillId="0" borderId="17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49" fontId="34" fillId="0" borderId="17" xfId="18" applyNumberFormat="1" applyFont="1" applyBorder="1" applyAlignment="1">
      <alignment horizontal="center" vertical="center" wrapText="1"/>
    </xf>
    <xf numFmtId="0" fontId="34" fillId="0" borderId="17" xfId="18" applyFont="1" applyBorder="1" applyAlignment="1">
      <alignment horizontal="center" vertical="center" wrapText="1"/>
    </xf>
    <xf numFmtId="9" fontId="34" fillId="0" borderId="17" xfId="30" applyNumberFormat="1" applyFont="1" applyBorder="1" applyAlignment="1">
      <alignment horizontal="center" vertical="center"/>
    </xf>
    <xf numFmtId="0" fontId="34" fillId="0" borderId="17" xfId="92" applyFont="1" applyBorder="1" applyAlignment="1">
      <alignment horizontal="center" vertical="center" wrapText="1"/>
    </xf>
    <xf numFmtId="0" fontId="34" fillId="0" borderId="17" xfId="40" applyFont="1" applyBorder="1" applyAlignment="1">
      <alignment horizontal="center" vertical="center" wrapText="1"/>
    </xf>
    <xf numFmtId="0" fontId="34" fillId="0" borderId="17" xfId="84" applyFont="1" applyBorder="1" applyAlignment="1">
      <alignment horizontal="center" vertical="center" wrapText="1"/>
    </xf>
    <xf numFmtId="0" fontId="16" fillId="0" borderId="0" xfId="0" applyFont="1" applyFill="1" applyAlignment="1"/>
    <xf numFmtId="0" fontId="39" fillId="0" borderId="0" xfId="0" applyFont="1" applyFill="1" applyAlignment="1">
      <alignment horizontal="center" vertical="top"/>
    </xf>
    <xf numFmtId="0" fontId="16" fillId="0" borderId="17" xfId="0" applyFont="1" applyFill="1" applyBorder="1" applyAlignment="1">
      <alignment horizontal="center" vertical="top" wrapText="1"/>
    </xf>
    <xf numFmtId="0" fontId="16" fillId="0" borderId="17" xfId="35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center" vertical="top"/>
    </xf>
    <xf numFmtId="0" fontId="15" fillId="0" borderId="17" xfId="0" applyFont="1" applyFill="1" applyBorder="1" applyAlignment="1">
      <alignment horizontal="center" vertical="center"/>
    </xf>
    <xf numFmtId="49" fontId="15" fillId="0" borderId="17" xfId="0" applyNumberFormat="1" applyFont="1" applyFill="1" applyBorder="1" applyAlignment="1">
      <alignment horizontal="center" vertical="center" wrapText="1"/>
    </xf>
    <xf numFmtId="4" fontId="15" fillId="0" borderId="7" xfId="0" applyNumberFormat="1" applyFont="1" applyFill="1" applyBorder="1" applyAlignment="1">
      <alignment horizontal="center" vertical="center"/>
    </xf>
    <xf numFmtId="2" fontId="16" fillId="34" borderId="17" xfId="0" applyNumberFormat="1" applyFont="1" applyFill="1" applyBorder="1" applyAlignment="1">
      <alignment horizontal="center" vertical="center"/>
    </xf>
    <xf numFmtId="4" fontId="16" fillId="34" borderId="17" xfId="0" applyNumberFormat="1" applyFont="1" applyFill="1" applyBorder="1" applyAlignment="1">
      <alignment horizontal="center" vertical="center"/>
    </xf>
    <xf numFmtId="4" fontId="124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41" fillId="0" borderId="18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19" fillId="0" borderId="27" xfId="0" applyFont="1" applyFill="1" applyBorder="1" applyAlignment="1">
      <alignment horizontal="left" vertical="center" wrapText="1"/>
    </xf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3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 applyFill="1" applyAlignment="1">
      <alignment vertical="center"/>
    </xf>
    <xf numFmtId="4" fontId="43" fillId="0" borderId="17" xfId="0" applyNumberFormat="1" applyFont="1" applyFill="1" applyBorder="1" applyAlignment="1">
      <alignment horizontal="center" vertical="center"/>
    </xf>
    <xf numFmtId="49" fontId="123" fillId="0" borderId="22" xfId="0" applyNumberFormat="1" applyFont="1" applyFill="1" applyBorder="1" applyAlignment="1">
      <alignment horizontal="left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165" fontId="34" fillId="0" borderId="17" xfId="30" applyNumberFormat="1" applyFont="1" applyFill="1" applyBorder="1" applyAlignment="1">
      <alignment horizontal="center" vertical="center" wrapText="1"/>
    </xf>
    <xf numFmtId="165" fontId="34" fillId="0" borderId="17" xfId="30" applyNumberFormat="1" applyFont="1" applyFill="1" applyBorder="1" applyAlignment="1">
      <alignment horizontal="center" vertical="center"/>
    </xf>
    <xf numFmtId="4" fontId="34" fillId="0" borderId="17" xfId="0" applyNumberFormat="1" applyFont="1" applyFill="1" applyBorder="1" applyAlignment="1">
      <alignment horizontal="center" vertical="center" wrapText="1"/>
    </xf>
    <xf numFmtId="9" fontId="34" fillId="0" borderId="17" xfId="0" applyNumberFormat="1" applyFont="1" applyFill="1" applyBorder="1" applyAlignment="1">
      <alignment horizontal="center" vertical="center" wrapText="1"/>
    </xf>
    <xf numFmtId="4" fontId="34" fillId="0" borderId="17" xfId="30" applyNumberFormat="1" applyFont="1" applyFill="1" applyBorder="1" applyAlignment="1">
      <alignment horizontal="center" vertical="center"/>
    </xf>
    <xf numFmtId="9" fontId="47" fillId="32" borderId="17" xfId="0" applyNumberFormat="1" applyFont="1" applyFill="1" applyBorder="1" applyAlignment="1">
      <alignment horizontal="center" vertical="center" wrapText="1"/>
    </xf>
    <xf numFmtId="9" fontId="35" fillId="33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/>
    </xf>
    <xf numFmtId="2" fontId="15" fillId="0" borderId="17" xfId="36" applyNumberFormat="1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/>
    </xf>
    <xf numFmtId="0" fontId="99" fillId="0" borderId="0" xfId="0" applyFont="1" applyFill="1" applyBorder="1" applyAlignment="1">
      <alignment horizontal="center" vertical="center"/>
    </xf>
    <xf numFmtId="0" fontId="60" fillId="0" borderId="0" xfId="36" applyFont="1" applyFill="1" applyAlignment="1">
      <alignment horizontal="center" vertical="center"/>
    </xf>
    <xf numFmtId="0" fontId="56" fillId="0" borderId="0" xfId="36" applyFill="1" applyAlignment="1">
      <alignment vertical="center"/>
    </xf>
    <xf numFmtId="0" fontId="15" fillId="0" borderId="0" xfId="36" applyFont="1" applyFill="1" applyAlignment="1">
      <alignment horizontal="right" vertical="center"/>
    </xf>
    <xf numFmtId="0" fontId="15" fillId="0" borderId="0" xfId="0" applyFont="1" applyFill="1" applyAlignment="1">
      <alignment horizontal="justify" vertical="center"/>
    </xf>
    <xf numFmtId="0" fontId="0" fillId="0" borderId="17" xfId="0" applyFill="1" applyBorder="1" applyAlignment="1">
      <alignment horizontal="center"/>
    </xf>
    <xf numFmtId="4" fontId="63" fillId="0" borderId="17" xfId="36" applyNumberFormat="1" applyFont="1" applyFill="1" applyBorder="1" applyAlignment="1">
      <alignment horizontal="center" vertical="center" wrapText="1"/>
    </xf>
    <xf numFmtId="9" fontId="34" fillId="0" borderId="17" xfId="30" applyNumberFormat="1" applyFont="1" applyFill="1" applyBorder="1" applyAlignment="1">
      <alignment horizontal="center" vertical="center"/>
    </xf>
    <xf numFmtId="49" fontId="34" fillId="0" borderId="17" xfId="0" applyNumberFormat="1" applyFont="1" applyBorder="1" applyAlignment="1">
      <alignment horizontal="center" vertical="center" wrapText="1"/>
    </xf>
    <xf numFmtId="4" fontId="34" fillId="0" borderId="23" xfId="30" applyNumberFormat="1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 wrapText="1"/>
    </xf>
    <xf numFmtId="0" fontId="34" fillId="0" borderId="17" xfId="45" applyFont="1" applyBorder="1" applyAlignment="1">
      <alignment horizontal="center" vertical="center" wrapText="1"/>
    </xf>
    <xf numFmtId="0" fontId="40" fillId="0" borderId="17" xfId="38" applyFont="1" applyFill="1" applyBorder="1" applyAlignment="1" applyProtection="1">
      <alignment horizontal="center" vertical="center" wrapText="1"/>
      <protection locked="0"/>
    </xf>
    <xf numFmtId="4" fontId="145" fillId="0" borderId="17" xfId="0" applyNumberFormat="1" applyFont="1" applyFill="1" applyBorder="1" applyAlignment="1">
      <alignment horizontal="center" vertical="center" wrapText="1"/>
    </xf>
    <xf numFmtId="0" fontId="41" fillId="0" borderId="17" xfId="0" applyFont="1" applyFill="1" applyBorder="1" applyAlignment="1">
      <alignment horizontal="center" vertical="center" wrapText="1"/>
    </xf>
    <xf numFmtId="4" fontId="41" fillId="0" borderId="25" xfId="38" applyNumberFormat="1" applyFont="1" applyFill="1" applyBorder="1" applyAlignment="1" applyProtection="1">
      <alignment horizontal="center" vertical="center" wrapText="1"/>
      <protection locked="0"/>
    </xf>
    <xf numFmtId="165" fontId="148" fillId="0" borderId="17" xfId="30" applyNumberFormat="1" applyFont="1" applyFill="1" applyBorder="1" applyAlignment="1">
      <alignment horizontal="center" vertical="center" wrapText="1"/>
    </xf>
    <xf numFmtId="4" fontId="41" fillId="0" borderId="18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8" xfId="38" applyNumberFormat="1" applyFont="1" applyFill="1" applyBorder="1" applyAlignment="1">
      <alignment horizontal="center" vertical="center" wrapText="1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0" fontId="40" fillId="0" borderId="19" xfId="38" applyFont="1" applyFill="1" applyBorder="1" applyAlignment="1" applyProtection="1">
      <alignment horizontal="center" vertical="top" wrapText="1"/>
      <protection locked="0"/>
    </xf>
    <xf numFmtId="0" fontId="109" fillId="0" borderId="19" xfId="38" applyFont="1" applyFill="1" applyBorder="1" applyAlignment="1" applyProtection="1">
      <alignment horizontal="center" vertical="top" wrapText="1"/>
      <protection locked="0"/>
    </xf>
    <xf numFmtId="2" fontId="165" fillId="29" borderId="0" xfId="36" applyNumberFormat="1" applyFont="1" applyFill="1" applyAlignment="1">
      <alignment horizontal="center" vertical="top"/>
    </xf>
    <xf numFmtId="4" fontId="166" fillId="29" borderId="10" xfId="0" applyNumberFormat="1" applyFont="1" applyFill="1" applyBorder="1" applyAlignment="1">
      <alignment horizontal="center" vertical="center"/>
    </xf>
    <xf numFmtId="0" fontId="167" fillId="0" borderId="0" xfId="0" applyFont="1"/>
    <xf numFmtId="0" fontId="34" fillId="0" borderId="17" xfId="18" applyFont="1" applyFill="1" applyBorder="1" applyAlignment="1">
      <alignment horizontal="center" vertical="center" wrapText="1"/>
    </xf>
    <xf numFmtId="4" fontId="42" fillId="0" borderId="18" xfId="0" applyNumberFormat="1" applyFont="1" applyFill="1" applyBorder="1" applyAlignment="1">
      <alignment horizontal="center" vertical="center" wrapText="1"/>
    </xf>
    <xf numFmtId="4" fontId="40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137" fillId="0" borderId="17" xfId="38" applyNumberFormat="1" applyFont="1" applyFill="1" applyBorder="1" applyAlignment="1" applyProtection="1">
      <alignment horizontal="center" vertical="center" wrapText="1"/>
      <protection locked="0"/>
    </xf>
    <xf numFmtId="49" fontId="137" fillId="0" borderId="17" xfId="0" applyNumberFormat="1" applyFont="1" applyFill="1" applyBorder="1" applyAlignment="1">
      <alignment horizontal="center" vertical="center"/>
    </xf>
    <xf numFmtId="49" fontId="41" fillId="0" borderId="17" xfId="0" applyNumberFormat="1" applyFont="1" applyFill="1" applyBorder="1" applyAlignment="1">
      <alignment horizontal="center" vertical="center"/>
    </xf>
    <xf numFmtId="49" fontId="34" fillId="0" borderId="17" xfId="35" applyNumberFormat="1" applyFont="1" applyFill="1" applyBorder="1" applyAlignment="1">
      <alignment horizontal="center" vertical="center" wrapText="1"/>
    </xf>
    <xf numFmtId="4" fontId="34" fillId="0" borderId="17" xfId="35" applyNumberFormat="1" applyFont="1" applyFill="1" applyBorder="1" applyAlignment="1">
      <alignment horizontal="center" vertical="center"/>
    </xf>
    <xf numFmtId="49" fontId="47" fillId="0" borderId="17" xfId="0" applyNumberFormat="1" applyFont="1" applyFill="1" applyBorder="1" applyAlignment="1">
      <alignment horizontal="center" vertical="center" wrapText="1"/>
    </xf>
    <xf numFmtId="0" fontId="47" fillId="0" borderId="17" xfId="38" applyFont="1" applyFill="1" applyBorder="1" applyAlignment="1" applyProtection="1">
      <alignment horizontal="center" vertical="center" wrapText="1"/>
      <protection locked="0"/>
    </xf>
    <xf numFmtId="4" fontId="47" fillId="0" borderId="17" xfId="0" applyNumberFormat="1" applyFont="1" applyFill="1" applyBorder="1" applyAlignment="1">
      <alignment horizontal="center" vertical="center" wrapText="1"/>
    </xf>
    <xf numFmtId="49" fontId="35" fillId="0" borderId="17" xfId="0" applyNumberFormat="1" applyFont="1" applyFill="1" applyBorder="1" applyAlignment="1">
      <alignment horizontal="center" vertical="center" wrapText="1"/>
    </xf>
    <xf numFmtId="0" fontId="35" fillId="0" borderId="17" xfId="38" applyFont="1" applyFill="1" applyBorder="1" applyAlignment="1" applyProtection="1">
      <alignment horizontal="center" vertical="center" wrapText="1"/>
      <protection locked="0"/>
    </xf>
    <xf numFmtId="4" fontId="35" fillId="0" borderId="17" xfId="0" applyNumberFormat="1" applyFont="1" applyFill="1" applyBorder="1" applyAlignment="1">
      <alignment horizontal="center" vertical="center" wrapText="1"/>
    </xf>
    <xf numFmtId="49" fontId="139" fillId="0" borderId="17" xfId="0" applyNumberFormat="1" applyFont="1" applyFill="1" applyBorder="1" applyAlignment="1">
      <alignment horizontal="center" vertical="center" wrapText="1"/>
    </xf>
    <xf numFmtId="0" fontId="139" fillId="0" borderId="17" xfId="38" applyFont="1" applyFill="1" applyBorder="1" applyAlignment="1" applyProtection="1">
      <alignment horizontal="center" vertical="center" wrapText="1"/>
      <protection locked="0"/>
    </xf>
    <xf numFmtId="4" fontId="139" fillId="0" borderId="17" xfId="0" applyNumberFormat="1" applyFont="1" applyFill="1" applyBorder="1" applyAlignment="1">
      <alignment horizontal="center" vertical="center" wrapText="1"/>
    </xf>
    <xf numFmtId="4" fontId="47" fillId="32" borderId="17" xfId="38" applyNumberFormat="1" applyFont="1" applyFill="1" applyBorder="1" applyAlignment="1" applyProtection="1">
      <alignment horizontal="center" vertical="center" wrapText="1"/>
      <protection locked="0"/>
    </xf>
    <xf numFmtId="4" fontId="35" fillId="33" borderId="17" xfId="38" applyNumberFormat="1" applyFont="1" applyFill="1" applyBorder="1" applyAlignment="1" applyProtection="1">
      <alignment horizontal="center" vertical="center" wrapText="1"/>
      <protection locked="0"/>
    </xf>
    <xf numFmtId="0" fontId="109" fillId="0" borderId="17" xfId="0" applyFont="1" applyFill="1" applyBorder="1" applyAlignment="1">
      <alignment horizontal="center" vertical="center" wrapText="1"/>
    </xf>
    <xf numFmtId="0" fontId="137" fillId="0" borderId="17" xfId="0" applyFont="1" applyFill="1" applyBorder="1" applyAlignment="1">
      <alignment horizontal="center" vertical="center" wrapText="1"/>
    </xf>
    <xf numFmtId="4" fontId="124" fillId="0" borderId="17" xfId="0" applyNumberFormat="1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 wrapText="1"/>
    </xf>
    <xf numFmtId="4" fontId="19" fillId="0" borderId="27" xfId="0" applyNumberFormat="1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left" vertical="center" wrapText="1"/>
    </xf>
    <xf numFmtId="4" fontId="11" fillId="0" borderId="27" xfId="0" applyNumberFormat="1" applyFont="1" applyFill="1" applyBorder="1" applyAlignment="1">
      <alignment horizontal="center" vertical="center" wrapText="1"/>
    </xf>
    <xf numFmtId="0" fontId="84" fillId="0" borderId="27" xfId="0" applyFont="1" applyFill="1" applyBorder="1" applyAlignment="1">
      <alignment horizontal="center" vertical="center" wrapText="1"/>
    </xf>
    <xf numFmtId="0" fontId="84" fillId="0" borderId="27" xfId="0" applyFont="1" applyFill="1" applyBorder="1" applyAlignment="1">
      <alignment horizontal="left" vertical="center" wrapText="1"/>
    </xf>
    <xf numFmtId="4" fontId="84" fillId="0" borderId="27" xfId="0" applyNumberFormat="1" applyFont="1" applyFill="1" applyBorder="1" applyAlignment="1">
      <alignment horizontal="center" vertical="center" wrapText="1"/>
    </xf>
    <xf numFmtId="0" fontId="37" fillId="0" borderId="27" xfId="0" applyFont="1" applyFill="1" applyBorder="1" applyAlignment="1">
      <alignment horizontal="center" vertical="center" wrapText="1"/>
    </xf>
    <xf numFmtId="0" fontId="37" fillId="0" borderId="27" xfId="0" applyFont="1" applyFill="1" applyBorder="1" applyAlignment="1">
      <alignment horizontal="left" vertical="center" wrapText="1"/>
    </xf>
    <xf numFmtId="4" fontId="37" fillId="0" borderId="27" xfId="0" applyNumberFormat="1" applyFont="1" applyFill="1" applyBorder="1" applyAlignment="1">
      <alignment horizontal="center" vertical="center" wrapText="1"/>
    </xf>
    <xf numFmtId="4" fontId="19" fillId="0" borderId="27" xfId="0" applyNumberFormat="1" applyFont="1" applyFill="1" applyBorder="1" applyAlignment="1">
      <alignment horizontal="left" vertical="center" wrapText="1"/>
    </xf>
    <xf numFmtId="4" fontId="37" fillId="0" borderId="27" xfId="0" applyNumberFormat="1" applyFont="1" applyFill="1" applyBorder="1" applyAlignment="1">
      <alignment horizontal="left" vertical="center" wrapText="1"/>
    </xf>
    <xf numFmtId="0" fontId="19" fillId="36" borderId="27" xfId="0" applyFont="1" applyFill="1" applyBorder="1" applyAlignment="1">
      <alignment horizontal="center" vertical="center" wrapText="1"/>
    </xf>
    <xf numFmtId="0" fontId="19" fillId="36" borderId="27" xfId="0" applyFont="1" applyFill="1" applyBorder="1" applyAlignment="1">
      <alignment horizontal="left" vertical="center" wrapText="1"/>
    </xf>
    <xf numFmtId="4" fontId="19" fillId="36" borderId="27" xfId="0" applyNumberFormat="1" applyFont="1" applyFill="1" applyBorder="1" applyAlignment="1">
      <alignment horizontal="center" vertical="center" wrapText="1"/>
    </xf>
    <xf numFmtId="4" fontId="109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34" fillId="37" borderId="17" xfId="0" applyNumberFormat="1" applyFont="1" applyFill="1" applyBorder="1" applyAlignment="1">
      <alignment horizontal="center" vertical="center"/>
    </xf>
    <xf numFmtId="4" fontId="168" fillId="29" borderId="0" xfId="0" applyNumberFormat="1" applyFont="1" applyFill="1" applyAlignment="1">
      <alignment vertical="center"/>
    </xf>
    <xf numFmtId="0" fontId="167" fillId="0" borderId="0" xfId="0" applyFont="1" applyFill="1"/>
    <xf numFmtId="0" fontId="167" fillId="29" borderId="0" xfId="0" applyFont="1" applyFill="1"/>
    <xf numFmtId="49" fontId="169" fillId="29" borderId="0" xfId="0" applyNumberFormat="1" applyFont="1" applyFill="1" applyAlignment="1">
      <alignment horizontal="center" vertical="center" wrapText="1"/>
    </xf>
    <xf numFmtId="0" fontId="170" fillId="29" borderId="0" xfId="0" applyFont="1" applyFill="1"/>
    <xf numFmtId="4" fontId="171" fillId="29" borderId="0" xfId="0" applyNumberFormat="1" applyFont="1" applyFill="1" applyAlignment="1">
      <alignment horizontal="left" vertical="center"/>
    </xf>
    <xf numFmtId="4" fontId="172" fillId="29" borderId="0" xfId="0" applyNumberFormat="1" applyFont="1" applyFill="1" applyAlignment="1">
      <alignment horizontal="left" vertical="center"/>
    </xf>
    <xf numFmtId="0" fontId="173" fillId="29" borderId="0" xfId="0" applyFont="1" applyFill="1"/>
    <xf numFmtId="0" fontId="174" fillId="29" borderId="0" xfId="0" applyFont="1" applyFill="1"/>
    <xf numFmtId="0" fontId="175" fillId="29" borderId="0" xfId="0" applyFont="1" applyFill="1"/>
    <xf numFmtId="0" fontId="176" fillId="29" borderId="0" xfId="0" applyFont="1" applyFill="1"/>
    <xf numFmtId="4" fontId="177" fillId="29" borderId="0" xfId="0" applyNumberFormat="1" applyFont="1" applyFill="1" applyAlignment="1">
      <alignment horizontal="center" vertical="center"/>
    </xf>
    <xf numFmtId="0" fontId="178" fillId="29" borderId="0" xfId="0" applyFont="1" applyFill="1"/>
    <xf numFmtId="4" fontId="179" fillId="29" borderId="0" xfId="0" applyNumberFormat="1" applyFont="1" applyFill="1"/>
    <xf numFmtId="4" fontId="180" fillId="29" borderId="0" xfId="0" applyNumberFormat="1" applyFont="1" applyFill="1" applyAlignment="1">
      <alignment horizontal="left" vertical="center"/>
    </xf>
    <xf numFmtId="0" fontId="181" fillId="29" borderId="0" xfId="0" applyFont="1" applyFill="1"/>
    <xf numFmtId="4" fontId="182" fillId="29" borderId="0" xfId="0" applyNumberFormat="1" applyFont="1" applyFill="1" applyAlignment="1">
      <alignment horizontal="center" vertical="center" wrapText="1"/>
    </xf>
    <xf numFmtId="4" fontId="183" fillId="29" borderId="0" xfId="0" applyNumberFormat="1" applyFont="1" applyFill="1" applyAlignment="1">
      <alignment horizontal="center" vertical="center" wrapText="1"/>
    </xf>
    <xf numFmtId="4" fontId="184" fillId="29" borderId="0" xfId="0" applyNumberFormat="1" applyFont="1" applyFill="1" applyAlignment="1">
      <alignment horizontal="center" vertical="center" wrapText="1"/>
    </xf>
    <xf numFmtId="4" fontId="182" fillId="29" borderId="0" xfId="0" applyNumberFormat="1" applyFont="1" applyFill="1" applyAlignment="1">
      <alignment horizontal="left" vertical="center" wrapText="1"/>
    </xf>
    <xf numFmtId="4" fontId="185" fillId="29" borderId="0" xfId="0" applyNumberFormat="1" applyFont="1" applyFill="1" applyAlignment="1">
      <alignment horizontal="left" vertical="center" wrapText="1"/>
    </xf>
    <xf numFmtId="0" fontId="186" fillId="29" borderId="0" xfId="0" applyFont="1" applyFill="1"/>
    <xf numFmtId="4" fontId="169" fillId="29" borderId="0" xfId="0" applyNumberFormat="1" applyFont="1" applyFill="1" applyAlignment="1">
      <alignment horizontal="center" vertical="center"/>
    </xf>
    <xf numFmtId="4" fontId="182" fillId="30" borderId="17" xfId="0" applyNumberFormat="1" applyFont="1" applyFill="1" applyBorder="1" applyAlignment="1">
      <alignment horizontal="center" vertical="center"/>
    </xf>
    <xf numFmtId="4" fontId="187" fillId="29" borderId="0" xfId="0" applyNumberFormat="1" applyFont="1" applyFill="1" applyAlignment="1">
      <alignment vertical="center"/>
    </xf>
    <xf numFmtId="0" fontId="40" fillId="34" borderId="17" xfId="0" applyFont="1" applyFill="1" applyBorder="1" applyAlignment="1">
      <alignment horizontal="center" vertical="center"/>
    </xf>
    <xf numFmtId="0" fontId="40" fillId="34" borderId="17" xfId="0" applyFont="1" applyFill="1" applyBorder="1" applyAlignment="1">
      <alignment horizontal="left" vertical="center"/>
    </xf>
    <xf numFmtId="4" fontId="40" fillId="34" borderId="17" xfId="0" applyNumberFormat="1" applyFont="1" applyFill="1" applyBorder="1" applyAlignment="1">
      <alignment horizontal="center" vertical="center"/>
    </xf>
    <xf numFmtId="0" fontId="0" fillId="0" borderId="0" xfId="0" applyFill="1"/>
    <xf numFmtId="0" fontId="188" fillId="29" borderId="0" xfId="35" applyFont="1" applyFill="1" applyAlignment="1">
      <alignment horizontal="left" vertical="center"/>
    </xf>
    <xf numFmtId="4" fontId="188" fillId="29" borderId="0" xfId="35" applyNumberFormat="1" applyFont="1" applyFill="1" applyAlignment="1">
      <alignment horizontal="left" vertical="center"/>
    </xf>
    <xf numFmtId="4" fontId="171" fillId="28" borderId="17" xfId="0" applyNumberFormat="1" applyFont="1" applyFill="1" applyBorder="1" applyAlignment="1">
      <alignment horizontal="center" vertical="center" wrapText="1"/>
    </xf>
    <xf numFmtId="0" fontId="170" fillId="28" borderId="0" xfId="0" applyFont="1" applyFill="1"/>
    <xf numFmtId="0" fontId="167" fillId="28" borderId="0" xfId="0" applyFont="1" applyFill="1"/>
    <xf numFmtId="4" fontId="171" fillId="0" borderId="17" xfId="0" applyNumberFormat="1" applyFont="1" applyFill="1" applyBorder="1" applyAlignment="1">
      <alignment horizontal="center" vertical="center" wrapText="1"/>
    </xf>
    <xf numFmtId="0" fontId="170" fillId="0" borderId="0" xfId="0" applyFont="1" applyFill="1"/>
    <xf numFmtId="49" fontId="123" fillId="0" borderId="22" xfId="0" applyNumberFormat="1" applyFont="1" applyFill="1" applyBorder="1" applyAlignment="1">
      <alignment horizontal="center" vertical="center" wrapText="1"/>
    </xf>
    <xf numFmtId="4" fontId="123" fillId="0" borderId="22" xfId="0" applyNumberFormat="1" applyFont="1" applyFill="1" applyBorder="1" applyAlignment="1">
      <alignment horizontal="center" vertical="center" wrapText="1"/>
    </xf>
    <xf numFmtId="168" fontId="189" fillId="29" borderId="0" xfId="0" applyNumberFormat="1" applyFont="1" applyFill="1" applyAlignment="1">
      <alignment vertical="center"/>
    </xf>
    <xf numFmtId="4" fontId="189" fillId="29" borderId="0" xfId="0" applyNumberFormat="1" applyFont="1" applyFill="1" applyAlignment="1">
      <alignment vertical="center"/>
    </xf>
    <xf numFmtId="0" fontId="190" fillId="29" borderId="0" xfId="0" applyFont="1" applyFill="1" applyAlignment="1">
      <alignment vertical="center"/>
    </xf>
    <xf numFmtId="0" fontId="191" fillId="29" borderId="0" xfId="0" applyFont="1" applyFill="1" applyAlignment="1">
      <alignment vertical="center"/>
    </xf>
    <xf numFmtId="165" fontId="192" fillId="29" borderId="0" xfId="0" applyNumberFormat="1" applyFont="1" applyFill="1" applyAlignment="1">
      <alignment horizontal="right" vertical="center" wrapText="1"/>
    </xf>
    <xf numFmtId="165" fontId="193" fillId="29" borderId="0" xfId="0" applyNumberFormat="1" applyFont="1" applyFill="1" applyAlignment="1">
      <alignment horizontal="right" vertical="center" wrapText="1"/>
    </xf>
    <xf numFmtId="165" fontId="168" fillId="29" borderId="0" xfId="0" applyNumberFormat="1" applyFont="1" applyFill="1" applyAlignment="1">
      <alignment horizontal="right" vertical="center" wrapText="1"/>
    </xf>
    <xf numFmtId="0" fontId="193" fillId="29" borderId="0" xfId="0" applyFont="1" applyFill="1" applyAlignment="1">
      <alignment vertical="center"/>
    </xf>
    <xf numFmtId="0" fontId="192" fillId="29" borderId="0" xfId="0" applyFont="1" applyFill="1" applyAlignment="1">
      <alignment vertical="center"/>
    </xf>
    <xf numFmtId="4" fontId="192" fillId="29" borderId="0" xfId="0" applyNumberFormat="1" applyFont="1" applyFill="1" applyAlignment="1">
      <alignment vertical="center"/>
    </xf>
    <xf numFmtId="2" fontId="194" fillId="29" borderId="0" xfId="0" applyNumberFormat="1" applyFont="1" applyFill="1" applyAlignment="1">
      <alignment horizontal="center" vertical="center"/>
    </xf>
    <xf numFmtId="2" fontId="35" fillId="34" borderId="17" xfId="0" applyNumberFormat="1" applyFont="1" applyFill="1" applyBorder="1" applyAlignment="1">
      <alignment horizontal="center" vertical="center"/>
    </xf>
    <xf numFmtId="4" fontId="35" fillId="34" borderId="17" xfId="0" applyNumberFormat="1" applyFont="1" applyFill="1" applyBorder="1" applyAlignment="1">
      <alignment horizontal="center" vertical="center"/>
    </xf>
    <xf numFmtId="0" fontId="195" fillId="29" borderId="0" xfId="0" applyFont="1" applyFill="1"/>
    <xf numFmtId="164" fontId="60" fillId="34" borderId="17" xfId="0" applyNumberFormat="1" applyFont="1" applyFill="1" applyBorder="1" applyAlignment="1">
      <alignment horizontal="center" vertical="center"/>
    </xf>
    <xf numFmtId="164" fontId="60" fillId="34" borderId="17" xfId="36" applyNumberFormat="1" applyFont="1" applyFill="1" applyBorder="1" applyAlignment="1">
      <alignment horizontal="center" vertical="center" wrapText="1"/>
    </xf>
    <xf numFmtId="2" fontId="60" fillId="38" borderId="17" xfId="36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11" fillId="0" borderId="27" xfId="39" applyFont="1" applyFill="1" applyBorder="1" applyAlignment="1">
      <alignment horizontal="center" vertical="center" wrapText="1"/>
    </xf>
    <xf numFmtId="0" fontId="11" fillId="0" borderId="27" xfId="39" applyFont="1" applyFill="1" applyBorder="1" applyAlignment="1">
      <alignment vertical="center" wrapText="1"/>
    </xf>
    <xf numFmtId="4" fontId="21" fillId="0" borderId="27" xfId="39" applyNumberFormat="1" applyFont="1" applyFill="1" applyBorder="1" applyAlignment="1">
      <alignment horizontal="center" vertical="center" wrapText="1"/>
    </xf>
    <xf numFmtId="4" fontId="39" fillId="0" borderId="27" xfId="39" applyNumberFormat="1" applyFont="1" applyFill="1" applyBorder="1" applyAlignment="1">
      <alignment horizontal="center" vertical="center" wrapText="1"/>
    </xf>
    <xf numFmtId="0" fontId="37" fillId="0" borderId="27" xfId="39" applyFont="1" applyFill="1" applyBorder="1" applyAlignment="1">
      <alignment horizontal="center" vertical="center" wrapText="1"/>
    </xf>
    <xf numFmtId="0" fontId="37" fillId="0" borderId="27" xfId="39" applyFont="1" applyFill="1" applyBorder="1" applyAlignment="1">
      <alignment vertical="center" wrapText="1"/>
    </xf>
    <xf numFmtId="4" fontId="38" fillId="0" borderId="27" xfId="39" applyNumberFormat="1" applyFont="1" applyFill="1" applyBorder="1" applyAlignment="1">
      <alignment horizontal="center" vertical="center" wrapText="1"/>
    </xf>
    <xf numFmtId="4" fontId="37" fillId="0" borderId="27" xfId="39" applyNumberFormat="1" applyFont="1" applyFill="1" applyBorder="1" applyAlignment="1">
      <alignment horizontal="center" vertical="center" wrapText="1"/>
    </xf>
    <xf numFmtId="0" fontId="11" fillId="0" borderId="27" xfId="37" applyFont="1" applyFill="1" applyBorder="1" applyAlignment="1">
      <alignment horizontal="justify" vertical="center" wrapText="1"/>
    </xf>
    <xf numFmtId="4" fontId="11" fillId="0" borderId="27" xfId="39" applyNumberFormat="1" applyFont="1" applyFill="1" applyBorder="1" applyAlignment="1">
      <alignment horizontal="center" vertical="center" wrapText="1"/>
    </xf>
    <xf numFmtId="0" fontId="11" fillId="0" borderId="27" xfId="37" applyFont="1" applyFill="1" applyBorder="1" applyAlignment="1">
      <alignment horizontal="left" vertical="center" wrapText="1"/>
    </xf>
    <xf numFmtId="0" fontId="37" fillId="0" borderId="27" xfId="37" applyFont="1" applyFill="1" applyBorder="1" applyAlignment="1">
      <alignment horizontal="justify" vertical="center" wrapText="1"/>
    </xf>
    <xf numFmtId="0" fontId="37" fillId="0" borderId="27" xfId="37" applyFont="1" applyFill="1" applyBorder="1" applyAlignment="1">
      <alignment horizontal="left" vertical="center" wrapText="1"/>
    </xf>
    <xf numFmtId="4" fontId="19" fillId="0" borderId="27" xfId="39" applyNumberFormat="1" applyFont="1" applyFill="1" applyBorder="1" applyAlignment="1">
      <alignment horizontal="center" vertical="center" wrapText="1"/>
    </xf>
    <xf numFmtId="4" fontId="161" fillId="0" borderId="27" xfId="39" applyNumberFormat="1" applyFont="1" applyFill="1" applyBorder="1" applyAlignment="1">
      <alignment horizontal="center" vertical="center" wrapText="1"/>
    </xf>
    <xf numFmtId="0" fontId="19" fillId="0" borderId="27" xfId="37" applyFont="1" applyFill="1" applyBorder="1" applyAlignment="1">
      <alignment horizontal="center" vertical="center" wrapText="1"/>
    </xf>
    <xf numFmtId="0" fontId="39" fillId="0" borderId="27" xfId="37" applyFont="1" applyFill="1" applyBorder="1" applyAlignment="1">
      <alignment horizontal="justify" vertical="center" wrapText="1"/>
    </xf>
    <xf numFmtId="0" fontId="38" fillId="0" borderId="27" xfId="37" applyFont="1" applyFill="1" applyBorder="1" applyAlignment="1">
      <alignment horizontal="justify" vertical="center" wrapText="1"/>
    </xf>
    <xf numFmtId="0" fontId="21" fillId="0" borderId="27" xfId="37" applyFont="1" applyFill="1" applyBorder="1" applyAlignment="1">
      <alignment horizontal="justify" vertical="center" wrapText="1"/>
    </xf>
    <xf numFmtId="0" fontId="39" fillId="0" borderId="27" xfId="37" applyFont="1" applyFill="1" applyBorder="1" applyAlignment="1">
      <alignment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4" fontId="41" fillId="0" borderId="17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9" fontId="123" fillId="0" borderId="17" xfId="0" applyNumberFormat="1" applyFont="1" applyFill="1" applyBorder="1" applyAlignment="1">
      <alignment horizontal="center" vertical="center" wrapText="1"/>
    </xf>
    <xf numFmtId="0" fontId="38" fillId="0" borderId="27" xfId="37" applyFont="1" applyFill="1" applyBorder="1" applyAlignment="1">
      <alignment vertical="center" wrapText="1"/>
    </xf>
    <xf numFmtId="0" fontId="11" fillId="0" borderId="27" xfId="0" applyFont="1" applyFill="1" applyBorder="1" applyAlignment="1">
      <alignment horizontal="justify" vertical="center"/>
    </xf>
    <xf numFmtId="0" fontId="19" fillId="0" borderId="27" xfId="39" applyFont="1" applyFill="1" applyBorder="1" applyAlignment="1">
      <alignment vertical="center" wrapText="1"/>
    </xf>
    <xf numFmtId="0" fontId="19" fillId="0" borderId="27" xfId="37" applyFont="1" applyFill="1" applyBorder="1" applyAlignment="1">
      <alignment horizontal="justify" vertical="center" wrapText="1"/>
    </xf>
    <xf numFmtId="0" fontId="84" fillId="0" borderId="27" xfId="39" applyFont="1" applyFill="1" applyBorder="1" applyAlignment="1">
      <alignment vertical="center" wrapText="1"/>
    </xf>
    <xf numFmtId="4" fontId="84" fillId="0" borderId="27" xfId="39" applyNumberFormat="1" applyFont="1" applyFill="1" applyBorder="1" applyAlignment="1">
      <alignment horizontal="center" vertical="center" wrapText="1"/>
    </xf>
    <xf numFmtId="0" fontId="35" fillId="0" borderId="0" xfId="39" applyFont="1" applyFill="1" applyAlignment="1">
      <alignment wrapText="1"/>
    </xf>
    <xf numFmtId="0" fontId="54" fillId="0" borderId="0" xfId="39" applyFont="1" applyFill="1" applyAlignment="1">
      <alignment wrapText="1"/>
    </xf>
    <xf numFmtId="0" fontId="11" fillId="0" borderId="0" xfId="39" applyFill="1" applyAlignment="1">
      <alignment wrapText="1"/>
    </xf>
    <xf numFmtId="0" fontId="47" fillId="0" borderId="0" xfId="39" applyFont="1" applyFill="1" applyAlignment="1">
      <alignment wrapText="1"/>
    </xf>
    <xf numFmtId="4" fontId="11" fillId="0" borderId="0" xfId="39" applyNumberFormat="1" applyFill="1"/>
    <xf numFmtId="4" fontId="166" fillId="0" borderId="0" xfId="39" applyNumberFormat="1" applyFont="1" applyFill="1"/>
    <xf numFmtId="0" fontId="19" fillId="37" borderId="27" xfId="39" applyFont="1" applyFill="1" applyBorder="1" applyAlignment="1">
      <alignment horizontal="center" vertical="center" wrapText="1"/>
    </xf>
    <xf numFmtId="0" fontId="19" fillId="37" borderId="27" xfId="37" applyFont="1" applyFill="1" applyBorder="1" applyAlignment="1">
      <alignment horizontal="center" vertical="center" wrapText="1"/>
    </xf>
    <xf numFmtId="4" fontId="21" fillId="37" borderId="27" xfId="39" applyNumberFormat="1" applyFont="1" applyFill="1" applyBorder="1" applyAlignment="1">
      <alignment horizontal="center" vertical="center" wrapText="1"/>
    </xf>
    <xf numFmtId="4" fontId="19" fillId="37" borderId="27" xfId="39" applyNumberFormat="1" applyFont="1" applyFill="1" applyBorder="1" applyAlignment="1">
      <alignment horizontal="center" vertical="center" wrapText="1"/>
    </xf>
    <xf numFmtId="0" fontId="21" fillId="0" borderId="27" xfId="37" applyFont="1" applyFill="1" applyBorder="1" applyAlignment="1">
      <alignment vertical="center" wrapText="1"/>
    </xf>
    <xf numFmtId="0" fontId="19" fillId="39" borderId="27" xfId="39" applyFont="1" applyFill="1" applyBorder="1" applyAlignment="1">
      <alignment horizontal="center" vertical="center" wrapText="1"/>
    </xf>
    <xf numFmtId="4" fontId="21" fillId="39" borderId="27" xfId="39" applyNumberFormat="1" applyFont="1" applyFill="1" applyBorder="1" applyAlignment="1">
      <alignment horizontal="center" vertical="center" wrapText="1"/>
    </xf>
    <xf numFmtId="49" fontId="159" fillId="0" borderId="17" xfId="0" applyNumberFormat="1" applyFont="1" applyFill="1" applyBorder="1" applyAlignment="1">
      <alignment horizontal="center" vertical="center" wrapText="1"/>
    </xf>
    <xf numFmtId="4" fontId="159" fillId="0" borderId="25" xfId="0" applyNumberFormat="1" applyFont="1" applyFill="1" applyBorder="1" applyAlignment="1">
      <alignment horizontal="center" vertical="center" wrapText="1"/>
    </xf>
    <xf numFmtId="4" fontId="128" fillId="0" borderId="25" xfId="0" applyNumberFormat="1" applyFont="1" applyFill="1" applyBorder="1" applyAlignment="1">
      <alignment horizontal="center" vertical="center" wrapText="1"/>
    </xf>
    <xf numFmtId="49" fontId="41" fillId="41" borderId="22" xfId="0" applyNumberFormat="1" applyFont="1" applyFill="1" applyBorder="1" applyAlignment="1">
      <alignment horizontal="center" vertical="center" wrapText="1"/>
    </xf>
    <xf numFmtId="4" fontId="41" fillId="41" borderId="22" xfId="0" applyNumberFormat="1" applyFont="1" applyFill="1" applyBorder="1" applyAlignment="1">
      <alignment horizontal="center" vertical="center" wrapText="1"/>
    </xf>
    <xf numFmtId="49" fontId="41" fillId="41" borderId="22" xfId="0" applyNumberFormat="1" applyFont="1" applyFill="1" applyBorder="1" applyAlignment="1">
      <alignment horizontal="left" vertical="center" wrapText="1"/>
    </xf>
    <xf numFmtId="4" fontId="185" fillId="30" borderId="16" xfId="0" applyNumberFormat="1" applyFont="1" applyFill="1" applyBorder="1" applyAlignment="1">
      <alignment horizontal="center" vertical="center" wrapText="1"/>
    </xf>
    <xf numFmtId="4" fontId="185" fillId="30" borderId="0" xfId="0" applyNumberFormat="1" applyFont="1" applyFill="1" applyBorder="1" applyAlignment="1">
      <alignment horizontal="center" vertical="center" wrapText="1"/>
    </xf>
    <xf numFmtId="4" fontId="196" fillId="29" borderId="0" xfId="0" applyNumberFormat="1" applyFont="1" applyFill="1" applyAlignment="1">
      <alignment horizontal="center" vertical="center" wrapText="1"/>
    </xf>
    <xf numFmtId="4" fontId="185" fillId="30" borderId="8" xfId="0" applyNumberFormat="1" applyFont="1" applyFill="1" applyBorder="1" applyAlignment="1">
      <alignment horizontal="center" vertical="center" wrapText="1"/>
    </xf>
    <xf numFmtId="165" fontId="169" fillId="29" borderId="17" xfId="30" applyNumberFormat="1" applyFont="1" applyFill="1" applyBorder="1" applyAlignment="1">
      <alignment horizontal="center" vertical="center" wrapText="1"/>
    </xf>
    <xf numFmtId="165" fontId="169" fillId="29" borderId="0" xfId="30" applyNumberFormat="1" applyFont="1" applyFill="1" applyBorder="1" applyAlignment="1">
      <alignment horizontal="center" vertical="center" wrapText="1"/>
    </xf>
    <xf numFmtId="4" fontId="169" fillId="29" borderId="0" xfId="30" applyNumberFormat="1" applyFont="1" applyFill="1" applyBorder="1" applyAlignment="1">
      <alignment horizontal="center" vertical="center" wrapText="1"/>
    </xf>
    <xf numFmtId="4" fontId="182" fillId="30" borderId="16" xfId="0" applyNumberFormat="1" applyFont="1" applyFill="1" applyBorder="1" applyAlignment="1">
      <alignment horizontal="center" vertical="center" wrapText="1"/>
    </xf>
    <xf numFmtId="4" fontId="182" fillId="30" borderId="8" xfId="0" applyNumberFormat="1" applyFont="1" applyFill="1" applyBorder="1" applyAlignment="1">
      <alignment horizontal="center" vertical="center" wrapText="1"/>
    </xf>
    <xf numFmtId="4" fontId="172" fillId="29" borderId="0" xfId="38" applyNumberFormat="1" applyFont="1" applyFill="1" applyBorder="1" applyAlignment="1" applyProtection="1">
      <alignment horizontal="center" vertical="center" wrapText="1"/>
      <protection locked="0"/>
    </xf>
    <xf numFmtId="4" fontId="171" fillId="0" borderId="0" xfId="36" applyNumberFormat="1" applyFont="1" applyFill="1" applyBorder="1" applyAlignment="1">
      <alignment horizontal="center" vertical="center" wrapText="1"/>
    </xf>
    <xf numFmtId="0" fontId="169" fillId="0" borderId="0" xfId="39" applyFont="1"/>
    <xf numFmtId="0" fontId="169" fillId="0" borderId="0" xfId="0" applyFont="1" applyAlignment="1">
      <alignment horizontal="left" vertical="center"/>
    </xf>
    <xf numFmtId="0" fontId="176" fillId="0" borderId="0" xfId="0" applyFont="1"/>
    <xf numFmtId="0" fontId="185" fillId="29" borderId="0" xfId="0" applyFont="1" applyFill="1" applyAlignment="1">
      <alignment horizontal="center" vertical="center"/>
    </xf>
    <xf numFmtId="0" fontId="197" fillId="29" borderId="0" xfId="0" applyFont="1" applyFill="1" applyAlignment="1">
      <alignment horizontal="center" vertical="center"/>
    </xf>
    <xf numFmtId="0" fontId="176" fillId="0" borderId="0" xfId="0" applyFont="1" applyFill="1"/>
    <xf numFmtId="4" fontId="171" fillId="0" borderId="0" xfId="0" applyNumberFormat="1" applyFont="1" applyAlignment="1">
      <alignment vertical="center"/>
    </xf>
    <xf numFmtId="0" fontId="169" fillId="0" borderId="0" xfId="0" applyFont="1"/>
    <xf numFmtId="4" fontId="41" fillId="0" borderId="17" xfId="0" applyNumberFormat="1" applyFont="1" applyFill="1" applyBorder="1" applyAlignment="1">
      <alignment horizontal="center" vertical="center" wrapText="1"/>
    </xf>
    <xf numFmtId="0" fontId="41" fillId="0" borderId="0" xfId="0" applyFont="1"/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57" fillId="0" borderId="0" xfId="0" applyFont="1" applyFill="1" applyAlignment="1">
      <alignment horizontal="center" vertical="center" wrapText="1"/>
    </xf>
    <xf numFmtId="0" fontId="94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0" fontId="36" fillId="0" borderId="0" xfId="0" applyFont="1" applyFill="1" applyAlignment="1">
      <alignment horizontal="center" vertical="top"/>
    </xf>
    <xf numFmtId="0" fontId="93" fillId="0" borderId="0" xfId="0" applyFont="1" applyFill="1" applyAlignment="1">
      <alignment horizontal="center" vertical="top"/>
    </xf>
    <xf numFmtId="0" fontId="55" fillId="0" borderId="27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19" fillId="35" borderId="27" xfId="0" applyFont="1" applyFill="1" applyBorder="1" applyAlignment="1">
      <alignment horizontal="left" vertical="center" wrapText="1"/>
    </xf>
    <xf numFmtId="0" fontId="0" fillId="35" borderId="27" xfId="0" applyFill="1" applyBorder="1" applyAlignment="1">
      <alignment wrapText="1"/>
    </xf>
    <xf numFmtId="0" fontId="15" fillId="0" borderId="0" xfId="0" applyFont="1" applyAlignment="1">
      <alignment horizontal="center" vertical="center"/>
    </xf>
    <xf numFmtId="0" fontId="0" fillId="0" borderId="0" xfId="0"/>
    <xf numFmtId="0" fontId="0" fillId="0" borderId="0" xfId="0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3" fillId="0" borderId="0" xfId="39" applyFont="1" applyFill="1" applyAlignment="1">
      <alignment horizontal="center" vertical="center"/>
    </xf>
    <xf numFmtId="0" fontId="163" fillId="0" borderId="0" xfId="39" applyFont="1" applyFill="1" applyAlignment="1">
      <alignment horizontal="center" vertical="center"/>
    </xf>
    <xf numFmtId="0" fontId="99" fillId="0" borderId="0" xfId="0" applyFont="1" applyFill="1" applyAlignment="1"/>
    <xf numFmtId="0" fontId="16" fillId="0" borderId="0" xfId="39" applyFont="1" applyFill="1" applyAlignment="1">
      <alignment horizontal="center" vertical="center"/>
    </xf>
    <xf numFmtId="0" fontId="61" fillId="0" borderId="0" xfId="0" applyFont="1" applyFill="1" applyAlignment="1"/>
    <xf numFmtId="0" fontId="19" fillId="0" borderId="27" xfId="39" applyFont="1" applyFill="1" applyBorder="1" applyAlignment="1">
      <alignment horizontal="center" vertical="top" wrapText="1"/>
    </xf>
    <xf numFmtId="0" fontId="41" fillId="29" borderId="0" xfId="0" applyFont="1" applyFill="1"/>
    <xf numFmtId="0" fontId="76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4" fontId="123" fillId="0" borderId="18" xfId="0" applyNumberFormat="1" applyFont="1" applyFill="1" applyBorder="1" applyAlignment="1">
      <alignment horizontal="center" vertical="center" wrapText="1"/>
    </xf>
    <xf numFmtId="4" fontId="123" fillId="0" borderId="19" xfId="0" applyNumberFormat="1" applyFont="1" applyFill="1" applyBorder="1" applyAlignment="1">
      <alignment horizontal="center" vertical="center" wrapText="1"/>
    </xf>
    <xf numFmtId="4" fontId="132" fillId="0" borderId="18" xfId="0" applyNumberFormat="1" applyFont="1" applyFill="1" applyBorder="1" applyAlignment="1">
      <alignment horizontal="center" vertical="center"/>
    </xf>
    <xf numFmtId="4" fontId="132" fillId="0" borderId="19" xfId="0" applyNumberFormat="1" applyFont="1" applyFill="1" applyBorder="1" applyAlignment="1">
      <alignment horizontal="center" vertical="center"/>
    </xf>
    <xf numFmtId="4" fontId="115" fillId="0" borderId="18" xfId="0" applyNumberFormat="1" applyFont="1" applyFill="1" applyBorder="1" applyAlignment="1">
      <alignment horizontal="center" vertical="center" wrapText="1"/>
    </xf>
    <xf numFmtId="4" fontId="115" fillId="0" borderId="19" xfId="0" applyNumberFormat="1" applyFont="1" applyFill="1" applyBorder="1" applyAlignment="1">
      <alignment horizontal="center" vertical="center" wrapText="1"/>
    </xf>
    <xf numFmtId="4" fontId="42" fillId="0" borderId="17" xfId="0" applyNumberFormat="1" applyFont="1" applyFill="1" applyBorder="1" applyAlignment="1">
      <alignment horizontal="center" vertical="center" wrapText="1"/>
    </xf>
    <xf numFmtId="4" fontId="41" fillId="0" borderId="17" xfId="0" applyNumberFormat="1" applyFont="1" applyFill="1" applyBorder="1" applyAlignment="1">
      <alignment horizontal="center" vertical="center" wrapText="1"/>
    </xf>
    <xf numFmtId="49" fontId="123" fillId="0" borderId="17" xfId="0" applyNumberFormat="1" applyFont="1" applyFill="1" applyBorder="1" applyAlignment="1">
      <alignment horizontal="center" vertical="center" wrapText="1"/>
    </xf>
    <xf numFmtId="0" fontId="134" fillId="0" borderId="17" xfId="0" applyFont="1" applyFill="1" applyBorder="1" applyAlignment="1">
      <alignment horizontal="center" vertical="center" wrapText="1"/>
    </xf>
    <xf numFmtId="4" fontId="125" fillId="0" borderId="17" xfId="0" applyNumberFormat="1" applyFont="1" applyFill="1" applyBorder="1" applyAlignment="1">
      <alignment horizontal="center" vertical="center" wrapText="1"/>
    </xf>
    <xf numFmtId="4" fontId="125" fillId="0" borderId="18" xfId="0" applyNumberFormat="1" applyFont="1" applyFill="1" applyBorder="1" applyAlignment="1">
      <alignment horizontal="center" vertical="center" wrapText="1"/>
    </xf>
    <xf numFmtId="4" fontId="125" fillId="0" borderId="19" xfId="0" applyNumberFormat="1" applyFont="1" applyFill="1" applyBorder="1" applyAlignment="1">
      <alignment horizontal="center" vertical="center" wrapText="1"/>
    </xf>
    <xf numFmtId="49" fontId="41" fillId="0" borderId="17" xfId="0" applyNumberFormat="1" applyFont="1" applyFill="1" applyBorder="1" applyAlignment="1">
      <alignment horizontal="center" vertical="center" wrapText="1"/>
    </xf>
    <xf numFmtId="49" fontId="137" fillId="29" borderId="18" xfId="0" applyNumberFormat="1" applyFont="1" applyFill="1" applyBorder="1" applyAlignment="1">
      <alignment horizontal="center" vertical="center" wrapText="1"/>
    </xf>
    <xf numFmtId="0" fontId="0" fillId="29" borderId="19" xfId="0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41" fillId="0" borderId="0" xfId="0" applyFont="1" applyFill="1" applyAlignment="1">
      <alignment vertical="center"/>
    </xf>
    <xf numFmtId="0" fontId="40" fillId="0" borderId="0" xfId="0" applyFont="1" applyFill="1" applyAlignment="1">
      <alignment horizontal="center" vertical="center"/>
    </xf>
    <xf numFmtId="0" fontId="96" fillId="0" borderId="0" xfId="0" applyFont="1" applyFill="1" applyAlignment="1">
      <alignment horizontal="center"/>
    </xf>
    <xf numFmtId="0" fontId="97" fillId="0" borderId="0" xfId="0" applyFont="1" applyFill="1" applyAlignment="1">
      <alignment horizontal="center"/>
    </xf>
    <xf numFmtId="0" fontId="40" fillId="0" borderId="17" xfId="0" applyFont="1" applyFill="1" applyBorder="1" applyAlignment="1">
      <alignment horizontal="center" vertical="top"/>
    </xf>
    <xf numFmtId="0" fontId="0" fillId="0" borderId="17" xfId="0" applyFont="1" applyFill="1" applyBorder="1" applyAlignment="1">
      <alignment horizontal="center" vertical="top"/>
    </xf>
    <xf numFmtId="0" fontId="40" fillId="0" borderId="17" xfId="0" applyFont="1" applyFill="1" applyBorder="1" applyAlignment="1">
      <alignment horizontal="center" vertical="top" wrapText="1"/>
    </xf>
    <xf numFmtId="0" fontId="90" fillId="0" borderId="0" xfId="0" applyFont="1" applyFill="1" applyAlignment="1">
      <alignment horizontal="center" vertical="top"/>
    </xf>
    <xf numFmtId="0" fontId="44" fillId="0" borderId="0" xfId="0" applyFont="1" applyFill="1" applyAlignment="1">
      <alignment horizontal="center" vertical="top"/>
    </xf>
    <xf numFmtId="0" fontId="14" fillId="0" borderId="17" xfId="0" applyFont="1" applyFill="1" applyBorder="1" applyAlignment="1">
      <alignment horizontal="center" vertical="top"/>
    </xf>
    <xf numFmtId="4" fontId="138" fillId="29" borderId="18" xfId="0" applyNumberFormat="1" applyFont="1" applyFill="1" applyBorder="1" applyAlignment="1">
      <alignment horizontal="center" vertical="center" wrapText="1"/>
    </xf>
    <xf numFmtId="4" fontId="0" fillId="0" borderId="17" xfId="0" applyNumberFormat="1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 wrapText="1"/>
    </xf>
    <xf numFmtId="49" fontId="41" fillId="29" borderId="18" xfId="0" applyNumberFormat="1" applyFont="1" applyFill="1" applyBorder="1" applyAlignment="1">
      <alignment horizontal="center" vertical="center" wrapText="1"/>
    </xf>
    <xf numFmtId="4" fontId="42" fillId="29" borderId="18" xfId="0" applyNumberFormat="1" applyFont="1" applyFill="1" applyBorder="1" applyAlignment="1">
      <alignment horizontal="center" vertical="center" wrapText="1"/>
    </xf>
    <xf numFmtId="0" fontId="0" fillId="29" borderId="20" xfId="0" applyFill="1" applyBorder="1" applyAlignment="1">
      <alignment horizontal="center" vertical="center" wrapText="1"/>
    </xf>
    <xf numFmtId="4" fontId="43" fillId="29" borderId="18" xfId="0" applyNumberFormat="1" applyFont="1" applyFill="1" applyBorder="1" applyAlignment="1">
      <alignment horizontal="center" vertical="center" wrapText="1"/>
    </xf>
    <xf numFmtId="0" fontId="0" fillId="29" borderId="20" xfId="0" applyFont="1" applyFill="1" applyBorder="1" applyAlignment="1">
      <alignment horizontal="center" vertical="center" wrapText="1"/>
    </xf>
    <xf numFmtId="0" fontId="0" fillId="29" borderId="19" xfId="0" applyFont="1" applyFill="1" applyBorder="1" applyAlignment="1">
      <alignment horizontal="center" vertical="center" wrapText="1"/>
    </xf>
    <xf numFmtId="4" fontId="40" fillId="0" borderId="17" xfId="0" applyNumberFormat="1" applyFont="1" applyFill="1" applyBorder="1" applyAlignment="1">
      <alignment horizontal="center" vertical="center" wrapText="1"/>
    </xf>
    <xf numFmtId="4" fontId="43" fillId="0" borderId="17" xfId="0" applyNumberFormat="1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4" fontId="14" fillId="0" borderId="17" xfId="0" applyNumberFormat="1" applyFont="1" applyFill="1" applyBorder="1" applyAlignment="1">
      <alignment horizontal="center" vertical="center" wrapText="1"/>
    </xf>
    <xf numFmtId="0" fontId="135" fillId="0" borderId="17" xfId="0" applyFont="1" applyFill="1" applyBorder="1" applyAlignment="1">
      <alignment horizontal="center" vertical="center" wrapText="1"/>
    </xf>
    <xf numFmtId="0" fontId="44" fillId="0" borderId="17" xfId="0" applyFont="1" applyFill="1" applyBorder="1" applyAlignment="1">
      <alignment horizontal="center" vertical="center" wrapText="1"/>
    </xf>
    <xf numFmtId="0" fontId="41" fillId="0" borderId="0" xfId="0" applyFont="1" applyFill="1"/>
    <xf numFmtId="4" fontId="41" fillId="29" borderId="17" xfId="0" applyNumberFormat="1" applyFont="1" applyFill="1" applyBorder="1" applyAlignment="1">
      <alignment horizontal="center" vertical="center" wrapText="1"/>
    </xf>
    <xf numFmtId="4" fontId="43" fillId="29" borderId="17" xfId="0" applyNumberFormat="1" applyFont="1" applyFill="1" applyBorder="1" applyAlignment="1">
      <alignment horizontal="center" vertical="center"/>
    </xf>
    <xf numFmtId="0" fontId="167" fillId="29" borderId="26" xfId="0" applyFont="1" applyFill="1" applyBorder="1" applyAlignment="1"/>
    <xf numFmtId="4" fontId="40" fillId="29" borderId="17" xfId="0" applyNumberFormat="1" applyFont="1" applyFill="1" applyBorder="1" applyAlignment="1">
      <alignment horizontal="center" vertical="center" wrapText="1"/>
    </xf>
    <xf numFmtId="4" fontId="43" fillId="0" borderId="18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>
      <alignment horizontal="center" vertical="center" wrapText="1"/>
    </xf>
    <xf numFmtId="49" fontId="41" fillId="29" borderId="17" xfId="0" applyNumberFormat="1" applyFont="1" applyFill="1" applyBorder="1" applyAlignment="1">
      <alignment horizontal="center" vertical="center" wrapText="1"/>
    </xf>
    <xf numFmtId="4" fontId="42" fillId="29" borderId="17" xfId="0" applyNumberFormat="1" applyFont="1" applyFill="1" applyBorder="1" applyAlignment="1">
      <alignment horizontal="center" vertical="center" wrapText="1"/>
    </xf>
    <xf numFmtId="4" fontId="42" fillId="29" borderId="0" xfId="0" applyNumberFormat="1" applyFont="1" applyFill="1" applyAlignment="1">
      <alignment horizontal="left" vertical="center" wrapText="1"/>
    </xf>
    <xf numFmtId="0" fontId="0" fillId="29" borderId="0" xfId="0" applyFill="1" applyAlignment="1"/>
    <xf numFmtId="0" fontId="0" fillId="29" borderId="0" xfId="0" applyFill="1" applyAlignment="1">
      <alignment horizontal="left" vertical="center" wrapText="1"/>
    </xf>
    <xf numFmtId="0" fontId="98" fillId="0" borderId="0" xfId="0" applyFont="1" applyFill="1" applyBorder="1" applyAlignment="1">
      <alignment horizontal="center" vertical="center"/>
    </xf>
    <xf numFmtId="0" fontId="98" fillId="0" borderId="0" xfId="0" applyFont="1" applyFill="1" applyBorder="1" applyAlignment="1">
      <alignment horizontal="center"/>
    </xf>
    <xf numFmtId="0" fontId="99" fillId="0" borderId="0" xfId="0" applyFont="1" applyFill="1" applyBorder="1" applyAlignment="1">
      <alignment horizontal="center"/>
    </xf>
    <xf numFmtId="0" fontId="39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58" fillId="0" borderId="0" xfId="35" applyFont="1"/>
    <xf numFmtId="0" fontId="19" fillId="0" borderId="17" xfId="35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 wrapText="1"/>
    </xf>
    <xf numFmtId="0" fontId="19" fillId="0" borderId="17" xfId="0" applyFont="1" applyFill="1" applyBorder="1" applyAlignment="1">
      <alignment horizontal="center" vertical="top"/>
    </xf>
    <xf numFmtId="0" fontId="110" fillId="0" borderId="17" xfId="35" applyFont="1" applyFill="1" applyBorder="1" applyAlignment="1">
      <alignment horizontal="center" vertical="top" wrapText="1"/>
    </xf>
    <xf numFmtId="0" fontId="17" fillId="0" borderId="0" xfId="35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top" wrapText="1"/>
    </xf>
    <xf numFmtId="0" fontId="34" fillId="0" borderId="0" xfId="0" applyFont="1"/>
    <xf numFmtId="0" fontId="34" fillId="0" borderId="0" xfId="35" applyFont="1" applyFill="1" applyAlignment="1">
      <alignment horizontal="center" vertical="center" wrapText="1"/>
    </xf>
    <xf numFmtId="0" fontId="154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49" fontId="123" fillId="28" borderId="22" xfId="0" applyNumberFormat="1" applyFont="1" applyFill="1" applyBorder="1" applyAlignment="1">
      <alignment horizontal="left" vertical="center" wrapText="1"/>
    </xf>
    <xf numFmtId="0" fontId="0" fillId="28" borderId="25" xfId="0" applyFill="1" applyBorder="1" applyAlignment="1">
      <alignment horizontal="left" vertical="center" wrapText="1"/>
    </xf>
    <xf numFmtId="49" fontId="128" fillId="0" borderId="22" xfId="0" applyNumberFormat="1" applyFont="1" applyFill="1" applyBorder="1" applyAlignment="1">
      <alignment horizontal="left" vertical="center" wrapText="1"/>
    </xf>
    <xf numFmtId="0" fontId="130" fillId="0" borderId="25" xfId="0" applyFont="1" applyFill="1" applyBorder="1" applyAlignment="1">
      <alignment horizontal="left" vertical="center" wrapText="1"/>
    </xf>
    <xf numFmtId="49" fontId="128" fillId="28" borderId="22" xfId="0" applyNumberFormat="1" applyFont="1" applyFill="1" applyBorder="1" applyAlignment="1">
      <alignment horizontal="left" vertical="center" wrapText="1"/>
    </xf>
    <xf numFmtId="0" fontId="130" fillId="28" borderId="25" xfId="0" applyFont="1" applyFill="1" applyBorder="1" applyAlignment="1">
      <alignment horizontal="left" vertical="center" wrapText="1"/>
    </xf>
    <xf numFmtId="49" fontId="40" fillId="40" borderId="22" xfId="0" applyNumberFormat="1" applyFont="1" applyFill="1" applyBorder="1" applyAlignment="1">
      <alignment horizontal="center" vertical="center" wrapText="1"/>
    </xf>
    <xf numFmtId="0" fontId="14" fillId="40" borderId="24" xfId="0" applyFont="1" applyFill="1" applyBorder="1" applyAlignment="1">
      <alignment horizontal="center" vertical="center" wrapText="1"/>
    </xf>
    <xf numFmtId="0" fontId="14" fillId="40" borderId="25" xfId="0" applyFont="1" applyFill="1" applyBorder="1" applyAlignment="1">
      <alignment horizontal="center" vertical="center" wrapText="1"/>
    </xf>
    <xf numFmtId="49" fontId="123" fillId="0" borderId="22" xfId="0" applyNumberFormat="1" applyFont="1" applyFill="1" applyBorder="1" applyAlignment="1">
      <alignment horizontal="left" vertical="center" wrapText="1"/>
    </xf>
    <xf numFmtId="0" fontId="0" fillId="0" borderId="25" xfId="0" applyFill="1" applyBorder="1" applyAlignment="1">
      <alignment horizontal="left" vertical="center" wrapText="1"/>
    </xf>
    <xf numFmtId="49" fontId="159" fillId="28" borderId="22" xfId="0" applyNumberFormat="1" applyFont="1" applyFill="1" applyBorder="1" applyAlignment="1">
      <alignment horizontal="left" vertical="center" wrapText="1"/>
    </xf>
    <xf numFmtId="49" fontId="159" fillId="28" borderId="25" xfId="0" applyNumberFormat="1" applyFont="1" applyFill="1" applyBorder="1" applyAlignment="1">
      <alignment horizontal="left" vertical="center" wrapText="1"/>
    </xf>
    <xf numFmtId="49" fontId="128" fillId="0" borderId="18" xfId="0" applyNumberFormat="1" applyFont="1" applyFill="1" applyBorder="1" applyAlignment="1">
      <alignment horizontal="center" vertical="center" wrapText="1"/>
    </xf>
    <xf numFmtId="4" fontId="128" fillId="0" borderId="18" xfId="0" applyNumberFormat="1" applyFont="1" applyFill="1" applyBorder="1" applyAlignment="1">
      <alignment horizontal="center" vertical="center" wrapText="1"/>
    </xf>
    <xf numFmtId="49" fontId="128" fillId="0" borderId="30" xfId="0" applyNumberFormat="1" applyFont="1" applyFill="1" applyBorder="1" applyAlignment="1">
      <alignment horizontal="left" wrapText="1"/>
    </xf>
    <xf numFmtId="0" fontId="130" fillId="0" borderId="31" xfId="0" applyFont="1" applyFill="1" applyBorder="1" applyAlignment="1">
      <alignment horizontal="left" wrapText="1"/>
    </xf>
    <xf numFmtId="49" fontId="128" fillId="0" borderId="0" xfId="0" applyNumberFormat="1" applyFont="1" applyFill="1" applyBorder="1" applyAlignment="1">
      <alignment horizontal="left" vertical="top" wrapText="1"/>
    </xf>
    <xf numFmtId="0" fontId="130" fillId="0" borderId="0" xfId="0" applyFont="1" applyFill="1" applyBorder="1" applyAlignment="1">
      <alignment horizontal="left" vertical="top" wrapText="1"/>
    </xf>
    <xf numFmtId="0" fontId="40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40" fillId="0" borderId="22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49" fontId="41" fillId="0" borderId="22" xfId="0" applyNumberFormat="1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49" fontId="159" fillId="0" borderId="22" xfId="0" applyNumberFormat="1" applyFont="1" applyFill="1" applyBorder="1" applyAlignment="1">
      <alignment horizontal="left" vertical="center" wrapText="1"/>
    </xf>
    <xf numFmtId="0" fontId="160" fillId="0" borderId="25" xfId="0" applyFont="1" applyFill="1" applyBorder="1" applyAlignment="1">
      <alignment horizontal="left" vertical="center" wrapText="1"/>
    </xf>
    <xf numFmtId="49" fontId="159" fillId="0" borderId="25" xfId="0" applyNumberFormat="1" applyFont="1" applyFill="1" applyBorder="1" applyAlignment="1">
      <alignment horizontal="left" vertical="center" wrapText="1"/>
    </xf>
    <xf numFmtId="0" fontId="160" fillId="28" borderId="25" xfId="0" applyFont="1" applyFill="1" applyBorder="1" applyAlignment="1">
      <alignment horizontal="left" vertical="center" wrapText="1"/>
    </xf>
    <xf numFmtId="49" fontId="128" fillId="0" borderId="25" xfId="0" applyNumberFormat="1" applyFont="1" applyFill="1" applyBorder="1" applyAlignment="1">
      <alignment horizontal="left" vertical="center" wrapText="1"/>
    </xf>
    <xf numFmtId="0" fontId="41" fillId="28" borderId="0" xfId="0" applyFont="1" applyFill="1" applyAlignment="1">
      <alignment horizontal="center" vertical="center"/>
    </xf>
    <xf numFmtId="0" fontId="41" fillId="28" borderId="0" xfId="0" applyFont="1" applyFill="1" applyAlignment="1">
      <alignment vertical="center"/>
    </xf>
    <xf numFmtId="49" fontId="40" fillId="41" borderId="22" xfId="0" applyNumberFormat="1" applyFont="1" applyFill="1" applyBorder="1" applyAlignment="1">
      <alignment horizontal="center" vertical="center" wrapText="1"/>
    </xf>
    <xf numFmtId="0" fontId="14" fillId="41" borderId="24" xfId="0" applyFont="1" applyFill="1" applyBorder="1" applyAlignment="1">
      <alignment horizontal="center" vertical="center" wrapText="1"/>
    </xf>
    <xf numFmtId="0" fontId="14" fillId="41" borderId="25" xfId="0" applyFont="1" applyFill="1" applyBorder="1" applyAlignment="1">
      <alignment horizontal="center" vertical="center" wrapText="1"/>
    </xf>
    <xf numFmtId="49" fontId="41" fillId="41" borderId="22" xfId="0" applyNumberFormat="1" applyFont="1" applyFill="1" applyBorder="1" applyAlignment="1">
      <alignment horizontal="left" vertical="center" wrapText="1"/>
    </xf>
    <xf numFmtId="49" fontId="41" fillId="41" borderId="25" xfId="0" applyNumberFormat="1" applyFont="1" applyFill="1" applyBorder="1" applyAlignment="1">
      <alignment horizontal="left" vertical="center" wrapText="1"/>
    </xf>
    <xf numFmtId="0" fontId="152" fillId="0" borderId="0" xfId="0" applyFont="1" applyFill="1" applyAlignment="1">
      <alignment horizontal="justify" vertical="center"/>
    </xf>
    <xf numFmtId="0" fontId="51" fillId="0" borderId="0" xfId="0" applyFont="1" applyAlignment="1">
      <alignment vertical="center"/>
    </xf>
    <xf numFmtId="0" fontId="81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5" fillId="0" borderId="0" xfId="35" applyFont="1" applyAlignment="1">
      <alignment horizontal="center" vertical="center"/>
    </xf>
    <xf numFmtId="0" fontId="34" fillId="0" borderId="0" xfId="35" applyFont="1" applyAlignment="1">
      <alignment horizontal="center" vertical="center" wrapText="1"/>
    </xf>
    <xf numFmtId="0" fontId="45" fillId="0" borderId="0" xfId="35" applyFont="1" applyAlignment="1">
      <alignment horizontal="center" vertical="center" wrapText="1"/>
    </xf>
    <xf numFmtId="0" fontId="17" fillId="0" borderId="0" xfId="35" applyFont="1" applyAlignment="1">
      <alignment horizontal="center" vertical="center" wrapText="1"/>
    </xf>
    <xf numFmtId="0" fontId="149" fillId="0" borderId="0" xfId="0" applyFont="1" applyAlignment="1">
      <alignment horizontal="center"/>
    </xf>
    <xf numFmtId="0" fontId="99" fillId="0" borderId="0" xfId="0" applyFont="1" applyAlignment="1">
      <alignment horizontal="center"/>
    </xf>
    <xf numFmtId="4" fontId="41" fillId="29" borderId="18" xfId="38" applyNumberFormat="1" applyFont="1" applyFill="1" applyBorder="1" applyAlignment="1" applyProtection="1">
      <alignment horizontal="center" vertical="center" wrapText="1"/>
      <protection locked="0"/>
    </xf>
    <xf numFmtId="4" fontId="41" fillId="29" borderId="18" xfId="38" applyNumberFormat="1" applyFont="1" applyFill="1" applyBorder="1" applyAlignment="1">
      <alignment horizontal="center" vertical="center" wrapText="1"/>
    </xf>
    <xf numFmtId="4" fontId="41" fillId="29" borderId="18" xfId="0" applyNumberFormat="1" applyFont="1" applyFill="1" applyBorder="1" applyAlignment="1">
      <alignment horizontal="center" vertical="center" wrapText="1"/>
    </xf>
    <xf numFmtId="4" fontId="41" fillId="0" borderId="18" xfId="0" applyNumberFormat="1" applyFont="1" applyFill="1" applyBorder="1" applyAlignment="1">
      <alignment horizontal="center" vertical="center" wrapText="1"/>
    </xf>
    <xf numFmtId="0" fontId="0" fillId="0" borderId="19" xfId="0" applyFont="1" applyFill="1" applyBorder="1" applyAlignment="1"/>
    <xf numFmtId="0" fontId="44" fillId="0" borderId="19" xfId="0" applyFont="1" applyFill="1" applyBorder="1" applyAlignment="1">
      <alignment horizontal="center" vertical="center" wrapText="1"/>
    </xf>
    <xf numFmtId="0" fontId="41" fillId="29" borderId="19" xfId="0" applyFont="1" applyFill="1" applyBorder="1" applyAlignment="1">
      <alignment horizontal="center" vertical="center" wrapText="1"/>
    </xf>
    <xf numFmtId="4" fontId="41" fillId="0" borderId="19" xfId="0" applyNumberFormat="1" applyFont="1" applyFill="1" applyBorder="1" applyAlignment="1">
      <alignment horizontal="center" vertical="center" wrapText="1"/>
    </xf>
    <xf numFmtId="49" fontId="41" fillId="0" borderId="18" xfId="0" applyNumberFormat="1" applyFont="1" applyFill="1" applyBorder="1" applyAlignment="1">
      <alignment horizontal="center" vertical="center" wrapText="1"/>
    </xf>
    <xf numFmtId="49" fontId="41" fillId="0" borderId="19" xfId="0" applyNumberFormat="1" applyFont="1" applyFill="1" applyBorder="1" applyAlignment="1">
      <alignment horizontal="center" vertical="center" wrapText="1"/>
    </xf>
    <xf numFmtId="49" fontId="41" fillId="0" borderId="20" xfId="0" applyNumberFormat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vertical="center"/>
    </xf>
    <xf numFmtId="165" fontId="123" fillId="0" borderId="18" xfId="3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35" fillId="0" borderId="19" xfId="0" applyFont="1" applyFill="1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4" fontId="185" fillId="30" borderId="26" xfId="0" applyNumberFormat="1" applyFont="1" applyFill="1" applyBorder="1" applyAlignment="1">
      <alignment horizontal="center" vertical="center" wrapText="1"/>
    </xf>
    <xf numFmtId="0" fontId="176" fillId="29" borderId="26" xfId="0" applyFont="1" applyFill="1" applyBorder="1" applyAlignment="1"/>
    <xf numFmtId="0" fontId="41" fillId="0" borderId="17" xfId="0" applyFont="1" applyFill="1" applyBorder="1" applyAlignment="1">
      <alignment horizontal="center" vertical="top" wrapText="1"/>
    </xf>
    <xf numFmtId="0" fontId="41" fillId="0" borderId="17" xfId="0" applyFont="1" applyFill="1" applyBorder="1" applyAlignment="1">
      <alignment horizontal="center" vertical="top"/>
    </xf>
    <xf numFmtId="4" fontId="41" fillId="0" borderId="17" xfId="38" applyNumberFormat="1" applyFont="1" applyFill="1" applyBorder="1" applyAlignment="1" applyProtection="1">
      <alignment horizontal="center" vertical="center" wrapText="1"/>
      <protection locked="0"/>
    </xf>
    <xf numFmtId="4" fontId="41" fillId="0" borderId="17" xfId="38" applyNumberFormat="1" applyFont="1" applyFill="1" applyBorder="1" applyAlignment="1">
      <alignment horizontal="center" vertical="center" wrapText="1"/>
    </xf>
    <xf numFmtId="4" fontId="44" fillId="0" borderId="17" xfId="0" applyNumberFormat="1" applyFont="1" applyFill="1" applyBorder="1" applyAlignment="1">
      <alignment horizontal="center" vertical="center" wrapText="1"/>
    </xf>
    <xf numFmtId="2" fontId="62" fillId="0" borderId="17" xfId="36" applyNumberFormat="1" applyFont="1" applyFill="1" applyBorder="1" applyAlignment="1">
      <alignment horizontal="center" vertical="center" wrapText="1"/>
    </xf>
    <xf numFmtId="0" fontId="0" fillId="0" borderId="17" xfId="0" applyFill="1" applyBorder="1" applyAlignment="1">
      <alignment horizontal="center"/>
    </xf>
    <xf numFmtId="0" fontId="60" fillId="0" borderId="0" xfId="0" applyFont="1" applyAlignment="1">
      <alignment horizontal="center" vertical="center"/>
    </xf>
    <xf numFmtId="0" fontId="60" fillId="0" borderId="0" xfId="36" applyFont="1" applyAlignment="1">
      <alignment horizontal="center" vertical="center"/>
    </xf>
    <xf numFmtId="0" fontId="120" fillId="0" borderId="0" xfId="36" applyFont="1">
      <alignment vertical="top"/>
    </xf>
    <xf numFmtId="0" fontId="102" fillId="0" borderId="0" xfId="0" applyFont="1"/>
    <xf numFmtId="0" fontId="15" fillId="0" borderId="0" xfId="36" applyFont="1" applyAlignment="1">
      <alignment horizontal="center" vertical="center" wrapText="1"/>
    </xf>
    <xf numFmtId="0" fontId="18" fillId="0" borderId="0" xfId="36" applyFont="1" applyAlignment="1">
      <alignment horizontal="left" vertical="top" wrapText="1"/>
    </xf>
    <xf numFmtId="2" fontId="60" fillId="0" borderId="17" xfId="36" applyNumberFormat="1" applyFont="1" applyFill="1" applyBorder="1" applyAlignment="1">
      <alignment horizontal="center" vertical="center" wrapText="1"/>
    </xf>
    <xf numFmtId="2" fontId="62" fillId="0" borderId="21" xfId="36" applyNumberFormat="1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vertical="top"/>
    </xf>
    <xf numFmtId="164" fontId="60" fillId="34" borderId="17" xfId="36" applyNumberFormat="1" applyFont="1" applyFill="1" applyBorder="1" applyAlignment="1">
      <alignment horizontal="left" vertical="center" wrapText="1"/>
    </xf>
    <xf numFmtId="164" fontId="0" fillId="34" borderId="17" xfId="0" applyNumberFormat="1" applyFill="1" applyBorder="1" applyAlignment="1">
      <alignment horizontal="left"/>
    </xf>
    <xf numFmtId="2" fontId="62" fillId="0" borderId="0" xfId="36" applyNumberFormat="1" applyFont="1" applyFill="1" applyBorder="1" applyAlignment="1">
      <alignment horizontal="center" wrapText="1"/>
    </xf>
    <xf numFmtId="0" fontId="9" fillId="0" borderId="0" xfId="0" applyFont="1" applyFill="1" applyBorder="1" applyAlignment="1">
      <alignment horizontal="center"/>
    </xf>
    <xf numFmtId="0" fontId="9" fillId="0" borderId="17" xfId="0" applyFont="1" applyFill="1" applyBorder="1" applyAlignment="1">
      <alignment horizontal="center"/>
    </xf>
    <xf numFmtId="2" fontId="15" fillId="0" borderId="17" xfId="36" applyNumberFormat="1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4" fontId="15" fillId="0" borderId="17" xfId="36" applyNumberFormat="1" applyFont="1" applyFill="1" applyBorder="1" applyAlignment="1">
      <alignment horizontal="center" vertical="center" wrapText="1"/>
    </xf>
    <xf numFmtId="4" fontId="9" fillId="0" borderId="17" xfId="0" applyNumberFormat="1" applyFont="1" applyFill="1" applyBorder="1" applyAlignment="1">
      <alignment horizontal="center" vertical="center" wrapText="1"/>
    </xf>
    <xf numFmtId="0" fontId="155" fillId="0" borderId="0" xfId="0" applyFont="1" applyAlignment="1">
      <alignment horizontal="justify" vertical="center"/>
    </xf>
    <xf numFmtId="0" fontId="156" fillId="0" borderId="0" xfId="0" applyFont="1" applyAlignment="1">
      <alignment vertical="center"/>
    </xf>
    <xf numFmtId="0" fontId="61" fillId="0" borderId="0" xfId="0" applyFont="1" applyAlignment="1">
      <alignment horizontal="center" vertical="center"/>
    </xf>
    <xf numFmtId="2" fontId="60" fillId="38" borderId="17" xfId="36" applyNumberFormat="1" applyFont="1" applyFill="1" applyBorder="1" applyAlignment="1">
      <alignment horizontal="center" vertical="center"/>
    </xf>
    <xf numFmtId="0" fontId="0" fillId="38" borderId="17" xfId="0" applyFill="1" applyBorder="1" applyAlignment="1">
      <alignment horizontal="center"/>
    </xf>
    <xf numFmtId="0" fontId="15" fillId="0" borderId="0" xfId="0" applyFont="1" applyAlignment="1">
      <alignment horizontal="left" vertical="center"/>
    </xf>
    <xf numFmtId="0" fontId="61" fillId="0" borderId="0" xfId="0" applyFont="1" applyAlignment="1">
      <alignment horizontal="left" vertical="center"/>
    </xf>
    <xf numFmtId="0" fontId="60" fillId="0" borderId="0" xfId="36" applyFont="1" applyAlignment="1">
      <alignment horizontal="center"/>
    </xf>
    <xf numFmtId="0" fontId="6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60" fillId="0" borderId="0" xfId="36" applyFont="1" applyAlignment="1">
      <alignment horizontal="center" vertical="top"/>
    </xf>
    <xf numFmtId="0" fontId="0" fillId="0" borderId="0" xfId="0" applyAlignment="1">
      <alignment vertical="top"/>
    </xf>
    <xf numFmtId="0" fontId="80" fillId="0" borderId="0" xfId="0" applyFont="1" applyAlignment="1">
      <alignment horizontal="right" vertical="center"/>
    </xf>
    <xf numFmtId="0" fontId="15" fillId="0" borderId="0" xfId="0" applyFont="1" applyAlignment="1">
      <alignment horizontal="right" vertical="center"/>
    </xf>
    <xf numFmtId="0" fontId="15" fillId="0" borderId="0" xfId="36" applyFont="1" applyAlignment="1">
      <alignment horizontal="left" vertical="top" wrapText="1"/>
    </xf>
    <xf numFmtId="0" fontId="15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98" fillId="0" borderId="0" xfId="0" applyFont="1" applyFill="1" applyAlignment="1">
      <alignment horizontal="center"/>
    </xf>
    <xf numFmtId="0" fontId="39" fillId="0" borderId="0" xfId="0" applyFont="1" applyFill="1" applyAlignment="1">
      <alignment horizontal="center" vertical="top"/>
    </xf>
    <xf numFmtId="0" fontId="0" fillId="0" borderId="0" xfId="0" applyFill="1" applyAlignment="1">
      <alignment horizontal="center" vertical="top"/>
    </xf>
    <xf numFmtId="0" fontId="151" fillId="0" borderId="0" xfId="0" applyFont="1" applyAlignment="1">
      <alignment horizontal="justify" vertical="center"/>
    </xf>
    <xf numFmtId="0" fontId="61" fillId="0" borderId="0" xfId="0" applyFont="1" applyAlignment="1">
      <alignment vertical="center"/>
    </xf>
  </cellXfs>
  <cellStyles count="190">
    <cellStyle name="20% - Акцент1" xfId="46" xr:uid="{00000000-0005-0000-0000-000000000000}"/>
    <cellStyle name="20% - Акцент2" xfId="47" xr:uid="{00000000-0005-0000-0000-000001000000}"/>
    <cellStyle name="20% - Акцент3" xfId="48" xr:uid="{00000000-0005-0000-0000-000002000000}"/>
    <cellStyle name="20% - Акцент4" xfId="49" xr:uid="{00000000-0005-0000-0000-000003000000}"/>
    <cellStyle name="20% - Акцент5" xfId="50" xr:uid="{00000000-0005-0000-0000-000004000000}"/>
    <cellStyle name="20% - Акцент6" xfId="51" xr:uid="{00000000-0005-0000-0000-000005000000}"/>
    <cellStyle name="40% - Акцент1" xfId="52" xr:uid="{00000000-0005-0000-0000-000006000000}"/>
    <cellStyle name="40% - Акцент2" xfId="53" xr:uid="{00000000-0005-0000-0000-000007000000}"/>
    <cellStyle name="40% - Акцент3" xfId="54" xr:uid="{00000000-0005-0000-0000-000008000000}"/>
    <cellStyle name="40% - Акцент4" xfId="55" xr:uid="{00000000-0005-0000-0000-000009000000}"/>
    <cellStyle name="40% - Акцент5" xfId="56" xr:uid="{00000000-0005-0000-0000-00000A000000}"/>
    <cellStyle name="40% - Акцент6" xfId="57" xr:uid="{00000000-0005-0000-0000-00000B000000}"/>
    <cellStyle name="60% - Акцент1" xfId="58" xr:uid="{00000000-0005-0000-0000-00000C000000}"/>
    <cellStyle name="60% - Акцент2" xfId="59" xr:uid="{00000000-0005-0000-0000-00000D000000}"/>
    <cellStyle name="60% - Акцент3" xfId="60" xr:uid="{00000000-0005-0000-0000-00000E000000}"/>
    <cellStyle name="60% - Акцент4" xfId="61" xr:uid="{00000000-0005-0000-0000-00000F000000}"/>
    <cellStyle name="60% - Акцент5" xfId="62" xr:uid="{00000000-0005-0000-0000-000010000000}"/>
    <cellStyle name="60% - Акцент6" xfId="63" xr:uid="{00000000-0005-0000-0000-000011000000}"/>
    <cellStyle name="Excel Built-in Normal" xfId="102" xr:uid="{00000000-0005-0000-0000-000012000000}"/>
    <cellStyle name="Excel Built-in Normal 2" xfId="118" xr:uid="{00000000-0005-0000-0000-000013000000}"/>
    <cellStyle name="Excel Built-in Обычный_УКБ до бюджету 2016р ост" xfId="84" xr:uid="{00000000-0005-0000-0000-000014000000}"/>
    <cellStyle name="Normal_meresha_07" xfId="1" xr:uid="{00000000-0005-0000-0000-000015000000}"/>
    <cellStyle name="TableStyleLight1" xfId="131" xr:uid="{00000000-0005-0000-0000-000016000000}"/>
    <cellStyle name="TableStyleLight1 2" xfId="173" xr:uid="{00000000-0005-0000-0000-000017000000}"/>
    <cellStyle name="Акцент1" xfId="64" xr:uid="{00000000-0005-0000-0000-000018000000}"/>
    <cellStyle name="Акцент2" xfId="65" xr:uid="{00000000-0005-0000-0000-000019000000}"/>
    <cellStyle name="Акцент3" xfId="66" xr:uid="{00000000-0005-0000-0000-00001A000000}"/>
    <cellStyle name="Акцент4" xfId="67" xr:uid="{00000000-0005-0000-0000-00001B000000}"/>
    <cellStyle name="Акцент5" xfId="68" xr:uid="{00000000-0005-0000-0000-00001C000000}"/>
    <cellStyle name="Акцент6" xfId="69" xr:uid="{00000000-0005-0000-0000-00001D000000}"/>
    <cellStyle name="Ввід" xfId="2" xr:uid="{00000000-0005-0000-0000-00001E000000}"/>
    <cellStyle name="Ввід 2" xfId="180" xr:uid="{00000000-0005-0000-0000-00001F000000}"/>
    <cellStyle name="Ввід 3" xfId="103" xr:uid="{00000000-0005-0000-0000-000020000000}"/>
    <cellStyle name="Ввод " xfId="70" xr:uid="{00000000-0005-0000-0000-000021000000}"/>
    <cellStyle name="Вывод" xfId="71" xr:uid="{00000000-0005-0000-0000-000022000000}"/>
    <cellStyle name="Вычисление" xfId="72" xr:uid="{00000000-0005-0000-0000-000023000000}"/>
    <cellStyle name="Гіперпосилання 2" xfId="73" xr:uid="{00000000-0005-0000-0000-000024000000}"/>
    <cellStyle name="Добре" xfId="3" xr:uid="{00000000-0005-0000-0000-000025000000}"/>
    <cellStyle name="Заголовок 1" xfId="4" builtinId="16" customBuiltin="1"/>
    <cellStyle name="Заголовок 1 2" xfId="104" xr:uid="{00000000-0005-0000-0000-000027000000}"/>
    <cellStyle name="Заголовок 2" xfId="5" builtinId="17" customBuiltin="1"/>
    <cellStyle name="Заголовок 2 2" xfId="105" xr:uid="{00000000-0005-0000-0000-000029000000}"/>
    <cellStyle name="Заголовок 3" xfId="6" builtinId="18" customBuiltin="1"/>
    <cellStyle name="Заголовок 3 2" xfId="106" xr:uid="{00000000-0005-0000-0000-00002B000000}"/>
    <cellStyle name="Заголовок 4" xfId="7" builtinId="19" customBuiltin="1"/>
    <cellStyle name="Заголовок 4 2" xfId="107" xr:uid="{00000000-0005-0000-0000-00002D000000}"/>
    <cellStyle name="Звичайний 10" xfId="8" xr:uid="{00000000-0005-0000-0000-00002F000000}"/>
    <cellStyle name="Звичайний 11" xfId="9" xr:uid="{00000000-0005-0000-0000-000030000000}"/>
    <cellStyle name="Звичайний 12" xfId="10" xr:uid="{00000000-0005-0000-0000-000031000000}"/>
    <cellStyle name="Звичайний 13" xfId="11" xr:uid="{00000000-0005-0000-0000-000032000000}"/>
    <cellStyle name="Звичайний 14" xfId="12" xr:uid="{00000000-0005-0000-0000-000033000000}"/>
    <cellStyle name="Звичайний 15" xfId="13" xr:uid="{00000000-0005-0000-0000-000034000000}"/>
    <cellStyle name="Звичайний 16" xfId="14" xr:uid="{00000000-0005-0000-0000-000035000000}"/>
    <cellStyle name="Звичайний 17" xfId="15" xr:uid="{00000000-0005-0000-0000-000036000000}"/>
    <cellStyle name="Звичайний 18" xfId="16" xr:uid="{00000000-0005-0000-0000-000037000000}"/>
    <cellStyle name="Звичайний 19" xfId="17" xr:uid="{00000000-0005-0000-0000-000038000000}"/>
    <cellStyle name="Звичайний 2" xfId="18" xr:uid="{00000000-0005-0000-0000-000039000000}"/>
    <cellStyle name="Звичайний 2 2" xfId="19" xr:uid="{00000000-0005-0000-0000-00003A000000}"/>
    <cellStyle name="Звичайний 2 2 2" xfId="88" xr:uid="{00000000-0005-0000-0000-00003B000000}"/>
    <cellStyle name="Звичайний 2 3" xfId="94" xr:uid="{00000000-0005-0000-0000-00003C000000}"/>
    <cellStyle name="Звичайний 20" xfId="20" xr:uid="{00000000-0005-0000-0000-00003D000000}"/>
    <cellStyle name="Звичайний 21" xfId="86" xr:uid="{00000000-0005-0000-0000-00003E000000}"/>
    <cellStyle name="Звичайний 21 2" xfId="93" xr:uid="{00000000-0005-0000-0000-00003F000000}"/>
    <cellStyle name="Звичайний 21 2 2" xfId="96" xr:uid="{00000000-0005-0000-0000-000040000000}"/>
    <cellStyle name="Звичайний 21 2 2 2" xfId="181" xr:uid="{00000000-0005-0000-0000-000041000000}"/>
    <cellStyle name="Звичайний 21 2 3" xfId="98" xr:uid="{00000000-0005-0000-0000-000042000000}"/>
    <cellStyle name="Звичайний 21 2 3 2" xfId="100" xr:uid="{00000000-0005-0000-0000-000043000000}"/>
    <cellStyle name="Звичайний 21 2 3 2 2" xfId="182" xr:uid="{00000000-0005-0000-0000-000044000000}"/>
    <cellStyle name="Звичайний 21 2 3 2 3" xfId="178" xr:uid="{00000000-0005-0000-0000-000045000000}"/>
    <cellStyle name="Звичайний 21 2 4" xfId="160" xr:uid="{00000000-0005-0000-0000-000046000000}"/>
    <cellStyle name="Звичайний 21 3" xfId="113" xr:uid="{00000000-0005-0000-0000-000047000000}"/>
    <cellStyle name="Звичайний 22" xfId="114" xr:uid="{00000000-0005-0000-0000-000048000000}"/>
    <cellStyle name="Звичайний 22 2" xfId="140" xr:uid="{00000000-0005-0000-0000-000049000000}"/>
    <cellStyle name="Звичайний 23" xfId="115" xr:uid="{00000000-0005-0000-0000-00004A000000}"/>
    <cellStyle name="Звичайний 23 2" xfId="141" xr:uid="{00000000-0005-0000-0000-00004B000000}"/>
    <cellStyle name="Звичайний 24" xfId="116" xr:uid="{00000000-0005-0000-0000-00004C000000}"/>
    <cellStyle name="Звичайний 24 2" xfId="142" xr:uid="{00000000-0005-0000-0000-00004D000000}"/>
    <cellStyle name="Звичайний 25" xfId="117" xr:uid="{00000000-0005-0000-0000-00004E000000}"/>
    <cellStyle name="Звичайний 26" xfId="127" xr:uid="{00000000-0005-0000-0000-00004F000000}"/>
    <cellStyle name="Звичайний 27" xfId="132" xr:uid="{00000000-0005-0000-0000-000050000000}"/>
    <cellStyle name="Звичайний 27 2" xfId="145" xr:uid="{00000000-0005-0000-0000-000051000000}"/>
    <cellStyle name="Звичайний 27 2 3" xfId="151" xr:uid="{00000000-0005-0000-0000-000052000000}"/>
    <cellStyle name="Звичайний 27 2 3 2" xfId="152" xr:uid="{00000000-0005-0000-0000-000053000000}"/>
    <cellStyle name="Звичайний 27 2 3 2 2" xfId="162" xr:uid="{00000000-0005-0000-0000-000054000000}"/>
    <cellStyle name="Звичайний 27 2 3 2 2 2" xfId="177" xr:uid="{00000000-0005-0000-0000-000055000000}"/>
    <cellStyle name="Звичайний 27 3" xfId="129" xr:uid="{00000000-0005-0000-0000-000056000000}"/>
    <cellStyle name="Звичайний 27 3 2" xfId="87" xr:uid="{00000000-0005-0000-0000-000057000000}"/>
    <cellStyle name="Звичайний 27 3 2 2" xfId="144" xr:uid="{00000000-0005-0000-0000-000058000000}"/>
    <cellStyle name="Звичайний 27 3 2 3" xfId="156" xr:uid="{00000000-0005-0000-0000-000059000000}"/>
    <cellStyle name="Звичайний 27 3 2 4" xfId="165" xr:uid="{00000000-0005-0000-0000-00005A000000}"/>
    <cellStyle name="Звичайний 27 3 2 4 2" xfId="170" xr:uid="{00000000-0005-0000-0000-00005B000000}"/>
    <cellStyle name="Звичайний 27 3 2 5" xfId="130" xr:uid="{00000000-0005-0000-0000-00005C000000}"/>
    <cellStyle name="Звичайний 27 3 3" xfId="143" xr:uid="{00000000-0005-0000-0000-00005D000000}"/>
    <cellStyle name="Звичайний 27 3 3 2" xfId="135" xr:uid="{00000000-0005-0000-0000-00005E000000}"/>
    <cellStyle name="Звичайний 27 3 3 2 2" xfId="147" xr:uid="{00000000-0005-0000-0000-00005F000000}"/>
    <cellStyle name="Звичайний 27 3 3 2 3" xfId="155" xr:uid="{00000000-0005-0000-0000-000060000000}"/>
    <cellStyle name="Звичайний 27 4 2" xfId="164" xr:uid="{00000000-0005-0000-0000-000061000000}"/>
    <cellStyle name="Звичайний 27 4 2 2" xfId="169" xr:uid="{00000000-0005-0000-0000-000062000000}"/>
    <cellStyle name="Звичайний 27 4 2 2 2" xfId="175" xr:uid="{00000000-0005-0000-0000-000063000000}"/>
    <cellStyle name="Звичайний 27 5" xfId="163" xr:uid="{00000000-0005-0000-0000-000064000000}"/>
    <cellStyle name="Звичайний 27 5 2" xfId="168" xr:uid="{00000000-0005-0000-0000-000065000000}"/>
    <cellStyle name="Звичайний 27 5 2 2" xfId="174" xr:uid="{00000000-0005-0000-0000-000066000000}"/>
    <cellStyle name="Звичайний 28" xfId="136" xr:uid="{00000000-0005-0000-0000-000067000000}"/>
    <cellStyle name="Звичайний 28 2" xfId="148" xr:uid="{00000000-0005-0000-0000-000068000000}"/>
    <cellStyle name="Звичайний 28 3" xfId="154" xr:uid="{00000000-0005-0000-0000-000069000000}"/>
    <cellStyle name="Звичайний 29" xfId="139" xr:uid="{00000000-0005-0000-0000-00006A000000}"/>
    <cellStyle name="Звичайний 29 2" xfId="153" xr:uid="{00000000-0005-0000-0000-00006B000000}"/>
    <cellStyle name="Звичайний 29 2 2" xfId="166" xr:uid="{00000000-0005-0000-0000-00006C000000}"/>
    <cellStyle name="Звичайний 29 2 2 2" xfId="176" xr:uid="{00000000-0005-0000-0000-00006D000000}"/>
    <cellStyle name="Звичайний 3" xfId="21" xr:uid="{00000000-0005-0000-0000-00006E000000}"/>
    <cellStyle name="Звичайний 3 2" xfId="22" xr:uid="{00000000-0005-0000-0000-00006F000000}"/>
    <cellStyle name="Звичайний 3 2 2" xfId="89" xr:uid="{00000000-0005-0000-0000-000070000000}"/>
    <cellStyle name="Звичайний 30" xfId="158" xr:uid="{00000000-0005-0000-0000-000071000000}"/>
    <cellStyle name="Звичайний 30 2" xfId="95" xr:uid="{00000000-0005-0000-0000-000072000000}"/>
    <cellStyle name="Звичайний 30 2 2" xfId="97" xr:uid="{00000000-0005-0000-0000-000073000000}"/>
    <cellStyle name="Звичайний 30 2 3" xfId="99" xr:uid="{00000000-0005-0000-0000-000074000000}"/>
    <cellStyle name="Звичайний 30 2 3 2" xfId="101" xr:uid="{00000000-0005-0000-0000-000075000000}"/>
    <cellStyle name="Звичайний 31" xfId="161" xr:uid="{00000000-0005-0000-0000-000076000000}"/>
    <cellStyle name="Звичайний 31 2" xfId="171" xr:uid="{00000000-0005-0000-0000-000077000000}"/>
    <cellStyle name="Звичайний 31 2 2" xfId="172" xr:uid="{00000000-0005-0000-0000-000078000000}"/>
    <cellStyle name="Звичайний 32" xfId="134" xr:uid="{00000000-0005-0000-0000-000079000000}"/>
    <cellStyle name="Звичайний 32 2" xfId="137" xr:uid="{00000000-0005-0000-0000-00007A000000}"/>
    <cellStyle name="Звичайний 32 2 2" xfId="138" xr:uid="{00000000-0005-0000-0000-00007B000000}"/>
    <cellStyle name="Звичайний 32 2 2 2" xfId="150" xr:uid="{00000000-0005-0000-0000-00007C000000}"/>
    <cellStyle name="Звичайний 32 2 2 3" xfId="157" xr:uid="{00000000-0005-0000-0000-00007D000000}"/>
    <cellStyle name="Звичайний 32 2 2 4" xfId="159" xr:uid="{00000000-0005-0000-0000-00007E000000}"/>
    <cellStyle name="Звичайний 32 2 3" xfId="149" xr:uid="{00000000-0005-0000-0000-00007F000000}"/>
    <cellStyle name="Звичайний 32 3" xfId="146" xr:uid="{00000000-0005-0000-0000-000080000000}"/>
    <cellStyle name="Звичайний 33" xfId="179" xr:uid="{00000000-0005-0000-0000-000081000000}"/>
    <cellStyle name="Звичайний 4" xfId="23" xr:uid="{00000000-0005-0000-0000-000082000000}"/>
    <cellStyle name="Звичайний 4 2" xfId="24" xr:uid="{00000000-0005-0000-0000-000083000000}"/>
    <cellStyle name="Звичайний 4 2 2" xfId="90" xr:uid="{00000000-0005-0000-0000-000084000000}"/>
    <cellStyle name="Звичайний 4 3" xfId="167" xr:uid="{00000000-0005-0000-0000-000085000000}"/>
    <cellStyle name="Звичайний 5" xfId="25" xr:uid="{00000000-0005-0000-0000-000086000000}"/>
    <cellStyle name="Звичайний 6" xfId="26" xr:uid="{00000000-0005-0000-0000-000087000000}"/>
    <cellStyle name="Звичайний 7" xfId="27" xr:uid="{00000000-0005-0000-0000-000088000000}"/>
    <cellStyle name="Звичайний 8" xfId="28" xr:uid="{00000000-0005-0000-0000-000089000000}"/>
    <cellStyle name="Звичайний 9" xfId="29" xr:uid="{00000000-0005-0000-0000-00008A000000}"/>
    <cellStyle name="Звичайний_Додаток _ 3 зм_ни 4575" xfId="30" xr:uid="{00000000-0005-0000-0000-00008B000000}"/>
    <cellStyle name="Зв'язана клітинка" xfId="41" xr:uid="{00000000-0005-0000-0000-00008C000000}"/>
    <cellStyle name="Зв'язана клітинка 2" xfId="183" xr:uid="{00000000-0005-0000-0000-00008D000000}"/>
    <cellStyle name="Зв'язана клітинка 3" xfId="108" xr:uid="{00000000-0005-0000-0000-00008E000000}"/>
    <cellStyle name="Итог" xfId="74" xr:uid="{00000000-0005-0000-0000-00008F000000}"/>
    <cellStyle name="Контрольна клітинка" xfId="31" xr:uid="{00000000-0005-0000-0000-000090000000}"/>
    <cellStyle name="Контрольна клітинка 2" xfId="184" xr:uid="{00000000-0005-0000-0000-000091000000}"/>
    <cellStyle name="Контрольная ячейка" xfId="75" xr:uid="{00000000-0005-0000-0000-000092000000}"/>
    <cellStyle name="Назва" xfId="32" xr:uid="{00000000-0005-0000-0000-000093000000}"/>
    <cellStyle name="Назва 2" xfId="185" xr:uid="{00000000-0005-0000-0000-000094000000}"/>
    <cellStyle name="Назва 3" xfId="109" xr:uid="{00000000-0005-0000-0000-000095000000}"/>
    <cellStyle name="Название" xfId="76" xr:uid="{00000000-0005-0000-0000-000096000000}"/>
    <cellStyle name="Нейтральный" xfId="77" xr:uid="{00000000-0005-0000-0000-000097000000}"/>
    <cellStyle name="Обычный" xfId="0" builtinId="0"/>
    <cellStyle name="Обычный 2" xfId="33" xr:uid="{00000000-0005-0000-0000-000098000000}"/>
    <cellStyle name="Обычный 2 2" xfId="34" xr:uid="{00000000-0005-0000-0000-000099000000}"/>
    <cellStyle name="Обычный 2 2 2" xfId="91" xr:uid="{00000000-0005-0000-0000-00009A000000}"/>
    <cellStyle name="Обычный 2 2 2 2" xfId="120" xr:uid="{00000000-0005-0000-0000-00009B000000}"/>
    <cellStyle name="Обычный 2 2 3" xfId="128" xr:uid="{00000000-0005-0000-0000-00009C000000}"/>
    <cellStyle name="Обычный 2 3" xfId="110" xr:uid="{00000000-0005-0000-0000-00009D000000}"/>
    <cellStyle name="Обычный 2 3 2" xfId="187" xr:uid="{00000000-0005-0000-0000-00009E000000}"/>
    <cellStyle name="Обычный 2 4" xfId="119" xr:uid="{00000000-0005-0000-0000-00009F000000}"/>
    <cellStyle name="Обычный 2 5" xfId="186" xr:uid="{00000000-0005-0000-0000-0000A0000000}"/>
    <cellStyle name="Обычный 3" xfId="35" xr:uid="{00000000-0005-0000-0000-0000A1000000}"/>
    <cellStyle name="Обычный 3 2" xfId="121" xr:uid="{00000000-0005-0000-0000-0000A2000000}"/>
    <cellStyle name="Обычный 3 3" xfId="188" xr:uid="{00000000-0005-0000-0000-0000A3000000}"/>
    <cellStyle name="Обычный 3 4" xfId="111" xr:uid="{00000000-0005-0000-0000-0000A4000000}"/>
    <cellStyle name="Обычный 4" xfId="112" xr:uid="{00000000-0005-0000-0000-0000A5000000}"/>
    <cellStyle name="Обычный 4 2" xfId="122" xr:uid="{00000000-0005-0000-0000-0000A6000000}"/>
    <cellStyle name="Обычный 4 3" xfId="85" xr:uid="{00000000-0005-0000-0000-0000A7000000}"/>
    <cellStyle name="Обычный 5" xfId="123" xr:uid="{00000000-0005-0000-0000-0000A8000000}"/>
    <cellStyle name="Обычный 6" xfId="124" xr:uid="{00000000-0005-0000-0000-0000A9000000}"/>
    <cellStyle name="Обычный 7" xfId="125" xr:uid="{00000000-0005-0000-0000-0000AA000000}"/>
    <cellStyle name="Обычный 8" xfId="126" xr:uid="{00000000-0005-0000-0000-0000AB000000}"/>
    <cellStyle name="Обычный_Plan_kapbud_2006 уточн." xfId="36" xr:uid="{00000000-0005-0000-0000-0000AC000000}"/>
    <cellStyle name="Обычный_дод.1" xfId="37" xr:uid="{00000000-0005-0000-0000-0000AD000000}"/>
    <cellStyle name="Обычный_Додаток 2 до бюджету 2000 року" xfId="38" xr:uid="{00000000-0005-0000-0000-0000AE000000}"/>
    <cellStyle name="Обычный_Додаток №1" xfId="39" xr:uid="{00000000-0005-0000-0000-0000AF000000}"/>
    <cellStyle name="Обычный_КАПІТАЛЬНІ  ВКЛАДЕННЯ 2015 2 2" xfId="45" xr:uid="{00000000-0005-0000-0000-0000B0000000}"/>
    <cellStyle name="Обычный_УЖКГ бюджет 2016 Після Ямчука 2" xfId="40" xr:uid="{00000000-0005-0000-0000-0000B1000000}"/>
    <cellStyle name="Обычный_УКБ до бюджету 2016р ост 2" xfId="92" xr:uid="{00000000-0005-0000-0000-0000B2000000}"/>
    <cellStyle name="Плохой" xfId="78" xr:uid="{00000000-0005-0000-0000-0000B3000000}"/>
    <cellStyle name="Пояснение" xfId="79" xr:uid="{00000000-0005-0000-0000-0000B4000000}"/>
    <cellStyle name="Примечание" xfId="80" xr:uid="{00000000-0005-0000-0000-0000B5000000}"/>
    <cellStyle name="Связанная ячейка" xfId="81" xr:uid="{00000000-0005-0000-0000-0000B6000000}"/>
    <cellStyle name="Середній" xfId="42" xr:uid="{00000000-0005-0000-0000-0000B7000000}"/>
    <cellStyle name="Стиль 1" xfId="43" xr:uid="{00000000-0005-0000-0000-0000B8000000}"/>
    <cellStyle name="Текст попередження" xfId="44" xr:uid="{00000000-0005-0000-0000-0000B9000000}"/>
    <cellStyle name="Текст попередження 2" xfId="189" xr:uid="{00000000-0005-0000-0000-0000BA000000}"/>
    <cellStyle name="Текст предупреждения" xfId="82" xr:uid="{00000000-0005-0000-0000-0000BB000000}"/>
    <cellStyle name="Фінансовий 2" xfId="133" xr:uid="{00000000-0005-0000-0000-0000BC000000}"/>
    <cellStyle name="Хороший" xfId="83" xr:uid="{00000000-0005-0000-0000-0000BD000000}"/>
  </cellStyles>
  <dxfs count="0"/>
  <tableStyles count="0" defaultTableStyle="TableStyleMedium2" defaultPivotStyle="PivotStyleLight16"/>
  <colors>
    <mruColors>
      <color rgb="FFCCCCFF"/>
      <color rgb="FF00FFCC"/>
      <color rgb="FF00CCFF"/>
      <color rgb="FF66FF99"/>
      <color rgb="FFFFFF99"/>
      <color rgb="FFA86ED4"/>
      <color rgb="FFCCECFF"/>
      <color rgb="FFCFAFE7"/>
      <color rgb="FFFF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3"/>
  <sheetViews>
    <sheetView showZeros="0" view="pageBreakPreview" topLeftCell="A8" zoomScaleSheetLayoutView="100" workbookViewId="0">
      <selection activeCell="D18" sqref="D18"/>
    </sheetView>
  </sheetViews>
  <sheetFormatPr defaultColWidth="6.85546875" defaultRowHeight="12.75" x14ac:dyDescent="0.2"/>
  <cols>
    <col min="1" max="1" width="10.140625" style="10" customWidth="1"/>
    <col min="2" max="2" width="40.42578125" style="10" customWidth="1"/>
    <col min="3" max="4" width="17.28515625" style="10" customWidth="1"/>
    <col min="5" max="5" width="15.7109375" style="10" customWidth="1"/>
    <col min="6" max="6" width="14.5703125" style="10" customWidth="1"/>
    <col min="7" max="10" width="10.85546875" style="376" bestFit="1" customWidth="1"/>
    <col min="11" max="252" width="7.85546875" style="10" customWidth="1"/>
    <col min="253" max="16384" width="6.85546875" style="10"/>
  </cols>
  <sheetData>
    <row r="1" spans="1:7" ht="15.75" x14ac:dyDescent="0.2">
      <c r="D1" s="772" t="s">
        <v>59</v>
      </c>
      <c r="E1" s="773"/>
      <c r="F1" s="773"/>
      <c r="G1" s="773"/>
    </row>
    <row r="2" spans="1:7" ht="15.75" x14ac:dyDescent="0.2">
      <c r="C2" s="11"/>
      <c r="D2" s="772" t="s">
        <v>1146</v>
      </c>
      <c r="E2" s="774"/>
      <c r="F2" s="774"/>
      <c r="G2" s="774"/>
    </row>
    <row r="3" spans="1:7" ht="6" customHeight="1" x14ac:dyDescent="0.2">
      <c r="A3" s="376"/>
      <c r="B3" s="376"/>
      <c r="C3" s="377"/>
      <c r="D3" s="775"/>
      <c r="E3" s="776"/>
      <c r="F3" s="776"/>
      <c r="G3" s="776"/>
    </row>
    <row r="4" spans="1:7" ht="12.75" customHeight="1" x14ac:dyDescent="0.2">
      <c r="A4" s="777"/>
      <c r="B4" s="777"/>
      <c r="C4" s="777"/>
      <c r="D4" s="777"/>
      <c r="E4" s="777"/>
      <c r="F4" s="376"/>
    </row>
    <row r="5" spans="1:7" ht="20.25" x14ac:dyDescent="0.2">
      <c r="A5" s="777" t="s">
        <v>1238</v>
      </c>
      <c r="B5" s="765"/>
      <c r="C5" s="765"/>
      <c r="D5" s="765"/>
      <c r="E5" s="765"/>
      <c r="F5" s="765"/>
    </row>
    <row r="6" spans="1:7" ht="20.25" x14ac:dyDescent="0.2">
      <c r="A6" s="777" t="s">
        <v>1240</v>
      </c>
      <c r="B6" s="765"/>
      <c r="C6" s="765"/>
      <c r="D6" s="765"/>
      <c r="E6" s="765"/>
      <c r="F6" s="765"/>
    </row>
    <row r="7" spans="1:7" ht="20.25" x14ac:dyDescent="0.2">
      <c r="A7" s="378"/>
      <c r="B7" s="379"/>
      <c r="C7" s="379"/>
      <c r="D7" s="379"/>
      <c r="E7" s="379"/>
      <c r="F7" s="379"/>
    </row>
    <row r="8" spans="1:7" ht="20.25" x14ac:dyDescent="0.2">
      <c r="A8" s="778">
        <v>22564000000</v>
      </c>
      <c r="B8" s="779"/>
      <c r="C8" s="779"/>
      <c r="D8" s="779"/>
      <c r="E8" s="779"/>
      <c r="F8" s="779"/>
    </row>
    <row r="9" spans="1:7" ht="15.75" x14ac:dyDescent="0.2">
      <c r="A9" s="780" t="s">
        <v>515</v>
      </c>
      <c r="B9" s="781"/>
      <c r="C9" s="781"/>
      <c r="D9" s="781"/>
      <c r="E9" s="781"/>
      <c r="F9" s="781"/>
    </row>
    <row r="10" spans="1:7" ht="20.25" x14ac:dyDescent="0.2">
      <c r="A10" s="378"/>
      <c r="B10" s="380"/>
      <c r="C10" s="380"/>
      <c r="D10" s="380"/>
      <c r="E10" s="380"/>
      <c r="F10" s="380"/>
    </row>
    <row r="11" spans="1:7" ht="13.5" thickBot="1" x14ac:dyDescent="0.25">
      <c r="A11" s="376"/>
      <c r="B11" s="381"/>
      <c r="C11" s="381"/>
      <c r="D11" s="381"/>
      <c r="E11" s="381"/>
      <c r="F11" s="382" t="s">
        <v>422</v>
      </c>
    </row>
    <row r="12" spans="1:7" ht="14.25" thickTop="1" thickBot="1" x14ac:dyDescent="0.25">
      <c r="A12" s="782" t="s">
        <v>60</v>
      </c>
      <c r="B12" s="782" t="s">
        <v>1239</v>
      </c>
      <c r="C12" s="782" t="s">
        <v>401</v>
      </c>
      <c r="D12" s="782" t="s">
        <v>12</v>
      </c>
      <c r="E12" s="782" t="s">
        <v>54</v>
      </c>
      <c r="F12" s="782"/>
      <c r="G12" s="383"/>
    </row>
    <row r="13" spans="1:7" ht="39.75" thickTop="1" thickBot="1" x14ac:dyDescent="0.3">
      <c r="A13" s="782"/>
      <c r="B13" s="782"/>
      <c r="C13" s="782"/>
      <c r="D13" s="782"/>
      <c r="E13" s="214" t="s">
        <v>402</v>
      </c>
      <c r="F13" s="214" t="s">
        <v>445</v>
      </c>
      <c r="G13" s="384"/>
    </row>
    <row r="14" spans="1:7" ht="16.5" thickTop="1" thickBot="1" x14ac:dyDescent="0.3">
      <c r="A14" s="214">
        <v>1</v>
      </c>
      <c r="B14" s="214">
        <v>2</v>
      </c>
      <c r="C14" s="214">
        <v>3</v>
      </c>
      <c r="D14" s="214">
        <v>4</v>
      </c>
      <c r="E14" s="214">
        <v>5</v>
      </c>
      <c r="F14" s="214">
        <v>6</v>
      </c>
      <c r="G14" s="384"/>
    </row>
    <row r="15" spans="1:7" ht="25.5" customHeight="1" thickTop="1" thickBot="1" x14ac:dyDescent="0.25">
      <c r="A15" s="731">
        <v>10000000</v>
      </c>
      <c r="B15" s="731" t="s">
        <v>61</v>
      </c>
      <c r="C15" s="732">
        <f t="shared" ref="C15:C20" si="0">SUM(D15,E15)</f>
        <v>2654996000</v>
      </c>
      <c r="D15" s="732">
        <f>SUM(D16,D29,D35,D56,D24)</f>
        <v>2654296000</v>
      </c>
      <c r="E15" s="732">
        <f>SUM(E16,E29,E35,E56,E24)</f>
        <v>700000</v>
      </c>
      <c r="F15" s="732">
        <f>SUM(F16,F29,F35,F56,F24)</f>
        <v>0</v>
      </c>
      <c r="G15" s="720"/>
    </row>
    <row r="16" spans="1:7" ht="31.5" customHeight="1" thickTop="1" thickBot="1" x14ac:dyDescent="0.25">
      <c r="A16" s="214">
        <v>11000000</v>
      </c>
      <c r="B16" s="214" t="s">
        <v>62</v>
      </c>
      <c r="C16" s="691">
        <f>SUM(D16,E16)</f>
        <v>1785100000</v>
      </c>
      <c r="D16" s="691">
        <f>SUM(D17,D22)</f>
        <v>1785100000</v>
      </c>
      <c r="E16" s="691"/>
      <c r="F16" s="691"/>
      <c r="G16" s="721"/>
    </row>
    <row r="17" spans="1:7" ht="24.75" customHeight="1" thickTop="1" thickBot="1" x14ac:dyDescent="0.25">
      <c r="A17" s="693">
        <v>11010000</v>
      </c>
      <c r="B17" s="694" t="s">
        <v>63</v>
      </c>
      <c r="C17" s="695">
        <f t="shared" si="0"/>
        <v>1784000000</v>
      </c>
      <c r="D17" s="695">
        <f>SUM(D18:D21)</f>
        <v>1784000000</v>
      </c>
      <c r="E17" s="695"/>
      <c r="F17" s="695"/>
      <c r="G17" s="721"/>
    </row>
    <row r="18" spans="1:7" ht="39.75" thickTop="1" thickBot="1" x14ac:dyDescent="0.25">
      <c r="A18" s="689">
        <v>11010100</v>
      </c>
      <c r="B18" s="690" t="s">
        <v>64</v>
      </c>
      <c r="C18" s="691">
        <f t="shared" si="0"/>
        <v>1539180000</v>
      </c>
      <c r="D18" s="692">
        <f>1534180000-10000000+15000000</f>
        <v>1539180000</v>
      </c>
      <c r="E18" s="692"/>
      <c r="F18" s="692"/>
      <c r="G18" s="721"/>
    </row>
    <row r="19" spans="1:7" ht="65.25" thickTop="1" thickBot="1" x14ac:dyDescent="0.25">
      <c r="A19" s="689">
        <v>11010200</v>
      </c>
      <c r="B19" s="690" t="s">
        <v>65</v>
      </c>
      <c r="C19" s="691">
        <f t="shared" si="0"/>
        <v>180500000</v>
      </c>
      <c r="D19" s="692">
        <f>185500000-5000000</f>
        <v>180500000</v>
      </c>
      <c r="E19" s="692"/>
      <c r="F19" s="692"/>
      <c r="G19" s="721"/>
    </row>
    <row r="20" spans="1:7" ht="39.75" thickTop="1" thickBot="1" x14ac:dyDescent="0.25">
      <c r="A20" s="689">
        <v>11010400</v>
      </c>
      <c r="B20" s="690" t="s">
        <v>66</v>
      </c>
      <c r="C20" s="691">
        <f t="shared" si="0"/>
        <v>38200000</v>
      </c>
      <c r="D20" s="692">
        <v>38200000</v>
      </c>
      <c r="E20" s="692"/>
      <c r="F20" s="692"/>
      <c r="G20" s="721"/>
    </row>
    <row r="21" spans="1:7" ht="39.75" thickTop="1" thickBot="1" x14ac:dyDescent="0.3">
      <c r="A21" s="689">
        <v>11010500</v>
      </c>
      <c r="B21" s="690" t="s">
        <v>67</v>
      </c>
      <c r="C21" s="691">
        <f t="shared" ref="C21:C98" si="1">SUM(D21,E21)</f>
        <v>26120000</v>
      </c>
      <c r="D21" s="692">
        <v>26120000</v>
      </c>
      <c r="E21" s="692"/>
      <c r="F21" s="692"/>
      <c r="G21" s="384"/>
    </row>
    <row r="22" spans="1:7" ht="28.5" customHeight="1" thickTop="1" thickBot="1" x14ac:dyDescent="0.25">
      <c r="A22" s="693">
        <v>11020000</v>
      </c>
      <c r="B22" s="694" t="s">
        <v>68</v>
      </c>
      <c r="C22" s="695">
        <f>SUM(D22,E22)</f>
        <v>1100000</v>
      </c>
      <c r="D22" s="696">
        <f>D23</f>
        <v>1100000</v>
      </c>
      <c r="E22" s="696"/>
      <c r="F22" s="696"/>
      <c r="G22" s="720"/>
    </row>
    <row r="23" spans="1:7" ht="27" thickTop="1" thickBot="1" x14ac:dyDescent="0.3">
      <c r="A23" s="689">
        <v>11020200</v>
      </c>
      <c r="B23" s="697" t="s">
        <v>69</v>
      </c>
      <c r="C23" s="691">
        <f>SUM(D23,E23)</f>
        <v>1100000</v>
      </c>
      <c r="D23" s="692">
        <v>1100000</v>
      </c>
      <c r="E23" s="698"/>
      <c r="F23" s="692"/>
      <c r="G23" s="384"/>
    </row>
    <row r="24" spans="1:7" ht="27" thickTop="1" thickBot="1" x14ac:dyDescent="0.3">
      <c r="A24" s="214">
        <v>13000000</v>
      </c>
      <c r="B24" s="704" t="s">
        <v>556</v>
      </c>
      <c r="C24" s="691">
        <f>D24+E24</f>
        <v>1200000</v>
      </c>
      <c r="D24" s="691">
        <f>SUM(D25,D27)</f>
        <v>1200000</v>
      </c>
      <c r="E24" s="698"/>
      <c r="F24" s="692"/>
      <c r="G24" s="384"/>
    </row>
    <row r="25" spans="1:7" ht="28.5" thickTop="1" thickBot="1" x14ac:dyDescent="0.3">
      <c r="A25" s="693">
        <v>13010000</v>
      </c>
      <c r="B25" s="700" t="s">
        <v>557</v>
      </c>
      <c r="C25" s="695">
        <f>D25+E25</f>
        <v>1185000</v>
      </c>
      <c r="D25" s="695">
        <f>SUM(D26)</f>
        <v>1185000</v>
      </c>
      <c r="E25" s="696"/>
      <c r="F25" s="695"/>
      <c r="G25" s="384"/>
    </row>
    <row r="26" spans="1:7" ht="65.25" thickTop="1" thickBot="1" x14ac:dyDescent="0.3">
      <c r="A26" s="689">
        <v>13010200</v>
      </c>
      <c r="B26" s="699" t="s">
        <v>558</v>
      </c>
      <c r="C26" s="691">
        <f t="shared" ref="C26:C29" si="2">D26+E26</f>
        <v>1185000</v>
      </c>
      <c r="D26" s="692">
        <v>1185000</v>
      </c>
      <c r="E26" s="698"/>
      <c r="F26" s="692"/>
      <c r="G26" s="384"/>
    </row>
    <row r="27" spans="1:7" ht="16.5" thickTop="1" thickBot="1" x14ac:dyDescent="0.3">
      <c r="A27" s="693">
        <v>13030000</v>
      </c>
      <c r="B27" s="701" t="s">
        <v>559</v>
      </c>
      <c r="C27" s="695">
        <f>D27+E27</f>
        <v>15000</v>
      </c>
      <c r="D27" s="695">
        <f>SUM(D28)</f>
        <v>15000</v>
      </c>
      <c r="E27" s="696"/>
      <c r="F27" s="695"/>
      <c r="G27" s="384"/>
    </row>
    <row r="28" spans="1:7" ht="39.75" thickTop="1" thickBot="1" x14ac:dyDescent="0.3">
      <c r="A28" s="689">
        <v>13030100</v>
      </c>
      <c r="B28" s="699" t="s">
        <v>560</v>
      </c>
      <c r="C28" s="691">
        <f t="shared" si="2"/>
        <v>15000</v>
      </c>
      <c r="D28" s="692">
        <v>15000</v>
      </c>
      <c r="E28" s="698"/>
      <c r="F28" s="692"/>
      <c r="G28" s="384"/>
    </row>
    <row r="29" spans="1:7" ht="26.25" customHeight="1" thickTop="1" thickBot="1" x14ac:dyDescent="0.3">
      <c r="A29" s="214">
        <v>14000000</v>
      </c>
      <c r="B29" s="704" t="s">
        <v>562</v>
      </c>
      <c r="C29" s="691">
        <f t="shared" si="2"/>
        <v>172600000</v>
      </c>
      <c r="D29" s="691">
        <f>SUM(D30,D32,D34)</f>
        <v>172600000</v>
      </c>
      <c r="E29" s="702"/>
      <c r="F29" s="692"/>
      <c r="G29" s="384"/>
    </row>
    <row r="30" spans="1:7" ht="30" customHeight="1" thickTop="1" thickBot="1" x14ac:dyDescent="0.3">
      <c r="A30" s="693">
        <v>14020000</v>
      </c>
      <c r="B30" s="700" t="s">
        <v>665</v>
      </c>
      <c r="C30" s="695">
        <f>SUM(D30,E30)</f>
        <v>19550000</v>
      </c>
      <c r="D30" s="695">
        <f>SUM(D31,E31)</f>
        <v>19550000</v>
      </c>
      <c r="E30" s="696"/>
      <c r="F30" s="703"/>
      <c r="G30" s="384"/>
    </row>
    <row r="31" spans="1:7" ht="16.5" thickTop="1" thickBot="1" x14ac:dyDescent="0.3">
      <c r="A31" s="689">
        <v>14021900</v>
      </c>
      <c r="B31" s="697" t="s">
        <v>664</v>
      </c>
      <c r="C31" s="692">
        <f>SUM(D31,E31)</f>
        <v>19550000</v>
      </c>
      <c r="D31" s="692">
        <v>19550000</v>
      </c>
      <c r="E31" s="702"/>
      <c r="F31" s="692"/>
      <c r="G31" s="384"/>
    </row>
    <row r="32" spans="1:7" ht="42" thickTop="1" thickBot="1" x14ac:dyDescent="0.3">
      <c r="A32" s="693">
        <v>14030000</v>
      </c>
      <c r="B32" s="700" t="s">
        <v>666</v>
      </c>
      <c r="C32" s="695">
        <f>SUM(D32,E32)</f>
        <v>72950000</v>
      </c>
      <c r="D32" s="695">
        <f>SUM(D33,E33)</f>
        <v>72950000</v>
      </c>
      <c r="E32" s="696"/>
      <c r="F32" s="703"/>
      <c r="G32" s="384"/>
    </row>
    <row r="33" spans="1:7" ht="16.5" thickTop="1" thickBot="1" x14ac:dyDescent="0.3">
      <c r="A33" s="689">
        <v>14031900</v>
      </c>
      <c r="B33" s="697" t="s">
        <v>664</v>
      </c>
      <c r="C33" s="692">
        <f>SUM(D33,E33)</f>
        <v>72950000</v>
      </c>
      <c r="D33" s="692">
        <f>67950000+5000000</f>
        <v>72950000</v>
      </c>
      <c r="E33" s="702"/>
      <c r="F33" s="692"/>
      <c r="G33" s="384"/>
    </row>
    <row r="34" spans="1:7" ht="42" thickTop="1" thickBot="1" x14ac:dyDescent="0.25">
      <c r="A34" s="693">
        <v>14040000</v>
      </c>
      <c r="B34" s="694" t="s">
        <v>1147</v>
      </c>
      <c r="C34" s="695">
        <f>SUM(D34,E34)</f>
        <v>80100000</v>
      </c>
      <c r="D34" s="695">
        <v>80100000</v>
      </c>
      <c r="E34" s="703"/>
      <c r="F34" s="703"/>
      <c r="G34" s="722"/>
    </row>
    <row r="35" spans="1:7" ht="29.25" customHeight="1" thickTop="1" thickBot="1" x14ac:dyDescent="0.3">
      <c r="A35" s="214">
        <v>18000000</v>
      </c>
      <c r="B35" s="214" t="s">
        <v>70</v>
      </c>
      <c r="C35" s="691">
        <f t="shared" si="1"/>
        <v>695396000</v>
      </c>
      <c r="D35" s="691">
        <f>SUM(D36,D49,D52,D47)</f>
        <v>695396000</v>
      </c>
      <c r="E35" s="691"/>
      <c r="F35" s="691"/>
      <c r="G35" s="384"/>
    </row>
    <row r="36" spans="1:7" ht="16.5" thickTop="1" thickBot="1" x14ac:dyDescent="0.3">
      <c r="A36" s="693">
        <v>18010000</v>
      </c>
      <c r="B36" s="706" t="s">
        <v>71</v>
      </c>
      <c r="C36" s="695">
        <f>SUM(D36,E36)</f>
        <v>248395000</v>
      </c>
      <c r="D36" s="695">
        <f>SUM(D37:D46)</f>
        <v>248395000</v>
      </c>
      <c r="E36" s="695"/>
      <c r="F36" s="695"/>
      <c r="G36" s="384"/>
    </row>
    <row r="37" spans="1:7" ht="52.5" thickTop="1" thickBot="1" x14ac:dyDescent="0.3">
      <c r="A37" s="689">
        <v>18010100</v>
      </c>
      <c r="B37" s="705" t="s">
        <v>72</v>
      </c>
      <c r="C37" s="691">
        <f t="shared" si="1"/>
        <v>304500</v>
      </c>
      <c r="D37" s="692">
        <v>304500</v>
      </c>
      <c r="E37" s="692"/>
      <c r="F37" s="692"/>
      <c r="G37" s="384"/>
    </row>
    <row r="38" spans="1:7" ht="52.5" thickTop="1" thickBot="1" x14ac:dyDescent="0.3">
      <c r="A38" s="689">
        <v>18010200</v>
      </c>
      <c r="B38" s="705" t="s">
        <v>73</v>
      </c>
      <c r="C38" s="691">
        <f t="shared" si="1"/>
        <v>16745000</v>
      </c>
      <c r="D38" s="692">
        <v>16745000</v>
      </c>
      <c r="E38" s="692"/>
      <c r="F38" s="692"/>
      <c r="G38" s="384"/>
    </row>
    <row r="39" spans="1:7" ht="52.5" thickTop="1" thickBot="1" x14ac:dyDescent="0.3">
      <c r="A39" s="689">
        <v>18010300</v>
      </c>
      <c r="B39" s="705" t="s">
        <v>74</v>
      </c>
      <c r="C39" s="691">
        <f t="shared" si="1"/>
        <v>9200350</v>
      </c>
      <c r="D39" s="692">
        <v>9200350</v>
      </c>
      <c r="E39" s="692"/>
      <c r="F39" s="692"/>
      <c r="G39" s="384"/>
    </row>
    <row r="40" spans="1:7" ht="52.5" thickTop="1" thickBot="1" x14ac:dyDescent="0.3">
      <c r="A40" s="689">
        <v>18010400</v>
      </c>
      <c r="B40" s="705" t="s">
        <v>75</v>
      </c>
      <c r="C40" s="691">
        <f t="shared" si="1"/>
        <v>27250150</v>
      </c>
      <c r="D40" s="692">
        <v>27250150</v>
      </c>
      <c r="E40" s="692"/>
      <c r="F40" s="692"/>
      <c r="G40" s="384"/>
    </row>
    <row r="41" spans="1:7" ht="16.5" thickTop="1" thickBot="1" x14ac:dyDescent="0.3">
      <c r="A41" s="689">
        <v>18010500</v>
      </c>
      <c r="B41" s="697" t="s">
        <v>76</v>
      </c>
      <c r="C41" s="691">
        <f t="shared" si="1"/>
        <v>42200000</v>
      </c>
      <c r="D41" s="692">
        <v>42200000</v>
      </c>
      <c r="E41" s="692"/>
      <c r="F41" s="692"/>
      <c r="G41" s="384"/>
    </row>
    <row r="42" spans="1:7" ht="16.5" thickTop="1" thickBot="1" x14ac:dyDescent="0.3">
      <c r="A42" s="689">
        <v>18010600</v>
      </c>
      <c r="B42" s="705" t="s">
        <v>77</v>
      </c>
      <c r="C42" s="691">
        <f t="shared" si="1"/>
        <v>116825000</v>
      </c>
      <c r="D42" s="692">
        <v>116825000</v>
      </c>
      <c r="E42" s="692"/>
      <c r="F42" s="692"/>
      <c r="G42" s="384"/>
    </row>
    <row r="43" spans="1:7" ht="16.5" thickTop="1" thickBot="1" x14ac:dyDescent="0.3">
      <c r="A43" s="689">
        <v>18010700</v>
      </c>
      <c r="B43" s="705" t="s">
        <v>78</v>
      </c>
      <c r="C43" s="691">
        <f t="shared" si="1"/>
        <v>2500000</v>
      </c>
      <c r="D43" s="692">
        <v>2500000</v>
      </c>
      <c r="E43" s="692"/>
      <c r="F43" s="692"/>
      <c r="G43" s="384"/>
    </row>
    <row r="44" spans="1:7" ht="16.5" thickTop="1" thickBot="1" x14ac:dyDescent="0.3">
      <c r="A44" s="689">
        <v>18010900</v>
      </c>
      <c r="B44" s="705" t="s">
        <v>79</v>
      </c>
      <c r="C44" s="691">
        <f t="shared" si="1"/>
        <v>32620000</v>
      </c>
      <c r="D44" s="692">
        <v>32620000</v>
      </c>
      <c r="E44" s="692"/>
      <c r="F44" s="692"/>
      <c r="G44" s="384"/>
    </row>
    <row r="45" spans="1:7" ht="15.75" thickTop="1" thickBot="1" x14ac:dyDescent="0.25">
      <c r="A45" s="689">
        <v>18011000</v>
      </c>
      <c r="B45" s="705" t="s">
        <v>80</v>
      </c>
      <c r="C45" s="691">
        <f t="shared" si="1"/>
        <v>300000</v>
      </c>
      <c r="D45" s="692">
        <v>300000</v>
      </c>
      <c r="E45" s="692"/>
      <c r="F45" s="692"/>
      <c r="G45" s="720"/>
    </row>
    <row r="46" spans="1:7" ht="16.5" thickTop="1" thickBot="1" x14ac:dyDescent="0.3">
      <c r="A46" s="689">
        <v>18011100</v>
      </c>
      <c r="B46" s="705" t="s">
        <v>81</v>
      </c>
      <c r="C46" s="691">
        <f t="shared" si="1"/>
        <v>450000</v>
      </c>
      <c r="D46" s="692">
        <v>450000</v>
      </c>
      <c r="E46" s="692"/>
      <c r="F46" s="692"/>
      <c r="G46" s="384"/>
    </row>
    <row r="47" spans="1:7" ht="28.5" thickTop="1" thickBot="1" x14ac:dyDescent="0.3">
      <c r="A47" s="693">
        <v>18020000</v>
      </c>
      <c r="B47" s="706" t="s">
        <v>1327</v>
      </c>
      <c r="C47" s="695">
        <f t="shared" si="1"/>
        <v>500000</v>
      </c>
      <c r="D47" s="695">
        <f>SUM(D48,E48)</f>
        <v>500000</v>
      </c>
      <c r="E47" s="695"/>
      <c r="F47" s="695"/>
      <c r="G47" s="384"/>
    </row>
    <row r="48" spans="1:7" ht="27" thickTop="1" thickBot="1" x14ac:dyDescent="0.3">
      <c r="A48" s="689">
        <v>180201000</v>
      </c>
      <c r="B48" s="705" t="s">
        <v>1328</v>
      </c>
      <c r="C48" s="691">
        <f t="shared" si="1"/>
        <v>500000</v>
      </c>
      <c r="D48" s="692">
        <v>500000</v>
      </c>
      <c r="E48" s="692"/>
      <c r="F48" s="692"/>
      <c r="G48" s="384"/>
    </row>
    <row r="49" spans="1:7" ht="16.5" thickTop="1" thickBot="1" x14ac:dyDescent="0.3">
      <c r="A49" s="693">
        <v>18030000</v>
      </c>
      <c r="B49" s="706" t="s">
        <v>82</v>
      </c>
      <c r="C49" s="695">
        <f>SUM(D49,E49)</f>
        <v>800000</v>
      </c>
      <c r="D49" s="695">
        <f>SUM(D50:D51)</f>
        <v>800000</v>
      </c>
      <c r="E49" s="695"/>
      <c r="F49" s="695"/>
      <c r="G49" s="384"/>
    </row>
    <row r="50" spans="1:7" ht="27" thickTop="1" thickBot="1" x14ac:dyDescent="0.3">
      <c r="A50" s="689">
        <v>18030100</v>
      </c>
      <c r="B50" s="705" t="s">
        <v>83</v>
      </c>
      <c r="C50" s="691">
        <f>SUM(D50,E50)</f>
        <v>550000</v>
      </c>
      <c r="D50" s="692">
        <v>550000</v>
      </c>
      <c r="E50" s="692"/>
      <c r="F50" s="692"/>
      <c r="G50" s="384"/>
    </row>
    <row r="51" spans="1:7" ht="27" thickTop="1" thickBot="1" x14ac:dyDescent="0.3">
      <c r="A51" s="689">
        <v>18030200</v>
      </c>
      <c r="B51" s="705" t="s">
        <v>84</v>
      </c>
      <c r="C51" s="691">
        <f>SUM(D51,E51)</f>
        <v>250000</v>
      </c>
      <c r="D51" s="692">
        <v>250000</v>
      </c>
      <c r="E51" s="692"/>
      <c r="F51" s="692"/>
      <c r="G51" s="384"/>
    </row>
    <row r="52" spans="1:7" ht="16.5" thickTop="1" thickBot="1" x14ac:dyDescent="0.3">
      <c r="A52" s="693">
        <v>18050000</v>
      </c>
      <c r="B52" s="706" t="s">
        <v>85</v>
      </c>
      <c r="C52" s="695">
        <f>SUM(D52,E52)</f>
        <v>445701000</v>
      </c>
      <c r="D52" s="695">
        <f>SUM(D53:D55)</f>
        <v>445701000</v>
      </c>
      <c r="E52" s="703"/>
      <c r="F52" s="703"/>
      <c r="G52" s="384"/>
    </row>
    <row r="53" spans="1:7" ht="16.5" thickTop="1" thickBot="1" x14ac:dyDescent="0.3">
      <c r="A53" s="689">
        <v>18050300</v>
      </c>
      <c r="B53" s="690" t="s">
        <v>1148</v>
      </c>
      <c r="C53" s="691">
        <f t="shared" si="1"/>
        <v>76500000</v>
      </c>
      <c r="D53" s="692">
        <v>76500000</v>
      </c>
      <c r="E53" s="692"/>
      <c r="F53" s="692"/>
      <c r="G53" s="384"/>
    </row>
    <row r="54" spans="1:7" ht="15.75" thickTop="1" thickBot="1" x14ac:dyDescent="0.25">
      <c r="A54" s="689">
        <v>18050400</v>
      </c>
      <c r="B54" s="705" t="s">
        <v>86</v>
      </c>
      <c r="C54" s="691">
        <f t="shared" si="1"/>
        <v>364351000</v>
      </c>
      <c r="D54" s="692">
        <v>364351000</v>
      </c>
      <c r="E54" s="692"/>
      <c r="F54" s="692"/>
      <c r="G54" s="720"/>
    </row>
    <row r="55" spans="1:7" ht="65.25" thickTop="1" thickBot="1" x14ac:dyDescent="0.25">
      <c r="A55" s="689">
        <v>18050500</v>
      </c>
      <c r="B55" s="705" t="s">
        <v>570</v>
      </c>
      <c r="C55" s="691">
        <f t="shared" si="1"/>
        <v>4850000</v>
      </c>
      <c r="D55" s="692">
        <v>4850000</v>
      </c>
      <c r="E55" s="692"/>
      <c r="F55" s="692"/>
      <c r="G55" s="720"/>
    </row>
    <row r="56" spans="1:7" ht="31.5" customHeight="1" thickTop="1" thickBot="1" x14ac:dyDescent="0.25">
      <c r="A56" s="214">
        <v>19000000</v>
      </c>
      <c r="B56" s="707" t="s">
        <v>563</v>
      </c>
      <c r="C56" s="691">
        <f t="shared" si="1"/>
        <v>700000</v>
      </c>
      <c r="D56" s="691"/>
      <c r="E56" s="691">
        <f>SUM(E58:E60)</f>
        <v>700000</v>
      </c>
      <c r="F56" s="692"/>
      <c r="G56" s="720"/>
    </row>
    <row r="57" spans="1:7" ht="16.5" thickTop="1" thickBot="1" x14ac:dyDescent="0.3">
      <c r="A57" s="693">
        <v>1901000</v>
      </c>
      <c r="B57" s="694" t="s">
        <v>87</v>
      </c>
      <c r="C57" s="695">
        <f t="shared" ref="C57:C61" si="3">SUM(D57,E57)</f>
        <v>700000</v>
      </c>
      <c r="D57" s="695">
        <f>SUM(D58:D60)</f>
        <v>0</v>
      </c>
      <c r="E57" s="695">
        <f>SUM(E58:E60)</f>
        <v>700000</v>
      </c>
      <c r="F57" s="695"/>
      <c r="G57" s="384"/>
    </row>
    <row r="58" spans="1:7" ht="65.25" thickTop="1" thickBot="1" x14ac:dyDescent="0.3">
      <c r="A58" s="689">
        <v>19010100</v>
      </c>
      <c r="B58" s="690" t="s">
        <v>564</v>
      </c>
      <c r="C58" s="691">
        <f t="shared" si="3"/>
        <v>270000</v>
      </c>
      <c r="D58" s="692"/>
      <c r="E58" s="692">
        <v>270000</v>
      </c>
      <c r="F58" s="692"/>
      <c r="G58" s="384"/>
    </row>
    <row r="59" spans="1:7" ht="27" thickTop="1" thickBot="1" x14ac:dyDescent="0.25">
      <c r="A59" s="689">
        <v>19010200</v>
      </c>
      <c r="B59" s="690" t="s">
        <v>88</v>
      </c>
      <c r="C59" s="691">
        <f t="shared" si="3"/>
        <v>115000</v>
      </c>
      <c r="D59" s="692"/>
      <c r="E59" s="692">
        <v>115000</v>
      </c>
      <c r="F59" s="692"/>
      <c r="G59" s="722"/>
    </row>
    <row r="60" spans="1:7" ht="52.5" thickTop="1" thickBot="1" x14ac:dyDescent="0.3">
      <c r="A60" s="689">
        <v>19010300</v>
      </c>
      <c r="B60" s="690" t="s">
        <v>89</v>
      </c>
      <c r="C60" s="691">
        <f t="shared" si="3"/>
        <v>315000</v>
      </c>
      <c r="D60" s="692"/>
      <c r="E60" s="692">
        <v>315000</v>
      </c>
      <c r="F60" s="692"/>
      <c r="G60" s="384"/>
    </row>
    <row r="61" spans="1:7" ht="30" customHeight="1" thickTop="1" thickBot="1" x14ac:dyDescent="0.3">
      <c r="A61" s="731">
        <v>20000000</v>
      </c>
      <c r="B61" s="731" t="s">
        <v>90</v>
      </c>
      <c r="C61" s="732">
        <f t="shared" si="3"/>
        <v>255014635</v>
      </c>
      <c r="D61" s="732">
        <f>SUM(D62,D70,D80,D85)</f>
        <v>66242500</v>
      </c>
      <c r="E61" s="732">
        <f>SUM(E62,E70,E80,E85)</f>
        <v>188772135</v>
      </c>
      <c r="F61" s="732">
        <f>SUM(F62,F70,F80,F85)</f>
        <v>7000012</v>
      </c>
      <c r="G61" s="384"/>
    </row>
    <row r="62" spans="1:7" ht="27" thickTop="1" thickBot="1" x14ac:dyDescent="0.3">
      <c r="A62" s="214">
        <v>21000000</v>
      </c>
      <c r="B62" s="214" t="s">
        <v>565</v>
      </c>
      <c r="C62" s="691">
        <f>SUM(D62,E62)</f>
        <v>17150000</v>
      </c>
      <c r="D62" s="691">
        <f>SUM(D63,D66,D65)</f>
        <v>17150000</v>
      </c>
      <c r="E62" s="691"/>
      <c r="F62" s="691"/>
      <c r="G62" s="384"/>
    </row>
    <row r="63" spans="1:7" ht="55.5" thickTop="1" thickBot="1" x14ac:dyDescent="0.3">
      <c r="A63" s="693">
        <v>21010000</v>
      </c>
      <c r="B63" s="700" t="s">
        <v>566</v>
      </c>
      <c r="C63" s="695">
        <f t="shared" si="1"/>
        <v>650000</v>
      </c>
      <c r="D63" s="695">
        <f>D64</f>
        <v>650000</v>
      </c>
      <c r="E63" s="695"/>
      <c r="F63" s="695"/>
      <c r="G63" s="384"/>
    </row>
    <row r="64" spans="1:7" ht="52.5" thickTop="1" thickBot="1" x14ac:dyDescent="0.3">
      <c r="A64" s="689">
        <v>21010300</v>
      </c>
      <c r="B64" s="697" t="s">
        <v>91</v>
      </c>
      <c r="C64" s="691">
        <f t="shared" si="1"/>
        <v>650000</v>
      </c>
      <c r="D64" s="692">
        <v>650000</v>
      </c>
      <c r="E64" s="692"/>
      <c r="F64" s="692"/>
      <c r="G64" s="384"/>
    </row>
    <row r="65" spans="1:7" ht="28.5" thickTop="1" thickBot="1" x14ac:dyDescent="0.3">
      <c r="A65" s="693">
        <v>21050000</v>
      </c>
      <c r="B65" s="700" t="s">
        <v>92</v>
      </c>
      <c r="C65" s="695">
        <f t="shared" si="1"/>
        <v>2500000</v>
      </c>
      <c r="D65" s="695">
        <v>2500000</v>
      </c>
      <c r="E65" s="695"/>
      <c r="F65" s="695"/>
      <c r="G65" s="384"/>
    </row>
    <row r="66" spans="1:7" ht="15" thickTop="1" thickBot="1" x14ac:dyDescent="0.25">
      <c r="A66" s="693">
        <v>21080000</v>
      </c>
      <c r="B66" s="700" t="s">
        <v>1149</v>
      </c>
      <c r="C66" s="695">
        <f t="shared" ref="C66:C71" si="4">SUM(D66,E66)</f>
        <v>14000000</v>
      </c>
      <c r="D66" s="696">
        <f>SUM(D67:D69)</f>
        <v>14000000</v>
      </c>
      <c r="E66" s="695"/>
      <c r="F66" s="695"/>
      <c r="G66" s="722"/>
    </row>
    <row r="67" spans="1:7" ht="16.5" thickTop="1" thickBot="1" x14ac:dyDescent="0.3">
      <c r="A67" s="689">
        <v>21081100</v>
      </c>
      <c r="B67" s="708" t="s">
        <v>93</v>
      </c>
      <c r="C67" s="691">
        <f t="shared" si="4"/>
        <v>2500000</v>
      </c>
      <c r="D67" s="698">
        <v>2500000</v>
      </c>
      <c r="E67" s="692"/>
      <c r="F67" s="692"/>
      <c r="G67" s="384"/>
    </row>
    <row r="68" spans="1:7" ht="52.5" thickTop="1" thickBot="1" x14ac:dyDescent="0.3">
      <c r="A68" s="689">
        <v>21081500</v>
      </c>
      <c r="B68" s="690" t="s">
        <v>94</v>
      </c>
      <c r="C68" s="691">
        <f t="shared" si="4"/>
        <v>1750000</v>
      </c>
      <c r="D68" s="692">
        <v>1750000</v>
      </c>
      <c r="E68" s="692"/>
      <c r="F68" s="692"/>
      <c r="G68" s="384"/>
    </row>
    <row r="69" spans="1:7" ht="16.5" thickTop="1" thickBot="1" x14ac:dyDescent="0.3">
      <c r="A69" s="689">
        <v>21081700</v>
      </c>
      <c r="B69" s="690" t="s">
        <v>392</v>
      </c>
      <c r="C69" s="691">
        <f t="shared" si="4"/>
        <v>9750000</v>
      </c>
      <c r="D69" s="698">
        <v>9750000</v>
      </c>
      <c r="E69" s="692"/>
      <c r="F69" s="692"/>
      <c r="G69" s="723"/>
    </row>
    <row r="70" spans="1:7" ht="39.75" thickTop="1" thickBot="1" x14ac:dyDescent="0.3">
      <c r="A70" s="214">
        <v>22000000</v>
      </c>
      <c r="B70" s="214" t="s">
        <v>95</v>
      </c>
      <c r="C70" s="691">
        <f t="shared" si="4"/>
        <v>35892500</v>
      </c>
      <c r="D70" s="691">
        <f>SUM(D71,D75,D77)</f>
        <v>35892500</v>
      </c>
      <c r="E70" s="692"/>
      <c r="F70" s="692"/>
      <c r="G70" s="384"/>
    </row>
    <row r="71" spans="1:7" ht="24.75" customHeight="1" thickTop="1" thickBot="1" x14ac:dyDescent="0.3">
      <c r="A71" s="693">
        <v>22010000</v>
      </c>
      <c r="B71" s="694" t="s">
        <v>567</v>
      </c>
      <c r="C71" s="695">
        <f t="shared" si="4"/>
        <v>22500000</v>
      </c>
      <c r="D71" s="695">
        <f>SUM(D72:D74)</f>
        <v>22500000</v>
      </c>
      <c r="E71" s="695"/>
      <c r="F71" s="695"/>
      <c r="G71" s="384"/>
    </row>
    <row r="72" spans="1:7" ht="52.5" thickTop="1" thickBot="1" x14ac:dyDescent="0.3">
      <c r="A72" s="689">
        <v>22010300</v>
      </c>
      <c r="B72" s="690" t="s">
        <v>156</v>
      </c>
      <c r="C72" s="691">
        <f t="shared" si="1"/>
        <v>1285100</v>
      </c>
      <c r="D72" s="692">
        <v>1285100</v>
      </c>
      <c r="E72" s="692"/>
      <c r="F72" s="692"/>
      <c r="G72" s="384"/>
    </row>
    <row r="73" spans="1:7" ht="27" thickTop="1" thickBot="1" x14ac:dyDescent="0.3">
      <c r="A73" s="689">
        <v>22012500</v>
      </c>
      <c r="B73" s="690" t="s">
        <v>97</v>
      </c>
      <c r="C73" s="691">
        <f t="shared" si="1"/>
        <v>19979500</v>
      </c>
      <c r="D73" s="692">
        <v>19979500</v>
      </c>
      <c r="E73" s="692"/>
      <c r="F73" s="692"/>
      <c r="G73" s="384"/>
    </row>
    <row r="74" spans="1:7" ht="39.75" thickTop="1" thickBot="1" x14ac:dyDescent="0.3">
      <c r="A74" s="689">
        <v>22012600</v>
      </c>
      <c r="B74" s="690" t="s">
        <v>96</v>
      </c>
      <c r="C74" s="691">
        <f>SUM(D74,E74)</f>
        <v>1235400</v>
      </c>
      <c r="D74" s="692">
        <v>1235400</v>
      </c>
      <c r="E74" s="692"/>
      <c r="F74" s="692"/>
      <c r="G74" s="384"/>
    </row>
    <row r="75" spans="1:7" ht="55.5" thickTop="1" thickBot="1" x14ac:dyDescent="0.3">
      <c r="A75" s="693">
        <v>2208000</v>
      </c>
      <c r="B75" s="694" t="s">
        <v>568</v>
      </c>
      <c r="C75" s="695">
        <f t="shared" si="1"/>
        <v>12780000</v>
      </c>
      <c r="D75" s="695">
        <f>D76</f>
        <v>12780000</v>
      </c>
      <c r="E75" s="695"/>
      <c r="F75" s="695"/>
      <c r="G75" s="384"/>
    </row>
    <row r="76" spans="1:7" ht="52.5" thickTop="1" thickBot="1" x14ac:dyDescent="0.3">
      <c r="A76" s="689">
        <v>22080400</v>
      </c>
      <c r="B76" s="708" t="s">
        <v>98</v>
      </c>
      <c r="C76" s="691">
        <f t="shared" si="1"/>
        <v>12780000</v>
      </c>
      <c r="D76" s="692">
        <v>12780000</v>
      </c>
      <c r="E76" s="692"/>
      <c r="F76" s="692"/>
      <c r="G76" s="384"/>
    </row>
    <row r="77" spans="1:7" ht="16.5" thickTop="1" thickBot="1" x14ac:dyDescent="0.3">
      <c r="A77" s="693">
        <v>22090000</v>
      </c>
      <c r="B77" s="714" t="s">
        <v>99</v>
      </c>
      <c r="C77" s="695">
        <f t="shared" si="1"/>
        <v>612500</v>
      </c>
      <c r="D77" s="695">
        <f>SUM(D78:D79)</f>
        <v>612500</v>
      </c>
      <c r="E77" s="695"/>
      <c r="F77" s="695"/>
      <c r="G77" s="384"/>
    </row>
    <row r="78" spans="1:7" ht="52.5" thickTop="1" thickBot="1" x14ac:dyDescent="0.3">
      <c r="A78" s="689">
        <v>22090100</v>
      </c>
      <c r="B78" s="705" t="s">
        <v>100</v>
      </c>
      <c r="C78" s="691">
        <f t="shared" si="1"/>
        <v>481950</v>
      </c>
      <c r="D78" s="692">
        <v>481950</v>
      </c>
      <c r="E78" s="692"/>
      <c r="F78" s="692"/>
      <c r="G78" s="384"/>
    </row>
    <row r="79" spans="1:7" ht="39.75" thickTop="1" thickBot="1" x14ac:dyDescent="0.25">
      <c r="A79" s="689">
        <v>22090400</v>
      </c>
      <c r="B79" s="705" t="s">
        <v>101</v>
      </c>
      <c r="C79" s="691">
        <f t="shared" si="1"/>
        <v>130550</v>
      </c>
      <c r="D79" s="692">
        <v>130550</v>
      </c>
      <c r="E79" s="692"/>
      <c r="F79" s="692"/>
      <c r="G79" s="721"/>
    </row>
    <row r="80" spans="1:7" ht="27" customHeight="1" thickTop="1" thickBot="1" x14ac:dyDescent="0.3">
      <c r="A80" s="214">
        <v>24000000</v>
      </c>
      <c r="B80" s="730" t="s">
        <v>102</v>
      </c>
      <c r="C80" s="691">
        <f t="shared" si="1"/>
        <v>20200012</v>
      </c>
      <c r="D80" s="702">
        <f>D81+D82+D84+D83</f>
        <v>13200000</v>
      </c>
      <c r="E80" s="702">
        <f>E81+E82+E84+E83</f>
        <v>7000012</v>
      </c>
      <c r="F80" s="702">
        <f>F81+F82+F84+F83</f>
        <v>7000012</v>
      </c>
      <c r="G80" s="384"/>
    </row>
    <row r="81" spans="1:7" ht="16.5" thickTop="1" thickBot="1" x14ac:dyDescent="0.3">
      <c r="A81" s="689">
        <v>24060300</v>
      </c>
      <c r="B81" s="690" t="s">
        <v>103</v>
      </c>
      <c r="C81" s="691">
        <f t="shared" si="1"/>
        <v>12200000</v>
      </c>
      <c r="D81" s="698">
        <v>12200000</v>
      </c>
      <c r="E81" s="698"/>
      <c r="F81" s="698"/>
      <c r="G81" s="384"/>
    </row>
    <row r="82" spans="1:7" ht="78" thickTop="1" thickBot="1" x14ac:dyDescent="0.3">
      <c r="A82" s="689">
        <v>24062200</v>
      </c>
      <c r="B82" s="690" t="s">
        <v>393</v>
      </c>
      <c r="C82" s="691">
        <f t="shared" si="1"/>
        <v>1000000</v>
      </c>
      <c r="D82" s="698">
        <v>1000000</v>
      </c>
      <c r="E82" s="698"/>
      <c r="F82" s="698"/>
      <c r="G82" s="384"/>
    </row>
    <row r="83" spans="1:7" ht="39.75" thickTop="1" thickBot="1" x14ac:dyDescent="0.3">
      <c r="A83" s="689">
        <v>24110700</v>
      </c>
      <c r="B83" s="715" t="s">
        <v>630</v>
      </c>
      <c r="C83" s="691">
        <f t="shared" si="1"/>
        <v>12</v>
      </c>
      <c r="D83" s="698"/>
      <c r="E83" s="698">
        <v>12</v>
      </c>
      <c r="F83" s="698">
        <v>12</v>
      </c>
      <c r="G83" s="384"/>
    </row>
    <row r="84" spans="1:7" ht="39.75" thickTop="1" thickBot="1" x14ac:dyDescent="0.25">
      <c r="A84" s="689">
        <v>24170000</v>
      </c>
      <c r="B84" s="697" t="s">
        <v>104</v>
      </c>
      <c r="C84" s="691">
        <f t="shared" ref="C84:C90" si="5">SUM(D84,E84)</f>
        <v>7000000</v>
      </c>
      <c r="D84" s="698"/>
      <c r="E84" s="698">
        <v>7000000</v>
      </c>
      <c r="F84" s="698">
        <v>7000000</v>
      </c>
      <c r="G84" s="720"/>
    </row>
    <row r="85" spans="1:7" ht="16.5" thickTop="1" thickBot="1" x14ac:dyDescent="0.3">
      <c r="A85" s="214">
        <v>25000000</v>
      </c>
      <c r="B85" s="716" t="s">
        <v>105</v>
      </c>
      <c r="C85" s="691">
        <f t="shared" si="5"/>
        <v>181772123</v>
      </c>
      <c r="D85" s="702">
        <f>SUM(D86:D90,)</f>
        <v>0</v>
      </c>
      <c r="E85" s="702">
        <f>SUM(E86)</f>
        <v>181772123</v>
      </c>
      <c r="F85" s="702"/>
      <c r="G85" s="384"/>
    </row>
    <row r="86" spans="1:7" ht="42" thickTop="1" thickBot="1" x14ac:dyDescent="0.3">
      <c r="A86" s="693">
        <v>25010000</v>
      </c>
      <c r="B86" s="700" t="s">
        <v>106</v>
      </c>
      <c r="C86" s="695">
        <f t="shared" si="5"/>
        <v>181772123</v>
      </c>
      <c r="D86" s="696">
        <v>0</v>
      </c>
      <c r="E86" s="696">
        <f>SUM(E87:E90)</f>
        <v>181772123</v>
      </c>
      <c r="F86" s="696"/>
      <c r="G86" s="384"/>
    </row>
    <row r="87" spans="1:7" ht="39.75" thickTop="1" thickBot="1" x14ac:dyDescent="0.3">
      <c r="A87" s="689">
        <v>25010100</v>
      </c>
      <c r="B87" s="697" t="s">
        <v>107</v>
      </c>
      <c r="C87" s="691">
        <f t="shared" si="5"/>
        <v>167553543</v>
      </c>
      <c r="D87" s="698"/>
      <c r="E87" s="698">
        <v>167553543</v>
      </c>
      <c r="F87" s="698"/>
      <c r="G87" s="384"/>
    </row>
    <row r="88" spans="1:7" ht="27" thickTop="1" thickBot="1" x14ac:dyDescent="0.3">
      <c r="A88" s="689">
        <v>25010200</v>
      </c>
      <c r="B88" s="697" t="s">
        <v>108</v>
      </c>
      <c r="C88" s="691">
        <f t="shared" si="5"/>
        <v>11647473</v>
      </c>
      <c r="D88" s="698"/>
      <c r="E88" s="698">
        <v>11647473</v>
      </c>
      <c r="F88" s="698"/>
      <c r="G88" s="384"/>
    </row>
    <row r="89" spans="1:7" ht="16.5" thickTop="1" thickBot="1" x14ac:dyDescent="0.3">
      <c r="A89" s="689">
        <v>25010300</v>
      </c>
      <c r="B89" s="697" t="s">
        <v>109</v>
      </c>
      <c r="C89" s="691">
        <f t="shared" si="5"/>
        <v>2527607</v>
      </c>
      <c r="D89" s="698"/>
      <c r="E89" s="698">
        <v>2527607</v>
      </c>
      <c r="F89" s="698"/>
      <c r="G89" s="384"/>
    </row>
    <row r="90" spans="1:7" ht="39.75" thickTop="1" thickBot="1" x14ac:dyDescent="0.3">
      <c r="A90" s="689">
        <v>25010400</v>
      </c>
      <c r="B90" s="697" t="s">
        <v>110</v>
      </c>
      <c r="C90" s="691">
        <f t="shared" si="5"/>
        <v>43500</v>
      </c>
      <c r="D90" s="698"/>
      <c r="E90" s="698">
        <v>43500</v>
      </c>
      <c r="F90" s="698"/>
      <c r="G90" s="384"/>
    </row>
    <row r="91" spans="1:7" ht="29.25" customHeight="1" thickTop="1" thickBot="1" x14ac:dyDescent="0.25">
      <c r="A91" s="214">
        <v>30000000</v>
      </c>
      <c r="B91" s="214" t="s">
        <v>111</v>
      </c>
      <c r="C91" s="691">
        <f t="shared" si="1"/>
        <v>7820000</v>
      </c>
      <c r="D91" s="691">
        <f>SUM(D92)+D96</f>
        <v>20000</v>
      </c>
      <c r="E91" s="691">
        <f>SUM(E92)+E96</f>
        <v>7800000</v>
      </c>
      <c r="F91" s="691">
        <f>SUM(F95:F96)</f>
        <v>7800000</v>
      </c>
      <c r="G91" s="721"/>
    </row>
    <row r="92" spans="1:7" ht="27" customHeight="1" thickTop="1" thickBot="1" x14ac:dyDescent="0.3">
      <c r="A92" s="214">
        <v>31000000</v>
      </c>
      <c r="B92" s="214" t="s">
        <v>112</v>
      </c>
      <c r="C92" s="691">
        <f>SUM(D92,E92)</f>
        <v>2820000</v>
      </c>
      <c r="D92" s="691">
        <f>D93+D95</f>
        <v>20000</v>
      </c>
      <c r="E92" s="691">
        <f>E93+E95</f>
        <v>2800000</v>
      </c>
      <c r="F92" s="691">
        <f>F93+F95</f>
        <v>2800000</v>
      </c>
      <c r="G92" s="384"/>
    </row>
    <row r="93" spans="1:7" ht="82.5" thickTop="1" thickBot="1" x14ac:dyDescent="0.3">
      <c r="A93" s="693">
        <v>3101000</v>
      </c>
      <c r="B93" s="694" t="s">
        <v>569</v>
      </c>
      <c r="C93" s="695">
        <f>SUM(D93,E93)</f>
        <v>20000</v>
      </c>
      <c r="D93" s="696">
        <f>D94</f>
        <v>20000</v>
      </c>
      <c r="E93" s="695"/>
      <c r="F93" s="695"/>
      <c r="G93" s="384"/>
    </row>
    <row r="94" spans="1:7" ht="78" thickTop="1" thickBot="1" x14ac:dyDescent="0.3">
      <c r="A94" s="689">
        <v>31010200</v>
      </c>
      <c r="B94" s="697" t="s">
        <v>113</v>
      </c>
      <c r="C94" s="691">
        <f>SUM(D94,E94)</f>
        <v>20000</v>
      </c>
      <c r="D94" s="698">
        <v>20000</v>
      </c>
      <c r="E94" s="698"/>
      <c r="F94" s="698"/>
      <c r="G94" s="384"/>
    </row>
    <row r="95" spans="1:7" ht="55.5" thickTop="1" thickBot="1" x14ac:dyDescent="0.3">
      <c r="A95" s="693">
        <v>31030000</v>
      </c>
      <c r="B95" s="700" t="s">
        <v>114</v>
      </c>
      <c r="C95" s="696">
        <f t="shared" si="1"/>
        <v>2800000</v>
      </c>
      <c r="D95" s="696"/>
      <c r="E95" s="696">
        <v>2800000</v>
      </c>
      <c r="F95" s="696">
        <v>2800000</v>
      </c>
      <c r="G95" s="384"/>
    </row>
    <row r="96" spans="1:7" ht="27" thickTop="1" thickBot="1" x14ac:dyDescent="0.3">
      <c r="A96" s="731">
        <v>33000000</v>
      </c>
      <c r="B96" s="731" t="s">
        <v>115</v>
      </c>
      <c r="C96" s="732">
        <f t="shared" si="1"/>
        <v>5000000</v>
      </c>
      <c r="D96" s="732"/>
      <c r="E96" s="732">
        <f>SUM(E97)</f>
        <v>5000000</v>
      </c>
      <c r="F96" s="732">
        <f>SUM(F97)</f>
        <v>5000000</v>
      </c>
      <c r="G96" s="384"/>
    </row>
    <row r="97" spans="1:7" ht="16.5" thickTop="1" thickBot="1" x14ac:dyDescent="0.3">
      <c r="A97" s="693">
        <v>33010000</v>
      </c>
      <c r="B97" s="694" t="s">
        <v>116</v>
      </c>
      <c r="C97" s="695">
        <f>SUM(D97,E97)</f>
        <v>5000000</v>
      </c>
      <c r="D97" s="695"/>
      <c r="E97" s="695">
        <f>SUM(E98,E99)</f>
        <v>5000000</v>
      </c>
      <c r="F97" s="695">
        <f>SUM(F98,F99)</f>
        <v>5000000</v>
      </c>
      <c r="G97" s="384"/>
    </row>
    <row r="98" spans="1:7" ht="52.5" thickTop="1" thickBot="1" x14ac:dyDescent="0.3">
      <c r="A98" s="689">
        <v>33010100</v>
      </c>
      <c r="B98" s="697" t="s">
        <v>359</v>
      </c>
      <c r="C98" s="702">
        <f t="shared" si="1"/>
        <v>4000000</v>
      </c>
      <c r="D98" s="698"/>
      <c r="E98" s="698">
        <v>4000000</v>
      </c>
      <c r="F98" s="698">
        <v>4000000</v>
      </c>
      <c r="G98" s="384"/>
    </row>
    <row r="99" spans="1:7" ht="52.5" thickTop="1" thickBot="1" x14ac:dyDescent="0.3">
      <c r="A99" s="689">
        <v>33010200</v>
      </c>
      <c r="B99" s="697" t="s">
        <v>117</v>
      </c>
      <c r="C99" s="702">
        <f>SUM(D99,E99)</f>
        <v>1000000</v>
      </c>
      <c r="D99" s="698"/>
      <c r="E99" s="698">
        <v>1000000</v>
      </c>
      <c r="F99" s="698">
        <v>1000000</v>
      </c>
      <c r="G99" s="384"/>
    </row>
    <row r="100" spans="1:7" ht="27" customHeight="1" thickTop="1" thickBot="1" x14ac:dyDescent="0.3">
      <c r="A100" s="731">
        <v>50000000</v>
      </c>
      <c r="B100" s="731" t="s">
        <v>512</v>
      </c>
      <c r="C100" s="732">
        <f>SUM(D100,E100)</f>
        <v>6000000</v>
      </c>
      <c r="D100" s="732"/>
      <c r="E100" s="732">
        <f>SUM(E101)</f>
        <v>6000000</v>
      </c>
      <c r="F100" s="732"/>
      <c r="G100" s="384"/>
    </row>
    <row r="101" spans="1:7" ht="52.5" thickTop="1" thickBot="1" x14ac:dyDescent="0.3">
      <c r="A101" s="214">
        <v>50110000</v>
      </c>
      <c r="B101" s="717" t="s">
        <v>118</v>
      </c>
      <c r="C101" s="691">
        <f t="shared" ref="C101:C134" si="6">SUM(D101,E101)</f>
        <v>6000000</v>
      </c>
      <c r="D101" s="692"/>
      <c r="E101" s="691">
        <v>6000000</v>
      </c>
      <c r="F101" s="692"/>
      <c r="G101" s="384"/>
    </row>
    <row r="102" spans="1:7" ht="45.75" customHeight="1" thickTop="1" thickBot="1" x14ac:dyDescent="0.25">
      <c r="A102" s="726"/>
      <c r="B102" s="727" t="s">
        <v>513</v>
      </c>
      <c r="C102" s="728">
        <f t="shared" ref="C102:C107" si="7">SUM(D102,E102)</f>
        <v>2923830635</v>
      </c>
      <c r="D102" s="729">
        <f>D100+D91+D61+D15</f>
        <v>2720558500</v>
      </c>
      <c r="E102" s="729">
        <f>E100+E91+E61+E15</f>
        <v>203272135</v>
      </c>
      <c r="F102" s="729">
        <f>F100+F91+F61+F15</f>
        <v>14800012</v>
      </c>
      <c r="G102" s="720"/>
    </row>
    <row r="103" spans="1:7" ht="34.5" customHeight="1" thickTop="1" thickBot="1" x14ac:dyDescent="0.25">
      <c r="A103" s="731">
        <v>40000000</v>
      </c>
      <c r="B103" s="731" t="s">
        <v>446</v>
      </c>
      <c r="C103" s="732">
        <f t="shared" si="7"/>
        <v>728430056</v>
      </c>
      <c r="D103" s="732">
        <f>SUM(D106,D104)</f>
        <v>728430056</v>
      </c>
      <c r="E103" s="732">
        <f>SUM(E106,E104)</f>
        <v>0</v>
      </c>
      <c r="F103" s="732">
        <f>SUM(F106,F104)</f>
        <v>0</v>
      </c>
      <c r="G103" s="720"/>
    </row>
    <row r="104" spans="1:7" ht="27" hidden="1" thickTop="1" thickBot="1" x14ac:dyDescent="0.25">
      <c r="A104" s="214">
        <v>41040000</v>
      </c>
      <c r="B104" s="704" t="s">
        <v>361</v>
      </c>
      <c r="C104" s="691">
        <f t="shared" si="7"/>
        <v>0</v>
      </c>
      <c r="D104" s="702">
        <f>D105</f>
        <v>0</v>
      </c>
      <c r="E104" s="702"/>
      <c r="F104" s="702"/>
      <c r="G104" s="720"/>
    </row>
    <row r="105" spans="1:7" ht="65.25" hidden="1" thickTop="1" thickBot="1" x14ac:dyDescent="0.25">
      <c r="A105" s="689">
        <v>41040200</v>
      </c>
      <c r="B105" s="697" t="s">
        <v>360</v>
      </c>
      <c r="C105" s="691">
        <f t="shared" si="7"/>
        <v>0</v>
      </c>
      <c r="D105" s="698">
        <v>0</v>
      </c>
      <c r="E105" s="702"/>
      <c r="F105" s="702"/>
      <c r="G105" s="720"/>
    </row>
    <row r="106" spans="1:7" ht="23.25" customHeight="1" thickTop="1" thickBot="1" x14ac:dyDescent="0.25">
      <c r="A106" s="214">
        <v>41000000</v>
      </c>
      <c r="B106" s="214" t="s">
        <v>119</v>
      </c>
      <c r="C106" s="691">
        <f t="shared" si="7"/>
        <v>728430056</v>
      </c>
      <c r="D106" s="702">
        <f>SUM(D107,D115)</f>
        <v>728430056</v>
      </c>
      <c r="E106" s="702">
        <f>SUM(E107,E115)</f>
        <v>0</v>
      </c>
      <c r="F106" s="702">
        <f>SUM(F107,F115)</f>
        <v>0</v>
      </c>
      <c r="G106" s="720"/>
    </row>
    <row r="107" spans="1:7" ht="27" thickTop="1" thickBot="1" x14ac:dyDescent="0.3">
      <c r="A107" s="214">
        <v>41030000</v>
      </c>
      <c r="B107" s="716" t="s">
        <v>459</v>
      </c>
      <c r="C107" s="691">
        <f t="shared" si="7"/>
        <v>718166900</v>
      </c>
      <c r="D107" s="702">
        <f>SUM(D108:D114)</f>
        <v>718166900</v>
      </c>
      <c r="E107" s="702">
        <f>SUM(E108:E114)</f>
        <v>0</v>
      </c>
      <c r="F107" s="702">
        <f>SUM(F108:F114)</f>
        <v>0</v>
      </c>
      <c r="G107" s="384"/>
    </row>
    <row r="108" spans="1:7" ht="52.5" hidden="1" thickTop="1" thickBot="1" x14ac:dyDescent="0.3">
      <c r="A108" s="689">
        <v>41032300</v>
      </c>
      <c r="B108" s="690" t="s">
        <v>1078</v>
      </c>
      <c r="C108" s="691">
        <f t="shared" si="6"/>
        <v>0</v>
      </c>
      <c r="D108" s="698">
        <v>0</v>
      </c>
      <c r="E108" s="702"/>
      <c r="F108" s="698"/>
      <c r="G108" s="384"/>
    </row>
    <row r="109" spans="1:7" ht="52.5" hidden="1" thickTop="1" thickBot="1" x14ac:dyDescent="0.3">
      <c r="A109" s="689">
        <v>41033800</v>
      </c>
      <c r="B109" s="690" t="s">
        <v>1151</v>
      </c>
      <c r="C109" s="691">
        <f t="shared" si="6"/>
        <v>0</v>
      </c>
      <c r="D109" s="698">
        <v>0</v>
      </c>
      <c r="E109" s="702"/>
      <c r="F109" s="698"/>
      <c r="G109" s="384"/>
    </row>
    <row r="110" spans="1:7" ht="27" thickTop="1" thickBot="1" x14ac:dyDescent="0.3">
      <c r="A110" s="689">
        <v>41033900</v>
      </c>
      <c r="B110" s="690" t="s">
        <v>120</v>
      </c>
      <c r="C110" s="691">
        <f t="shared" si="6"/>
        <v>718166900</v>
      </c>
      <c r="D110" s="692">
        <v>718166900</v>
      </c>
      <c r="E110" s="698"/>
      <c r="F110" s="698"/>
      <c r="G110" s="384"/>
    </row>
    <row r="111" spans="1:7" ht="52.5" hidden="1" thickTop="1" thickBot="1" x14ac:dyDescent="0.3">
      <c r="A111" s="689">
        <v>41034500</v>
      </c>
      <c r="B111" s="690" t="s">
        <v>1152</v>
      </c>
      <c r="C111" s="691">
        <f t="shared" si="6"/>
        <v>0</v>
      </c>
      <c r="D111" s="698">
        <v>0</v>
      </c>
      <c r="E111" s="698">
        <v>0</v>
      </c>
      <c r="F111" s="698">
        <v>0</v>
      </c>
      <c r="G111" s="384"/>
    </row>
    <row r="112" spans="1:7" ht="65.25" hidden="1" thickTop="1" thickBot="1" x14ac:dyDescent="0.3">
      <c r="A112" s="689">
        <v>41035500</v>
      </c>
      <c r="B112" s="690" t="s">
        <v>1080</v>
      </c>
      <c r="C112" s="691">
        <f t="shared" si="6"/>
        <v>0</v>
      </c>
      <c r="D112" s="692">
        <v>0</v>
      </c>
      <c r="E112" s="698"/>
      <c r="F112" s="698"/>
      <c r="G112" s="384"/>
    </row>
    <row r="113" spans="1:7" ht="65.25" hidden="1" thickTop="1" thickBot="1" x14ac:dyDescent="0.3">
      <c r="A113" s="689">
        <v>41035600</v>
      </c>
      <c r="B113" s="690" t="s">
        <v>1108</v>
      </c>
      <c r="C113" s="691">
        <f t="shared" si="6"/>
        <v>0</v>
      </c>
      <c r="D113" s="692">
        <v>0</v>
      </c>
      <c r="E113" s="698"/>
      <c r="F113" s="698"/>
      <c r="G113" s="384"/>
    </row>
    <row r="114" spans="1:7" ht="42.75" hidden="1" customHeight="1" thickTop="1" thickBot="1" x14ac:dyDescent="0.3">
      <c r="A114" s="689">
        <v>41035700</v>
      </c>
      <c r="B114" s="690" t="s">
        <v>1069</v>
      </c>
      <c r="C114" s="691">
        <f t="shared" si="6"/>
        <v>0</v>
      </c>
      <c r="D114" s="692">
        <v>0</v>
      </c>
      <c r="E114" s="698"/>
      <c r="F114" s="698"/>
      <c r="G114" s="384"/>
    </row>
    <row r="115" spans="1:7" ht="36.75" customHeight="1" thickTop="1" thickBot="1" x14ac:dyDescent="0.3">
      <c r="A115" s="214">
        <v>41050000</v>
      </c>
      <c r="B115" s="716" t="s">
        <v>498</v>
      </c>
      <c r="C115" s="691">
        <f t="shared" ref="C115:C122" si="8">SUM(D115,E115)</f>
        <v>10263156</v>
      </c>
      <c r="D115" s="691">
        <f>SUM(D116:D128)</f>
        <v>10263156</v>
      </c>
      <c r="E115" s="691">
        <f>SUM(E116:E128)</f>
        <v>0</v>
      </c>
      <c r="F115" s="691">
        <f>SUM(F116:F128)</f>
        <v>0</v>
      </c>
      <c r="G115" s="384"/>
    </row>
    <row r="116" spans="1:7" ht="282" hidden="1" thickTop="1" thickBot="1" x14ac:dyDescent="0.3">
      <c r="A116" s="229">
        <v>41050400</v>
      </c>
      <c r="B116" s="230" t="s">
        <v>1153</v>
      </c>
      <c r="C116" s="227">
        <f t="shared" si="8"/>
        <v>0</v>
      </c>
      <c r="D116" s="231">
        <v>0</v>
      </c>
      <c r="E116" s="232"/>
      <c r="F116" s="232"/>
      <c r="G116" s="384"/>
    </row>
    <row r="117" spans="1:7" ht="243.75" hidden="1" thickTop="1" thickBot="1" x14ac:dyDescent="0.3">
      <c r="A117" s="229">
        <v>41050500</v>
      </c>
      <c r="B117" s="230" t="s">
        <v>1154</v>
      </c>
      <c r="C117" s="227">
        <f t="shared" si="8"/>
        <v>0</v>
      </c>
      <c r="D117" s="231">
        <v>0</v>
      </c>
      <c r="E117" s="232"/>
      <c r="F117" s="232"/>
      <c r="G117" s="384"/>
    </row>
    <row r="118" spans="1:7" ht="345.75" hidden="1" thickTop="1" thickBot="1" x14ac:dyDescent="0.3">
      <c r="A118" s="229">
        <v>41050600</v>
      </c>
      <c r="B118" s="230" t="s">
        <v>1155</v>
      </c>
      <c r="C118" s="227">
        <f t="shared" si="8"/>
        <v>0</v>
      </c>
      <c r="D118" s="231">
        <v>0</v>
      </c>
      <c r="E118" s="232"/>
      <c r="F118" s="232"/>
      <c r="G118" s="384"/>
    </row>
    <row r="119" spans="1:7" ht="129" hidden="1" thickTop="1" thickBot="1" x14ac:dyDescent="0.3">
      <c r="A119" s="229">
        <v>41050900</v>
      </c>
      <c r="B119" s="230" t="s">
        <v>1156</v>
      </c>
      <c r="C119" s="227">
        <f t="shared" si="8"/>
        <v>0</v>
      </c>
      <c r="D119" s="231">
        <v>0</v>
      </c>
      <c r="E119" s="232"/>
      <c r="F119" s="232"/>
      <c r="G119" s="384"/>
    </row>
    <row r="120" spans="1:7" ht="39.75" thickTop="1" thickBot="1" x14ac:dyDescent="0.3">
      <c r="A120" s="689">
        <v>41051000</v>
      </c>
      <c r="B120" s="690" t="s">
        <v>499</v>
      </c>
      <c r="C120" s="691">
        <f t="shared" si="8"/>
        <v>4189832</v>
      </c>
      <c r="D120" s="692">
        <v>4189832</v>
      </c>
      <c r="E120" s="698"/>
      <c r="F120" s="698"/>
      <c r="G120" s="384"/>
    </row>
    <row r="121" spans="1:7" ht="52.5" thickTop="1" thickBot="1" x14ac:dyDescent="0.3">
      <c r="A121" s="689">
        <v>41051200</v>
      </c>
      <c r="B121" s="690" t="s">
        <v>663</v>
      </c>
      <c r="C121" s="691">
        <f t="shared" si="8"/>
        <v>5189600</v>
      </c>
      <c r="D121" s="692">
        <v>5189600</v>
      </c>
      <c r="E121" s="698"/>
      <c r="F121" s="698"/>
      <c r="G121" s="384"/>
    </row>
    <row r="122" spans="1:7" ht="65.25" hidden="1" thickTop="1" thickBot="1" x14ac:dyDescent="0.3">
      <c r="A122" s="229">
        <v>41051400</v>
      </c>
      <c r="B122" s="230" t="s">
        <v>1083</v>
      </c>
      <c r="C122" s="227">
        <f t="shared" si="8"/>
        <v>0</v>
      </c>
      <c r="D122" s="231">
        <v>0</v>
      </c>
      <c r="E122" s="232"/>
      <c r="F122" s="232"/>
      <c r="G122" s="384"/>
    </row>
    <row r="123" spans="1:7" ht="65.25" hidden="1" thickTop="1" thickBot="1" x14ac:dyDescent="0.3">
      <c r="A123" s="229">
        <v>41051700</v>
      </c>
      <c r="B123" s="230" t="s">
        <v>1019</v>
      </c>
      <c r="C123" s="227">
        <f t="shared" si="6"/>
        <v>0</v>
      </c>
      <c r="D123" s="231">
        <v>0</v>
      </c>
      <c r="E123" s="232"/>
      <c r="F123" s="232"/>
      <c r="G123" s="384"/>
    </row>
    <row r="124" spans="1:7" ht="103.5" hidden="1" thickTop="1" thickBot="1" x14ac:dyDescent="0.3">
      <c r="A124" s="229">
        <v>41056600</v>
      </c>
      <c r="B124" s="230" t="s">
        <v>1127</v>
      </c>
      <c r="C124" s="227">
        <f t="shared" si="6"/>
        <v>0</v>
      </c>
      <c r="D124" s="231">
        <f>10623233.82-10623233.82</f>
        <v>0</v>
      </c>
      <c r="E124" s="232"/>
      <c r="F124" s="232"/>
      <c r="G124" s="384"/>
    </row>
    <row r="125" spans="1:7" ht="65.25" hidden="1" thickTop="1" thickBot="1" x14ac:dyDescent="0.25">
      <c r="A125" s="229">
        <v>41055000</v>
      </c>
      <c r="B125" s="230" t="s">
        <v>1157</v>
      </c>
      <c r="C125" s="227">
        <f t="shared" si="6"/>
        <v>0</v>
      </c>
      <c r="D125" s="231">
        <v>0</v>
      </c>
      <c r="E125" s="232"/>
      <c r="F125" s="232"/>
      <c r="G125" s="720"/>
    </row>
    <row r="126" spans="1:7" ht="27" hidden="1" thickTop="1" thickBot="1" x14ac:dyDescent="0.25">
      <c r="A126" s="229">
        <v>41053600</v>
      </c>
      <c r="B126" s="230" t="s">
        <v>1021</v>
      </c>
      <c r="C126" s="227">
        <f t="shared" si="6"/>
        <v>0</v>
      </c>
      <c r="D126" s="231"/>
      <c r="E126" s="232">
        <v>0</v>
      </c>
      <c r="F126" s="232"/>
      <c r="G126" s="720"/>
    </row>
    <row r="127" spans="1:7" ht="218.25" hidden="1" thickTop="1" thickBot="1" x14ac:dyDescent="0.25">
      <c r="A127" s="229">
        <v>41054200</v>
      </c>
      <c r="B127" s="230" t="s">
        <v>1158</v>
      </c>
      <c r="C127" s="227">
        <f t="shared" si="6"/>
        <v>0</v>
      </c>
      <c r="D127" s="231">
        <v>0</v>
      </c>
      <c r="E127" s="232"/>
      <c r="F127" s="232"/>
      <c r="G127" s="720"/>
    </row>
    <row r="128" spans="1:7" ht="27" thickTop="1" thickBot="1" x14ac:dyDescent="0.25">
      <c r="A128" s="689">
        <v>41053900</v>
      </c>
      <c r="B128" s="690" t="s">
        <v>963</v>
      </c>
      <c r="C128" s="691">
        <f t="shared" si="6"/>
        <v>883724</v>
      </c>
      <c r="D128" s="692">
        <f>SUM(D129:D134)</f>
        <v>883724</v>
      </c>
      <c r="E128" s="692">
        <f>SUM(E129:E134)</f>
        <v>0</v>
      </c>
      <c r="F128" s="692">
        <f>SUM(F129:F134)</f>
        <v>0</v>
      </c>
      <c r="G128" s="720"/>
    </row>
    <row r="129" spans="1:10" ht="15.75" hidden="1" thickTop="1" thickBot="1" x14ac:dyDescent="0.25">
      <c r="A129" s="689"/>
      <c r="B129" s="718" t="s">
        <v>1022</v>
      </c>
      <c r="C129" s="695">
        <f>SUM(D129,E129)</f>
        <v>0</v>
      </c>
      <c r="D129" s="703"/>
      <c r="E129" s="719">
        <v>0</v>
      </c>
      <c r="F129" s="719">
        <v>0</v>
      </c>
      <c r="G129" s="720"/>
    </row>
    <row r="130" spans="1:10" ht="39.75" thickTop="1" thickBot="1" x14ac:dyDescent="0.25">
      <c r="A130" s="689"/>
      <c r="B130" s="718" t="s">
        <v>964</v>
      </c>
      <c r="C130" s="695">
        <f t="shared" si="6"/>
        <v>226297</v>
      </c>
      <c r="D130" s="703">
        <v>226297</v>
      </c>
      <c r="E130" s="719"/>
      <c r="F130" s="719"/>
      <c r="G130" s="720"/>
    </row>
    <row r="131" spans="1:10" ht="52.5" thickTop="1" thickBot="1" x14ac:dyDescent="0.25">
      <c r="A131" s="689"/>
      <c r="B131" s="718" t="s">
        <v>965</v>
      </c>
      <c r="C131" s="695">
        <f t="shared" si="6"/>
        <v>159297</v>
      </c>
      <c r="D131" s="703">
        <v>159297</v>
      </c>
      <c r="E131" s="719"/>
      <c r="F131" s="719"/>
      <c r="G131" s="720"/>
    </row>
    <row r="132" spans="1:10" ht="27" thickTop="1" thickBot="1" x14ac:dyDescent="0.25">
      <c r="A132" s="689"/>
      <c r="B132" s="718" t="s">
        <v>966</v>
      </c>
      <c r="C132" s="695">
        <f t="shared" si="6"/>
        <v>498130</v>
      </c>
      <c r="D132" s="703">
        <v>498130</v>
      </c>
      <c r="E132" s="719"/>
      <c r="F132" s="719"/>
      <c r="G132" s="720"/>
    </row>
    <row r="133" spans="1:10" ht="39.75" hidden="1" thickTop="1" thickBot="1" x14ac:dyDescent="0.25">
      <c r="A133" s="229"/>
      <c r="B133" s="234" t="s">
        <v>1210</v>
      </c>
      <c r="C133" s="228">
        <f t="shared" si="6"/>
        <v>0</v>
      </c>
      <c r="D133" s="233">
        <v>0</v>
      </c>
      <c r="E133" s="235"/>
      <c r="F133" s="235"/>
      <c r="G133" s="720"/>
    </row>
    <row r="134" spans="1:10" ht="27" hidden="1" thickTop="1" thickBot="1" x14ac:dyDescent="0.25">
      <c r="A134" s="229"/>
      <c r="B134" s="234" t="s">
        <v>1211</v>
      </c>
      <c r="C134" s="228">
        <f t="shared" si="6"/>
        <v>0</v>
      </c>
      <c r="D134" s="233"/>
      <c r="E134" s="235">
        <v>0</v>
      </c>
      <c r="F134" s="235">
        <v>0</v>
      </c>
      <c r="G134" s="720"/>
    </row>
    <row r="135" spans="1:10" ht="41.25" customHeight="1" thickTop="1" thickBot="1" x14ac:dyDescent="0.3">
      <c r="A135" s="726"/>
      <c r="B135" s="727" t="s">
        <v>1145</v>
      </c>
      <c r="C135" s="728">
        <f>SUM(D135,E135)</f>
        <v>3652260691</v>
      </c>
      <c r="D135" s="729">
        <f>SUM(D102,D103)</f>
        <v>3448988556</v>
      </c>
      <c r="E135" s="729">
        <f>SUM(E102,E106)</f>
        <v>203272135</v>
      </c>
      <c r="F135" s="729">
        <f>SUM(F102,F106)</f>
        <v>14800012</v>
      </c>
      <c r="G135" s="725" t="b">
        <f>C135=C132+C131+C130+C129+C126+C125+C123+C122+C121+C116+C114+C113+C112+C110+C108+C105+C101+C99+C98+C95+C94+C90+C89+C88+C87+C84+C83+C82+C81+C79+C78+C76+C74+C73+C72+C69+C68+C67+C65+C64+C60+C59+C58+C55+C54+C53+C51+C50+C46+C45+C44+C43+C42+C41+C40+C39+C38+C37+C34+C33+C30+C28+C26+C23+C21+C20+C19+C18+C127+C119+C120+C118+C117+C111+C109+C133+C134+C48</f>
        <v>1</v>
      </c>
      <c r="H135" s="725" t="b">
        <f t="shared" ref="H135:J135" si="9">D135=D132+D131+D130+D129+D126+D125+D123+D122+D121+D116+D114+D113+D112+D110+D108+D105+D101+D99+D98+D95+D94+D90+D89+D88+D87+D84+D83+D82+D81+D79+D78+D76+D74+D73+D72+D69+D68+D67+D65+D64+D60+D59+D58+D55+D54+D53+D51+D50+D46+D45+D44+D43+D42+D41+D40+D39+D38+D37+D34+D33+D30+D28+D26+D23+D21+D20+D19+D18+D127+D119+D120+D118+D117+D111+D109+D133+D134+D48</f>
        <v>1</v>
      </c>
      <c r="I135" s="725" t="b">
        <f t="shared" si="9"/>
        <v>1</v>
      </c>
      <c r="J135" s="725" t="b">
        <f t="shared" si="9"/>
        <v>1</v>
      </c>
    </row>
    <row r="136" spans="1:10" ht="16.5" thickTop="1" x14ac:dyDescent="0.25">
      <c r="B136" s="215"/>
      <c r="G136" s="725" t="b">
        <f>3699650691-'d2'!C32=C135</f>
        <v>0</v>
      </c>
    </row>
    <row r="137" spans="1:10" ht="15.75" x14ac:dyDescent="0.25">
      <c r="B137" s="49"/>
      <c r="E137" s="49"/>
      <c r="G137" s="724"/>
    </row>
    <row r="138" spans="1:10" ht="15.75" x14ac:dyDescent="0.2">
      <c r="B138" s="203" t="s">
        <v>1335</v>
      </c>
      <c r="C138" s="201"/>
      <c r="D138" s="201"/>
      <c r="E138" s="182" t="s">
        <v>1336</v>
      </c>
      <c r="F138" s="203"/>
    </row>
    <row r="139" spans="1:10" ht="15.75" x14ac:dyDescent="0.25">
      <c r="B139" s="49"/>
      <c r="E139" s="49"/>
    </row>
    <row r="140" spans="1:10" ht="15.75" x14ac:dyDescent="0.25">
      <c r="A140" s="12"/>
      <c r="B140" s="49"/>
      <c r="C140" s="49"/>
      <c r="D140" s="49"/>
      <c r="E140" s="49"/>
      <c r="F140" s="12"/>
    </row>
    <row r="143" spans="1:10" x14ac:dyDescent="0.2">
      <c r="C143" s="213"/>
      <c r="D143" s="213"/>
      <c r="E143" s="213"/>
      <c r="F143" s="213"/>
    </row>
  </sheetData>
  <mergeCells count="13">
    <mergeCell ref="A6:F6"/>
    <mergeCell ref="A8:F8"/>
    <mergeCell ref="A9:F9"/>
    <mergeCell ref="A12:A13"/>
    <mergeCell ref="B12:B13"/>
    <mergeCell ref="C12:C13"/>
    <mergeCell ref="D12:D13"/>
    <mergeCell ref="E12:F12"/>
    <mergeCell ref="D1:G1"/>
    <mergeCell ref="D2:G2"/>
    <mergeCell ref="D3:G3"/>
    <mergeCell ref="A4:E4"/>
    <mergeCell ref="A5:F5"/>
  </mergeCells>
  <hyperlinks>
    <hyperlink ref="B92" location="_ftn1" display="_ftn1" xr:uid="{00000000-0004-0000-0000-000000000000}"/>
    <hyperlink ref="B91" location="_ftn1" display="_ftn1" xr:uid="{00000000-0004-0000-0000-000001000000}"/>
    <hyperlink ref="B79" location="_ftn1" display="_ftn1" xr:uid="{00000000-0004-0000-0000-000002000000}"/>
    <hyperlink ref="B20" location="_ftn1" display="_ftn1" xr:uid="{00000000-0004-0000-0000-000003000000}"/>
    <hyperlink ref="B19" location="_ftn1" display="_ftn1" xr:uid="{00000000-0004-0000-0000-000004000000}"/>
    <hyperlink ref="B59" location="_ftn1" display="_ftn1" xr:uid="{00000000-0004-0000-0000-000005000000}"/>
    <hyperlink ref="B96" location="_ftn1" display="_ftn1" xr:uid="{00000000-0004-0000-0000-000006000000}"/>
    <hyperlink ref="B97" location="_ftn1" display="_ftn1" xr:uid="{00000000-0004-0000-0000-000007000000}"/>
    <hyperlink ref="B67" location="_ftn1" display="_ftn1" xr:uid="{00000000-0004-0000-0000-000008000000}"/>
  </hyperlinks>
  <printOptions horizontalCentered="1"/>
  <pageMargins left="0.35433070866141736" right="0.15748031496062992" top="0.59055118110236227" bottom="0.51181102362204722" header="0.51181102362204722" footer="0.51181102362204722"/>
  <pageSetup paperSize="9" scale="78" fitToHeight="0" orientation="portrait" verticalDpi="4294967295" r:id="rId1"/>
  <headerFooter alignWithMargins="0"/>
  <rowBreaks count="2" manualBreakCount="2">
    <brk id="68" max="5" man="1"/>
    <brk id="95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55"/>
  <sheetViews>
    <sheetView view="pageBreakPreview" topLeftCell="A29" zoomScale="115" zoomScaleSheetLayoutView="115" workbookViewId="0">
      <selection activeCell="C15" sqref="C15"/>
    </sheetView>
  </sheetViews>
  <sheetFormatPr defaultColWidth="9.140625" defaultRowHeight="12.75" x14ac:dyDescent="0.2"/>
  <cols>
    <col min="1" max="1" width="9.7109375" style="51" customWidth="1"/>
    <col min="2" max="3" width="22.140625" style="51" customWidth="1"/>
    <col min="4" max="4" width="14.140625" style="51" customWidth="1"/>
    <col min="5" max="5" width="14" style="51" customWidth="1"/>
    <col min="6" max="6" width="15.42578125" style="51" customWidth="1"/>
    <col min="7" max="7" width="15.140625" style="51" customWidth="1"/>
    <col min="8" max="8" width="16.42578125" style="51" customWidth="1"/>
    <col min="9" max="9" width="8.28515625" style="51" customWidth="1"/>
    <col min="10" max="10" width="9.140625" style="51"/>
    <col min="11" max="11" width="9.7109375" style="51" customWidth="1"/>
    <col min="12" max="12" width="9.140625" style="51"/>
    <col min="13" max="13" width="8.140625" style="51" customWidth="1"/>
    <col min="14" max="16384" width="9.140625" style="51"/>
  </cols>
  <sheetData>
    <row r="1" spans="1:17" x14ac:dyDescent="0.2">
      <c r="F1" s="13" t="s">
        <v>121</v>
      </c>
    </row>
    <row r="2" spans="1:17" x14ac:dyDescent="0.2">
      <c r="F2" s="13" t="s">
        <v>1046</v>
      </c>
    </row>
    <row r="3" spans="1:17" x14ac:dyDescent="0.2">
      <c r="F3" s="13" t="s">
        <v>1047</v>
      </c>
    </row>
    <row r="5" spans="1:17" ht="18.75" x14ac:dyDescent="0.2">
      <c r="A5" s="762" t="s">
        <v>605</v>
      </c>
      <c r="B5" s="762"/>
      <c r="C5" s="762"/>
      <c r="D5" s="762"/>
      <c r="E5" s="762"/>
      <c r="F5" s="762"/>
    </row>
    <row r="6" spans="1:17" ht="18.75" x14ac:dyDescent="0.2">
      <c r="A6" s="762" t="s">
        <v>1241</v>
      </c>
      <c r="B6" s="762"/>
      <c r="C6" s="762"/>
      <c r="D6" s="762"/>
      <c r="E6" s="762"/>
      <c r="F6" s="762"/>
    </row>
    <row r="7" spans="1:17" ht="18.75" x14ac:dyDescent="0.2">
      <c r="A7" s="385"/>
      <c r="B7" s="385"/>
      <c r="C7" s="385"/>
      <c r="D7" s="385"/>
      <c r="E7" s="385"/>
      <c r="F7" s="385"/>
    </row>
    <row r="8" spans="1:17" x14ac:dyDescent="0.2">
      <c r="A8" s="763">
        <v>22564000000</v>
      </c>
      <c r="B8" s="764"/>
      <c r="C8" s="765"/>
      <c r="D8" s="765"/>
      <c r="E8" s="765"/>
      <c r="F8" s="765"/>
      <c r="G8" s="236"/>
    </row>
    <row r="9" spans="1:17" ht="15" customHeight="1" x14ac:dyDescent="0.2">
      <c r="A9" s="766" t="s">
        <v>515</v>
      </c>
      <c r="B9" s="767"/>
      <c r="C9" s="765"/>
      <c r="D9" s="765"/>
      <c r="E9" s="765"/>
      <c r="F9" s="765"/>
      <c r="G9" s="236"/>
    </row>
    <row r="10" spans="1:17" ht="13.5" thickBot="1" x14ac:dyDescent="0.25">
      <c r="A10" s="386"/>
      <c r="B10" s="386"/>
      <c r="C10" s="387"/>
      <c r="D10" s="387"/>
      <c r="E10" s="387"/>
      <c r="F10" s="388" t="s">
        <v>422</v>
      </c>
      <c r="G10" s="236"/>
    </row>
    <row r="11" spans="1:17" ht="14.25" thickTop="1" thickBot="1" x14ac:dyDescent="0.25">
      <c r="A11" s="768" t="s">
        <v>60</v>
      </c>
      <c r="B11" s="768" t="s">
        <v>396</v>
      </c>
      <c r="C11" s="768" t="s">
        <v>401</v>
      </c>
      <c r="D11" s="768" t="s">
        <v>12</v>
      </c>
      <c r="E11" s="768" t="s">
        <v>54</v>
      </c>
      <c r="F11" s="768"/>
      <c r="G11" s="236"/>
    </row>
    <row r="12" spans="1:17" ht="35.450000000000003" customHeight="1" thickTop="1" thickBot="1" x14ac:dyDescent="0.25">
      <c r="A12" s="768"/>
      <c r="B12" s="768"/>
      <c r="C12" s="768"/>
      <c r="D12" s="769"/>
      <c r="E12" s="389" t="s">
        <v>402</v>
      </c>
      <c r="F12" s="389" t="s">
        <v>403</v>
      </c>
      <c r="G12" s="236"/>
    </row>
    <row r="13" spans="1:17" ht="14.25" thickTop="1" thickBot="1" x14ac:dyDescent="0.25">
      <c r="A13" s="390">
        <v>1</v>
      </c>
      <c r="B13" s="390">
        <v>2</v>
      </c>
      <c r="C13" s="390">
        <v>3</v>
      </c>
      <c r="D13" s="390">
        <v>4</v>
      </c>
      <c r="E13" s="390">
        <v>5</v>
      </c>
      <c r="F13" s="390">
        <v>6</v>
      </c>
      <c r="G13" s="236"/>
    </row>
    <row r="14" spans="1:17" ht="30.75" customHeight="1" thickTop="1" thickBot="1" x14ac:dyDescent="0.25">
      <c r="A14" s="770" t="s">
        <v>397</v>
      </c>
      <c r="B14" s="770"/>
      <c r="C14" s="771"/>
      <c r="D14" s="771"/>
      <c r="E14" s="771"/>
      <c r="F14" s="771"/>
      <c r="G14" s="236"/>
    </row>
    <row r="15" spans="1:17" ht="14.25" thickTop="1" thickBot="1" x14ac:dyDescent="0.25">
      <c r="A15" s="613" t="s">
        <v>122</v>
      </c>
      <c r="B15" s="623" t="s">
        <v>123</v>
      </c>
      <c r="C15" s="613">
        <f>C16+C20</f>
        <v>-13333400</v>
      </c>
      <c r="D15" s="613">
        <f>D16+D20</f>
        <v>-240409063</v>
      </c>
      <c r="E15" s="613">
        <f>E16+E20</f>
        <v>227075663</v>
      </c>
      <c r="F15" s="613">
        <f>F16+F20</f>
        <v>227075663</v>
      </c>
      <c r="G15" s="238">
        <f>E15-F15</f>
        <v>0</v>
      </c>
      <c r="H15" s="52"/>
      <c r="I15" s="52"/>
      <c r="J15" s="52"/>
      <c r="K15" s="52"/>
      <c r="L15" s="52"/>
      <c r="M15" s="52"/>
      <c r="N15" s="52"/>
      <c r="O15" s="52"/>
      <c r="P15" s="52"/>
      <c r="Q15" s="52"/>
    </row>
    <row r="16" spans="1:17" ht="42" thickTop="1" thickBot="1" x14ac:dyDescent="0.25">
      <c r="A16" s="620">
        <v>202000</v>
      </c>
      <c r="B16" s="621" t="s">
        <v>1060</v>
      </c>
      <c r="C16" s="622">
        <f t="shared" ref="C16:C17" si="0">SUM(D16,E16)</f>
        <v>-13333400</v>
      </c>
      <c r="D16" s="622">
        <f t="shared" ref="D16" si="1">D17</f>
        <v>0</v>
      </c>
      <c r="E16" s="622">
        <f>E17</f>
        <v>-13333400</v>
      </c>
      <c r="F16" s="622">
        <f t="shared" ref="F16" si="2">F17</f>
        <v>-13333400</v>
      </c>
      <c r="G16" s="238"/>
      <c r="H16" s="52"/>
      <c r="I16" s="52"/>
      <c r="J16" s="52"/>
      <c r="K16" s="52"/>
      <c r="L16" s="52"/>
      <c r="M16" s="52"/>
      <c r="N16" s="52"/>
      <c r="O16" s="52"/>
      <c r="P16" s="52"/>
      <c r="Q16" s="52"/>
    </row>
    <row r="17" spans="1:17" ht="27" thickTop="1" thickBot="1" x14ac:dyDescent="0.25">
      <c r="A17" s="612">
        <v>202200</v>
      </c>
      <c r="B17" s="543" t="s">
        <v>1062</v>
      </c>
      <c r="C17" s="613">
        <f t="shared" si="0"/>
        <v>-13333400</v>
      </c>
      <c r="D17" s="613">
        <f>SUM(D18:D19)</f>
        <v>0</v>
      </c>
      <c r="E17" s="613">
        <f>SUM(E18:E19)</f>
        <v>-13333400</v>
      </c>
      <c r="F17" s="613">
        <f>SUM(F18:F19)</f>
        <v>-13333400</v>
      </c>
      <c r="G17" s="238"/>
      <c r="H17" s="52"/>
      <c r="I17" s="52"/>
      <c r="J17" s="52"/>
      <c r="K17" s="52"/>
      <c r="L17" s="52"/>
      <c r="M17" s="52"/>
      <c r="N17" s="52"/>
      <c r="O17" s="52"/>
      <c r="P17" s="52"/>
      <c r="Q17" s="52"/>
    </row>
    <row r="18" spans="1:17" ht="14.25" hidden="1" thickTop="1" thickBot="1" x14ac:dyDescent="0.25">
      <c r="A18" s="614">
        <v>202210</v>
      </c>
      <c r="B18" s="615" t="s">
        <v>1061</v>
      </c>
      <c r="C18" s="616">
        <f>SUM(D18,E18)</f>
        <v>0</v>
      </c>
      <c r="D18" s="613"/>
      <c r="E18" s="616">
        <v>0</v>
      </c>
      <c r="F18" s="616">
        <v>0</v>
      </c>
      <c r="G18" s="238"/>
      <c r="H18" s="52"/>
      <c r="I18" s="52"/>
      <c r="J18" s="52"/>
      <c r="K18" s="52"/>
      <c r="L18" s="52"/>
      <c r="M18" s="52"/>
      <c r="N18" s="52"/>
      <c r="O18" s="52"/>
      <c r="P18" s="52"/>
      <c r="Q18" s="52"/>
    </row>
    <row r="19" spans="1:17" ht="14.25" thickTop="1" thickBot="1" x14ac:dyDescent="0.25">
      <c r="A19" s="614">
        <v>202220</v>
      </c>
      <c r="B19" s="615" t="s">
        <v>376</v>
      </c>
      <c r="C19" s="616">
        <f>SUM(D19,E19)</f>
        <v>-13333400</v>
      </c>
      <c r="D19" s="613"/>
      <c r="E19" s="616">
        <v>-13333400</v>
      </c>
      <c r="F19" s="616">
        <v>-13333400</v>
      </c>
      <c r="G19" s="238"/>
      <c r="H19" s="52"/>
      <c r="I19" s="52"/>
      <c r="J19" s="52"/>
      <c r="K19" s="52"/>
      <c r="L19" s="52"/>
      <c r="M19" s="52"/>
      <c r="N19" s="52"/>
      <c r="O19" s="52"/>
      <c r="P19" s="52"/>
      <c r="Q19" s="52"/>
    </row>
    <row r="20" spans="1:17" ht="42" thickTop="1" thickBot="1" x14ac:dyDescent="0.25">
      <c r="A20" s="620">
        <v>208000</v>
      </c>
      <c r="B20" s="624" t="s">
        <v>1064</v>
      </c>
      <c r="C20" s="622">
        <f>C21+C24+C22</f>
        <v>0</v>
      </c>
      <c r="D20" s="622">
        <f>D21+D24+D22</f>
        <v>-240409063</v>
      </c>
      <c r="E20" s="622">
        <f>E21+E24+E22</f>
        <v>240409063</v>
      </c>
      <c r="F20" s="622">
        <f>F21+F24+F22</f>
        <v>240409063</v>
      </c>
      <c r="G20" s="245">
        <f>E20-F20</f>
        <v>0</v>
      </c>
      <c r="H20" s="52"/>
      <c r="I20" s="52"/>
      <c r="J20" s="52"/>
      <c r="K20" s="52"/>
      <c r="L20" s="52"/>
      <c r="M20" s="52"/>
      <c r="N20" s="52"/>
      <c r="O20" s="52"/>
      <c r="P20" s="52"/>
      <c r="Q20" s="52"/>
    </row>
    <row r="21" spans="1:17" ht="15" hidden="1" thickTop="1" thickBot="1" x14ac:dyDescent="0.25">
      <c r="A21" s="239" t="s">
        <v>124</v>
      </c>
      <c r="B21" s="240" t="s">
        <v>125</v>
      </c>
      <c r="C21" s="241">
        <f>SUM(D21,E21)</f>
        <v>0</v>
      </c>
      <c r="D21" s="241">
        <v>0</v>
      </c>
      <c r="E21" s="241">
        <v>0</v>
      </c>
      <c r="F21" s="241">
        <v>0</v>
      </c>
      <c r="G21" s="245"/>
      <c r="H21" s="52"/>
      <c r="I21" s="52"/>
      <c r="J21" s="52"/>
      <c r="K21" s="52"/>
      <c r="L21" s="52"/>
      <c r="M21" s="52"/>
      <c r="N21" s="52"/>
      <c r="O21" s="52"/>
      <c r="P21" s="52"/>
      <c r="Q21" s="52"/>
    </row>
    <row r="22" spans="1:17" ht="15" hidden="1" thickTop="1" thickBot="1" x14ac:dyDescent="0.25">
      <c r="A22" s="239">
        <v>208300</v>
      </c>
      <c r="B22" s="240" t="s">
        <v>1067</v>
      </c>
      <c r="C22" s="241">
        <f>SUM(D22,E22)</f>
        <v>0</v>
      </c>
      <c r="D22" s="241">
        <f>D23</f>
        <v>0</v>
      </c>
      <c r="E22" s="241">
        <f>E23</f>
        <v>0</v>
      </c>
      <c r="F22" s="241">
        <f>F23</f>
        <v>0</v>
      </c>
      <c r="G22" s="238"/>
      <c r="H22" s="52"/>
      <c r="I22" s="52"/>
      <c r="J22" s="52"/>
      <c r="K22" s="52"/>
      <c r="L22" s="52"/>
      <c r="M22" s="52"/>
      <c r="N22" s="52"/>
      <c r="O22" s="52"/>
      <c r="P22" s="52"/>
      <c r="Q22" s="52"/>
    </row>
    <row r="23" spans="1:17" ht="52.5" hidden="1" thickTop="1" thickBot="1" x14ac:dyDescent="0.25">
      <c r="A23" s="242">
        <v>208330</v>
      </c>
      <c r="B23" s="243" t="s">
        <v>1068</v>
      </c>
      <c r="C23" s="241">
        <f>SUM(D23,E23)</f>
        <v>0</v>
      </c>
      <c r="D23" s="244"/>
      <c r="E23" s="244">
        <f>-D23</f>
        <v>0</v>
      </c>
      <c r="F23" s="244">
        <f>E23</f>
        <v>0</v>
      </c>
      <c r="G23" s="238"/>
      <c r="H23" s="52"/>
      <c r="I23" s="52"/>
      <c r="J23" s="52"/>
      <c r="K23" s="52"/>
      <c r="L23" s="52"/>
      <c r="M23" s="52"/>
      <c r="N23" s="52"/>
      <c r="O23" s="52"/>
      <c r="P23" s="52"/>
      <c r="Q23" s="52"/>
    </row>
    <row r="24" spans="1:17" ht="55.5" thickTop="1" thickBot="1" x14ac:dyDescent="0.25">
      <c r="A24" s="620">
        <v>208400</v>
      </c>
      <c r="B24" s="621" t="s">
        <v>126</v>
      </c>
      <c r="C24" s="622">
        <f>SUM(D24,E24)</f>
        <v>0</v>
      </c>
      <c r="D24" s="622">
        <f>'d3'!E361-'d1'!D135+'d4'!N17-D21</f>
        <v>-240409063</v>
      </c>
      <c r="E24" s="622">
        <f>-D24</f>
        <v>240409063</v>
      </c>
      <c r="F24" s="622">
        <f>E24</f>
        <v>240409063</v>
      </c>
      <c r="G24" s="238"/>
      <c r="H24" s="52"/>
      <c r="I24" s="52"/>
      <c r="J24" s="52"/>
      <c r="K24" s="52"/>
      <c r="L24" s="52"/>
      <c r="M24" s="52"/>
      <c r="N24" s="52"/>
      <c r="O24" s="52"/>
      <c r="P24" s="52"/>
      <c r="Q24" s="52"/>
    </row>
    <row r="25" spans="1:17" ht="14.25" thickTop="1" thickBot="1" x14ac:dyDescent="0.25">
      <c r="A25" s="612">
        <v>300000</v>
      </c>
      <c r="B25" s="543" t="s">
        <v>373</v>
      </c>
      <c r="C25" s="613">
        <f>C26</f>
        <v>58670000</v>
      </c>
      <c r="D25" s="613">
        <f>D26</f>
        <v>0</v>
      </c>
      <c r="E25" s="613">
        <f>E26</f>
        <v>58670000</v>
      </c>
      <c r="F25" s="613">
        <f>F26</f>
        <v>58670000</v>
      </c>
      <c r="G25" s="238"/>
      <c r="H25" s="52"/>
      <c r="I25" s="52"/>
      <c r="J25" s="52"/>
      <c r="K25" s="52"/>
      <c r="L25" s="52"/>
      <c r="M25" s="52"/>
      <c r="N25" s="52"/>
      <c r="O25" s="52"/>
      <c r="P25" s="52"/>
      <c r="Q25" s="52"/>
    </row>
    <row r="26" spans="1:17" ht="42" thickTop="1" thickBot="1" x14ac:dyDescent="0.25">
      <c r="A26" s="620">
        <v>301000</v>
      </c>
      <c r="B26" s="621" t="s">
        <v>374</v>
      </c>
      <c r="C26" s="622">
        <f>C27+C28</f>
        <v>58670000</v>
      </c>
      <c r="D26" s="622">
        <f>D27+D28</f>
        <v>0</v>
      </c>
      <c r="E26" s="622">
        <f>E27+E28</f>
        <v>58670000</v>
      </c>
      <c r="F26" s="622">
        <f>F27+F28</f>
        <v>58670000</v>
      </c>
      <c r="G26" s="238"/>
      <c r="H26" s="52"/>
      <c r="I26" s="52"/>
      <c r="J26" s="52"/>
      <c r="K26" s="52"/>
      <c r="L26" s="52"/>
      <c r="M26" s="52"/>
      <c r="N26" s="52"/>
      <c r="O26" s="52"/>
      <c r="P26" s="52"/>
      <c r="Q26" s="52"/>
    </row>
    <row r="27" spans="1:17" ht="14.25" thickTop="1" thickBot="1" x14ac:dyDescent="0.25">
      <c r="A27" s="614">
        <v>301100</v>
      </c>
      <c r="B27" s="615" t="s">
        <v>375</v>
      </c>
      <c r="C27" s="616">
        <f>SUM(D27,E27)</f>
        <v>62390000</v>
      </c>
      <c r="D27" s="616"/>
      <c r="E27" s="616">
        <f>50830000+11560000</f>
        <v>62390000</v>
      </c>
      <c r="F27" s="616">
        <f>50830000+11560000</f>
        <v>62390000</v>
      </c>
      <c r="G27" s="238"/>
      <c r="H27" s="52"/>
      <c r="I27" s="52"/>
      <c r="J27" s="52"/>
      <c r="K27" s="52"/>
      <c r="L27" s="52"/>
      <c r="M27" s="52"/>
      <c r="N27" s="52"/>
      <c r="O27" s="52"/>
      <c r="P27" s="52"/>
      <c r="Q27" s="52"/>
    </row>
    <row r="28" spans="1:17" ht="14.25" thickTop="1" thickBot="1" x14ac:dyDescent="0.25">
      <c r="A28" s="614">
        <v>301200</v>
      </c>
      <c r="B28" s="615" t="s">
        <v>376</v>
      </c>
      <c r="C28" s="616">
        <f>SUM(D28,E28)</f>
        <v>-3720000</v>
      </c>
      <c r="D28" s="616"/>
      <c r="E28" s="616">
        <v>-3720000</v>
      </c>
      <c r="F28" s="616">
        <v>-3720000</v>
      </c>
      <c r="G28" s="238"/>
      <c r="H28" s="52"/>
      <c r="I28" s="52"/>
      <c r="J28" s="52"/>
      <c r="K28" s="52"/>
      <c r="L28" s="52"/>
      <c r="M28" s="52"/>
      <c r="N28" s="52"/>
      <c r="O28" s="52"/>
      <c r="P28" s="52"/>
      <c r="Q28" s="52"/>
    </row>
    <row r="29" spans="1:17" ht="24" customHeight="1" thickTop="1" thickBot="1" x14ac:dyDescent="0.25">
      <c r="A29" s="625" t="s">
        <v>399</v>
      </c>
      <c r="B29" s="626" t="s">
        <v>398</v>
      </c>
      <c r="C29" s="627">
        <f>C15+C25</f>
        <v>45336600</v>
      </c>
      <c r="D29" s="627">
        <f>D15+D25</f>
        <v>-240409063</v>
      </c>
      <c r="E29" s="627">
        <f>E15+E25</f>
        <v>285745663</v>
      </c>
      <c r="F29" s="627">
        <f>F15+F25</f>
        <v>285745663</v>
      </c>
      <c r="G29" s="238"/>
      <c r="H29" s="52"/>
      <c r="I29" s="52"/>
      <c r="J29" s="52"/>
      <c r="K29" s="52"/>
      <c r="L29" s="52"/>
      <c r="M29" s="52"/>
      <c r="N29" s="52"/>
      <c r="O29" s="52"/>
      <c r="P29" s="52"/>
      <c r="Q29" s="52"/>
    </row>
    <row r="30" spans="1:17" ht="35.450000000000003" customHeight="1" thickTop="1" thickBot="1" x14ac:dyDescent="0.25">
      <c r="A30" s="770" t="s">
        <v>400</v>
      </c>
      <c r="B30" s="770"/>
      <c r="C30" s="771"/>
      <c r="D30" s="771"/>
      <c r="E30" s="771"/>
      <c r="F30" s="771"/>
      <c r="G30" s="238"/>
      <c r="H30" s="52"/>
      <c r="I30" s="52"/>
      <c r="J30" s="52"/>
      <c r="K30" s="52"/>
      <c r="L30" s="52"/>
      <c r="M30" s="52"/>
      <c r="N30" s="52"/>
      <c r="O30" s="52"/>
      <c r="P30" s="52"/>
      <c r="Q30" s="52"/>
    </row>
    <row r="31" spans="1:17" ht="27" thickTop="1" thickBot="1" x14ac:dyDescent="0.25">
      <c r="A31" s="612">
        <v>400000</v>
      </c>
      <c r="B31" s="543" t="s">
        <v>127</v>
      </c>
      <c r="C31" s="613">
        <f>C32+C37</f>
        <v>45336600</v>
      </c>
      <c r="D31" s="613">
        <f>D32+D37</f>
        <v>0</v>
      </c>
      <c r="E31" s="613">
        <f>E32+E37</f>
        <v>45336600</v>
      </c>
      <c r="F31" s="613">
        <f>F32+F37</f>
        <v>45336600</v>
      </c>
      <c r="G31" s="238"/>
      <c r="H31" s="52"/>
      <c r="I31" s="52"/>
      <c r="J31" s="52"/>
      <c r="K31" s="52"/>
      <c r="L31" s="52"/>
      <c r="M31" s="52"/>
      <c r="N31" s="52"/>
      <c r="O31" s="52"/>
      <c r="P31" s="52"/>
      <c r="Q31" s="52"/>
    </row>
    <row r="32" spans="1:17" ht="15" thickTop="1" thickBot="1" x14ac:dyDescent="0.25">
      <c r="A32" s="620">
        <v>401000</v>
      </c>
      <c r="B32" s="621" t="s">
        <v>128</v>
      </c>
      <c r="C32" s="622">
        <f>C33+C35</f>
        <v>62390000</v>
      </c>
      <c r="D32" s="622">
        <f>D33+D35</f>
        <v>0</v>
      </c>
      <c r="E32" s="622">
        <f>E33+E35</f>
        <v>62390000</v>
      </c>
      <c r="F32" s="622">
        <f>F33+F35</f>
        <v>62390000</v>
      </c>
      <c r="G32" s="238"/>
      <c r="H32" s="52"/>
      <c r="I32" s="52"/>
      <c r="J32" s="52"/>
      <c r="K32" s="52"/>
      <c r="L32" s="52"/>
      <c r="M32" s="52"/>
      <c r="N32" s="52"/>
      <c r="O32" s="52"/>
      <c r="P32" s="52"/>
      <c r="Q32" s="52"/>
    </row>
    <row r="33" spans="1:17" ht="14.25" hidden="1" thickTop="1" thickBot="1" x14ac:dyDescent="0.25">
      <c r="A33" s="617">
        <v>401100</v>
      </c>
      <c r="B33" s="618" t="s">
        <v>1063</v>
      </c>
      <c r="C33" s="619">
        <f>C34</f>
        <v>0</v>
      </c>
      <c r="D33" s="619">
        <f>D34</f>
        <v>0</v>
      </c>
      <c r="E33" s="619">
        <f>E34</f>
        <v>0</v>
      </c>
      <c r="F33" s="619">
        <f>F34</f>
        <v>0</v>
      </c>
      <c r="G33" s="238"/>
      <c r="H33" s="52"/>
      <c r="I33" s="52"/>
      <c r="J33" s="52"/>
      <c r="K33" s="52"/>
      <c r="L33" s="52"/>
      <c r="M33" s="52"/>
      <c r="N33" s="52"/>
      <c r="O33" s="52"/>
      <c r="P33" s="52"/>
      <c r="Q33" s="52"/>
    </row>
    <row r="34" spans="1:17" ht="27" hidden="1" thickTop="1" thickBot="1" x14ac:dyDescent="0.25">
      <c r="A34" s="614">
        <v>401101</v>
      </c>
      <c r="B34" s="615" t="s">
        <v>1058</v>
      </c>
      <c r="C34" s="616">
        <f>SUM(D34,E34)</f>
        <v>0</v>
      </c>
      <c r="D34" s="613"/>
      <c r="E34" s="616">
        <v>0</v>
      </c>
      <c r="F34" s="616">
        <v>0</v>
      </c>
      <c r="G34" s="238"/>
      <c r="H34" s="52"/>
      <c r="I34" s="52"/>
      <c r="J34" s="52"/>
      <c r="K34" s="52"/>
      <c r="L34" s="52"/>
      <c r="M34" s="52"/>
      <c r="N34" s="52"/>
      <c r="O34" s="52"/>
      <c r="P34" s="52"/>
      <c r="Q34" s="52"/>
    </row>
    <row r="35" spans="1:17" s="2" customFormat="1" ht="14.25" thickTop="1" thickBot="1" x14ac:dyDescent="0.25">
      <c r="A35" s="617">
        <v>401200</v>
      </c>
      <c r="B35" s="618" t="s">
        <v>377</v>
      </c>
      <c r="C35" s="619">
        <f>SUM(D35,E35)</f>
        <v>62390000</v>
      </c>
      <c r="D35" s="619"/>
      <c r="E35" s="619">
        <f>E36</f>
        <v>62390000</v>
      </c>
      <c r="F35" s="619">
        <f>F36</f>
        <v>62390000</v>
      </c>
      <c r="G35" s="246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ht="27" thickTop="1" thickBot="1" x14ac:dyDescent="0.25">
      <c r="A36" s="614">
        <v>401201</v>
      </c>
      <c r="B36" s="615" t="s">
        <v>1058</v>
      </c>
      <c r="C36" s="616">
        <f>SUM(D36,E36)</f>
        <v>62390000</v>
      </c>
      <c r="D36" s="613"/>
      <c r="E36" s="616">
        <f>50830000+11560000</f>
        <v>62390000</v>
      </c>
      <c r="F36" s="616">
        <f>50830000+11560000</f>
        <v>62390000</v>
      </c>
      <c r="G36" s="238"/>
      <c r="H36" s="52"/>
      <c r="I36" s="52"/>
      <c r="J36" s="52"/>
      <c r="K36" s="52"/>
      <c r="L36" s="52"/>
      <c r="M36" s="52"/>
      <c r="N36" s="52"/>
      <c r="O36" s="52"/>
      <c r="P36" s="52"/>
      <c r="Q36" s="52"/>
    </row>
    <row r="37" spans="1:17" s="2" customFormat="1" ht="15" thickTop="1" thickBot="1" x14ac:dyDescent="0.25">
      <c r="A37" s="620">
        <v>402000</v>
      </c>
      <c r="B37" s="621" t="s">
        <v>378</v>
      </c>
      <c r="C37" s="622">
        <f>C40+C38</f>
        <v>-17053400</v>
      </c>
      <c r="D37" s="622">
        <f>D40+D38</f>
        <v>0</v>
      </c>
      <c r="E37" s="622">
        <f>E40+E38</f>
        <v>-17053400</v>
      </c>
      <c r="F37" s="622">
        <f>F40+F38</f>
        <v>-17053400</v>
      </c>
      <c r="G37" s="246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s="2" customFormat="1" ht="27" thickTop="1" thickBot="1" x14ac:dyDescent="0.25">
      <c r="A38" s="617">
        <v>402100</v>
      </c>
      <c r="B38" s="618" t="s">
        <v>1124</v>
      </c>
      <c r="C38" s="619">
        <f>C39</f>
        <v>-13333400</v>
      </c>
      <c r="D38" s="619">
        <f>D39</f>
        <v>0</v>
      </c>
      <c r="E38" s="619">
        <f>E39</f>
        <v>-13333400</v>
      </c>
      <c r="F38" s="619">
        <f>F39</f>
        <v>-13333400</v>
      </c>
      <c r="G38" s="246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s="2" customFormat="1" ht="27" thickTop="1" thickBot="1" x14ac:dyDescent="0.25">
      <c r="A39" s="614">
        <v>402101</v>
      </c>
      <c r="B39" s="615" t="s">
        <v>1058</v>
      </c>
      <c r="C39" s="616">
        <f>SUM(D39,E39)</f>
        <v>-13333400</v>
      </c>
      <c r="D39" s="613"/>
      <c r="E39" s="616">
        <v>-13333400</v>
      </c>
      <c r="F39" s="616">
        <v>-13333400</v>
      </c>
      <c r="G39" s="246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s="2" customFormat="1" ht="14.25" thickTop="1" thickBot="1" x14ac:dyDescent="0.25">
      <c r="A40" s="617">
        <v>402200</v>
      </c>
      <c r="B40" s="618" t="s">
        <v>1057</v>
      </c>
      <c r="C40" s="619">
        <f>SUM(C41,C42)</f>
        <v>-3720000</v>
      </c>
      <c r="D40" s="619"/>
      <c r="E40" s="619">
        <f>SUM(E41,E42)</f>
        <v>-3720000</v>
      </c>
      <c r="F40" s="619">
        <f>SUM(F41,F42)</f>
        <v>-3720000</v>
      </c>
      <c r="G40" s="246"/>
      <c r="H40" s="31"/>
      <c r="I40" s="31"/>
      <c r="J40" s="31"/>
      <c r="K40" s="31"/>
      <c r="L40" s="31"/>
      <c r="M40" s="31"/>
      <c r="N40" s="31"/>
      <c r="O40" s="31"/>
      <c r="P40" s="31"/>
      <c r="Q40" s="31"/>
    </row>
    <row r="41" spans="1:17" s="2" customFormat="1" ht="27" thickTop="1" thickBot="1" x14ac:dyDescent="0.25">
      <c r="A41" s="614">
        <v>402201</v>
      </c>
      <c r="B41" s="615" t="s">
        <v>1058</v>
      </c>
      <c r="C41" s="616">
        <f>SUM(D41,E41)</f>
        <v>-3720000</v>
      </c>
      <c r="D41" s="613"/>
      <c r="E41" s="616">
        <v>-3720000</v>
      </c>
      <c r="F41" s="616">
        <v>-3720000</v>
      </c>
      <c r="G41" s="246"/>
      <c r="H41" s="31"/>
      <c r="I41" s="31"/>
      <c r="J41" s="31"/>
      <c r="K41" s="31"/>
      <c r="L41" s="31"/>
      <c r="M41" s="31"/>
      <c r="N41" s="31"/>
      <c r="O41" s="31"/>
      <c r="P41" s="31"/>
      <c r="Q41" s="31"/>
    </row>
    <row r="42" spans="1:17" ht="27" hidden="1" thickTop="1" thickBot="1" x14ac:dyDescent="0.25">
      <c r="A42" s="242">
        <v>402202</v>
      </c>
      <c r="B42" s="243" t="s">
        <v>1059</v>
      </c>
      <c r="C42" s="244">
        <f>SUM(D42,E42)</f>
        <v>0</v>
      </c>
      <c r="D42" s="237"/>
      <c r="E42" s="244">
        <v>0</v>
      </c>
      <c r="F42" s="244">
        <v>0</v>
      </c>
      <c r="G42" s="238"/>
      <c r="H42" s="52"/>
      <c r="I42" s="52"/>
      <c r="J42" s="52"/>
      <c r="K42" s="52"/>
      <c r="L42" s="52"/>
      <c r="M42" s="52"/>
      <c r="N42" s="52"/>
      <c r="O42" s="52"/>
      <c r="P42" s="52"/>
      <c r="Q42" s="52"/>
    </row>
    <row r="43" spans="1:17" ht="27" thickTop="1" thickBot="1" x14ac:dyDescent="0.25">
      <c r="A43" s="612" t="s">
        <v>129</v>
      </c>
      <c r="B43" s="543" t="s">
        <v>130</v>
      </c>
      <c r="C43" s="613">
        <f>C44</f>
        <v>0</v>
      </c>
      <c r="D43" s="613">
        <f>D44</f>
        <v>-240409063</v>
      </c>
      <c r="E43" s="613">
        <f t="shared" ref="E43:F43" si="3">E44</f>
        <v>240409063</v>
      </c>
      <c r="F43" s="613">
        <f t="shared" si="3"/>
        <v>240409063</v>
      </c>
      <c r="G43" s="238"/>
      <c r="H43" s="52"/>
      <c r="I43" s="52"/>
      <c r="J43" s="52"/>
      <c r="K43" s="52"/>
      <c r="L43" s="52"/>
      <c r="M43" s="52"/>
      <c r="N43" s="52"/>
      <c r="O43" s="52"/>
      <c r="P43" s="52"/>
      <c r="Q43" s="52"/>
    </row>
    <row r="44" spans="1:17" ht="36" customHeight="1" thickTop="1" thickBot="1" x14ac:dyDescent="0.25">
      <c r="A44" s="620">
        <v>602000</v>
      </c>
      <c r="B44" s="621" t="s">
        <v>1065</v>
      </c>
      <c r="C44" s="622">
        <f>C45+C48+C46</f>
        <v>0</v>
      </c>
      <c r="D44" s="622">
        <f>D45+D48+D46</f>
        <v>-240409063</v>
      </c>
      <c r="E44" s="622">
        <f>E45+E48+E46</f>
        <v>240409063</v>
      </c>
      <c r="F44" s="622">
        <f>F45+F48+F46</f>
        <v>240409063</v>
      </c>
      <c r="G44" s="238"/>
      <c r="H44" s="52"/>
      <c r="I44" s="52"/>
      <c r="J44" s="52"/>
      <c r="K44" s="52"/>
      <c r="L44" s="52"/>
      <c r="M44" s="52"/>
      <c r="N44" s="52"/>
      <c r="O44" s="52"/>
      <c r="P44" s="52"/>
      <c r="Q44" s="52"/>
    </row>
    <row r="45" spans="1:17" ht="27" hidden="1" customHeight="1" thickTop="1" thickBot="1" x14ac:dyDescent="0.25">
      <c r="A45" s="617">
        <v>602100</v>
      </c>
      <c r="B45" s="618" t="s">
        <v>1066</v>
      </c>
      <c r="C45" s="619">
        <f>SUM(D45,E45)</f>
        <v>0</v>
      </c>
      <c r="D45" s="619">
        <v>0</v>
      </c>
      <c r="E45" s="619">
        <v>0</v>
      </c>
      <c r="F45" s="619">
        <v>0</v>
      </c>
      <c r="G45" s="238"/>
      <c r="H45" s="52"/>
      <c r="I45" s="52"/>
      <c r="J45" s="52"/>
      <c r="K45" s="52"/>
      <c r="L45" s="52"/>
      <c r="M45" s="52"/>
      <c r="N45" s="52"/>
      <c r="O45" s="52"/>
      <c r="P45" s="52"/>
      <c r="Q45" s="52"/>
    </row>
    <row r="46" spans="1:17" ht="27" hidden="1" customHeight="1" thickTop="1" thickBot="1" x14ac:dyDescent="0.25">
      <c r="A46" s="617">
        <v>602300</v>
      </c>
      <c r="B46" s="618" t="s">
        <v>1067</v>
      </c>
      <c r="C46" s="619">
        <f>SUM(D46,E46)</f>
        <v>0</v>
      </c>
      <c r="D46" s="619">
        <f>D47</f>
        <v>0</v>
      </c>
      <c r="E46" s="619">
        <f>E47</f>
        <v>0</v>
      </c>
      <c r="F46" s="619">
        <f>E46</f>
        <v>0</v>
      </c>
      <c r="G46" s="238"/>
      <c r="H46" s="52"/>
      <c r="I46" s="52"/>
      <c r="J46" s="52"/>
      <c r="K46" s="52"/>
      <c r="L46" s="52"/>
      <c r="M46" s="52"/>
      <c r="N46" s="52"/>
      <c r="O46" s="52"/>
      <c r="P46" s="52"/>
      <c r="Q46" s="52"/>
    </row>
    <row r="47" spans="1:17" ht="63.75" hidden="1" customHeight="1" thickTop="1" thickBot="1" x14ac:dyDescent="0.25">
      <c r="A47" s="614">
        <v>602303</v>
      </c>
      <c r="B47" s="615" t="s">
        <v>1068</v>
      </c>
      <c r="C47" s="616">
        <f>SUM(D47,E47)</f>
        <v>0</v>
      </c>
      <c r="D47" s="616"/>
      <c r="E47" s="616">
        <f>-D47</f>
        <v>0</v>
      </c>
      <c r="F47" s="616">
        <f>E47</f>
        <v>0</v>
      </c>
      <c r="G47" s="238"/>
      <c r="H47" s="52"/>
      <c r="I47" s="52"/>
      <c r="J47" s="52"/>
      <c r="K47" s="52"/>
      <c r="L47" s="52"/>
      <c r="M47" s="52"/>
      <c r="N47" s="52"/>
      <c r="O47" s="52"/>
      <c r="P47" s="52"/>
      <c r="Q47" s="52"/>
    </row>
    <row r="48" spans="1:17" ht="52.5" customHeight="1" thickTop="1" thickBot="1" x14ac:dyDescent="0.25">
      <c r="A48" s="617">
        <v>602400</v>
      </c>
      <c r="B48" s="618" t="s">
        <v>126</v>
      </c>
      <c r="C48" s="619">
        <f>SUM(D48,E48)</f>
        <v>0</v>
      </c>
      <c r="D48" s="619">
        <f>D24</f>
        <v>-240409063</v>
      </c>
      <c r="E48" s="619">
        <f>E24</f>
        <v>240409063</v>
      </c>
      <c r="F48" s="619">
        <f>F24</f>
        <v>240409063</v>
      </c>
      <c r="G48" s="238"/>
      <c r="H48" s="52"/>
      <c r="I48" s="52"/>
      <c r="J48" s="52"/>
      <c r="K48" s="52"/>
      <c r="L48" s="52"/>
      <c r="M48" s="52"/>
      <c r="N48" s="52"/>
      <c r="O48" s="52"/>
      <c r="P48" s="52"/>
      <c r="Q48" s="52"/>
    </row>
    <row r="49" spans="1:17" ht="30" customHeight="1" thickTop="1" thickBot="1" x14ac:dyDescent="0.25">
      <c r="A49" s="625" t="s">
        <v>399</v>
      </c>
      <c r="B49" s="626" t="s">
        <v>398</v>
      </c>
      <c r="C49" s="627">
        <f>C31+C43</f>
        <v>45336600</v>
      </c>
      <c r="D49" s="627">
        <f>D31+D43</f>
        <v>-240409063</v>
      </c>
      <c r="E49" s="627">
        <f>E31+E43</f>
        <v>285745663</v>
      </c>
      <c r="F49" s="627">
        <f>F31+F43</f>
        <v>285745663</v>
      </c>
      <c r="G49" s="238"/>
      <c r="H49" s="52"/>
      <c r="I49" s="52"/>
      <c r="J49" s="52"/>
      <c r="K49" s="52"/>
      <c r="L49" s="52"/>
      <c r="M49" s="52"/>
      <c r="N49" s="52"/>
      <c r="O49" s="52"/>
      <c r="P49" s="52"/>
      <c r="Q49" s="52"/>
    </row>
    <row r="50" spans="1:17" ht="13.5" thickTop="1" x14ac:dyDescent="0.2">
      <c r="A50" s="25"/>
      <c r="B50" s="25"/>
      <c r="C50" s="25"/>
      <c r="D50" s="25"/>
      <c r="E50" s="25"/>
      <c r="F50" s="25"/>
      <c r="G50" s="25"/>
      <c r="H50" s="25"/>
      <c r="I50" s="25"/>
    </row>
    <row r="51" spans="1:17" ht="45.75" hidden="1" x14ac:dyDescent="0.65">
      <c r="A51" s="25"/>
      <c r="B51" s="759"/>
      <c r="C51" s="759"/>
      <c r="D51" s="759"/>
      <c r="E51" s="759"/>
      <c r="F51" s="759"/>
      <c r="G51" s="759"/>
      <c r="H51" s="759"/>
      <c r="I51" s="759"/>
      <c r="J51" s="759"/>
      <c r="K51" s="759"/>
      <c r="L51" s="759"/>
      <c r="M51" s="759"/>
      <c r="N51" s="759"/>
      <c r="O51" s="759"/>
    </row>
    <row r="52" spans="1:17" ht="16.5" customHeight="1" x14ac:dyDescent="0.65">
      <c r="A52" s="25"/>
      <c r="B52" s="209" t="s">
        <v>1337</v>
      </c>
      <c r="C52" s="204"/>
      <c r="D52" s="204"/>
      <c r="E52" s="182"/>
      <c r="F52" s="182" t="s">
        <v>1336</v>
      </c>
      <c r="G52" s="135"/>
      <c r="H52" s="135"/>
      <c r="I52" s="135"/>
      <c r="J52" s="135"/>
      <c r="K52" s="135"/>
      <c r="L52" s="135"/>
      <c r="M52" s="135"/>
      <c r="N52" s="135"/>
      <c r="O52" s="135"/>
    </row>
    <row r="53" spans="1:17" ht="15.75" hidden="1" x14ac:dyDescent="0.25">
      <c r="A53" s="25"/>
      <c r="B53" s="760" t="s">
        <v>551</v>
      </c>
      <c r="C53" s="760"/>
      <c r="D53" s="761"/>
      <c r="E53" s="25"/>
      <c r="F53" s="26" t="s">
        <v>552</v>
      </c>
      <c r="G53" s="25"/>
      <c r="H53" s="25"/>
      <c r="I53" s="25"/>
    </row>
    <row r="54" spans="1:17" ht="15.75" x14ac:dyDescent="0.25">
      <c r="A54" s="25"/>
      <c r="B54" s="190"/>
      <c r="C54" s="190"/>
      <c r="D54" s="191"/>
      <c r="E54" s="25"/>
      <c r="F54" s="26"/>
      <c r="G54" s="25"/>
      <c r="H54" s="25"/>
      <c r="I54" s="25"/>
    </row>
    <row r="55" spans="1:17" ht="15.75" x14ac:dyDescent="0.25">
      <c r="B55" s="49"/>
      <c r="F55" s="49"/>
    </row>
  </sheetData>
  <mergeCells count="13">
    <mergeCell ref="B51:O51"/>
    <mergeCell ref="B53:D53"/>
    <mergeCell ref="A5:F5"/>
    <mergeCell ref="A6:F6"/>
    <mergeCell ref="A8:F8"/>
    <mergeCell ref="A9:F9"/>
    <mergeCell ref="A11:A12"/>
    <mergeCell ref="B11:B12"/>
    <mergeCell ref="C11:C12"/>
    <mergeCell ref="D11:D12"/>
    <mergeCell ref="E11:F11"/>
    <mergeCell ref="A14:F14"/>
    <mergeCell ref="A30:F30"/>
  </mergeCells>
  <pageMargins left="1.1811023622047245" right="0.44" top="0.39370078740157483" bottom="0.19685039370078741" header="0.39370078740157483" footer="0.15748031496062992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90"/>
  <sheetViews>
    <sheetView tabSelected="1" view="pageBreakPreview" zoomScale="25" zoomScaleNormal="25" zoomScaleSheetLayoutView="25" zoomScalePageLayoutView="10" workbookViewId="0">
      <pane ySplit="14" topLeftCell="A361" activePane="bottomLeft" state="frozen"/>
      <selection activeCell="F175" sqref="F175"/>
      <selection pane="bottomLeft" activeCell="A363" sqref="A363:XFD363"/>
    </sheetView>
  </sheetViews>
  <sheetFormatPr defaultColWidth="9.140625" defaultRowHeight="12.75" x14ac:dyDescent="0.2"/>
  <cols>
    <col min="1" max="1" width="48" style="247" customWidth="1"/>
    <col min="2" max="2" width="52.5703125" style="247" customWidth="1"/>
    <col min="3" max="3" width="65.7109375" style="247" customWidth="1"/>
    <col min="4" max="4" width="106.28515625" style="247" customWidth="1"/>
    <col min="5" max="5" width="66.42578125" style="315" customWidth="1"/>
    <col min="6" max="6" width="62.5703125" style="247" customWidth="1"/>
    <col min="7" max="7" width="59.7109375" style="247" customWidth="1"/>
    <col min="8" max="8" width="48.140625" style="247" customWidth="1"/>
    <col min="9" max="9" width="41.85546875" style="247" customWidth="1"/>
    <col min="10" max="10" width="50.5703125" style="315" customWidth="1"/>
    <col min="11" max="11" width="52.5703125" style="315" customWidth="1"/>
    <col min="12" max="12" width="56.140625" style="247" customWidth="1"/>
    <col min="13" max="13" width="54.85546875" style="247" customWidth="1"/>
    <col min="14" max="14" width="45.28515625" style="247" bestFit="1" customWidth="1"/>
    <col min="15" max="15" width="56.140625" style="247" bestFit="1" customWidth="1"/>
    <col min="16" max="16" width="86.28515625" style="315" customWidth="1"/>
    <col min="17" max="17" width="52.140625" style="632" customWidth="1"/>
    <col min="18" max="18" width="33.85546875" style="249" customWidth="1"/>
    <col min="19" max="19" width="40.140625" style="250" bestFit="1" customWidth="1"/>
    <col min="20" max="20" width="43.5703125" style="250" bestFit="1" customWidth="1"/>
    <col min="21" max="16384" width="9.140625" style="250"/>
  </cols>
  <sheetData>
    <row r="1" spans="1:18" ht="45.75" x14ac:dyDescent="0.2">
      <c r="A1" s="391"/>
      <c r="B1" s="391"/>
      <c r="C1" s="391"/>
      <c r="D1" s="392"/>
      <c r="E1" s="393"/>
      <c r="F1" s="394"/>
      <c r="G1" s="393"/>
      <c r="H1" s="393"/>
      <c r="I1" s="393"/>
      <c r="J1" s="393"/>
      <c r="K1" s="393"/>
      <c r="L1" s="393"/>
      <c r="M1" s="393"/>
      <c r="N1" s="802" t="s">
        <v>518</v>
      </c>
      <c r="O1" s="776"/>
      <c r="P1" s="776"/>
      <c r="Q1" s="776"/>
    </row>
    <row r="2" spans="1:18" ht="45.75" x14ac:dyDescent="0.2">
      <c r="A2" s="392"/>
      <c r="B2" s="392"/>
      <c r="C2" s="392"/>
      <c r="D2" s="392"/>
      <c r="E2" s="393"/>
      <c r="F2" s="394"/>
      <c r="G2" s="393"/>
      <c r="H2" s="393"/>
      <c r="I2" s="393"/>
      <c r="J2" s="393"/>
      <c r="K2" s="393"/>
      <c r="L2" s="393"/>
      <c r="M2" s="393"/>
      <c r="N2" s="802" t="s">
        <v>1048</v>
      </c>
      <c r="O2" s="803"/>
      <c r="P2" s="803"/>
      <c r="Q2" s="803"/>
    </row>
    <row r="3" spans="1:18" ht="40.700000000000003" customHeight="1" x14ac:dyDescent="0.2">
      <c r="A3" s="392"/>
      <c r="B3" s="392"/>
      <c r="C3" s="392"/>
      <c r="D3" s="392"/>
      <c r="E3" s="393"/>
      <c r="F3" s="394"/>
      <c r="G3" s="393"/>
      <c r="H3" s="393"/>
      <c r="I3" s="393"/>
      <c r="J3" s="393"/>
      <c r="K3" s="393"/>
      <c r="L3" s="393"/>
      <c r="M3" s="393"/>
      <c r="N3" s="393"/>
      <c r="O3" s="802"/>
      <c r="P3" s="804"/>
      <c r="Q3" s="631"/>
    </row>
    <row r="4" spans="1:18" ht="45.75" hidden="1" x14ac:dyDescent="0.2">
      <c r="A4" s="392"/>
      <c r="B4" s="392"/>
      <c r="C4" s="392"/>
      <c r="D4" s="392"/>
      <c r="E4" s="393"/>
      <c r="F4" s="394"/>
      <c r="G4" s="393"/>
      <c r="H4" s="393"/>
      <c r="I4" s="393"/>
      <c r="J4" s="393"/>
      <c r="K4" s="393"/>
      <c r="L4" s="393"/>
      <c r="M4" s="393"/>
      <c r="N4" s="393"/>
      <c r="O4" s="392"/>
      <c r="P4" s="394"/>
      <c r="Q4" s="631"/>
    </row>
    <row r="5" spans="1:18" ht="45" x14ac:dyDescent="0.2">
      <c r="A5" s="805" t="s">
        <v>598</v>
      </c>
      <c r="B5" s="805"/>
      <c r="C5" s="805"/>
      <c r="D5" s="805"/>
      <c r="E5" s="805"/>
      <c r="F5" s="805"/>
      <c r="G5" s="805"/>
      <c r="H5" s="805"/>
      <c r="I5" s="805"/>
      <c r="J5" s="805"/>
      <c r="K5" s="805"/>
      <c r="L5" s="805"/>
      <c r="M5" s="805"/>
      <c r="N5" s="805"/>
      <c r="O5" s="805"/>
      <c r="P5" s="805"/>
      <c r="Q5" s="631"/>
    </row>
    <row r="6" spans="1:18" ht="45" x14ac:dyDescent="0.2">
      <c r="A6" s="805" t="s">
        <v>1242</v>
      </c>
      <c r="B6" s="805"/>
      <c r="C6" s="805"/>
      <c r="D6" s="805"/>
      <c r="E6" s="805"/>
      <c r="F6" s="805"/>
      <c r="G6" s="805"/>
      <c r="H6" s="805"/>
      <c r="I6" s="805"/>
      <c r="J6" s="805"/>
      <c r="K6" s="805"/>
      <c r="L6" s="805"/>
      <c r="M6" s="805"/>
      <c r="N6" s="805"/>
      <c r="O6" s="805"/>
      <c r="P6" s="805"/>
      <c r="Q6" s="631"/>
    </row>
    <row r="7" spans="1:18" ht="45" x14ac:dyDescent="0.2">
      <c r="A7" s="393"/>
      <c r="B7" s="393"/>
      <c r="C7" s="393"/>
      <c r="D7" s="393"/>
      <c r="E7" s="393"/>
      <c r="F7" s="393"/>
      <c r="G7" s="393"/>
      <c r="H7" s="393"/>
      <c r="I7" s="393"/>
      <c r="J7" s="393"/>
      <c r="K7" s="393"/>
      <c r="L7" s="393"/>
      <c r="M7" s="393"/>
      <c r="N7" s="393"/>
      <c r="O7" s="393"/>
      <c r="P7" s="393"/>
      <c r="Q7" s="631"/>
    </row>
    <row r="8" spans="1:18" ht="45.75" x14ac:dyDescent="0.65">
      <c r="A8" s="806">
        <v>22564000000</v>
      </c>
      <c r="B8" s="807"/>
      <c r="C8" s="393"/>
      <c r="D8" s="393"/>
      <c r="E8" s="393"/>
      <c r="F8" s="393"/>
      <c r="G8" s="393"/>
      <c r="H8" s="393"/>
      <c r="I8" s="393"/>
      <c r="J8" s="393"/>
      <c r="K8" s="393"/>
      <c r="L8" s="393"/>
      <c r="M8" s="393"/>
      <c r="N8" s="393"/>
      <c r="O8" s="393"/>
      <c r="P8" s="393"/>
      <c r="Q8" s="631"/>
    </row>
    <row r="9" spans="1:18" ht="45.75" x14ac:dyDescent="0.2">
      <c r="A9" s="811" t="s">
        <v>515</v>
      </c>
      <c r="B9" s="812"/>
      <c r="C9" s="393"/>
      <c r="D9" s="393"/>
      <c r="E9" s="393"/>
      <c r="F9" s="393"/>
      <c r="G9" s="393"/>
      <c r="H9" s="393"/>
      <c r="I9" s="393"/>
      <c r="J9" s="393"/>
      <c r="K9" s="393"/>
      <c r="L9" s="393"/>
      <c r="M9" s="393"/>
      <c r="N9" s="393"/>
      <c r="O9" s="393"/>
      <c r="P9" s="393"/>
      <c r="Q9" s="631"/>
    </row>
    <row r="10" spans="1:18" ht="53.45" customHeight="1" thickBot="1" x14ac:dyDescent="0.25">
      <c r="A10" s="393"/>
      <c r="B10" s="393"/>
      <c r="C10" s="393"/>
      <c r="D10" s="393"/>
      <c r="E10" s="393"/>
      <c r="F10" s="394"/>
      <c r="G10" s="393"/>
      <c r="H10" s="393"/>
      <c r="I10" s="393"/>
      <c r="J10" s="393"/>
      <c r="K10" s="393"/>
      <c r="L10" s="393"/>
      <c r="M10" s="393"/>
      <c r="N10" s="393"/>
      <c r="O10" s="393"/>
      <c r="P10" s="395" t="s">
        <v>422</v>
      </c>
      <c r="Q10" s="631"/>
    </row>
    <row r="11" spans="1:18" ht="62.45" customHeight="1" thickTop="1" thickBot="1" x14ac:dyDescent="0.25">
      <c r="A11" s="810" t="s">
        <v>516</v>
      </c>
      <c r="B11" s="810" t="s">
        <v>517</v>
      </c>
      <c r="C11" s="810" t="s">
        <v>408</v>
      </c>
      <c r="D11" s="810" t="s">
        <v>606</v>
      </c>
      <c r="E11" s="808" t="s">
        <v>12</v>
      </c>
      <c r="F11" s="808"/>
      <c r="G11" s="808"/>
      <c r="H11" s="808"/>
      <c r="I11" s="808"/>
      <c r="J11" s="808" t="s">
        <v>54</v>
      </c>
      <c r="K11" s="808"/>
      <c r="L11" s="808"/>
      <c r="M11" s="808"/>
      <c r="N11" s="808"/>
      <c r="O11" s="809"/>
      <c r="P11" s="808" t="s">
        <v>11</v>
      </c>
    </row>
    <row r="12" spans="1:18" ht="96" customHeight="1" thickTop="1" thickBot="1" x14ac:dyDescent="0.25">
      <c r="A12" s="808"/>
      <c r="B12" s="813"/>
      <c r="C12" s="813"/>
      <c r="D12" s="808"/>
      <c r="E12" s="810" t="s">
        <v>402</v>
      </c>
      <c r="F12" s="810" t="s">
        <v>55</v>
      </c>
      <c r="G12" s="810" t="s">
        <v>13</v>
      </c>
      <c r="H12" s="810"/>
      <c r="I12" s="810" t="s">
        <v>57</v>
      </c>
      <c r="J12" s="810" t="s">
        <v>402</v>
      </c>
      <c r="K12" s="810" t="s">
        <v>403</v>
      </c>
      <c r="L12" s="810" t="s">
        <v>55</v>
      </c>
      <c r="M12" s="810" t="s">
        <v>13</v>
      </c>
      <c r="N12" s="810"/>
      <c r="O12" s="810" t="s">
        <v>57</v>
      </c>
      <c r="P12" s="808"/>
    </row>
    <row r="13" spans="1:18" ht="328.5" customHeight="1" thickTop="1" thickBot="1" x14ac:dyDescent="0.25">
      <c r="A13" s="813"/>
      <c r="B13" s="813"/>
      <c r="C13" s="813"/>
      <c r="D13" s="813"/>
      <c r="E13" s="810"/>
      <c r="F13" s="810"/>
      <c r="G13" s="396" t="s">
        <v>56</v>
      </c>
      <c r="H13" s="396" t="s">
        <v>15</v>
      </c>
      <c r="I13" s="810"/>
      <c r="J13" s="810"/>
      <c r="K13" s="810"/>
      <c r="L13" s="810"/>
      <c r="M13" s="396" t="s">
        <v>56</v>
      </c>
      <c r="N13" s="396" t="s">
        <v>15</v>
      </c>
      <c r="O13" s="810"/>
      <c r="P13" s="808"/>
    </row>
    <row r="14" spans="1:18" s="254" customFormat="1" ht="47.25" thickTop="1" thickBot="1" x14ac:dyDescent="0.25">
      <c r="A14" s="150" t="s">
        <v>2</v>
      </c>
      <c r="B14" s="150" t="s">
        <v>3</v>
      </c>
      <c r="C14" s="150" t="s">
        <v>14</v>
      </c>
      <c r="D14" s="150" t="s">
        <v>5</v>
      </c>
      <c r="E14" s="150" t="s">
        <v>410</v>
      </c>
      <c r="F14" s="150" t="s">
        <v>411</v>
      </c>
      <c r="G14" s="150" t="s">
        <v>412</v>
      </c>
      <c r="H14" s="150" t="s">
        <v>413</v>
      </c>
      <c r="I14" s="150" t="s">
        <v>414</v>
      </c>
      <c r="J14" s="150" t="s">
        <v>415</v>
      </c>
      <c r="K14" s="150" t="s">
        <v>416</v>
      </c>
      <c r="L14" s="150" t="s">
        <v>417</v>
      </c>
      <c r="M14" s="150" t="s">
        <v>418</v>
      </c>
      <c r="N14" s="150" t="s">
        <v>419</v>
      </c>
      <c r="O14" s="150" t="s">
        <v>420</v>
      </c>
      <c r="P14" s="150" t="s">
        <v>421</v>
      </c>
      <c r="Q14" s="633"/>
      <c r="R14" s="253"/>
    </row>
    <row r="15" spans="1:18" s="254" customFormat="1" ht="136.5" thickTop="1" thickBot="1" x14ac:dyDescent="0.25">
      <c r="A15" s="450" t="s">
        <v>157</v>
      </c>
      <c r="B15" s="450"/>
      <c r="C15" s="450"/>
      <c r="D15" s="451" t="s">
        <v>159</v>
      </c>
      <c r="E15" s="452">
        <f>E16</f>
        <v>149656100</v>
      </c>
      <c r="F15" s="453">
        <f t="shared" ref="F15:N15" si="0">F16</f>
        <v>149656100</v>
      </c>
      <c r="G15" s="453">
        <f t="shared" si="0"/>
        <v>97388110</v>
      </c>
      <c r="H15" s="453">
        <f t="shared" si="0"/>
        <v>5754505</v>
      </c>
      <c r="I15" s="453">
        <f t="shared" si="0"/>
        <v>0</v>
      </c>
      <c r="J15" s="452">
        <f t="shared" si="0"/>
        <v>4851000</v>
      </c>
      <c r="K15" s="453">
        <f t="shared" si="0"/>
        <v>1500000</v>
      </c>
      <c r="L15" s="453">
        <f t="shared" si="0"/>
        <v>3151000</v>
      </c>
      <c r="M15" s="453">
        <f t="shared" si="0"/>
        <v>0</v>
      </c>
      <c r="N15" s="453">
        <f t="shared" si="0"/>
        <v>0</v>
      </c>
      <c r="O15" s="452">
        <f>O16</f>
        <v>1700000</v>
      </c>
      <c r="P15" s="453">
        <f t="shared" ref="P15" si="1">P16</f>
        <v>154507100</v>
      </c>
      <c r="Q15" s="634"/>
      <c r="R15" s="256"/>
    </row>
    <row r="16" spans="1:18" s="254" customFormat="1" ht="136.5" thickTop="1" thickBot="1" x14ac:dyDescent="0.25">
      <c r="A16" s="454" t="s">
        <v>158</v>
      </c>
      <c r="B16" s="454"/>
      <c r="C16" s="454"/>
      <c r="D16" s="455" t="s">
        <v>160</v>
      </c>
      <c r="E16" s="456">
        <f>E17+E22+E32+E35</f>
        <v>149656100</v>
      </c>
      <c r="F16" s="456">
        <f>F17+F22+F32+F35</f>
        <v>149656100</v>
      </c>
      <c r="G16" s="456">
        <f t="shared" ref="G16:I16" si="2">G17+G22+G32+G35</f>
        <v>97388110</v>
      </c>
      <c r="H16" s="456">
        <f t="shared" si="2"/>
        <v>5754505</v>
      </c>
      <c r="I16" s="456">
        <f t="shared" si="2"/>
        <v>0</v>
      </c>
      <c r="J16" s="456">
        <f>L16+O16</f>
        <v>4851000</v>
      </c>
      <c r="K16" s="456">
        <f>K17+K22+K32+K35</f>
        <v>1500000</v>
      </c>
      <c r="L16" s="456">
        <f>L17+L22+L32+L35</f>
        <v>3151000</v>
      </c>
      <c r="M16" s="456">
        <f t="shared" ref="M16:N16" si="3">M17+M22+M32+M35</f>
        <v>0</v>
      </c>
      <c r="N16" s="456">
        <f t="shared" si="3"/>
        <v>0</v>
      </c>
      <c r="O16" s="456">
        <f>O17+O22+O32+O35</f>
        <v>1700000</v>
      </c>
      <c r="P16" s="456">
        <f>E16+J16</f>
        <v>154507100</v>
      </c>
      <c r="Q16" s="635" t="b">
        <f>P16=P18+P19+P20+P21+P24+P27+P29+P34+P37+P38+P31+P39+P25</f>
        <v>1</v>
      </c>
      <c r="R16" s="257"/>
    </row>
    <row r="17" spans="1:18" s="260" customFormat="1" ht="47.25" thickTop="1" thickBot="1" x14ac:dyDescent="0.25">
      <c r="A17" s="150" t="s">
        <v>732</v>
      </c>
      <c r="B17" s="150" t="s">
        <v>733</v>
      </c>
      <c r="C17" s="150"/>
      <c r="D17" s="150" t="s">
        <v>734</v>
      </c>
      <c r="E17" s="459">
        <f>SUM(E18:E21)</f>
        <v>134439015</v>
      </c>
      <c r="F17" s="459">
        <f>SUM(F18:F21)</f>
        <v>134439015</v>
      </c>
      <c r="G17" s="459">
        <f t="shared" ref="G17:P17" si="4">SUM(G18:G21)</f>
        <v>97388110</v>
      </c>
      <c r="H17" s="459">
        <f t="shared" si="4"/>
        <v>5754505</v>
      </c>
      <c r="I17" s="459">
        <f t="shared" si="4"/>
        <v>0</v>
      </c>
      <c r="J17" s="459">
        <f t="shared" si="4"/>
        <v>500000</v>
      </c>
      <c r="K17" s="459">
        <f t="shared" si="4"/>
        <v>500000</v>
      </c>
      <c r="L17" s="459">
        <f t="shared" si="4"/>
        <v>0</v>
      </c>
      <c r="M17" s="459">
        <f t="shared" si="4"/>
        <v>0</v>
      </c>
      <c r="N17" s="459">
        <f t="shared" si="4"/>
        <v>0</v>
      </c>
      <c r="O17" s="459">
        <f t="shared" si="4"/>
        <v>500000</v>
      </c>
      <c r="P17" s="459">
        <f t="shared" si="4"/>
        <v>134939015</v>
      </c>
      <c r="Q17" s="636"/>
      <c r="R17" s="259"/>
    </row>
    <row r="18" spans="1:18" ht="321.75" thickTop="1" thickBot="1" x14ac:dyDescent="0.25">
      <c r="A18" s="226" t="s">
        <v>245</v>
      </c>
      <c r="B18" s="226" t="s">
        <v>246</v>
      </c>
      <c r="C18" s="226" t="s">
        <v>247</v>
      </c>
      <c r="D18" s="226" t="s">
        <v>244</v>
      </c>
      <c r="E18" s="459">
        <f t="shared" ref="E18:E37" si="5">F18</f>
        <v>131090735</v>
      </c>
      <c r="F18" s="463">
        <v>131090735</v>
      </c>
      <c r="G18" s="463">
        <v>97388110</v>
      </c>
      <c r="H18" s="463">
        <f>3475400+120000+1745920+348985+64200</f>
        <v>5754505</v>
      </c>
      <c r="I18" s="463"/>
      <c r="J18" s="459">
        <f t="shared" ref="J18:J27" si="6">L18+O18</f>
        <v>500000</v>
      </c>
      <c r="K18" s="463">
        <v>500000</v>
      </c>
      <c r="L18" s="475"/>
      <c r="M18" s="497"/>
      <c r="N18" s="497"/>
      <c r="O18" s="461">
        <f t="shared" ref="O18:O27" si="7">K18</f>
        <v>500000</v>
      </c>
      <c r="P18" s="459">
        <f>+J18+E18</f>
        <v>131590735</v>
      </c>
      <c r="Q18" s="637"/>
      <c r="R18" s="265"/>
    </row>
    <row r="19" spans="1:18" ht="230.25" hidden="1" thickTop="1" thickBot="1" x14ac:dyDescent="0.25">
      <c r="A19" s="226" t="s">
        <v>619</v>
      </c>
      <c r="B19" s="226" t="s">
        <v>249</v>
      </c>
      <c r="C19" s="226" t="s">
        <v>247</v>
      </c>
      <c r="D19" s="226" t="s">
        <v>248</v>
      </c>
      <c r="E19" s="459">
        <f t="shared" ref="E19" si="8">F19</f>
        <v>0</v>
      </c>
      <c r="F19" s="463"/>
      <c r="G19" s="463"/>
      <c r="H19" s="463"/>
      <c r="I19" s="463"/>
      <c r="J19" s="459">
        <f t="shared" ref="J19" si="9">L19+O19</f>
        <v>0</v>
      </c>
      <c r="K19" s="463"/>
      <c r="L19" s="475"/>
      <c r="M19" s="497"/>
      <c r="N19" s="497"/>
      <c r="O19" s="461">
        <f t="shared" si="7"/>
        <v>0</v>
      </c>
      <c r="P19" s="459">
        <f>+J19+E19</f>
        <v>0</v>
      </c>
      <c r="Q19" s="637"/>
      <c r="R19" s="265"/>
    </row>
    <row r="20" spans="1:18" ht="184.5" thickTop="1" thickBot="1" x14ac:dyDescent="0.25">
      <c r="A20" s="464" t="s">
        <v>667</v>
      </c>
      <c r="B20" s="464" t="s">
        <v>379</v>
      </c>
      <c r="C20" s="464" t="s">
        <v>668</v>
      </c>
      <c r="D20" s="464" t="s">
        <v>669</v>
      </c>
      <c r="E20" s="465">
        <f t="shared" ref="E20" si="10">F20</f>
        <v>49000</v>
      </c>
      <c r="F20" s="466">
        <v>49000</v>
      </c>
      <c r="G20" s="466"/>
      <c r="H20" s="466"/>
      <c r="I20" s="466"/>
      <c r="J20" s="465">
        <f t="shared" ref="J20" si="11">L20+O20</f>
        <v>0</v>
      </c>
      <c r="K20" s="466"/>
      <c r="L20" s="476"/>
      <c r="M20" s="477"/>
      <c r="N20" s="477"/>
      <c r="O20" s="478">
        <f t="shared" si="7"/>
        <v>0</v>
      </c>
      <c r="P20" s="465">
        <f>+J20+E20</f>
        <v>49000</v>
      </c>
      <c r="Q20" s="637"/>
      <c r="R20" s="269"/>
    </row>
    <row r="21" spans="1:18" ht="93" thickTop="1" thickBot="1" x14ac:dyDescent="0.25">
      <c r="A21" s="464" t="s">
        <v>260</v>
      </c>
      <c r="B21" s="464" t="s">
        <v>45</v>
      </c>
      <c r="C21" s="464" t="s">
        <v>44</v>
      </c>
      <c r="D21" s="464" t="s">
        <v>261</v>
      </c>
      <c r="E21" s="465">
        <f t="shared" si="5"/>
        <v>3299280</v>
      </c>
      <c r="F21" s="481">
        <v>3299280</v>
      </c>
      <c r="G21" s="481"/>
      <c r="H21" s="481"/>
      <c r="I21" s="481"/>
      <c r="J21" s="465">
        <f t="shared" si="6"/>
        <v>0</v>
      </c>
      <c r="K21" s="481"/>
      <c r="L21" s="481"/>
      <c r="M21" s="481"/>
      <c r="N21" s="481"/>
      <c r="O21" s="478">
        <f t="shared" si="7"/>
        <v>0</v>
      </c>
      <c r="P21" s="465">
        <f>E21+J21</f>
        <v>3299280</v>
      </c>
      <c r="Q21" s="637"/>
      <c r="R21" s="269"/>
    </row>
    <row r="22" spans="1:18" s="260" customFormat="1" ht="47.25" thickTop="1" thickBot="1" x14ac:dyDescent="0.3">
      <c r="A22" s="150" t="s">
        <v>797</v>
      </c>
      <c r="B22" s="482" t="s">
        <v>798</v>
      </c>
      <c r="C22" s="482"/>
      <c r="D22" s="482" t="s">
        <v>799</v>
      </c>
      <c r="E22" s="465">
        <f t="shared" ref="E22:P22" si="12">SUM(E23:E31)-E23-E26-E28</f>
        <v>7171190</v>
      </c>
      <c r="F22" s="465">
        <f t="shared" si="12"/>
        <v>7171190</v>
      </c>
      <c r="G22" s="465">
        <f t="shared" si="12"/>
        <v>0</v>
      </c>
      <c r="H22" s="465">
        <f t="shared" si="12"/>
        <v>0</v>
      </c>
      <c r="I22" s="465">
        <f t="shared" si="12"/>
        <v>0</v>
      </c>
      <c r="J22" s="465">
        <f t="shared" si="12"/>
        <v>4351000</v>
      </c>
      <c r="K22" s="465">
        <f t="shared" si="12"/>
        <v>1000000</v>
      </c>
      <c r="L22" s="465">
        <f t="shared" si="12"/>
        <v>3151000</v>
      </c>
      <c r="M22" s="465">
        <f t="shared" si="12"/>
        <v>0</v>
      </c>
      <c r="N22" s="465">
        <f t="shared" si="12"/>
        <v>0</v>
      </c>
      <c r="O22" s="465">
        <f t="shared" si="12"/>
        <v>1200000</v>
      </c>
      <c r="P22" s="465">
        <f t="shared" si="12"/>
        <v>11522190</v>
      </c>
      <c r="Q22" s="638"/>
      <c r="R22" s="272"/>
    </row>
    <row r="23" spans="1:18" s="275" customFormat="1" ht="91.5" thickTop="1" thickBot="1" x14ac:dyDescent="0.25">
      <c r="A23" s="483" t="s">
        <v>735</v>
      </c>
      <c r="B23" s="483" t="s">
        <v>736</v>
      </c>
      <c r="C23" s="483"/>
      <c r="D23" s="483" t="s">
        <v>737</v>
      </c>
      <c r="E23" s="484">
        <f t="shared" ref="E23:P23" si="13">SUM(E24:E25)</f>
        <v>4612300</v>
      </c>
      <c r="F23" s="484">
        <f t="shared" si="13"/>
        <v>4612300</v>
      </c>
      <c r="G23" s="484">
        <f t="shared" si="13"/>
        <v>0</v>
      </c>
      <c r="H23" s="484">
        <f t="shared" si="13"/>
        <v>0</v>
      </c>
      <c r="I23" s="484">
        <f t="shared" si="13"/>
        <v>0</v>
      </c>
      <c r="J23" s="484">
        <f t="shared" si="13"/>
        <v>1000000</v>
      </c>
      <c r="K23" s="484">
        <f t="shared" si="13"/>
        <v>1000000</v>
      </c>
      <c r="L23" s="484">
        <f t="shared" si="13"/>
        <v>0</v>
      </c>
      <c r="M23" s="484">
        <f t="shared" si="13"/>
        <v>0</v>
      </c>
      <c r="N23" s="484">
        <f t="shared" si="13"/>
        <v>0</v>
      </c>
      <c r="O23" s="484">
        <f t="shared" si="13"/>
        <v>1000000</v>
      </c>
      <c r="P23" s="484">
        <f t="shared" si="13"/>
        <v>5612300</v>
      </c>
      <c r="Q23" s="639"/>
      <c r="R23" s="274"/>
    </row>
    <row r="24" spans="1:18" ht="93" thickTop="1" thickBot="1" x14ac:dyDescent="0.25">
      <c r="A24" s="464" t="s">
        <v>251</v>
      </c>
      <c r="B24" s="464" t="s">
        <v>252</v>
      </c>
      <c r="C24" s="464" t="s">
        <v>253</v>
      </c>
      <c r="D24" s="464" t="s">
        <v>250</v>
      </c>
      <c r="E24" s="465">
        <f t="shared" si="5"/>
        <v>4612300</v>
      </c>
      <c r="F24" s="481">
        <v>4612300</v>
      </c>
      <c r="G24" s="481"/>
      <c r="H24" s="481"/>
      <c r="I24" s="481"/>
      <c r="J24" s="465">
        <f t="shared" si="6"/>
        <v>1000000</v>
      </c>
      <c r="K24" s="481">
        <v>1000000</v>
      </c>
      <c r="L24" s="481"/>
      <c r="M24" s="481"/>
      <c r="N24" s="481"/>
      <c r="O24" s="478">
        <f t="shared" si="7"/>
        <v>1000000</v>
      </c>
      <c r="P24" s="465">
        <f>+J24+E24</f>
        <v>5612300</v>
      </c>
      <c r="Q24" s="637"/>
      <c r="R24" s="265"/>
    </row>
    <row r="25" spans="1:18" ht="230.25" hidden="1" thickTop="1" thickBot="1" x14ac:dyDescent="0.25">
      <c r="A25" s="266" t="s">
        <v>1072</v>
      </c>
      <c r="B25" s="266" t="s">
        <v>1073</v>
      </c>
      <c r="C25" s="266" t="s">
        <v>253</v>
      </c>
      <c r="D25" s="266" t="s">
        <v>1074</v>
      </c>
      <c r="E25" s="267">
        <f t="shared" si="5"/>
        <v>0</v>
      </c>
      <c r="F25" s="270">
        <v>0</v>
      </c>
      <c r="G25" s="270"/>
      <c r="H25" s="270"/>
      <c r="I25" s="270"/>
      <c r="J25" s="267">
        <f t="shared" si="6"/>
        <v>0</v>
      </c>
      <c r="K25" s="270"/>
      <c r="L25" s="270"/>
      <c r="M25" s="270"/>
      <c r="N25" s="270"/>
      <c r="O25" s="268"/>
      <c r="P25" s="267">
        <f>+J25+E25</f>
        <v>0</v>
      </c>
      <c r="Q25" s="637"/>
      <c r="R25" s="265"/>
    </row>
    <row r="26" spans="1:18" s="277" customFormat="1" ht="136.5" thickTop="1" thickBot="1" x14ac:dyDescent="0.25">
      <c r="A26" s="485" t="s">
        <v>739</v>
      </c>
      <c r="B26" s="485" t="s">
        <v>740</v>
      </c>
      <c r="C26" s="485"/>
      <c r="D26" s="485" t="s">
        <v>738</v>
      </c>
      <c r="E26" s="484">
        <f>SUM(E27)+E28</f>
        <v>2558890</v>
      </c>
      <c r="F26" s="484">
        <f t="shared" ref="F26:P26" si="14">SUM(F27)+F28</f>
        <v>2558890</v>
      </c>
      <c r="G26" s="484">
        <f t="shared" si="14"/>
        <v>0</v>
      </c>
      <c r="H26" s="484">
        <f t="shared" si="14"/>
        <v>0</v>
      </c>
      <c r="I26" s="484">
        <f t="shared" si="14"/>
        <v>0</v>
      </c>
      <c r="J26" s="484">
        <f t="shared" si="14"/>
        <v>3351000</v>
      </c>
      <c r="K26" s="484">
        <f t="shared" si="14"/>
        <v>0</v>
      </c>
      <c r="L26" s="484">
        <f t="shared" si="14"/>
        <v>3151000</v>
      </c>
      <c r="M26" s="484">
        <f t="shared" si="14"/>
        <v>0</v>
      </c>
      <c r="N26" s="484">
        <f t="shared" si="14"/>
        <v>0</v>
      </c>
      <c r="O26" s="484">
        <f t="shared" si="14"/>
        <v>200000</v>
      </c>
      <c r="P26" s="484">
        <f t="shared" si="14"/>
        <v>5909890</v>
      </c>
      <c r="Q26" s="640"/>
      <c r="R26" s="276"/>
    </row>
    <row r="27" spans="1:18" ht="138.75" thickTop="1" thickBot="1" x14ac:dyDescent="0.25">
      <c r="A27" s="464" t="s">
        <v>313</v>
      </c>
      <c r="B27" s="464" t="s">
        <v>314</v>
      </c>
      <c r="C27" s="464" t="s">
        <v>179</v>
      </c>
      <c r="D27" s="464" t="s">
        <v>464</v>
      </c>
      <c r="E27" s="465">
        <f t="shared" si="5"/>
        <v>380000</v>
      </c>
      <c r="F27" s="481">
        <v>380000</v>
      </c>
      <c r="G27" s="481"/>
      <c r="H27" s="481"/>
      <c r="I27" s="481"/>
      <c r="J27" s="465">
        <f t="shared" si="6"/>
        <v>0</v>
      </c>
      <c r="K27" s="481"/>
      <c r="L27" s="481"/>
      <c r="M27" s="481"/>
      <c r="N27" s="481"/>
      <c r="O27" s="478">
        <f t="shared" si="7"/>
        <v>0</v>
      </c>
      <c r="P27" s="465">
        <f>+J27+E27</f>
        <v>380000</v>
      </c>
      <c r="Q27" s="637"/>
      <c r="R27" s="269"/>
    </row>
    <row r="28" spans="1:18" s="277" customFormat="1" ht="48" thickTop="1" thickBot="1" x14ac:dyDescent="0.25">
      <c r="A28" s="486" t="s">
        <v>742</v>
      </c>
      <c r="B28" s="486" t="s">
        <v>743</v>
      </c>
      <c r="C28" s="486"/>
      <c r="D28" s="487" t="s">
        <v>741</v>
      </c>
      <c r="E28" s="488">
        <f>SUM(E29:E31)</f>
        <v>2178890</v>
      </c>
      <c r="F28" s="488">
        <f t="shared" ref="F28:O28" si="15">SUM(F29:F31)</f>
        <v>2178890</v>
      </c>
      <c r="G28" s="488">
        <f t="shared" si="15"/>
        <v>0</v>
      </c>
      <c r="H28" s="488">
        <f t="shared" si="15"/>
        <v>0</v>
      </c>
      <c r="I28" s="488">
        <f t="shared" si="15"/>
        <v>0</v>
      </c>
      <c r="J28" s="488">
        <f t="shared" si="15"/>
        <v>3351000</v>
      </c>
      <c r="K28" s="488">
        <f t="shared" si="15"/>
        <v>0</v>
      </c>
      <c r="L28" s="488">
        <f t="shared" si="15"/>
        <v>3151000</v>
      </c>
      <c r="M28" s="488">
        <f t="shared" si="15"/>
        <v>0</v>
      </c>
      <c r="N28" s="488">
        <f t="shared" si="15"/>
        <v>0</v>
      </c>
      <c r="O28" s="488">
        <f t="shared" si="15"/>
        <v>200000</v>
      </c>
      <c r="P28" s="488">
        <f>E28+J28</f>
        <v>5529890</v>
      </c>
      <c r="Q28" s="640"/>
      <c r="R28" s="279"/>
    </row>
    <row r="29" spans="1:18" s="275" customFormat="1" ht="361.5" customHeight="1" thickTop="1" thickBot="1" x14ac:dyDescent="0.7">
      <c r="A29" s="794" t="s">
        <v>355</v>
      </c>
      <c r="B29" s="794" t="s">
        <v>354</v>
      </c>
      <c r="C29" s="794" t="s">
        <v>179</v>
      </c>
      <c r="D29" s="490" t="s">
        <v>462</v>
      </c>
      <c r="E29" s="796">
        <f t="shared" si="5"/>
        <v>0</v>
      </c>
      <c r="F29" s="786"/>
      <c r="G29" s="786"/>
      <c r="H29" s="786"/>
      <c r="I29" s="786"/>
      <c r="J29" s="797">
        <f>L29+O29</f>
        <v>3351000</v>
      </c>
      <c r="K29" s="786"/>
      <c r="L29" s="786">
        <v>3151000</v>
      </c>
      <c r="M29" s="786"/>
      <c r="N29" s="786"/>
      <c r="O29" s="788">
        <v>200000</v>
      </c>
      <c r="P29" s="790">
        <f>E29+J29</f>
        <v>3351000</v>
      </c>
      <c r="Q29" s="641"/>
      <c r="R29" s="280"/>
    </row>
    <row r="30" spans="1:18" s="275" customFormat="1" ht="184.5" thickTop="1" thickBot="1" x14ac:dyDescent="0.25">
      <c r="A30" s="795"/>
      <c r="B30" s="827"/>
      <c r="C30" s="795"/>
      <c r="D30" s="492" t="s">
        <v>463</v>
      </c>
      <c r="E30" s="795"/>
      <c r="F30" s="787"/>
      <c r="G30" s="787"/>
      <c r="H30" s="787"/>
      <c r="I30" s="787"/>
      <c r="J30" s="798"/>
      <c r="K30" s="787"/>
      <c r="L30" s="787"/>
      <c r="M30" s="787"/>
      <c r="N30" s="787"/>
      <c r="O30" s="789"/>
      <c r="P30" s="791"/>
      <c r="Q30" s="642"/>
      <c r="R30" s="280"/>
    </row>
    <row r="31" spans="1:18" s="275" customFormat="1" ht="93" thickTop="1" thickBot="1" x14ac:dyDescent="0.25">
      <c r="A31" s="226" t="s">
        <v>979</v>
      </c>
      <c r="B31" s="226" t="s">
        <v>270</v>
      </c>
      <c r="C31" s="226" t="s">
        <v>179</v>
      </c>
      <c r="D31" s="226" t="s">
        <v>268</v>
      </c>
      <c r="E31" s="465">
        <f>F31</f>
        <v>2178890</v>
      </c>
      <c r="F31" s="481">
        <v>2178890</v>
      </c>
      <c r="G31" s="481"/>
      <c r="H31" s="481"/>
      <c r="I31" s="481"/>
      <c r="J31" s="465">
        <f>L31+O31</f>
        <v>0</v>
      </c>
      <c r="K31" s="481"/>
      <c r="L31" s="481"/>
      <c r="M31" s="481"/>
      <c r="N31" s="481"/>
      <c r="O31" s="478"/>
      <c r="P31" s="465">
        <f>E31+J31</f>
        <v>2178890</v>
      </c>
      <c r="Q31" s="642"/>
      <c r="R31" s="280"/>
    </row>
    <row r="32" spans="1:18" s="275" customFormat="1" ht="46.5" customHeight="1" thickTop="1" thickBot="1" x14ac:dyDescent="0.25">
      <c r="A32" s="150" t="s">
        <v>744</v>
      </c>
      <c r="B32" s="150" t="s">
        <v>745</v>
      </c>
      <c r="C32" s="150"/>
      <c r="D32" s="150" t="s">
        <v>746</v>
      </c>
      <c r="E32" s="459">
        <f>E33</f>
        <v>7313195</v>
      </c>
      <c r="F32" s="459">
        <f t="shared" ref="F32:O32" si="16">F33</f>
        <v>7313195</v>
      </c>
      <c r="G32" s="459">
        <f t="shared" si="16"/>
        <v>0</v>
      </c>
      <c r="H32" s="459">
        <f t="shared" si="16"/>
        <v>0</v>
      </c>
      <c r="I32" s="459">
        <f t="shared" si="16"/>
        <v>0</v>
      </c>
      <c r="J32" s="459">
        <f t="shared" si="16"/>
        <v>0</v>
      </c>
      <c r="K32" s="459">
        <f t="shared" si="16"/>
        <v>0</v>
      </c>
      <c r="L32" s="459">
        <f t="shared" si="16"/>
        <v>0</v>
      </c>
      <c r="M32" s="459">
        <f t="shared" si="16"/>
        <v>0</v>
      </c>
      <c r="N32" s="459">
        <f t="shared" si="16"/>
        <v>0</v>
      </c>
      <c r="O32" s="459">
        <f t="shared" si="16"/>
        <v>0</v>
      </c>
      <c r="P32" s="459">
        <f>P33</f>
        <v>7313195</v>
      </c>
      <c r="Q32" s="642"/>
      <c r="R32" s="280"/>
    </row>
    <row r="33" spans="1:20" s="275" customFormat="1" ht="47.25" thickTop="1" thickBot="1" x14ac:dyDescent="0.25">
      <c r="A33" s="483" t="s">
        <v>747</v>
      </c>
      <c r="B33" s="483" t="s">
        <v>748</v>
      </c>
      <c r="C33" s="483"/>
      <c r="D33" s="483" t="s">
        <v>749</v>
      </c>
      <c r="E33" s="484">
        <f>SUM(E34)</f>
        <v>7313195</v>
      </c>
      <c r="F33" s="484">
        <f t="shared" ref="F33:P33" si="17">SUM(F34)</f>
        <v>7313195</v>
      </c>
      <c r="G33" s="484">
        <f t="shared" si="17"/>
        <v>0</v>
      </c>
      <c r="H33" s="484">
        <f t="shared" si="17"/>
        <v>0</v>
      </c>
      <c r="I33" s="484">
        <f t="shared" si="17"/>
        <v>0</v>
      </c>
      <c r="J33" s="484">
        <f t="shared" si="17"/>
        <v>0</v>
      </c>
      <c r="K33" s="484">
        <f t="shared" si="17"/>
        <v>0</v>
      </c>
      <c r="L33" s="484">
        <f t="shared" si="17"/>
        <v>0</v>
      </c>
      <c r="M33" s="484">
        <f t="shared" si="17"/>
        <v>0</v>
      </c>
      <c r="N33" s="484">
        <f t="shared" si="17"/>
        <v>0</v>
      </c>
      <c r="O33" s="484">
        <f t="shared" si="17"/>
        <v>0</v>
      </c>
      <c r="P33" s="484">
        <f t="shared" si="17"/>
        <v>7313195</v>
      </c>
      <c r="Q33" s="642"/>
    </row>
    <row r="34" spans="1:20" ht="93" thickTop="1" thickBot="1" x14ac:dyDescent="0.25">
      <c r="A34" s="464" t="s">
        <v>254</v>
      </c>
      <c r="B34" s="464" t="s">
        <v>255</v>
      </c>
      <c r="C34" s="464" t="s">
        <v>256</v>
      </c>
      <c r="D34" s="464" t="s">
        <v>257</v>
      </c>
      <c r="E34" s="465">
        <f>F34</f>
        <v>7313195</v>
      </c>
      <c r="F34" s="481">
        <v>7313195</v>
      </c>
      <c r="G34" s="481"/>
      <c r="H34" s="481"/>
      <c r="I34" s="481"/>
      <c r="J34" s="465">
        <f>L34+O34</f>
        <v>0</v>
      </c>
      <c r="K34" s="481"/>
      <c r="L34" s="481"/>
      <c r="M34" s="481"/>
      <c r="N34" s="481"/>
      <c r="O34" s="478">
        <f>K34</f>
        <v>0</v>
      </c>
      <c r="P34" s="465">
        <f>E34+J34</f>
        <v>7313195</v>
      </c>
    </row>
    <row r="35" spans="1:20" ht="47.25" thickTop="1" thickBot="1" x14ac:dyDescent="0.25">
      <c r="A35" s="150" t="s">
        <v>750</v>
      </c>
      <c r="B35" s="150" t="s">
        <v>751</v>
      </c>
      <c r="C35" s="150"/>
      <c r="D35" s="150" t="s">
        <v>752</v>
      </c>
      <c r="E35" s="459">
        <f t="shared" ref="E35:P35" si="18">E36+E39</f>
        <v>732700</v>
      </c>
      <c r="F35" s="459">
        <f t="shared" si="18"/>
        <v>732700</v>
      </c>
      <c r="G35" s="459">
        <f t="shared" si="18"/>
        <v>0</v>
      </c>
      <c r="H35" s="459">
        <f t="shared" si="18"/>
        <v>0</v>
      </c>
      <c r="I35" s="459">
        <f t="shared" si="18"/>
        <v>0</v>
      </c>
      <c r="J35" s="459">
        <f t="shared" si="18"/>
        <v>0</v>
      </c>
      <c r="K35" s="459">
        <f t="shared" si="18"/>
        <v>0</v>
      </c>
      <c r="L35" s="459">
        <f t="shared" si="18"/>
        <v>0</v>
      </c>
      <c r="M35" s="459">
        <f t="shared" si="18"/>
        <v>0</v>
      </c>
      <c r="N35" s="459">
        <f t="shared" si="18"/>
        <v>0</v>
      </c>
      <c r="O35" s="459">
        <f t="shared" si="18"/>
        <v>0</v>
      </c>
      <c r="P35" s="459">
        <f t="shared" si="18"/>
        <v>732700</v>
      </c>
    </row>
    <row r="36" spans="1:20" s="275" customFormat="1" ht="271.5" thickTop="1" thickBot="1" x14ac:dyDescent="0.25">
      <c r="A36" s="483" t="s">
        <v>753</v>
      </c>
      <c r="B36" s="483" t="s">
        <v>754</v>
      </c>
      <c r="C36" s="483"/>
      <c r="D36" s="483" t="s">
        <v>755</v>
      </c>
      <c r="E36" s="484">
        <f>SUM(E37:E38)</f>
        <v>732700</v>
      </c>
      <c r="F36" s="484">
        <f t="shared" ref="F36:P36" si="19">SUM(F37:F38)</f>
        <v>732700</v>
      </c>
      <c r="G36" s="484">
        <f t="shared" si="19"/>
        <v>0</v>
      </c>
      <c r="H36" s="484">
        <f t="shared" si="19"/>
        <v>0</v>
      </c>
      <c r="I36" s="484">
        <f t="shared" si="19"/>
        <v>0</v>
      </c>
      <c r="J36" s="484">
        <f t="shared" si="19"/>
        <v>0</v>
      </c>
      <c r="K36" s="484">
        <f t="shared" si="19"/>
        <v>0</v>
      </c>
      <c r="L36" s="484">
        <f t="shared" si="19"/>
        <v>0</v>
      </c>
      <c r="M36" s="484">
        <f t="shared" si="19"/>
        <v>0</v>
      </c>
      <c r="N36" s="484">
        <f t="shared" si="19"/>
        <v>0</v>
      </c>
      <c r="O36" s="484">
        <f t="shared" si="19"/>
        <v>0</v>
      </c>
      <c r="P36" s="484">
        <f t="shared" si="19"/>
        <v>732700</v>
      </c>
      <c r="Q36" s="642"/>
      <c r="R36" s="280"/>
    </row>
    <row r="37" spans="1:20" ht="276" thickTop="1" thickBot="1" x14ac:dyDescent="0.25">
      <c r="A37" s="226" t="s">
        <v>258</v>
      </c>
      <c r="B37" s="226" t="s">
        <v>259</v>
      </c>
      <c r="C37" s="226" t="s">
        <v>45</v>
      </c>
      <c r="D37" s="226" t="s">
        <v>465</v>
      </c>
      <c r="E37" s="459">
        <f t="shared" si="5"/>
        <v>600600</v>
      </c>
      <c r="F37" s="460">
        <v>600600</v>
      </c>
      <c r="G37" s="460"/>
      <c r="H37" s="460"/>
      <c r="I37" s="460"/>
      <c r="J37" s="459">
        <f>L37+O37</f>
        <v>0</v>
      </c>
      <c r="K37" s="460"/>
      <c r="L37" s="460"/>
      <c r="M37" s="460"/>
      <c r="N37" s="460"/>
      <c r="O37" s="461">
        <f>K37</f>
        <v>0</v>
      </c>
      <c r="P37" s="459">
        <f>E37+J37</f>
        <v>600600</v>
      </c>
    </row>
    <row r="38" spans="1:20" ht="93" thickTop="1" thickBot="1" x14ac:dyDescent="0.25">
      <c r="A38" s="226" t="s">
        <v>609</v>
      </c>
      <c r="B38" s="226" t="s">
        <v>380</v>
      </c>
      <c r="C38" s="226" t="s">
        <v>45</v>
      </c>
      <c r="D38" s="226" t="s">
        <v>381</v>
      </c>
      <c r="E38" s="459">
        <f t="shared" ref="E38:E39" si="20">F38</f>
        <v>132100</v>
      </c>
      <c r="F38" s="460">
        <v>132100</v>
      </c>
      <c r="G38" s="460"/>
      <c r="H38" s="460"/>
      <c r="I38" s="460"/>
      <c r="J38" s="459">
        <f>L38+O38</f>
        <v>0</v>
      </c>
      <c r="K38" s="460"/>
      <c r="L38" s="460"/>
      <c r="M38" s="460"/>
      <c r="N38" s="460"/>
      <c r="O38" s="461">
        <f>K38</f>
        <v>0</v>
      </c>
      <c r="P38" s="459">
        <f>E38+J38</f>
        <v>132100</v>
      </c>
    </row>
    <row r="39" spans="1:20" ht="271.5" hidden="1" thickTop="1" thickBot="1" x14ac:dyDescent="0.25">
      <c r="A39" s="255" t="s">
        <v>538</v>
      </c>
      <c r="B39" s="255" t="s">
        <v>539</v>
      </c>
      <c r="C39" s="255" t="s">
        <v>45</v>
      </c>
      <c r="D39" s="255" t="s">
        <v>540</v>
      </c>
      <c r="E39" s="273">
        <f t="shared" si="20"/>
        <v>0</v>
      </c>
      <c r="F39" s="273">
        <v>0</v>
      </c>
      <c r="G39" s="273"/>
      <c r="H39" s="273"/>
      <c r="I39" s="273"/>
      <c r="J39" s="273">
        <f>L39+O39</f>
        <v>0</v>
      </c>
      <c r="K39" s="270">
        <v>0</v>
      </c>
      <c r="L39" s="273"/>
      <c r="M39" s="273"/>
      <c r="N39" s="273"/>
      <c r="O39" s="273">
        <f>K39</f>
        <v>0</v>
      </c>
      <c r="P39" s="273">
        <f>E39+J39</f>
        <v>0</v>
      </c>
      <c r="R39" s="257"/>
    </row>
    <row r="40" spans="1:20" ht="136.5" thickTop="1" thickBot="1" x14ac:dyDescent="0.25">
      <c r="A40" s="450" t="s">
        <v>161</v>
      </c>
      <c r="B40" s="450"/>
      <c r="C40" s="450"/>
      <c r="D40" s="451" t="s">
        <v>0</v>
      </c>
      <c r="E40" s="452">
        <f>E41</f>
        <v>1863754110</v>
      </c>
      <c r="F40" s="453">
        <f t="shared" ref="F40" si="21">F41</f>
        <v>1863754110</v>
      </c>
      <c r="G40" s="453">
        <f>G41</f>
        <v>1241065255</v>
      </c>
      <c r="H40" s="453">
        <f>H41</f>
        <v>192249693</v>
      </c>
      <c r="I40" s="453">
        <f t="shared" ref="I40" si="22">I41</f>
        <v>0</v>
      </c>
      <c r="J40" s="452">
        <f>J41</f>
        <v>234092954</v>
      </c>
      <c r="K40" s="453">
        <f>K41</f>
        <v>70747404</v>
      </c>
      <c r="L40" s="453">
        <f>L41</f>
        <v>160069640</v>
      </c>
      <c r="M40" s="453">
        <f t="shared" ref="M40" si="23">M41</f>
        <v>45127299</v>
      </c>
      <c r="N40" s="453">
        <f>N41</f>
        <v>14370056</v>
      </c>
      <c r="O40" s="452">
        <f>O41</f>
        <v>74023314</v>
      </c>
      <c r="P40" s="453">
        <f t="shared" ref="P40" si="24">P41</f>
        <v>2097847064</v>
      </c>
    </row>
    <row r="41" spans="1:20" ht="136.5" thickTop="1" thickBot="1" x14ac:dyDescent="0.25">
      <c r="A41" s="454" t="s">
        <v>162</v>
      </c>
      <c r="B41" s="454"/>
      <c r="C41" s="454"/>
      <c r="D41" s="455" t="s">
        <v>1</v>
      </c>
      <c r="E41" s="456">
        <f>E42+E74+E85+E79</f>
        <v>1863754110</v>
      </c>
      <c r="F41" s="456">
        <f>F42+F74+F85+F79</f>
        <v>1863754110</v>
      </c>
      <c r="G41" s="456">
        <f>G42+G74+G85+G79</f>
        <v>1241065255</v>
      </c>
      <c r="H41" s="456">
        <f>H42+H74+H85+H79</f>
        <v>192249693</v>
      </c>
      <c r="I41" s="456">
        <f>I42+I74+I85+I79</f>
        <v>0</v>
      </c>
      <c r="J41" s="456">
        <f>L41+O41</f>
        <v>234092954</v>
      </c>
      <c r="K41" s="456">
        <f>K42+K74+K85+K79</f>
        <v>70747404</v>
      </c>
      <c r="L41" s="456">
        <f>L42+L74+L85+L79</f>
        <v>160069640</v>
      </c>
      <c r="M41" s="456">
        <f>M42+M74+M85+M79</f>
        <v>45127299</v>
      </c>
      <c r="N41" s="456">
        <f>N42+N74+N85+N79</f>
        <v>14370056</v>
      </c>
      <c r="O41" s="456">
        <f>O42+O74+O85+O79</f>
        <v>74023314</v>
      </c>
      <c r="P41" s="456">
        <f>E41+J41</f>
        <v>2097847064</v>
      </c>
      <c r="Q41" s="635" t="b">
        <f>P41=P43+P45+P46+P49+P54+P56+P57+P59+P60+P62+P63+P64+P66+P72+P75+P53+P73+P47+P67+P69+P77+P70+P87+P78+P82+P84+P50</f>
        <v>1</v>
      </c>
      <c r="R41" s="257"/>
    </row>
    <row r="42" spans="1:20" ht="47.25" thickTop="1" thickBot="1" x14ac:dyDescent="0.25">
      <c r="A42" s="150" t="s">
        <v>756</v>
      </c>
      <c r="B42" s="150" t="s">
        <v>757</v>
      </c>
      <c r="C42" s="150"/>
      <c r="D42" s="150" t="s">
        <v>758</v>
      </c>
      <c r="E42" s="459">
        <f>E43+E44+E48+E54+E55+E58+E61+E64+E65+E72+E51+E73+E68+E76</f>
        <v>1863754110</v>
      </c>
      <c r="F42" s="459">
        <f t="shared" ref="F42:P42" si="25">F43+F44+F48+F54+F55+F58+F61+F64+F65+F72+F51+F73+F68+F76</f>
        <v>1863754110</v>
      </c>
      <c r="G42" s="459">
        <f>G43+G44+G48+G54+G55+G58+G61+G64+G65+G72+G51+G73+G68+G76</f>
        <v>1241065255</v>
      </c>
      <c r="H42" s="501">
        <f t="shared" si="25"/>
        <v>192249693</v>
      </c>
      <c r="I42" s="501">
        <f t="shared" si="25"/>
        <v>0</v>
      </c>
      <c r="J42" s="501">
        <f t="shared" si="25"/>
        <v>180194954</v>
      </c>
      <c r="K42" s="501">
        <f t="shared" si="25"/>
        <v>16849404</v>
      </c>
      <c r="L42" s="501">
        <f t="shared" si="25"/>
        <v>160069640</v>
      </c>
      <c r="M42" s="501">
        <f t="shared" si="25"/>
        <v>45127299</v>
      </c>
      <c r="N42" s="501">
        <f t="shared" si="25"/>
        <v>14370056</v>
      </c>
      <c r="O42" s="501">
        <f t="shared" si="25"/>
        <v>20125314</v>
      </c>
      <c r="P42" s="501">
        <f t="shared" si="25"/>
        <v>2043949064</v>
      </c>
      <c r="Q42" s="635"/>
      <c r="R42" s="257"/>
    </row>
    <row r="43" spans="1:20" ht="99" customHeight="1" thickTop="1" thickBot="1" x14ac:dyDescent="0.6">
      <c r="A43" s="226" t="s">
        <v>211</v>
      </c>
      <c r="B43" s="226" t="s">
        <v>212</v>
      </c>
      <c r="C43" s="226" t="s">
        <v>214</v>
      </c>
      <c r="D43" s="226" t="s">
        <v>215</v>
      </c>
      <c r="E43" s="459">
        <f>F43</f>
        <v>535792955</v>
      </c>
      <c r="F43" s="460">
        <f>(-11500+422682850+7381300+130780+36208005+3386900+43721850+1999020+17450750+1519605+996875+44000+69100+59660+177600-23840)</f>
        <v>535792955</v>
      </c>
      <c r="G43" s="460">
        <v>346461350</v>
      </c>
      <c r="H43" s="460">
        <f>43721850+1999020+17450750+1519605+996875+44000</f>
        <v>65732100</v>
      </c>
      <c r="I43" s="460"/>
      <c r="J43" s="501">
        <f t="shared" ref="J43:J67" si="26">L43+O43</f>
        <v>72355014</v>
      </c>
      <c r="K43" s="460">
        <f>(288164+1000000+150000+49000+30000)</f>
        <v>1517164</v>
      </c>
      <c r="L43" s="460">
        <v>68943250</v>
      </c>
      <c r="M43" s="460">
        <v>14090070</v>
      </c>
      <c r="N43" s="460">
        <f>(569230+232500+725400+16500+9790+2000000)</f>
        <v>3553420</v>
      </c>
      <c r="O43" s="503">
        <f>(K43+1725960+168640)</f>
        <v>3411764</v>
      </c>
      <c r="P43" s="501">
        <f t="shared" ref="P43:P56" si="27">E43+J43</f>
        <v>608147969</v>
      </c>
      <c r="Q43" s="643"/>
      <c r="R43" s="257"/>
    </row>
    <row r="44" spans="1:20" s="277" customFormat="1" ht="138.75" thickTop="1" thickBot="1" x14ac:dyDescent="0.6">
      <c r="A44" s="505" t="s">
        <v>216</v>
      </c>
      <c r="B44" s="505" t="s">
        <v>213</v>
      </c>
      <c r="C44" s="505"/>
      <c r="D44" s="505" t="s">
        <v>692</v>
      </c>
      <c r="E44" s="488">
        <f>E45+E46+E47</f>
        <v>394867793</v>
      </c>
      <c r="F44" s="488">
        <f t="shared" ref="F44:I44" si="28">F45+F46+F47</f>
        <v>394867793</v>
      </c>
      <c r="G44" s="488">
        <f t="shared" si="28"/>
        <v>183343785</v>
      </c>
      <c r="H44" s="488">
        <f t="shared" si="28"/>
        <v>97684993</v>
      </c>
      <c r="I44" s="488">
        <f t="shared" si="28"/>
        <v>0</v>
      </c>
      <c r="J44" s="488">
        <f t="shared" ref="J44" si="29">J45+J46+J47</f>
        <v>74942115</v>
      </c>
      <c r="K44" s="488">
        <f t="shared" ref="K44" si="30">K45+K46+K47</f>
        <v>11189615</v>
      </c>
      <c r="L44" s="488">
        <f t="shared" ref="L44" si="31">L45+L46+L47</f>
        <v>62632190</v>
      </c>
      <c r="M44" s="488">
        <f t="shared" ref="M44" si="32">M45+M46+M47</f>
        <v>22917540</v>
      </c>
      <c r="N44" s="488">
        <f t="shared" ref="N44" si="33">N45+N46+N47</f>
        <v>1547450</v>
      </c>
      <c r="O44" s="488">
        <f t="shared" ref="O44" si="34">O45+O46+O47</f>
        <v>12309925</v>
      </c>
      <c r="P44" s="488">
        <f>E44+J44</f>
        <v>469809908</v>
      </c>
      <c r="Q44" s="643"/>
      <c r="R44" s="283"/>
    </row>
    <row r="45" spans="1:20" ht="138.75" thickTop="1" thickBot="1" x14ac:dyDescent="0.6">
      <c r="A45" s="226" t="s">
        <v>689</v>
      </c>
      <c r="B45" s="226" t="s">
        <v>690</v>
      </c>
      <c r="C45" s="226" t="s">
        <v>217</v>
      </c>
      <c r="D45" s="226" t="s">
        <v>691</v>
      </c>
      <c r="E45" s="459">
        <f t="shared" ref="E45:E56" si="35">F45</f>
        <v>351551738</v>
      </c>
      <c r="F45" s="460">
        <f>(191140505+15177100+231270+46955765+4320380+74473080+1267990+18069250+3616430+838950+452340+167550+8440+489345+150000+173840-5980497)</f>
        <v>351551738</v>
      </c>
      <c r="G45" s="460">
        <v>156967625</v>
      </c>
      <c r="H45" s="460">
        <f>(74473080+1267990+18069250+3616430+838950+452340-5980497)</f>
        <v>92737543</v>
      </c>
      <c r="I45" s="460"/>
      <c r="J45" s="501">
        <f t="shared" si="26"/>
        <v>74851615</v>
      </c>
      <c r="K45" s="460">
        <f>(269475+2000000+2283979+1000000+250161+500000+49000+49000+49000+500000+510000+250000+300000+300000+49000+1000000+1000000+230000+600000)</f>
        <v>11189615</v>
      </c>
      <c r="L45" s="460">
        <v>62541690</v>
      </c>
      <c r="M45" s="460">
        <v>22917540</v>
      </c>
      <c r="N45" s="460">
        <f>(708460+204510+508570+24930+58380)</f>
        <v>1504850</v>
      </c>
      <c r="O45" s="503">
        <f>(K45+1120310)</f>
        <v>12309925</v>
      </c>
      <c r="P45" s="501">
        <f t="shared" si="27"/>
        <v>426403353</v>
      </c>
      <c r="Q45" s="643"/>
      <c r="R45" s="257"/>
      <c r="T45" s="284"/>
    </row>
    <row r="46" spans="1:20" ht="276" thickTop="1" thickBot="1" x14ac:dyDescent="0.25">
      <c r="A46" s="226" t="s">
        <v>699</v>
      </c>
      <c r="B46" s="226" t="s">
        <v>700</v>
      </c>
      <c r="C46" s="226" t="s">
        <v>220</v>
      </c>
      <c r="D46" s="226" t="s">
        <v>522</v>
      </c>
      <c r="E46" s="459">
        <f t="shared" si="35"/>
        <v>24772605</v>
      </c>
      <c r="F46" s="460">
        <f>(22151850+194260+5650+772470+139445+1279695+25490+179490+10555+8300+5400)</f>
        <v>24772605</v>
      </c>
      <c r="G46" s="460">
        <v>18307315</v>
      </c>
      <c r="H46" s="460">
        <f>1495230</f>
        <v>1495230</v>
      </c>
      <c r="I46" s="460"/>
      <c r="J46" s="501">
        <f t="shared" si="26"/>
        <v>90500</v>
      </c>
      <c r="K46" s="460"/>
      <c r="L46" s="460">
        <v>90500</v>
      </c>
      <c r="M46" s="460"/>
      <c r="N46" s="460">
        <f>(25800+1000+15800)</f>
        <v>42600</v>
      </c>
      <c r="O46" s="503">
        <f>K46</f>
        <v>0</v>
      </c>
      <c r="P46" s="501">
        <f t="shared" si="27"/>
        <v>24863105</v>
      </c>
      <c r="R46" s="259"/>
    </row>
    <row r="47" spans="1:20" ht="184.5" thickTop="1" thickBot="1" x14ac:dyDescent="0.25">
      <c r="A47" s="226" t="s">
        <v>1093</v>
      </c>
      <c r="B47" s="226" t="s">
        <v>1094</v>
      </c>
      <c r="C47" s="226" t="s">
        <v>220</v>
      </c>
      <c r="D47" s="226" t="s">
        <v>1095</v>
      </c>
      <c r="E47" s="459">
        <f t="shared" ref="E47" si="36">F47</f>
        <v>18543450</v>
      </c>
      <c r="F47" s="460">
        <f>(9843990+289835+15600+4104440+530965+300000+2737110+106620+592800+15690+3700+2700)</f>
        <v>18543450</v>
      </c>
      <c r="G47" s="460">
        <v>8068845</v>
      </c>
      <c r="H47" s="460">
        <v>3452220</v>
      </c>
      <c r="I47" s="460"/>
      <c r="J47" s="501">
        <f t="shared" ref="J47" si="37">L47+O47</f>
        <v>0</v>
      </c>
      <c r="K47" s="460"/>
      <c r="L47" s="460"/>
      <c r="M47" s="460"/>
      <c r="N47" s="460"/>
      <c r="O47" s="503">
        <f>K47</f>
        <v>0</v>
      </c>
      <c r="P47" s="501">
        <f t="shared" ref="P47" si="38">E47+J47</f>
        <v>18543450</v>
      </c>
      <c r="R47" s="259"/>
    </row>
    <row r="48" spans="1:20" s="277" customFormat="1" ht="138.75" thickTop="1" thickBot="1" x14ac:dyDescent="0.25">
      <c r="A48" s="505" t="s">
        <v>523</v>
      </c>
      <c r="B48" s="505" t="s">
        <v>218</v>
      </c>
      <c r="C48" s="505"/>
      <c r="D48" s="505" t="s">
        <v>707</v>
      </c>
      <c r="E48" s="488">
        <f>SUM(E49:E50)</f>
        <v>703013202</v>
      </c>
      <c r="F48" s="488">
        <f>SUM(F49:F50)</f>
        <v>703013202</v>
      </c>
      <c r="G48" s="488">
        <f>SUM(G49:G50)</f>
        <v>572808450</v>
      </c>
      <c r="H48" s="488">
        <f>SUM(H49:H50)</f>
        <v>0</v>
      </c>
      <c r="I48" s="488">
        <f>SUM(I49:I50)</f>
        <v>0</v>
      </c>
      <c r="J48" s="488">
        <f t="shared" ref="J48:P48" si="39">SUM(J49:J50)</f>
        <v>0</v>
      </c>
      <c r="K48" s="488">
        <f t="shared" si="39"/>
        <v>0</v>
      </c>
      <c r="L48" s="488">
        <f t="shared" si="39"/>
        <v>0</v>
      </c>
      <c r="M48" s="488">
        <f t="shared" si="39"/>
        <v>0</v>
      </c>
      <c r="N48" s="488">
        <f t="shared" si="39"/>
        <v>0</v>
      </c>
      <c r="O48" s="488">
        <f t="shared" si="39"/>
        <v>0</v>
      </c>
      <c r="P48" s="488">
        <f t="shared" si="39"/>
        <v>703013202</v>
      </c>
      <c r="Q48" s="632"/>
      <c r="R48" s="279"/>
    </row>
    <row r="49" spans="1:18" ht="138.75" thickTop="1" thickBot="1" x14ac:dyDescent="0.25">
      <c r="A49" s="226" t="s">
        <v>708</v>
      </c>
      <c r="B49" s="226" t="s">
        <v>709</v>
      </c>
      <c r="C49" s="226" t="s">
        <v>217</v>
      </c>
      <c r="D49" s="226" t="s">
        <v>691</v>
      </c>
      <c r="E49" s="459">
        <f t="shared" ref="E49:E50" si="40">F49</f>
        <v>699178202</v>
      </c>
      <c r="F49" s="460">
        <f>679974570+4189832+15013800</f>
        <v>699178202</v>
      </c>
      <c r="G49" s="460">
        <f>557358050+12306400</f>
        <v>569664450</v>
      </c>
      <c r="H49" s="460"/>
      <c r="I49" s="460"/>
      <c r="J49" s="501">
        <f t="shared" ref="J49:J50" si="41">L49+O49</f>
        <v>0</v>
      </c>
      <c r="K49" s="460"/>
      <c r="L49" s="460"/>
      <c r="M49" s="460"/>
      <c r="N49" s="460"/>
      <c r="O49" s="503">
        <f>K49</f>
        <v>0</v>
      </c>
      <c r="P49" s="501">
        <f t="shared" ref="P49:P53" si="42">E49+J49</f>
        <v>699178202</v>
      </c>
      <c r="R49" s="269"/>
    </row>
    <row r="50" spans="1:18" ht="184.5" thickTop="1" thickBot="1" x14ac:dyDescent="0.25">
      <c r="A50" s="226" t="s">
        <v>1285</v>
      </c>
      <c r="B50" s="541" t="s">
        <v>1286</v>
      </c>
      <c r="C50" s="226" t="s">
        <v>220</v>
      </c>
      <c r="D50" s="226" t="s">
        <v>1287</v>
      </c>
      <c r="E50" s="459">
        <f t="shared" si="40"/>
        <v>3835000</v>
      </c>
      <c r="F50" s="542">
        <v>3835000</v>
      </c>
      <c r="G50" s="542">
        <v>3144000</v>
      </c>
      <c r="H50" s="542"/>
      <c r="I50" s="542"/>
      <c r="J50" s="501">
        <f t="shared" si="41"/>
        <v>0</v>
      </c>
      <c r="K50" s="542"/>
      <c r="L50" s="542"/>
      <c r="M50" s="542"/>
      <c r="N50" s="542"/>
      <c r="O50" s="561"/>
      <c r="P50" s="501">
        <f t="shared" si="42"/>
        <v>3835000</v>
      </c>
      <c r="R50" s="269"/>
    </row>
    <row r="51" spans="1:18" ht="409.6" hidden="1" thickTop="1" x14ac:dyDescent="0.65">
      <c r="A51" s="800" t="s">
        <v>997</v>
      </c>
      <c r="B51" s="800" t="s">
        <v>52</v>
      </c>
      <c r="C51" s="800"/>
      <c r="D51" s="285" t="s">
        <v>1000</v>
      </c>
      <c r="E51" s="814">
        <f t="shared" ref="E51:O51" si="43">E53</f>
        <v>0</v>
      </c>
      <c r="F51" s="814">
        <f t="shared" si="43"/>
        <v>0</v>
      </c>
      <c r="G51" s="814">
        <f t="shared" si="43"/>
        <v>0</v>
      </c>
      <c r="H51" s="814">
        <f t="shared" si="43"/>
        <v>0</v>
      </c>
      <c r="I51" s="814">
        <f t="shared" si="43"/>
        <v>0</v>
      </c>
      <c r="J51" s="814">
        <f t="shared" si="43"/>
        <v>0</v>
      </c>
      <c r="K51" s="814">
        <f t="shared" si="43"/>
        <v>0</v>
      </c>
      <c r="L51" s="814">
        <f t="shared" si="43"/>
        <v>0</v>
      </c>
      <c r="M51" s="814">
        <f t="shared" si="43"/>
        <v>0</v>
      </c>
      <c r="N51" s="814">
        <f t="shared" si="43"/>
        <v>0</v>
      </c>
      <c r="O51" s="814">
        <f t="shared" si="43"/>
        <v>0</v>
      </c>
      <c r="P51" s="814">
        <f>E51+J51</f>
        <v>0</v>
      </c>
      <c r="R51" s="269"/>
    </row>
    <row r="52" spans="1:18" ht="183.75" hidden="1" thickBot="1" x14ac:dyDescent="0.25">
      <c r="A52" s="801"/>
      <c r="B52" s="801"/>
      <c r="C52" s="801"/>
      <c r="D52" s="286" t="s">
        <v>1001</v>
      </c>
      <c r="E52" s="801"/>
      <c r="F52" s="801"/>
      <c r="G52" s="801"/>
      <c r="H52" s="801"/>
      <c r="I52" s="801"/>
      <c r="J52" s="801"/>
      <c r="K52" s="801"/>
      <c r="L52" s="801"/>
      <c r="M52" s="801"/>
      <c r="N52" s="801"/>
      <c r="O52" s="801"/>
      <c r="P52" s="801"/>
      <c r="R52" s="269"/>
    </row>
    <row r="53" spans="1:18" ht="138.75" hidden="1" thickTop="1" thickBot="1" x14ac:dyDescent="0.25">
      <c r="A53" s="261" t="s">
        <v>998</v>
      </c>
      <c r="B53" s="261" t="s">
        <v>999</v>
      </c>
      <c r="C53" s="261" t="s">
        <v>217</v>
      </c>
      <c r="D53" s="261" t="s">
        <v>1002</v>
      </c>
      <c r="E53" s="258">
        <f t="shared" ref="E53" si="44">F53</f>
        <v>0</v>
      </c>
      <c r="F53" s="281"/>
      <c r="G53" s="281"/>
      <c r="H53" s="281"/>
      <c r="I53" s="281"/>
      <c r="J53" s="258">
        <f t="shared" ref="J53" si="45">L53+O53</f>
        <v>0</v>
      </c>
      <c r="K53" s="281"/>
      <c r="L53" s="281"/>
      <c r="M53" s="281"/>
      <c r="N53" s="281"/>
      <c r="O53" s="264">
        <f>K53</f>
        <v>0</v>
      </c>
      <c r="P53" s="258">
        <f t="shared" si="42"/>
        <v>0</v>
      </c>
      <c r="R53" s="257"/>
    </row>
    <row r="54" spans="1:18" ht="184.5" thickTop="1" thickBot="1" x14ac:dyDescent="0.25">
      <c r="A54" s="226" t="s">
        <v>710</v>
      </c>
      <c r="B54" s="226" t="s">
        <v>219</v>
      </c>
      <c r="C54" s="226" t="s">
        <v>194</v>
      </c>
      <c r="D54" s="226" t="s">
        <v>524</v>
      </c>
      <c r="E54" s="459">
        <f t="shared" si="35"/>
        <v>33399580</v>
      </c>
      <c r="F54" s="460">
        <f>(28529700+335975+12000+258940+128820+3176810+64080+596770+79855+30105+1700+184825)</f>
        <v>33399580</v>
      </c>
      <c r="G54" s="460">
        <v>23385000</v>
      </c>
      <c r="H54" s="460">
        <v>3947620</v>
      </c>
      <c r="I54" s="460"/>
      <c r="J54" s="501">
        <f t="shared" si="26"/>
        <v>1858370</v>
      </c>
      <c r="K54" s="460">
        <v>1000000</v>
      </c>
      <c r="L54" s="460">
        <v>757370</v>
      </c>
      <c r="M54" s="460">
        <v>34330</v>
      </c>
      <c r="N54" s="460">
        <f>(50190+3780+46410+1820)</f>
        <v>102200</v>
      </c>
      <c r="O54" s="503">
        <f>(K54+101000)</f>
        <v>1101000</v>
      </c>
      <c r="P54" s="501">
        <f t="shared" si="27"/>
        <v>35257950</v>
      </c>
      <c r="R54" s="257"/>
    </row>
    <row r="55" spans="1:18" s="277" customFormat="1" ht="184.5" thickTop="1" thickBot="1" x14ac:dyDescent="0.25">
      <c r="A55" s="505" t="s">
        <v>221</v>
      </c>
      <c r="B55" s="505" t="s">
        <v>204</v>
      </c>
      <c r="C55" s="505"/>
      <c r="D55" s="505" t="s">
        <v>525</v>
      </c>
      <c r="E55" s="488">
        <f>E56+E57</f>
        <v>156811425</v>
      </c>
      <c r="F55" s="488">
        <f t="shared" ref="F55:O55" si="46">F56+F57</f>
        <v>156811425</v>
      </c>
      <c r="G55" s="488">
        <f t="shared" si="46"/>
        <v>85767870</v>
      </c>
      <c r="H55" s="488">
        <f t="shared" si="46"/>
        <v>22763530</v>
      </c>
      <c r="I55" s="488">
        <f t="shared" si="46"/>
        <v>0</v>
      </c>
      <c r="J55" s="488">
        <f t="shared" si="46"/>
        <v>29703565</v>
      </c>
      <c r="K55" s="488">
        <f t="shared" si="46"/>
        <v>2182625</v>
      </c>
      <c r="L55" s="488">
        <f t="shared" si="46"/>
        <v>27360940</v>
      </c>
      <c r="M55" s="488">
        <f t="shared" si="46"/>
        <v>7971559</v>
      </c>
      <c r="N55" s="488">
        <f t="shared" si="46"/>
        <v>9049476</v>
      </c>
      <c r="O55" s="488">
        <f t="shared" si="46"/>
        <v>2342625</v>
      </c>
      <c r="P55" s="488">
        <f t="shared" si="27"/>
        <v>186514990</v>
      </c>
      <c r="Q55" s="632"/>
      <c r="R55" s="279"/>
    </row>
    <row r="56" spans="1:18" ht="230.25" thickTop="1" thickBot="1" x14ac:dyDescent="0.25">
      <c r="A56" s="226" t="s">
        <v>711</v>
      </c>
      <c r="B56" s="226" t="s">
        <v>712</v>
      </c>
      <c r="C56" s="226" t="s">
        <v>222</v>
      </c>
      <c r="D56" s="226" t="s">
        <v>713</v>
      </c>
      <c r="E56" s="459">
        <f t="shared" si="35"/>
        <v>137467895</v>
      </c>
      <c r="F56" s="460">
        <f>(85213670+68800+17400+2950600+222250+14115125+811860+7670580+20050+145915+13200+25000000+1218445)</f>
        <v>137467895</v>
      </c>
      <c r="G56" s="460">
        <v>69847270</v>
      </c>
      <c r="H56" s="460">
        <v>22763530</v>
      </c>
      <c r="I56" s="460"/>
      <c r="J56" s="501">
        <f>L56+O56</f>
        <v>29703565</v>
      </c>
      <c r="K56" s="460">
        <f>(1281537+82825+818263)</f>
        <v>2182625</v>
      </c>
      <c r="L56" s="460">
        <v>27360940</v>
      </c>
      <c r="M56" s="460">
        <v>7971559</v>
      </c>
      <c r="N56" s="460">
        <f>(5079580+1005981+2722350+64500+177065)</f>
        <v>9049476</v>
      </c>
      <c r="O56" s="503">
        <f>(K56+160000)</f>
        <v>2342625</v>
      </c>
      <c r="P56" s="501">
        <f t="shared" si="27"/>
        <v>167171460</v>
      </c>
      <c r="R56" s="257"/>
    </row>
    <row r="57" spans="1:18" ht="230.25" thickTop="1" thickBot="1" x14ac:dyDescent="0.25">
      <c r="A57" s="226" t="s">
        <v>715</v>
      </c>
      <c r="B57" s="226" t="s">
        <v>714</v>
      </c>
      <c r="C57" s="226" t="s">
        <v>222</v>
      </c>
      <c r="D57" s="226" t="s">
        <v>716</v>
      </c>
      <c r="E57" s="459">
        <f t="shared" ref="E57" si="47">F57</f>
        <v>19343530</v>
      </c>
      <c r="F57" s="460">
        <v>19343530</v>
      </c>
      <c r="G57" s="460">
        <v>15920600</v>
      </c>
      <c r="H57" s="460"/>
      <c r="I57" s="460"/>
      <c r="J57" s="501">
        <f>L57+O57</f>
        <v>0</v>
      </c>
      <c r="K57" s="460"/>
      <c r="L57" s="460"/>
      <c r="M57" s="460"/>
      <c r="N57" s="460"/>
      <c r="O57" s="503"/>
      <c r="P57" s="501">
        <f t="shared" ref="P57" si="48">E57+J57</f>
        <v>19343530</v>
      </c>
      <c r="R57" s="269"/>
    </row>
    <row r="58" spans="1:18" s="277" customFormat="1" ht="93" thickTop="1" thickBot="1" x14ac:dyDescent="0.25">
      <c r="A58" s="505" t="s">
        <v>718</v>
      </c>
      <c r="B58" s="505" t="s">
        <v>717</v>
      </c>
      <c r="C58" s="505"/>
      <c r="D58" s="505" t="s">
        <v>719</v>
      </c>
      <c r="E58" s="488">
        <f>E59+E60</f>
        <v>30502885</v>
      </c>
      <c r="F58" s="488">
        <f t="shared" ref="F58:O58" si="49">F59+F60</f>
        <v>30502885</v>
      </c>
      <c r="G58" s="488">
        <f t="shared" si="49"/>
        <v>22155905</v>
      </c>
      <c r="H58" s="488">
        <f t="shared" si="49"/>
        <v>1871875</v>
      </c>
      <c r="I58" s="488">
        <f t="shared" si="49"/>
        <v>0</v>
      </c>
      <c r="J58" s="488">
        <f t="shared" si="49"/>
        <v>1335890</v>
      </c>
      <c r="K58" s="488">
        <f t="shared" si="49"/>
        <v>960000</v>
      </c>
      <c r="L58" s="488">
        <f t="shared" si="49"/>
        <v>375890</v>
      </c>
      <c r="M58" s="488">
        <f t="shared" si="49"/>
        <v>113800</v>
      </c>
      <c r="N58" s="488">
        <f t="shared" si="49"/>
        <v>117510</v>
      </c>
      <c r="O58" s="488">
        <f t="shared" si="49"/>
        <v>960000</v>
      </c>
      <c r="P58" s="488">
        <f>E58+J58</f>
        <v>31838775</v>
      </c>
      <c r="Q58" s="632"/>
      <c r="R58" s="279"/>
    </row>
    <row r="59" spans="1:18" ht="93" thickTop="1" thickBot="1" x14ac:dyDescent="0.25">
      <c r="A59" s="226" t="s">
        <v>720</v>
      </c>
      <c r="B59" s="226" t="s">
        <v>721</v>
      </c>
      <c r="C59" s="226" t="s">
        <v>223</v>
      </c>
      <c r="D59" s="226" t="s">
        <v>526</v>
      </c>
      <c r="E59" s="459">
        <f>F59</f>
        <v>30284875</v>
      </c>
      <c r="F59" s="460">
        <f>(27030205+635950+1450+735695+3300+1239640+16940+591895+8520+14880+3700+2700)</f>
        <v>30284875</v>
      </c>
      <c r="G59" s="460">
        <v>22155905</v>
      </c>
      <c r="H59" s="460">
        <v>1871875</v>
      </c>
      <c r="I59" s="460"/>
      <c r="J59" s="501">
        <f>L59+O59</f>
        <v>1335890</v>
      </c>
      <c r="K59" s="460">
        <f>(460000+500000)</f>
        <v>960000</v>
      </c>
      <c r="L59" s="460">
        <v>375890</v>
      </c>
      <c r="M59" s="460">
        <v>113800</v>
      </c>
      <c r="N59" s="460">
        <f>(104000+830+11730+950)</f>
        <v>117510</v>
      </c>
      <c r="O59" s="503">
        <f>K59</f>
        <v>960000</v>
      </c>
      <c r="P59" s="501">
        <f>E59+J59</f>
        <v>31620765</v>
      </c>
      <c r="R59" s="269"/>
    </row>
    <row r="60" spans="1:18" ht="93" thickTop="1" thickBot="1" x14ac:dyDescent="0.25">
      <c r="A60" s="226" t="s">
        <v>722</v>
      </c>
      <c r="B60" s="226" t="s">
        <v>723</v>
      </c>
      <c r="C60" s="226" t="s">
        <v>223</v>
      </c>
      <c r="D60" s="226" t="s">
        <v>353</v>
      </c>
      <c r="E60" s="459">
        <f>F60</f>
        <v>218010</v>
      </c>
      <c r="F60" s="460">
        <v>218010</v>
      </c>
      <c r="G60" s="460"/>
      <c r="H60" s="460"/>
      <c r="I60" s="460"/>
      <c r="J60" s="501">
        <f>L60+O60</f>
        <v>0</v>
      </c>
      <c r="K60" s="460"/>
      <c r="L60" s="460"/>
      <c r="M60" s="460"/>
      <c r="N60" s="460"/>
      <c r="O60" s="503">
        <f>K60</f>
        <v>0</v>
      </c>
      <c r="P60" s="501">
        <f>E60+J60</f>
        <v>218010</v>
      </c>
      <c r="R60" s="269"/>
    </row>
    <row r="61" spans="1:18" s="277" customFormat="1" ht="93" thickTop="1" thickBot="1" x14ac:dyDescent="0.25">
      <c r="A61" s="505" t="s">
        <v>724</v>
      </c>
      <c r="B61" s="505" t="s">
        <v>725</v>
      </c>
      <c r="C61" s="505"/>
      <c r="D61" s="505" t="s">
        <v>448</v>
      </c>
      <c r="E61" s="488">
        <f>E62+E63</f>
        <v>6310105</v>
      </c>
      <c r="F61" s="488">
        <f>F62+F63</f>
        <v>6310105</v>
      </c>
      <c r="G61" s="488">
        <f t="shared" ref="G61:O61" si="50">G62+G63</f>
        <v>4882895</v>
      </c>
      <c r="H61" s="488">
        <f t="shared" si="50"/>
        <v>161440</v>
      </c>
      <c r="I61" s="488">
        <f t="shared" si="50"/>
        <v>0</v>
      </c>
      <c r="J61" s="488">
        <f t="shared" si="50"/>
        <v>0</v>
      </c>
      <c r="K61" s="488">
        <f t="shared" si="50"/>
        <v>0</v>
      </c>
      <c r="L61" s="488">
        <f t="shared" si="50"/>
        <v>0</v>
      </c>
      <c r="M61" s="488">
        <f t="shared" si="50"/>
        <v>0</v>
      </c>
      <c r="N61" s="488">
        <f t="shared" si="50"/>
        <v>0</v>
      </c>
      <c r="O61" s="488">
        <f t="shared" si="50"/>
        <v>0</v>
      </c>
      <c r="P61" s="488">
        <f>E61+J61</f>
        <v>6310105</v>
      </c>
      <c r="Q61" s="632"/>
      <c r="R61" s="279"/>
    </row>
    <row r="62" spans="1:18" ht="184.5" thickTop="1" thickBot="1" x14ac:dyDescent="0.25">
      <c r="A62" s="226" t="s">
        <v>726</v>
      </c>
      <c r="B62" s="226" t="s">
        <v>727</v>
      </c>
      <c r="C62" s="226" t="s">
        <v>223</v>
      </c>
      <c r="D62" s="226" t="s">
        <v>728</v>
      </c>
      <c r="E62" s="459">
        <f>F62</f>
        <v>1120505</v>
      </c>
      <c r="F62" s="460">
        <f>(767530+131100+42455+13580+131295+7180+20985+1980+4400)</f>
        <v>1120505</v>
      </c>
      <c r="G62" s="460">
        <v>629125</v>
      </c>
      <c r="H62" s="460">
        <v>161440</v>
      </c>
      <c r="I62" s="460"/>
      <c r="J62" s="501">
        <f>L62+O62</f>
        <v>0</v>
      </c>
      <c r="K62" s="460"/>
      <c r="L62" s="460"/>
      <c r="M62" s="460"/>
      <c r="N62" s="460"/>
      <c r="O62" s="503">
        <f>K62</f>
        <v>0</v>
      </c>
      <c r="P62" s="501">
        <f>E62+J62</f>
        <v>1120505</v>
      </c>
      <c r="R62" s="257"/>
    </row>
    <row r="63" spans="1:18" ht="138.75" thickTop="1" thickBot="1" x14ac:dyDescent="0.25">
      <c r="A63" s="709" t="s">
        <v>729</v>
      </c>
      <c r="B63" s="709" t="s">
        <v>730</v>
      </c>
      <c r="C63" s="709" t="s">
        <v>223</v>
      </c>
      <c r="D63" s="709" t="s">
        <v>731</v>
      </c>
      <c r="E63" s="712">
        <f>F63</f>
        <v>5189600</v>
      </c>
      <c r="F63" s="460">
        <v>5189600</v>
      </c>
      <c r="G63" s="460">
        <v>4253770</v>
      </c>
      <c r="H63" s="460"/>
      <c r="I63" s="460"/>
      <c r="J63" s="712">
        <f t="shared" ref="J63" si="51">L63+O63</f>
        <v>0</v>
      </c>
      <c r="K63" s="460"/>
      <c r="L63" s="460"/>
      <c r="M63" s="460"/>
      <c r="N63" s="460"/>
      <c r="O63" s="710">
        <f t="shared" ref="O63" si="52">K63</f>
        <v>0</v>
      </c>
      <c r="P63" s="712">
        <f t="shared" ref="P63" si="53">E63+J63</f>
        <v>5189600</v>
      </c>
      <c r="R63" s="269"/>
    </row>
    <row r="64" spans="1:18" ht="138.75" thickTop="1" thickBot="1" x14ac:dyDescent="0.25">
      <c r="A64" s="226" t="s">
        <v>696</v>
      </c>
      <c r="B64" s="226" t="s">
        <v>697</v>
      </c>
      <c r="C64" s="226" t="s">
        <v>223</v>
      </c>
      <c r="D64" s="226" t="s">
        <v>698</v>
      </c>
      <c r="E64" s="459">
        <f t="shared" ref="E64" si="54">F64</f>
        <v>3056165</v>
      </c>
      <c r="F64" s="460">
        <f>(2757200+90130+98500+20000+60965+4155+18515+4500+2200)</f>
        <v>3056165</v>
      </c>
      <c r="G64" s="460">
        <v>2260000</v>
      </c>
      <c r="H64" s="460">
        <v>88135</v>
      </c>
      <c r="I64" s="460"/>
      <c r="J64" s="501">
        <f t="shared" ref="J64" si="55">L64+O64</f>
        <v>0</v>
      </c>
      <c r="K64" s="460"/>
      <c r="L64" s="460"/>
      <c r="M64" s="460"/>
      <c r="N64" s="460"/>
      <c r="O64" s="503">
        <f t="shared" ref="O64" si="56">K64</f>
        <v>0</v>
      </c>
      <c r="P64" s="501">
        <f t="shared" ref="P64" si="57">E64+J64</f>
        <v>3056165</v>
      </c>
      <c r="R64" s="257"/>
    </row>
    <row r="65" spans="1:18" s="275" customFormat="1" ht="230.25" hidden="1" thickTop="1" thickBot="1" x14ac:dyDescent="0.25">
      <c r="A65" s="282" t="s">
        <v>701</v>
      </c>
      <c r="B65" s="282" t="s">
        <v>702</v>
      </c>
      <c r="C65" s="282"/>
      <c r="D65" s="282" t="s">
        <v>703</v>
      </c>
      <c r="E65" s="278">
        <f t="shared" ref="E65:E78" si="58">F65</f>
        <v>0</v>
      </c>
      <c r="F65" s="278">
        <f>SUM(F66:F67)</f>
        <v>0</v>
      </c>
      <c r="G65" s="278">
        <f t="shared" ref="G65:I65" si="59">SUM(G66:G67)</f>
        <v>0</v>
      </c>
      <c r="H65" s="278">
        <f t="shared" si="59"/>
        <v>0</v>
      </c>
      <c r="I65" s="278">
        <f t="shared" si="59"/>
        <v>0</v>
      </c>
      <c r="J65" s="278">
        <f t="shared" si="26"/>
        <v>0</v>
      </c>
      <c r="K65" s="488">
        <f>SUM(K66:K67)</f>
        <v>0</v>
      </c>
      <c r="L65" s="278">
        <f t="shared" ref="L65:N65" si="60">SUM(L66:L67)</f>
        <v>0</v>
      </c>
      <c r="M65" s="278">
        <f t="shared" si="60"/>
        <v>0</v>
      </c>
      <c r="N65" s="278">
        <f t="shared" si="60"/>
        <v>0</v>
      </c>
      <c r="O65" s="278">
        <f>SUM(O66:O67)</f>
        <v>0</v>
      </c>
      <c r="P65" s="278">
        <f t="shared" ref="P65:P70" si="61">E65+J65</f>
        <v>0</v>
      </c>
      <c r="Q65" s="642"/>
      <c r="R65" s="283"/>
    </row>
    <row r="66" spans="1:18" s="275" customFormat="1" ht="367.5" hidden="1" thickTop="1" thickBot="1" x14ac:dyDescent="0.25">
      <c r="A66" s="261" t="s">
        <v>704</v>
      </c>
      <c r="B66" s="261" t="s">
        <v>705</v>
      </c>
      <c r="C66" s="261" t="s">
        <v>223</v>
      </c>
      <c r="D66" s="261" t="s">
        <v>706</v>
      </c>
      <c r="E66" s="258">
        <f t="shared" si="58"/>
        <v>0</v>
      </c>
      <c r="F66" s="281"/>
      <c r="G66" s="281"/>
      <c r="H66" s="281"/>
      <c r="I66" s="281"/>
      <c r="J66" s="258">
        <f t="shared" si="26"/>
        <v>0</v>
      </c>
      <c r="K66" s="460"/>
      <c r="L66" s="281"/>
      <c r="M66" s="281"/>
      <c r="N66" s="281"/>
      <c r="O66" s="264">
        <f t="shared" ref="O66:O67" si="62">K66</f>
        <v>0</v>
      </c>
      <c r="P66" s="258">
        <f t="shared" si="61"/>
        <v>0</v>
      </c>
      <c r="Q66" s="642"/>
      <c r="R66" s="257"/>
    </row>
    <row r="67" spans="1:18" s="275" customFormat="1" ht="321.75" hidden="1" thickTop="1" thickBot="1" x14ac:dyDescent="0.25">
      <c r="A67" s="261" t="s">
        <v>1075</v>
      </c>
      <c r="B67" s="261" t="s">
        <v>1076</v>
      </c>
      <c r="C67" s="261" t="s">
        <v>223</v>
      </c>
      <c r="D67" s="261" t="s">
        <v>1077</v>
      </c>
      <c r="E67" s="258">
        <f t="shared" si="58"/>
        <v>0</v>
      </c>
      <c r="F67" s="281"/>
      <c r="G67" s="281"/>
      <c r="H67" s="281"/>
      <c r="I67" s="281"/>
      <c r="J67" s="258">
        <f t="shared" si="26"/>
        <v>0</v>
      </c>
      <c r="K67" s="460"/>
      <c r="L67" s="281"/>
      <c r="M67" s="281"/>
      <c r="N67" s="281"/>
      <c r="O67" s="264">
        <f t="shared" si="62"/>
        <v>0</v>
      </c>
      <c r="P67" s="258">
        <f t="shared" si="61"/>
        <v>0</v>
      </c>
      <c r="Q67" s="642"/>
      <c r="R67" s="257"/>
    </row>
    <row r="68" spans="1:18" s="275" customFormat="1" ht="409.6" hidden="1" thickTop="1" thickBot="1" x14ac:dyDescent="0.25">
      <c r="A68" s="282" t="s">
        <v>1096</v>
      </c>
      <c r="B68" s="282" t="s">
        <v>1098</v>
      </c>
      <c r="C68" s="282"/>
      <c r="D68" s="282" t="s">
        <v>1100</v>
      </c>
      <c r="E68" s="278">
        <f>E69+E70</f>
        <v>0</v>
      </c>
      <c r="F68" s="278">
        <f>F69+F70</f>
        <v>0</v>
      </c>
      <c r="G68" s="278">
        <f t="shared" ref="G68:I68" si="63">G69+G70</f>
        <v>0</v>
      </c>
      <c r="H68" s="278">
        <f t="shared" si="63"/>
        <v>0</v>
      </c>
      <c r="I68" s="278">
        <f t="shared" si="63"/>
        <v>0</v>
      </c>
      <c r="J68" s="278">
        <f>L68+O68</f>
        <v>0</v>
      </c>
      <c r="K68" s="488">
        <f t="shared" ref="K68:O68" si="64">K69+K70</f>
        <v>0</v>
      </c>
      <c r="L68" s="278">
        <f t="shared" si="64"/>
        <v>0</v>
      </c>
      <c r="M68" s="278">
        <f t="shared" si="64"/>
        <v>0</v>
      </c>
      <c r="N68" s="278">
        <f t="shared" si="64"/>
        <v>0</v>
      </c>
      <c r="O68" s="278">
        <f t="shared" si="64"/>
        <v>0</v>
      </c>
      <c r="P68" s="278">
        <f t="shared" si="61"/>
        <v>0</v>
      </c>
      <c r="Q68" s="642"/>
      <c r="R68" s="257"/>
    </row>
    <row r="69" spans="1:18" s="275" customFormat="1" ht="409.6" hidden="1" thickTop="1" thickBot="1" x14ac:dyDescent="0.25">
      <c r="A69" s="261" t="s">
        <v>1097</v>
      </c>
      <c r="B69" s="261" t="s">
        <v>1099</v>
      </c>
      <c r="C69" s="261" t="s">
        <v>223</v>
      </c>
      <c r="D69" s="261" t="s">
        <v>1101</v>
      </c>
      <c r="E69" s="258">
        <f t="shared" ref="E69" si="65">F69</f>
        <v>0</v>
      </c>
      <c r="F69" s="281"/>
      <c r="G69" s="281"/>
      <c r="H69" s="281"/>
      <c r="I69" s="281"/>
      <c r="J69" s="258">
        <f t="shared" ref="J69" si="66">L69+O69</f>
        <v>0</v>
      </c>
      <c r="K69" s="460">
        <f>4547046.18-4547046.18</f>
        <v>0</v>
      </c>
      <c r="L69" s="281"/>
      <c r="M69" s="281"/>
      <c r="N69" s="281"/>
      <c r="O69" s="264">
        <f t="shared" ref="O69" si="67">K69</f>
        <v>0</v>
      </c>
      <c r="P69" s="258">
        <f t="shared" si="61"/>
        <v>0</v>
      </c>
      <c r="Q69" s="642"/>
      <c r="R69" s="257"/>
    </row>
    <row r="70" spans="1:18" s="275" customFormat="1" ht="312" hidden="1" customHeight="1" thickTop="1" x14ac:dyDescent="0.2">
      <c r="A70" s="817" t="s">
        <v>1117</v>
      </c>
      <c r="B70" s="817" t="s">
        <v>1118</v>
      </c>
      <c r="C70" s="817" t="s">
        <v>223</v>
      </c>
      <c r="D70" s="817" t="s">
        <v>1119</v>
      </c>
      <c r="E70" s="818">
        <f t="shared" ref="E70" si="68">F70</f>
        <v>0</v>
      </c>
      <c r="F70" s="818"/>
      <c r="G70" s="818"/>
      <c r="H70" s="818"/>
      <c r="I70" s="818"/>
      <c r="J70" s="818">
        <f t="shared" ref="J70" si="69">L70+O70</f>
        <v>0</v>
      </c>
      <c r="K70" s="834">
        <f>10623233.82-10623233.82</f>
        <v>0</v>
      </c>
      <c r="L70" s="818"/>
      <c r="M70" s="818"/>
      <c r="N70" s="818"/>
      <c r="O70" s="820">
        <f t="shared" ref="O70" si="70">K70</f>
        <v>0</v>
      </c>
      <c r="P70" s="818">
        <f t="shared" si="61"/>
        <v>0</v>
      </c>
      <c r="Q70" s="642"/>
      <c r="R70" s="257"/>
    </row>
    <row r="71" spans="1:18" s="275" customFormat="1" ht="195" hidden="1" customHeight="1" thickBot="1" x14ac:dyDescent="0.25">
      <c r="A71" s="801"/>
      <c r="B71" s="801"/>
      <c r="C71" s="801"/>
      <c r="D71" s="801"/>
      <c r="E71" s="801"/>
      <c r="F71" s="801"/>
      <c r="G71" s="801"/>
      <c r="H71" s="801"/>
      <c r="I71" s="801"/>
      <c r="J71" s="801"/>
      <c r="K71" s="835"/>
      <c r="L71" s="801"/>
      <c r="M71" s="801"/>
      <c r="N71" s="801"/>
      <c r="O71" s="822"/>
      <c r="P71" s="801"/>
      <c r="Q71" s="642"/>
      <c r="R71" s="257"/>
    </row>
    <row r="72" spans="1:18" s="275" customFormat="1" ht="321.75" hidden="1" thickTop="1" thickBot="1" x14ac:dyDescent="0.25">
      <c r="A72" s="261" t="s">
        <v>693</v>
      </c>
      <c r="B72" s="261" t="s">
        <v>694</v>
      </c>
      <c r="C72" s="261" t="s">
        <v>223</v>
      </c>
      <c r="D72" s="261" t="s">
        <v>695</v>
      </c>
      <c r="E72" s="258">
        <f t="shared" si="58"/>
        <v>0</v>
      </c>
      <c r="F72" s="281"/>
      <c r="G72" s="281"/>
      <c r="H72" s="281"/>
      <c r="I72" s="281"/>
      <c r="J72" s="258">
        <f t="shared" ref="J72" si="71">L72+O72</f>
        <v>0</v>
      </c>
      <c r="K72" s="460"/>
      <c r="L72" s="281"/>
      <c r="M72" s="281"/>
      <c r="N72" s="281"/>
      <c r="O72" s="264">
        <f t="shared" ref="O72" si="72">K72</f>
        <v>0</v>
      </c>
      <c r="P72" s="258">
        <f t="shared" ref="P72" si="73">E72+J72</f>
        <v>0</v>
      </c>
      <c r="Q72" s="642"/>
      <c r="R72" s="257"/>
    </row>
    <row r="73" spans="1:18" s="275" customFormat="1" ht="321.75" hidden="1" thickTop="1" thickBot="1" x14ac:dyDescent="0.25">
      <c r="A73" s="261" t="s">
        <v>1014</v>
      </c>
      <c r="B73" s="261" t="s">
        <v>1015</v>
      </c>
      <c r="C73" s="261" t="s">
        <v>223</v>
      </c>
      <c r="D73" s="261" t="s">
        <v>1016</v>
      </c>
      <c r="E73" s="258">
        <f t="shared" ref="E73" si="74">F73</f>
        <v>0</v>
      </c>
      <c r="F73" s="281"/>
      <c r="G73" s="281"/>
      <c r="H73" s="281"/>
      <c r="I73" s="281"/>
      <c r="J73" s="258">
        <f t="shared" ref="J73" si="75">L73+O73</f>
        <v>0</v>
      </c>
      <c r="K73" s="460"/>
      <c r="L73" s="281"/>
      <c r="M73" s="281"/>
      <c r="N73" s="281"/>
      <c r="O73" s="264">
        <f t="shared" ref="O73" si="76">K73</f>
        <v>0</v>
      </c>
      <c r="P73" s="258">
        <f t="shared" ref="P73" si="77">E73+J73</f>
        <v>0</v>
      </c>
      <c r="Q73" s="642"/>
      <c r="R73" s="257"/>
    </row>
    <row r="74" spans="1:18" s="275" customFormat="1" ht="91.5" hidden="1" thickTop="1" thickBot="1" x14ac:dyDescent="0.25">
      <c r="A74" s="252" t="s">
        <v>759</v>
      </c>
      <c r="B74" s="252" t="s">
        <v>760</v>
      </c>
      <c r="C74" s="252"/>
      <c r="D74" s="252" t="s">
        <v>761</v>
      </c>
      <c r="E74" s="258">
        <f>SUM(E75)</f>
        <v>0</v>
      </c>
      <c r="F74" s="258">
        <f t="shared" ref="F74:O74" si="78">SUM(F75)</f>
        <v>0</v>
      </c>
      <c r="G74" s="258">
        <f t="shared" si="78"/>
        <v>0</v>
      </c>
      <c r="H74" s="258">
        <f t="shared" si="78"/>
        <v>0</v>
      </c>
      <c r="I74" s="258">
        <f t="shared" si="78"/>
        <v>0</v>
      </c>
      <c r="J74" s="258">
        <f t="shared" si="78"/>
        <v>0</v>
      </c>
      <c r="K74" s="501">
        <f t="shared" si="78"/>
        <v>0</v>
      </c>
      <c r="L74" s="258">
        <f t="shared" si="78"/>
        <v>0</v>
      </c>
      <c r="M74" s="258">
        <f t="shared" si="78"/>
        <v>0</v>
      </c>
      <c r="N74" s="258">
        <f t="shared" si="78"/>
        <v>0</v>
      </c>
      <c r="O74" s="258">
        <f t="shared" si="78"/>
        <v>0</v>
      </c>
      <c r="P74" s="258">
        <f>SUM(P75)</f>
        <v>0</v>
      </c>
      <c r="Q74" s="642"/>
      <c r="R74" s="257"/>
    </row>
    <row r="75" spans="1:18" s="275" customFormat="1" ht="367.5" hidden="1" thickTop="1" thickBot="1" x14ac:dyDescent="0.25">
      <c r="A75" s="261" t="s">
        <v>450</v>
      </c>
      <c r="B75" s="261" t="s">
        <v>451</v>
      </c>
      <c r="C75" s="261" t="s">
        <v>198</v>
      </c>
      <c r="D75" s="261" t="s">
        <v>449</v>
      </c>
      <c r="E75" s="258">
        <f t="shared" si="58"/>
        <v>0</v>
      </c>
      <c r="F75" s="281">
        <f>(2688000)-2688000</f>
        <v>0</v>
      </c>
      <c r="G75" s="281"/>
      <c r="H75" s="281"/>
      <c r="I75" s="281"/>
      <c r="J75" s="258">
        <f>L75+O75</f>
        <v>0</v>
      </c>
      <c r="K75" s="460"/>
      <c r="L75" s="281"/>
      <c r="M75" s="281"/>
      <c r="N75" s="281"/>
      <c r="O75" s="264">
        <f>K75</f>
        <v>0</v>
      </c>
      <c r="P75" s="258">
        <f>E75+J75</f>
        <v>0</v>
      </c>
      <c r="Q75" s="642"/>
      <c r="R75" s="287"/>
    </row>
    <row r="76" spans="1:18" s="275" customFormat="1" ht="230.25" hidden="1" thickTop="1" thickBot="1" x14ac:dyDescent="0.25">
      <c r="A76" s="282" t="s">
        <v>1102</v>
      </c>
      <c r="B76" s="282" t="s">
        <v>1104</v>
      </c>
      <c r="C76" s="282"/>
      <c r="D76" s="282" t="s">
        <v>1106</v>
      </c>
      <c r="E76" s="278">
        <f t="shared" si="58"/>
        <v>0</v>
      </c>
      <c r="F76" s="278">
        <f>SUM(F77:F78)</f>
        <v>0</v>
      </c>
      <c r="G76" s="278">
        <f>SUM(G77:G78)</f>
        <v>0</v>
      </c>
      <c r="H76" s="278">
        <f>SUM(H77:H78)</f>
        <v>0</v>
      </c>
      <c r="I76" s="278">
        <f>SUM(I77:I78)</f>
        <v>0</v>
      </c>
      <c r="J76" s="278">
        <f>L76+O76</f>
        <v>0</v>
      </c>
      <c r="K76" s="488">
        <f>SUM(K77:K78)</f>
        <v>0</v>
      </c>
      <c r="L76" s="278">
        <f>SUM(L77:L78)</f>
        <v>0</v>
      </c>
      <c r="M76" s="278">
        <f>SUM(M77:M78)</f>
        <v>0</v>
      </c>
      <c r="N76" s="278">
        <f>SUM(N77:N78)</f>
        <v>0</v>
      </c>
      <c r="O76" s="278">
        <f>SUM(O77:O78)</f>
        <v>0</v>
      </c>
      <c r="P76" s="278">
        <f>E76+J76</f>
        <v>0</v>
      </c>
      <c r="Q76" s="642"/>
      <c r="R76" s="287"/>
    </row>
    <row r="77" spans="1:18" s="275" customFormat="1" ht="367.5" hidden="1" thickTop="1" thickBot="1" x14ac:dyDescent="0.25">
      <c r="A77" s="261" t="s">
        <v>1103</v>
      </c>
      <c r="B77" s="261" t="s">
        <v>1105</v>
      </c>
      <c r="C77" s="261" t="s">
        <v>223</v>
      </c>
      <c r="D77" s="261" t="s">
        <v>1107</v>
      </c>
      <c r="E77" s="258">
        <f t="shared" si="58"/>
        <v>0</v>
      </c>
      <c r="F77" s="281"/>
      <c r="G77" s="281"/>
      <c r="H77" s="281"/>
      <c r="I77" s="281"/>
      <c r="J77" s="258">
        <f t="shared" ref="J77:J78" si="79">L77+O77</f>
        <v>0</v>
      </c>
      <c r="K77" s="460"/>
      <c r="L77" s="281"/>
      <c r="M77" s="281"/>
      <c r="N77" s="281"/>
      <c r="O77" s="264">
        <f t="shared" ref="O77:O78" si="80">K77</f>
        <v>0</v>
      </c>
      <c r="P77" s="258">
        <f>E77+J77</f>
        <v>0</v>
      </c>
      <c r="Q77" s="642"/>
      <c r="R77" s="257"/>
    </row>
    <row r="78" spans="1:18" s="275" customFormat="1" ht="321.75" hidden="1" thickTop="1" thickBot="1" x14ac:dyDescent="0.25">
      <c r="A78" s="261" t="s">
        <v>1160</v>
      </c>
      <c r="B78" s="261" t="s">
        <v>1161</v>
      </c>
      <c r="C78" s="261" t="s">
        <v>223</v>
      </c>
      <c r="D78" s="261" t="s">
        <v>1159</v>
      </c>
      <c r="E78" s="258">
        <f t="shared" si="58"/>
        <v>0</v>
      </c>
      <c r="F78" s="281">
        <f>(553900)-553900</f>
        <v>0</v>
      </c>
      <c r="G78" s="281"/>
      <c r="H78" s="281"/>
      <c r="I78" s="281"/>
      <c r="J78" s="258">
        <f t="shared" si="79"/>
        <v>0</v>
      </c>
      <c r="K78" s="460"/>
      <c r="L78" s="281"/>
      <c r="M78" s="281"/>
      <c r="N78" s="281"/>
      <c r="O78" s="264">
        <f t="shared" si="80"/>
        <v>0</v>
      </c>
      <c r="P78" s="258">
        <f>E78+J78</f>
        <v>0</v>
      </c>
      <c r="Q78" s="642"/>
      <c r="R78" s="257"/>
    </row>
    <row r="79" spans="1:18" s="275" customFormat="1" ht="47.25" thickTop="1" thickBot="1" x14ac:dyDescent="0.25">
      <c r="A79" s="150" t="s">
        <v>1214</v>
      </c>
      <c r="B79" s="150" t="s">
        <v>798</v>
      </c>
      <c r="C79" s="150"/>
      <c r="D79" s="150" t="s">
        <v>1213</v>
      </c>
      <c r="E79" s="501">
        <f>E80+E83</f>
        <v>0</v>
      </c>
      <c r="F79" s="501">
        <f t="shared" ref="F79:P79" si="81">F80+F83</f>
        <v>0</v>
      </c>
      <c r="G79" s="501">
        <f t="shared" si="81"/>
        <v>0</v>
      </c>
      <c r="H79" s="501">
        <f t="shared" si="81"/>
        <v>0</v>
      </c>
      <c r="I79" s="501">
        <f t="shared" si="81"/>
        <v>0</v>
      </c>
      <c r="J79" s="501">
        <f t="shared" si="81"/>
        <v>53898000</v>
      </c>
      <c r="K79" s="501">
        <f t="shared" si="81"/>
        <v>53898000</v>
      </c>
      <c r="L79" s="501">
        <f t="shared" si="81"/>
        <v>0</v>
      </c>
      <c r="M79" s="501">
        <f t="shared" si="81"/>
        <v>0</v>
      </c>
      <c r="N79" s="501">
        <f t="shared" si="81"/>
        <v>0</v>
      </c>
      <c r="O79" s="501">
        <f t="shared" si="81"/>
        <v>53898000</v>
      </c>
      <c r="P79" s="501">
        <f t="shared" si="81"/>
        <v>53898000</v>
      </c>
      <c r="Q79" s="642"/>
      <c r="R79" s="257"/>
    </row>
    <row r="80" spans="1:18" s="275" customFormat="1" ht="91.5" thickTop="1" thickBot="1" x14ac:dyDescent="0.25">
      <c r="A80" s="483" t="s">
        <v>1212</v>
      </c>
      <c r="B80" s="483" t="s">
        <v>854</v>
      </c>
      <c r="C80" s="483"/>
      <c r="D80" s="483" t="s">
        <v>855</v>
      </c>
      <c r="E80" s="484">
        <f>E81</f>
        <v>0</v>
      </c>
      <c r="F80" s="484">
        <f t="shared" ref="F80:P81" si="82">F81</f>
        <v>0</v>
      </c>
      <c r="G80" s="484">
        <f t="shared" si="82"/>
        <v>0</v>
      </c>
      <c r="H80" s="484">
        <f t="shared" si="82"/>
        <v>0</v>
      </c>
      <c r="I80" s="484">
        <f t="shared" si="82"/>
        <v>0</v>
      </c>
      <c r="J80" s="484">
        <f t="shared" si="82"/>
        <v>3068000</v>
      </c>
      <c r="K80" s="484">
        <f t="shared" si="82"/>
        <v>3068000</v>
      </c>
      <c r="L80" s="484">
        <f t="shared" si="82"/>
        <v>0</v>
      </c>
      <c r="M80" s="484">
        <f t="shared" si="82"/>
        <v>0</v>
      </c>
      <c r="N80" s="484">
        <f t="shared" si="82"/>
        <v>0</v>
      </c>
      <c r="O80" s="484">
        <f t="shared" si="82"/>
        <v>3068000</v>
      </c>
      <c r="P80" s="484">
        <f t="shared" si="82"/>
        <v>3068000</v>
      </c>
      <c r="Q80" s="642"/>
      <c r="R80" s="257"/>
    </row>
    <row r="81" spans="1:18" s="275" customFormat="1" ht="145.5" thickTop="1" thickBot="1" x14ac:dyDescent="0.25">
      <c r="A81" s="505" t="s">
        <v>1215</v>
      </c>
      <c r="B81" s="505" t="s">
        <v>873</v>
      </c>
      <c r="C81" s="505"/>
      <c r="D81" s="505" t="s">
        <v>1216</v>
      </c>
      <c r="E81" s="488">
        <f>E82</f>
        <v>0</v>
      </c>
      <c r="F81" s="488">
        <f t="shared" si="82"/>
        <v>0</v>
      </c>
      <c r="G81" s="488">
        <f t="shared" si="82"/>
        <v>0</v>
      </c>
      <c r="H81" s="488">
        <f t="shared" si="82"/>
        <v>0</v>
      </c>
      <c r="I81" s="488">
        <f t="shared" si="82"/>
        <v>0</v>
      </c>
      <c r="J81" s="488">
        <f t="shared" si="82"/>
        <v>3068000</v>
      </c>
      <c r="K81" s="488">
        <f t="shared" si="82"/>
        <v>3068000</v>
      </c>
      <c r="L81" s="488">
        <f t="shared" si="82"/>
        <v>0</v>
      </c>
      <c r="M81" s="488">
        <f t="shared" si="82"/>
        <v>0</v>
      </c>
      <c r="N81" s="488">
        <f t="shared" si="82"/>
        <v>0</v>
      </c>
      <c r="O81" s="488">
        <f t="shared" si="82"/>
        <v>3068000</v>
      </c>
      <c r="P81" s="488">
        <f t="shared" si="82"/>
        <v>3068000</v>
      </c>
      <c r="Q81" s="642"/>
      <c r="R81" s="257"/>
    </row>
    <row r="82" spans="1:18" s="275" customFormat="1" ht="99.75" thickTop="1" thickBot="1" x14ac:dyDescent="0.25">
      <c r="A82" s="499" t="s">
        <v>1228</v>
      </c>
      <c r="B82" s="505" t="s">
        <v>325</v>
      </c>
      <c r="C82" s="499" t="s">
        <v>318</v>
      </c>
      <c r="D82" s="499" t="s">
        <v>671</v>
      </c>
      <c r="E82" s="501">
        <f t="shared" ref="E82" si="83">F82</f>
        <v>0</v>
      </c>
      <c r="F82" s="460"/>
      <c r="G82" s="460"/>
      <c r="H82" s="460"/>
      <c r="I82" s="460"/>
      <c r="J82" s="501">
        <f t="shared" ref="J82" si="84">L82+O82</f>
        <v>3068000</v>
      </c>
      <c r="K82" s="460">
        <f>(700000+200000+1168000+300000+700000)</f>
        <v>3068000</v>
      </c>
      <c r="L82" s="460"/>
      <c r="M82" s="460"/>
      <c r="N82" s="460"/>
      <c r="O82" s="503">
        <f t="shared" ref="O82" si="85">K82</f>
        <v>3068000</v>
      </c>
      <c r="P82" s="501">
        <f>E82+J82</f>
        <v>3068000</v>
      </c>
      <c r="Q82" s="635"/>
      <c r="R82" s="257"/>
    </row>
    <row r="83" spans="1:18" s="275" customFormat="1" ht="136.5" thickTop="1" thickBot="1" x14ac:dyDescent="0.25">
      <c r="A83" s="483" t="s">
        <v>1217</v>
      </c>
      <c r="B83" s="483" t="s">
        <v>740</v>
      </c>
      <c r="C83" s="483"/>
      <c r="D83" s="483" t="s">
        <v>738</v>
      </c>
      <c r="E83" s="484">
        <f>E84</f>
        <v>0</v>
      </c>
      <c r="F83" s="484">
        <f t="shared" ref="F83:P83" si="86">F84</f>
        <v>0</v>
      </c>
      <c r="G83" s="484">
        <f t="shared" si="86"/>
        <v>0</v>
      </c>
      <c r="H83" s="484">
        <f t="shared" si="86"/>
        <v>0</v>
      </c>
      <c r="I83" s="484">
        <f t="shared" si="86"/>
        <v>0</v>
      </c>
      <c r="J83" s="484">
        <f t="shared" si="86"/>
        <v>50830000</v>
      </c>
      <c r="K83" s="484">
        <f t="shared" si="86"/>
        <v>50830000</v>
      </c>
      <c r="L83" s="484">
        <f t="shared" si="86"/>
        <v>0</v>
      </c>
      <c r="M83" s="484">
        <f t="shared" si="86"/>
        <v>0</v>
      </c>
      <c r="N83" s="484">
        <f t="shared" si="86"/>
        <v>0</v>
      </c>
      <c r="O83" s="484">
        <f t="shared" si="86"/>
        <v>50830000</v>
      </c>
      <c r="P83" s="484">
        <f t="shared" si="86"/>
        <v>50830000</v>
      </c>
      <c r="Q83" s="635"/>
      <c r="R83" s="257"/>
    </row>
    <row r="84" spans="1:18" s="275" customFormat="1" ht="48" thickTop="1" thickBot="1" x14ac:dyDescent="0.25">
      <c r="A84" s="499" t="s">
        <v>1218</v>
      </c>
      <c r="B84" s="505" t="s">
        <v>225</v>
      </c>
      <c r="C84" s="499" t="s">
        <v>226</v>
      </c>
      <c r="D84" s="499" t="s">
        <v>43</v>
      </c>
      <c r="E84" s="501">
        <f t="shared" ref="E84" si="87">F84</f>
        <v>0</v>
      </c>
      <c r="F84" s="460"/>
      <c r="G84" s="460"/>
      <c r="H84" s="460"/>
      <c r="I84" s="460"/>
      <c r="J84" s="501">
        <f t="shared" ref="J84" si="88">L84+O84</f>
        <v>50830000</v>
      </c>
      <c r="K84" s="460">
        <v>50830000</v>
      </c>
      <c r="L84" s="460"/>
      <c r="M84" s="460"/>
      <c r="N84" s="460"/>
      <c r="O84" s="503">
        <f t="shared" ref="O84" si="89">K84</f>
        <v>50830000</v>
      </c>
      <c r="P84" s="501">
        <f>E84+J84</f>
        <v>50830000</v>
      </c>
      <c r="Q84" s="635"/>
      <c r="R84" s="257"/>
    </row>
    <row r="85" spans="1:18" s="275" customFormat="1" ht="47.25" hidden="1" thickTop="1" thickBot="1" x14ac:dyDescent="0.25">
      <c r="A85" s="252" t="s">
        <v>1131</v>
      </c>
      <c r="B85" s="252" t="s">
        <v>751</v>
      </c>
      <c r="C85" s="252"/>
      <c r="D85" s="252" t="s">
        <v>752</v>
      </c>
      <c r="E85" s="258">
        <f>E86</f>
        <v>0</v>
      </c>
      <c r="F85" s="258">
        <f t="shared" ref="F85:P86" si="90">F86</f>
        <v>0</v>
      </c>
      <c r="G85" s="258">
        <f t="shared" si="90"/>
        <v>0</v>
      </c>
      <c r="H85" s="258">
        <f t="shared" si="90"/>
        <v>0</v>
      </c>
      <c r="I85" s="258">
        <f t="shared" si="90"/>
        <v>0</v>
      </c>
      <c r="J85" s="258">
        <f t="shared" si="90"/>
        <v>0</v>
      </c>
      <c r="K85" s="258">
        <f t="shared" si="90"/>
        <v>0</v>
      </c>
      <c r="L85" s="258">
        <f t="shared" si="90"/>
        <v>0</v>
      </c>
      <c r="M85" s="258">
        <f t="shared" si="90"/>
        <v>0</v>
      </c>
      <c r="N85" s="258">
        <f t="shared" si="90"/>
        <v>0</v>
      </c>
      <c r="O85" s="258">
        <f t="shared" si="90"/>
        <v>0</v>
      </c>
      <c r="P85" s="258">
        <f t="shared" si="90"/>
        <v>0</v>
      </c>
      <c r="Q85" s="642"/>
      <c r="R85" s="257"/>
    </row>
    <row r="86" spans="1:18" s="275" customFormat="1" ht="271.5" hidden="1" thickTop="1" thickBot="1" x14ac:dyDescent="0.25">
      <c r="A86" s="255" t="s">
        <v>1132</v>
      </c>
      <c r="B86" s="255" t="s">
        <v>754</v>
      </c>
      <c r="C86" s="255"/>
      <c r="D86" s="255" t="s">
        <v>755</v>
      </c>
      <c r="E86" s="273">
        <f>E87</f>
        <v>0</v>
      </c>
      <c r="F86" s="273">
        <f t="shared" si="90"/>
        <v>0</v>
      </c>
      <c r="G86" s="273">
        <f t="shared" si="90"/>
        <v>0</v>
      </c>
      <c r="H86" s="273">
        <f t="shared" si="90"/>
        <v>0</v>
      </c>
      <c r="I86" s="273">
        <f t="shared" si="90"/>
        <v>0</v>
      </c>
      <c r="J86" s="273">
        <f t="shared" si="90"/>
        <v>0</v>
      </c>
      <c r="K86" s="273">
        <f t="shared" si="90"/>
        <v>0</v>
      </c>
      <c r="L86" s="273">
        <f t="shared" si="90"/>
        <v>0</v>
      </c>
      <c r="M86" s="273">
        <f t="shared" si="90"/>
        <v>0</v>
      </c>
      <c r="N86" s="273">
        <f t="shared" si="90"/>
        <v>0</v>
      </c>
      <c r="O86" s="273">
        <f t="shared" si="90"/>
        <v>0</v>
      </c>
      <c r="P86" s="273">
        <f t="shared" si="90"/>
        <v>0</v>
      </c>
      <c r="Q86" s="642"/>
      <c r="R86" s="257"/>
    </row>
    <row r="87" spans="1:18" s="275" customFormat="1" ht="93" hidden="1" thickTop="1" thickBot="1" x14ac:dyDescent="0.25">
      <c r="A87" s="261" t="s">
        <v>1133</v>
      </c>
      <c r="B87" s="261" t="s">
        <v>380</v>
      </c>
      <c r="C87" s="261" t="s">
        <v>45</v>
      </c>
      <c r="D87" s="261" t="s">
        <v>381</v>
      </c>
      <c r="E87" s="258">
        <f t="shared" ref="E87" si="91">F87</f>
        <v>0</v>
      </c>
      <c r="F87" s="281"/>
      <c r="G87" s="281"/>
      <c r="H87" s="281"/>
      <c r="I87" s="281"/>
      <c r="J87" s="258">
        <f>L87+O87</f>
        <v>0</v>
      </c>
      <c r="K87" s="281"/>
      <c r="L87" s="281"/>
      <c r="M87" s="281"/>
      <c r="N87" s="281"/>
      <c r="O87" s="264">
        <f>K87</f>
        <v>0</v>
      </c>
      <c r="P87" s="258">
        <f>E87+J87</f>
        <v>0</v>
      </c>
      <c r="Q87" s="642"/>
      <c r="R87" s="257"/>
    </row>
    <row r="88" spans="1:18" ht="136.5" thickTop="1" thickBot="1" x14ac:dyDescent="0.25">
      <c r="A88" s="450" t="s">
        <v>163</v>
      </c>
      <c r="B88" s="450"/>
      <c r="C88" s="450"/>
      <c r="D88" s="451" t="s">
        <v>18</v>
      </c>
      <c r="E88" s="452">
        <f>E89</f>
        <v>86005891</v>
      </c>
      <c r="F88" s="453">
        <f t="shared" ref="F88:G88" si="92">F89</f>
        <v>86005891</v>
      </c>
      <c r="G88" s="453">
        <f t="shared" si="92"/>
        <v>4688000</v>
      </c>
      <c r="H88" s="453">
        <f>H89</f>
        <v>299231</v>
      </c>
      <c r="I88" s="453">
        <f t="shared" ref="I88" si="93">I89</f>
        <v>0</v>
      </c>
      <c r="J88" s="452">
        <f>J89</f>
        <v>7838700</v>
      </c>
      <c r="K88" s="453">
        <f>K89</f>
        <v>7838700</v>
      </c>
      <c r="L88" s="453">
        <f>L89</f>
        <v>0</v>
      </c>
      <c r="M88" s="453">
        <f t="shared" ref="M88" si="94">M89</f>
        <v>0</v>
      </c>
      <c r="N88" s="453">
        <f>N89</f>
        <v>0</v>
      </c>
      <c r="O88" s="452">
        <f>O89</f>
        <v>7838700</v>
      </c>
      <c r="P88" s="453">
        <f>P89</f>
        <v>93844591</v>
      </c>
    </row>
    <row r="89" spans="1:18" ht="136.5" thickTop="1" thickBot="1" x14ac:dyDescent="0.25">
      <c r="A89" s="454" t="s">
        <v>164</v>
      </c>
      <c r="B89" s="454"/>
      <c r="C89" s="454"/>
      <c r="D89" s="455" t="s">
        <v>38</v>
      </c>
      <c r="E89" s="456">
        <f>E90+E92+E105</f>
        <v>86005891</v>
      </c>
      <c r="F89" s="456">
        <f t="shared" ref="F89:I89" si="95">F90+F92+F105</f>
        <v>86005891</v>
      </c>
      <c r="G89" s="456">
        <f t="shared" si="95"/>
        <v>4688000</v>
      </c>
      <c r="H89" s="456">
        <f t="shared" si="95"/>
        <v>299231</v>
      </c>
      <c r="I89" s="456">
        <f t="shared" si="95"/>
        <v>0</v>
      </c>
      <c r="J89" s="456">
        <f>L89+O89</f>
        <v>7838700</v>
      </c>
      <c r="K89" s="456">
        <f t="shared" ref="K89:O89" si="96">K90+K92+K105</f>
        <v>7838700</v>
      </c>
      <c r="L89" s="456">
        <f t="shared" si="96"/>
        <v>0</v>
      </c>
      <c r="M89" s="456">
        <f t="shared" si="96"/>
        <v>0</v>
      </c>
      <c r="N89" s="456">
        <f t="shared" si="96"/>
        <v>0</v>
      </c>
      <c r="O89" s="456">
        <f t="shared" si="96"/>
        <v>7838700</v>
      </c>
      <c r="P89" s="456">
        <f t="shared" ref="P89:P111" si="97">E89+J89</f>
        <v>93844591</v>
      </c>
      <c r="Q89" s="635" t="b">
        <f>P89=P91+P93+P94+P95+P96+P97+P99+P101+P103+P104+P110+P108</f>
        <v>1</v>
      </c>
      <c r="R89" s="257"/>
    </row>
    <row r="90" spans="1:18" ht="47.25" thickTop="1" thickBot="1" x14ac:dyDescent="0.25">
      <c r="A90" s="150" t="s">
        <v>762</v>
      </c>
      <c r="B90" s="150" t="s">
        <v>733</v>
      </c>
      <c r="C90" s="150"/>
      <c r="D90" s="150" t="s">
        <v>734</v>
      </c>
      <c r="E90" s="459">
        <f>SUM(E91)</f>
        <v>2867421</v>
      </c>
      <c r="F90" s="459">
        <f t="shared" ref="F90:O90" si="98">SUM(F91)</f>
        <v>2867421</v>
      </c>
      <c r="G90" s="459">
        <f t="shared" si="98"/>
        <v>2136700</v>
      </c>
      <c r="H90" s="459">
        <f t="shared" si="98"/>
        <v>147221</v>
      </c>
      <c r="I90" s="459">
        <f t="shared" si="98"/>
        <v>0</v>
      </c>
      <c r="J90" s="459">
        <f t="shared" si="98"/>
        <v>0</v>
      </c>
      <c r="K90" s="459">
        <f t="shared" si="98"/>
        <v>0</v>
      </c>
      <c r="L90" s="459">
        <f t="shared" si="98"/>
        <v>0</v>
      </c>
      <c r="M90" s="459">
        <f t="shared" si="98"/>
        <v>0</v>
      </c>
      <c r="N90" s="459">
        <f t="shared" si="98"/>
        <v>0</v>
      </c>
      <c r="O90" s="459">
        <f t="shared" si="98"/>
        <v>0</v>
      </c>
      <c r="P90" s="459">
        <f>SUM(P91)</f>
        <v>2867421</v>
      </c>
      <c r="Q90" s="635"/>
      <c r="R90" s="257"/>
    </row>
    <row r="91" spans="1:18" ht="230.25" thickTop="1" thickBot="1" x14ac:dyDescent="0.25">
      <c r="A91" s="226" t="s">
        <v>435</v>
      </c>
      <c r="B91" s="226" t="s">
        <v>249</v>
      </c>
      <c r="C91" s="226" t="s">
        <v>247</v>
      </c>
      <c r="D91" s="226" t="s">
        <v>248</v>
      </c>
      <c r="E91" s="459">
        <f>F91</f>
        <v>2867421</v>
      </c>
      <c r="F91" s="460">
        <v>2867421</v>
      </c>
      <c r="G91" s="460">
        <v>2136700</v>
      </c>
      <c r="H91" s="460">
        <f>2100+55721+89400</f>
        <v>147221</v>
      </c>
      <c r="I91" s="460"/>
      <c r="J91" s="459">
        <f t="shared" ref="J91:J111" si="99">L91+O91</f>
        <v>0</v>
      </c>
      <c r="K91" s="460">
        <f>100000-100000</f>
        <v>0</v>
      </c>
      <c r="L91" s="460"/>
      <c r="M91" s="460"/>
      <c r="N91" s="460"/>
      <c r="O91" s="461">
        <f>K91</f>
        <v>0</v>
      </c>
      <c r="P91" s="459">
        <f t="shared" si="97"/>
        <v>2867421</v>
      </c>
      <c r="Q91" s="644"/>
      <c r="R91" s="257"/>
    </row>
    <row r="92" spans="1:18" ht="47.25" thickTop="1" thickBot="1" x14ac:dyDescent="0.25">
      <c r="A92" s="150" t="s">
        <v>763</v>
      </c>
      <c r="B92" s="150" t="s">
        <v>764</v>
      </c>
      <c r="C92" s="150"/>
      <c r="D92" s="150" t="s">
        <v>765</v>
      </c>
      <c r="E92" s="459">
        <f>SUM(E93:E104)-E98-E100-E102</f>
        <v>83138470</v>
      </c>
      <c r="F92" s="459">
        <f t="shared" ref="F92:P92" si="100">SUM(F93:F104)-F98-F100-F102</f>
        <v>83138470</v>
      </c>
      <c r="G92" s="459">
        <f t="shared" si="100"/>
        <v>2551300</v>
      </c>
      <c r="H92" s="459">
        <f t="shared" si="100"/>
        <v>152010</v>
      </c>
      <c r="I92" s="459">
        <f t="shared" si="100"/>
        <v>0</v>
      </c>
      <c r="J92" s="459">
        <f t="shared" si="100"/>
        <v>7838700</v>
      </c>
      <c r="K92" s="459">
        <f t="shared" si="100"/>
        <v>7838700</v>
      </c>
      <c r="L92" s="459">
        <f t="shared" si="100"/>
        <v>0</v>
      </c>
      <c r="M92" s="459">
        <f t="shared" si="100"/>
        <v>0</v>
      </c>
      <c r="N92" s="459">
        <f t="shared" si="100"/>
        <v>0</v>
      </c>
      <c r="O92" s="459">
        <f t="shared" si="100"/>
        <v>7838700</v>
      </c>
      <c r="P92" s="459">
        <f t="shared" si="100"/>
        <v>90977170</v>
      </c>
      <c r="Q92" s="644"/>
      <c r="R92" s="287"/>
    </row>
    <row r="93" spans="1:18" ht="93" thickTop="1" thickBot="1" x14ac:dyDescent="0.25">
      <c r="A93" s="226" t="s">
        <v>227</v>
      </c>
      <c r="B93" s="226" t="s">
        <v>224</v>
      </c>
      <c r="C93" s="226" t="s">
        <v>228</v>
      </c>
      <c r="D93" s="226" t="s">
        <v>19</v>
      </c>
      <c r="E93" s="459">
        <f>F93</f>
        <v>25352605</v>
      </c>
      <c r="F93" s="460">
        <v>25352605</v>
      </c>
      <c r="G93" s="460"/>
      <c r="H93" s="460"/>
      <c r="I93" s="460"/>
      <c r="J93" s="459">
        <f t="shared" si="99"/>
        <v>6438700</v>
      </c>
      <c r="K93" s="460">
        <f>360000+178700+400000+5000000+500000</f>
        <v>6438700</v>
      </c>
      <c r="L93" s="460"/>
      <c r="M93" s="460"/>
      <c r="N93" s="460"/>
      <c r="O93" s="461">
        <f>K93</f>
        <v>6438700</v>
      </c>
      <c r="P93" s="459">
        <f t="shared" si="97"/>
        <v>31791305</v>
      </c>
      <c r="R93" s="269"/>
    </row>
    <row r="94" spans="1:18" ht="93" thickTop="1" thickBot="1" x14ac:dyDescent="0.25">
      <c r="A94" s="226" t="s">
        <v>530</v>
      </c>
      <c r="B94" s="226" t="s">
        <v>533</v>
      </c>
      <c r="C94" s="226" t="s">
        <v>532</v>
      </c>
      <c r="D94" s="226" t="s">
        <v>531</v>
      </c>
      <c r="E94" s="459">
        <f>F94</f>
        <v>8991450</v>
      </c>
      <c r="F94" s="460">
        <v>8991450</v>
      </c>
      <c r="G94" s="460"/>
      <c r="H94" s="460"/>
      <c r="I94" s="460"/>
      <c r="J94" s="459">
        <f t="shared" si="99"/>
        <v>700000</v>
      </c>
      <c r="K94" s="460">
        <f>500000+200000</f>
        <v>700000</v>
      </c>
      <c r="L94" s="460"/>
      <c r="M94" s="460"/>
      <c r="N94" s="460"/>
      <c r="O94" s="503">
        <f>K94</f>
        <v>700000</v>
      </c>
      <c r="P94" s="459">
        <f t="shared" si="97"/>
        <v>9691450</v>
      </c>
      <c r="R94" s="287"/>
    </row>
    <row r="95" spans="1:18" ht="138.75" thickTop="1" thickBot="1" x14ac:dyDescent="0.25">
      <c r="A95" s="226" t="s">
        <v>229</v>
      </c>
      <c r="B95" s="226" t="s">
        <v>230</v>
      </c>
      <c r="C95" s="226" t="s">
        <v>231</v>
      </c>
      <c r="D95" s="226" t="s">
        <v>232</v>
      </c>
      <c r="E95" s="459">
        <f t="shared" ref="E95:E111" si="101">F95</f>
        <v>8354950</v>
      </c>
      <c r="F95" s="460">
        <v>8354950</v>
      </c>
      <c r="G95" s="460"/>
      <c r="H95" s="460"/>
      <c r="I95" s="460"/>
      <c r="J95" s="459">
        <f t="shared" si="99"/>
        <v>500000</v>
      </c>
      <c r="K95" s="460">
        <v>500000</v>
      </c>
      <c r="L95" s="460"/>
      <c r="M95" s="460"/>
      <c r="N95" s="460"/>
      <c r="O95" s="461">
        <f>K95</f>
        <v>500000</v>
      </c>
      <c r="P95" s="459">
        <f t="shared" si="97"/>
        <v>8854950</v>
      </c>
      <c r="R95" s="287"/>
    </row>
    <row r="96" spans="1:18" ht="138.75" thickTop="1" thickBot="1" x14ac:dyDescent="0.25">
      <c r="A96" s="226" t="s">
        <v>233</v>
      </c>
      <c r="B96" s="226" t="s">
        <v>234</v>
      </c>
      <c r="C96" s="226" t="s">
        <v>235</v>
      </c>
      <c r="D96" s="226" t="s">
        <v>362</v>
      </c>
      <c r="E96" s="459">
        <f t="shared" si="101"/>
        <v>11569670</v>
      </c>
      <c r="F96" s="460">
        <v>11569670</v>
      </c>
      <c r="G96" s="460"/>
      <c r="H96" s="460"/>
      <c r="I96" s="460"/>
      <c r="J96" s="459">
        <f t="shared" si="99"/>
        <v>0</v>
      </c>
      <c r="K96" s="460"/>
      <c r="L96" s="460"/>
      <c r="M96" s="460"/>
      <c r="N96" s="460"/>
      <c r="O96" s="461">
        <f>K96</f>
        <v>0</v>
      </c>
      <c r="P96" s="459">
        <f t="shared" si="97"/>
        <v>11569670</v>
      </c>
      <c r="R96" s="287"/>
    </row>
    <row r="97" spans="1:18" ht="93" thickTop="1" thickBot="1" x14ac:dyDescent="0.25">
      <c r="A97" s="226" t="s">
        <v>236</v>
      </c>
      <c r="B97" s="226" t="s">
        <v>237</v>
      </c>
      <c r="C97" s="226" t="s">
        <v>238</v>
      </c>
      <c r="D97" s="226" t="s">
        <v>239</v>
      </c>
      <c r="E97" s="459">
        <f t="shared" si="101"/>
        <v>7556300</v>
      </c>
      <c r="F97" s="460">
        <v>7556300</v>
      </c>
      <c r="G97" s="460"/>
      <c r="H97" s="460"/>
      <c r="I97" s="460"/>
      <c r="J97" s="459">
        <f t="shared" si="99"/>
        <v>200000</v>
      </c>
      <c r="K97" s="460">
        <v>200000</v>
      </c>
      <c r="L97" s="460"/>
      <c r="M97" s="460"/>
      <c r="N97" s="460"/>
      <c r="O97" s="461">
        <f>K97</f>
        <v>200000</v>
      </c>
      <c r="P97" s="459">
        <f t="shared" si="97"/>
        <v>7756300</v>
      </c>
      <c r="R97" s="287"/>
    </row>
    <row r="98" spans="1:18" ht="93" thickTop="1" thickBot="1" x14ac:dyDescent="0.25">
      <c r="A98" s="505" t="s">
        <v>766</v>
      </c>
      <c r="B98" s="505" t="s">
        <v>767</v>
      </c>
      <c r="C98" s="505"/>
      <c r="D98" s="505" t="s">
        <v>768</v>
      </c>
      <c r="E98" s="488">
        <f>E99</f>
        <v>14204885</v>
      </c>
      <c r="F98" s="488">
        <f t="shared" ref="F98:P98" si="102">F99</f>
        <v>14204885</v>
      </c>
      <c r="G98" s="488">
        <f t="shared" si="102"/>
        <v>0</v>
      </c>
      <c r="H98" s="488">
        <f t="shared" si="102"/>
        <v>0</v>
      </c>
      <c r="I98" s="488">
        <f t="shared" si="102"/>
        <v>0</v>
      </c>
      <c r="J98" s="488">
        <f t="shared" si="102"/>
        <v>0</v>
      </c>
      <c r="K98" s="488">
        <f t="shared" si="102"/>
        <v>0</v>
      </c>
      <c r="L98" s="488">
        <f t="shared" si="102"/>
        <v>0</v>
      </c>
      <c r="M98" s="488">
        <f t="shared" si="102"/>
        <v>0</v>
      </c>
      <c r="N98" s="488">
        <f t="shared" si="102"/>
        <v>0</v>
      </c>
      <c r="O98" s="488">
        <f t="shared" si="102"/>
        <v>0</v>
      </c>
      <c r="P98" s="488">
        <f t="shared" si="102"/>
        <v>14204885</v>
      </c>
      <c r="R98" s="287"/>
    </row>
    <row r="99" spans="1:18" ht="184.5" thickTop="1" thickBot="1" x14ac:dyDescent="0.25">
      <c r="A99" s="226" t="s">
        <v>240</v>
      </c>
      <c r="B99" s="226" t="s">
        <v>241</v>
      </c>
      <c r="C99" s="226" t="s">
        <v>363</v>
      </c>
      <c r="D99" s="226" t="s">
        <v>242</v>
      </c>
      <c r="E99" s="459">
        <f t="shared" si="101"/>
        <v>14204885</v>
      </c>
      <c r="F99" s="460">
        <v>14204885</v>
      </c>
      <c r="G99" s="460"/>
      <c r="H99" s="460"/>
      <c r="I99" s="460"/>
      <c r="J99" s="459">
        <f t="shared" si="99"/>
        <v>0</v>
      </c>
      <c r="K99" s="460"/>
      <c r="L99" s="460"/>
      <c r="M99" s="460"/>
      <c r="N99" s="460"/>
      <c r="O99" s="461">
        <f t="shared" ref="O99:O111" si="103">K99</f>
        <v>0</v>
      </c>
      <c r="P99" s="459">
        <f t="shared" si="97"/>
        <v>14204885</v>
      </c>
      <c r="R99" s="287"/>
    </row>
    <row r="100" spans="1:18" ht="138.75" hidden="1" thickTop="1" thickBot="1" x14ac:dyDescent="0.25">
      <c r="A100" s="505" t="s">
        <v>769</v>
      </c>
      <c r="B100" s="505" t="s">
        <v>770</v>
      </c>
      <c r="C100" s="505"/>
      <c r="D100" s="505" t="s">
        <v>771</v>
      </c>
      <c r="E100" s="488">
        <f>E101</f>
        <v>0</v>
      </c>
      <c r="F100" s="488">
        <f t="shared" ref="F100:P100" si="104">F101</f>
        <v>0</v>
      </c>
      <c r="G100" s="488">
        <f t="shared" si="104"/>
        <v>0</v>
      </c>
      <c r="H100" s="488">
        <f t="shared" si="104"/>
        <v>0</v>
      </c>
      <c r="I100" s="488">
        <f t="shared" si="104"/>
        <v>0</v>
      </c>
      <c r="J100" s="278">
        <f t="shared" si="104"/>
        <v>0</v>
      </c>
      <c r="K100" s="278">
        <f t="shared" si="104"/>
        <v>0</v>
      </c>
      <c r="L100" s="278">
        <f t="shared" si="104"/>
        <v>0</v>
      </c>
      <c r="M100" s="278">
        <f t="shared" si="104"/>
        <v>0</v>
      </c>
      <c r="N100" s="278">
        <f t="shared" si="104"/>
        <v>0</v>
      </c>
      <c r="O100" s="278">
        <f t="shared" si="104"/>
        <v>0</v>
      </c>
      <c r="P100" s="278">
        <f t="shared" si="104"/>
        <v>0</v>
      </c>
      <c r="R100" s="287"/>
    </row>
    <row r="101" spans="1:18" ht="138.75" hidden="1" thickTop="1" thickBot="1" x14ac:dyDescent="0.25">
      <c r="A101" s="226" t="s">
        <v>500</v>
      </c>
      <c r="B101" s="226" t="s">
        <v>501</v>
      </c>
      <c r="C101" s="226" t="s">
        <v>243</v>
      </c>
      <c r="D101" s="226" t="s">
        <v>502</v>
      </c>
      <c r="E101" s="459">
        <f t="shared" si="101"/>
        <v>0</v>
      </c>
      <c r="F101" s="460">
        <v>0</v>
      </c>
      <c r="G101" s="460"/>
      <c r="H101" s="460"/>
      <c r="I101" s="460"/>
      <c r="J101" s="258">
        <f t="shared" si="99"/>
        <v>0</v>
      </c>
      <c r="K101" s="281"/>
      <c r="L101" s="281"/>
      <c r="M101" s="281"/>
      <c r="N101" s="281"/>
      <c r="O101" s="264">
        <f t="shared" si="103"/>
        <v>0</v>
      </c>
      <c r="P101" s="258">
        <f t="shared" si="97"/>
        <v>0</v>
      </c>
      <c r="R101" s="287"/>
    </row>
    <row r="102" spans="1:18" ht="138.75" thickTop="1" thickBot="1" x14ac:dyDescent="0.25">
      <c r="A102" s="505" t="s">
        <v>772</v>
      </c>
      <c r="B102" s="505" t="s">
        <v>773</v>
      </c>
      <c r="C102" s="505"/>
      <c r="D102" s="505" t="s">
        <v>774</v>
      </c>
      <c r="E102" s="488">
        <f>SUM(E103:E104)</f>
        <v>7108610</v>
      </c>
      <c r="F102" s="488">
        <f t="shared" ref="F102:P102" si="105">SUM(F103:F104)</f>
        <v>7108610</v>
      </c>
      <c r="G102" s="488">
        <f t="shared" si="105"/>
        <v>2551300</v>
      </c>
      <c r="H102" s="488">
        <f t="shared" si="105"/>
        <v>152010</v>
      </c>
      <c r="I102" s="488">
        <f t="shared" si="105"/>
        <v>0</v>
      </c>
      <c r="J102" s="488">
        <f t="shared" si="105"/>
        <v>0</v>
      </c>
      <c r="K102" s="488">
        <f t="shared" si="105"/>
        <v>0</v>
      </c>
      <c r="L102" s="488">
        <f t="shared" si="105"/>
        <v>0</v>
      </c>
      <c r="M102" s="488">
        <f t="shared" si="105"/>
        <v>0</v>
      </c>
      <c r="N102" s="488">
        <f t="shared" si="105"/>
        <v>0</v>
      </c>
      <c r="O102" s="488">
        <f t="shared" si="105"/>
        <v>0</v>
      </c>
      <c r="P102" s="488">
        <f t="shared" si="105"/>
        <v>7108610</v>
      </c>
      <c r="R102" s="287"/>
    </row>
    <row r="103" spans="1:18" s="275" customFormat="1" ht="138.75" thickTop="1" thickBot="1" x14ac:dyDescent="0.25">
      <c r="A103" s="226" t="s">
        <v>337</v>
      </c>
      <c r="B103" s="226" t="s">
        <v>339</v>
      </c>
      <c r="C103" s="226" t="s">
        <v>243</v>
      </c>
      <c r="D103" s="515" t="s">
        <v>335</v>
      </c>
      <c r="E103" s="459">
        <f t="shared" si="101"/>
        <v>3474610</v>
      </c>
      <c r="F103" s="460">
        <v>3474610</v>
      </c>
      <c r="G103" s="460">
        <v>2551300</v>
      </c>
      <c r="H103" s="460">
        <f>2100+47625+91190+11095</f>
        <v>152010</v>
      </c>
      <c r="I103" s="460"/>
      <c r="J103" s="501">
        <f t="shared" si="99"/>
        <v>0</v>
      </c>
      <c r="K103" s="460"/>
      <c r="L103" s="460"/>
      <c r="M103" s="460"/>
      <c r="N103" s="460"/>
      <c r="O103" s="503">
        <f t="shared" si="103"/>
        <v>0</v>
      </c>
      <c r="P103" s="501">
        <f t="shared" si="97"/>
        <v>3474610</v>
      </c>
      <c r="Q103" s="642"/>
      <c r="R103" s="257"/>
    </row>
    <row r="104" spans="1:18" s="275" customFormat="1" ht="93" thickTop="1" thickBot="1" x14ac:dyDescent="0.25">
      <c r="A104" s="226" t="s">
        <v>338</v>
      </c>
      <c r="B104" s="226" t="s">
        <v>340</v>
      </c>
      <c r="C104" s="226" t="s">
        <v>243</v>
      </c>
      <c r="D104" s="515" t="s">
        <v>336</v>
      </c>
      <c r="E104" s="459">
        <f t="shared" si="101"/>
        <v>3634000</v>
      </c>
      <c r="F104" s="460">
        <v>3634000</v>
      </c>
      <c r="G104" s="460"/>
      <c r="H104" s="460"/>
      <c r="I104" s="460"/>
      <c r="J104" s="459">
        <f t="shared" si="99"/>
        <v>0</v>
      </c>
      <c r="K104" s="460"/>
      <c r="L104" s="460"/>
      <c r="M104" s="460"/>
      <c r="N104" s="460"/>
      <c r="O104" s="461">
        <f t="shared" si="103"/>
        <v>0</v>
      </c>
      <c r="P104" s="459">
        <f t="shared" si="97"/>
        <v>3634000</v>
      </c>
      <c r="Q104" s="642"/>
      <c r="R104" s="287"/>
    </row>
    <row r="105" spans="1:18" s="275" customFormat="1" ht="47.25" hidden="1" thickTop="1" thickBot="1" x14ac:dyDescent="0.25">
      <c r="A105" s="252" t="s">
        <v>800</v>
      </c>
      <c r="B105" s="271" t="s">
        <v>798</v>
      </c>
      <c r="C105" s="271"/>
      <c r="D105" s="271" t="s">
        <v>799</v>
      </c>
      <c r="E105" s="258">
        <f>SUM(E109)+E106</f>
        <v>0</v>
      </c>
      <c r="F105" s="258">
        <f t="shared" ref="F105:P105" si="106">SUM(F109)+F106</f>
        <v>0</v>
      </c>
      <c r="G105" s="258">
        <f t="shared" si="106"/>
        <v>0</v>
      </c>
      <c r="H105" s="258">
        <f t="shared" si="106"/>
        <v>0</v>
      </c>
      <c r="I105" s="258">
        <f t="shared" si="106"/>
        <v>0</v>
      </c>
      <c r="J105" s="258">
        <f t="shared" si="106"/>
        <v>0</v>
      </c>
      <c r="K105" s="258">
        <f t="shared" si="106"/>
        <v>0</v>
      </c>
      <c r="L105" s="258">
        <f t="shared" si="106"/>
        <v>0</v>
      </c>
      <c r="M105" s="258">
        <f t="shared" si="106"/>
        <v>0</v>
      </c>
      <c r="N105" s="258">
        <f t="shared" si="106"/>
        <v>0</v>
      </c>
      <c r="O105" s="258">
        <f t="shared" si="106"/>
        <v>0</v>
      </c>
      <c r="P105" s="258">
        <f t="shared" si="106"/>
        <v>0</v>
      </c>
      <c r="Q105" s="642"/>
      <c r="R105" s="287"/>
    </row>
    <row r="106" spans="1:18" s="275" customFormat="1" ht="91.5" hidden="1" thickTop="1" thickBot="1" x14ac:dyDescent="0.25">
      <c r="A106" s="255" t="s">
        <v>1164</v>
      </c>
      <c r="B106" s="255" t="s">
        <v>854</v>
      </c>
      <c r="C106" s="255"/>
      <c r="D106" s="255" t="s">
        <v>855</v>
      </c>
      <c r="E106" s="273">
        <f>E107</f>
        <v>0</v>
      </c>
      <c r="F106" s="273">
        <f t="shared" ref="F106:P107" si="107">F107</f>
        <v>0</v>
      </c>
      <c r="G106" s="273">
        <f t="shared" si="107"/>
        <v>0</v>
      </c>
      <c r="H106" s="273">
        <f t="shared" si="107"/>
        <v>0</v>
      </c>
      <c r="I106" s="273">
        <f t="shared" si="107"/>
        <v>0</v>
      </c>
      <c r="J106" s="273">
        <f t="shared" si="107"/>
        <v>0</v>
      </c>
      <c r="K106" s="273">
        <f t="shared" si="107"/>
        <v>0</v>
      </c>
      <c r="L106" s="273">
        <f t="shared" si="107"/>
        <v>0</v>
      </c>
      <c r="M106" s="273">
        <f t="shared" si="107"/>
        <v>0</v>
      </c>
      <c r="N106" s="273">
        <f t="shared" si="107"/>
        <v>0</v>
      </c>
      <c r="O106" s="273">
        <f t="shared" si="107"/>
        <v>0</v>
      </c>
      <c r="P106" s="273">
        <f t="shared" si="107"/>
        <v>0</v>
      </c>
      <c r="Q106" s="642"/>
      <c r="R106" s="287"/>
    </row>
    <row r="107" spans="1:18" s="275" customFormat="1" ht="93" hidden="1" thickTop="1" thickBot="1" x14ac:dyDescent="0.25">
      <c r="A107" s="282" t="s">
        <v>1165</v>
      </c>
      <c r="B107" s="282" t="s">
        <v>1163</v>
      </c>
      <c r="C107" s="282"/>
      <c r="D107" s="282" t="s">
        <v>1162</v>
      </c>
      <c r="E107" s="278">
        <f>E108</f>
        <v>0</v>
      </c>
      <c r="F107" s="278">
        <f t="shared" si="107"/>
        <v>0</v>
      </c>
      <c r="G107" s="278">
        <f t="shared" si="107"/>
        <v>0</v>
      </c>
      <c r="H107" s="278">
        <f t="shared" si="107"/>
        <v>0</v>
      </c>
      <c r="I107" s="278">
        <f t="shared" si="107"/>
        <v>0</v>
      </c>
      <c r="J107" s="278">
        <f t="shared" si="107"/>
        <v>0</v>
      </c>
      <c r="K107" s="278">
        <f t="shared" si="107"/>
        <v>0</v>
      </c>
      <c r="L107" s="278">
        <f t="shared" si="107"/>
        <v>0</v>
      </c>
      <c r="M107" s="278">
        <f t="shared" si="107"/>
        <v>0</v>
      </c>
      <c r="N107" s="278">
        <f t="shared" si="107"/>
        <v>0</v>
      </c>
      <c r="O107" s="278">
        <f t="shared" si="107"/>
        <v>0</v>
      </c>
      <c r="P107" s="278">
        <f t="shared" si="107"/>
        <v>0</v>
      </c>
      <c r="Q107" s="642"/>
      <c r="R107" s="287"/>
    </row>
    <row r="108" spans="1:18" s="275" customFormat="1" ht="230.25" hidden="1" thickTop="1" thickBot="1" x14ac:dyDescent="0.25">
      <c r="A108" s="261" t="s">
        <v>1166</v>
      </c>
      <c r="B108" s="261" t="s">
        <v>1167</v>
      </c>
      <c r="C108" s="261" t="s">
        <v>179</v>
      </c>
      <c r="D108" s="261" t="s">
        <v>1168</v>
      </c>
      <c r="E108" s="258">
        <f t="shared" si="101"/>
        <v>0</v>
      </c>
      <c r="F108" s="281"/>
      <c r="G108" s="281"/>
      <c r="H108" s="281"/>
      <c r="I108" s="281"/>
      <c r="J108" s="258">
        <f t="shared" si="99"/>
        <v>0</v>
      </c>
      <c r="K108" s="281"/>
      <c r="L108" s="281"/>
      <c r="M108" s="281"/>
      <c r="N108" s="281"/>
      <c r="O108" s="264">
        <f>K108</f>
        <v>0</v>
      </c>
      <c r="P108" s="258">
        <f t="shared" si="97"/>
        <v>0</v>
      </c>
      <c r="Q108" s="642"/>
      <c r="R108" s="257"/>
    </row>
    <row r="109" spans="1:18" s="260" customFormat="1" ht="136.5" hidden="1" thickTop="1" thickBot="1" x14ac:dyDescent="0.25">
      <c r="A109" s="255" t="s">
        <v>775</v>
      </c>
      <c r="B109" s="255" t="s">
        <v>740</v>
      </c>
      <c r="C109" s="255"/>
      <c r="D109" s="255" t="s">
        <v>738</v>
      </c>
      <c r="E109" s="273">
        <f>SUM(E110)</f>
        <v>0</v>
      </c>
      <c r="F109" s="273">
        <f t="shared" ref="F109:P109" si="108">SUM(F110)</f>
        <v>0</v>
      </c>
      <c r="G109" s="273">
        <f t="shared" si="108"/>
        <v>0</v>
      </c>
      <c r="H109" s="273">
        <f t="shared" si="108"/>
        <v>0</v>
      </c>
      <c r="I109" s="273">
        <f t="shared" si="108"/>
        <v>0</v>
      </c>
      <c r="J109" s="273">
        <f t="shared" si="108"/>
        <v>0</v>
      </c>
      <c r="K109" s="273">
        <f t="shared" si="108"/>
        <v>0</v>
      </c>
      <c r="L109" s="273">
        <f t="shared" si="108"/>
        <v>0</v>
      </c>
      <c r="M109" s="273">
        <f t="shared" si="108"/>
        <v>0</v>
      </c>
      <c r="N109" s="273">
        <f t="shared" si="108"/>
        <v>0</v>
      </c>
      <c r="O109" s="273">
        <f t="shared" si="108"/>
        <v>0</v>
      </c>
      <c r="P109" s="273">
        <f t="shared" si="108"/>
        <v>0</v>
      </c>
      <c r="Q109" s="645"/>
      <c r="R109" s="289"/>
    </row>
    <row r="110" spans="1:18" s="275" customFormat="1" ht="93" hidden="1" thickTop="1" thickBot="1" x14ac:dyDescent="0.25">
      <c r="A110" s="261" t="s">
        <v>455</v>
      </c>
      <c r="B110" s="261" t="s">
        <v>210</v>
      </c>
      <c r="C110" s="261" t="s">
        <v>179</v>
      </c>
      <c r="D110" s="261" t="s">
        <v>36</v>
      </c>
      <c r="E110" s="258">
        <f t="shared" si="101"/>
        <v>0</v>
      </c>
      <c r="F110" s="281"/>
      <c r="G110" s="281"/>
      <c r="H110" s="281"/>
      <c r="I110" s="281"/>
      <c r="J110" s="258">
        <f t="shared" si="99"/>
        <v>0</v>
      </c>
      <c r="K110" s="281"/>
      <c r="L110" s="281"/>
      <c r="M110" s="281"/>
      <c r="N110" s="281"/>
      <c r="O110" s="264">
        <f t="shared" si="103"/>
        <v>0</v>
      </c>
      <c r="P110" s="258">
        <f t="shared" si="97"/>
        <v>0</v>
      </c>
      <c r="Q110" s="642"/>
      <c r="R110" s="257"/>
    </row>
    <row r="111" spans="1:18" s="275" customFormat="1" ht="93" hidden="1" thickTop="1" thickBot="1" x14ac:dyDescent="0.25">
      <c r="A111" s="290" t="s">
        <v>534</v>
      </c>
      <c r="B111" s="290" t="s">
        <v>380</v>
      </c>
      <c r="C111" s="290" t="s">
        <v>45</v>
      </c>
      <c r="D111" s="290" t="s">
        <v>381</v>
      </c>
      <c r="E111" s="291">
        <f t="shared" si="101"/>
        <v>0</v>
      </c>
      <c r="F111" s="292"/>
      <c r="G111" s="292"/>
      <c r="H111" s="292"/>
      <c r="I111" s="292"/>
      <c r="J111" s="291">
        <f t="shared" si="99"/>
        <v>0</v>
      </c>
      <c r="K111" s="292"/>
      <c r="L111" s="292"/>
      <c r="M111" s="292"/>
      <c r="N111" s="292"/>
      <c r="O111" s="293">
        <f t="shared" si="103"/>
        <v>0</v>
      </c>
      <c r="P111" s="291">
        <f t="shared" si="97"/>
        <v>0</v>
      </c>
      <c r="Q111" s="642"/>
      <c r="R111" s="269"/>
    </row>
    <row r="112" spans="1:18" ht="226.5" thickTop="1" thickBot="1" x14ac:dyDescent="0.25">
      <c r="A112" s="450" t="s">
        <v>165</v>
      </c>
      <c r="B112" s="450"/>
      <c r="C112" s="450"/>
      <c r="D112" s="451" t="s">
        <v>39</v>
      </c>
      <c r="E112" s="452">
        <f>E113</f>
        <v>207544941</v>
      </c>
      <c r="F112" s="453">
        <f t="shared" ref="F112:G112" si="109">F113</f>
        <v>207544941</v>
      </c>
      <c r="G112" s="453">
        <f t="shared" si="109"/>
        <v>77555950</v>
      </c>
      <c r="H112" s="453">
        <f>H113</f>
        <v>3806275</v>
      </c>
      <c r="I112" s="453">
        <f t="shared" ref="I112" si="110">I113</f>
        <v>0</v>
      </c>
      <c r="J112" s="452">
        <f>J113</f>
        <v>18847804</v>
      </c>
      <c r="K112" s="453">
        <f>K113</f>
        <v>11802100</v>
      </c>
      <c r="L112" s="453">
        <f>L113</f>
        <v>6985336</v>
      </c>
      <c r="M112" s="453">
        <f t="shared" ref="M112" si="111">M113</f>
        <v>1953040</v>
      </c>
      <c r="N112" s="453">
        <f>N113</f>
        <v>465600</v>
      </c>
      <c r="O112" s="452">
        <f>O113</f>
        <v>11862468</v>
      </c>
      <c r="P112" s="453">
        <f>P113</f>
        <v>226392745</v>
      </c>
    </row>
    <row r="113" spans="1:20" ht="226.5" thickTop="1" thickBot="1" x14ac:dyDescent="0.25">
      <c r="A113" s="454" t="s">
        <v>166</v>
      </c>
      <c r="B113" s="454"/>
      <c r="C113" s="454"/>
      <c r="D113" s="455" t="s">
        <v>40</v>
      </c>
      <c r="E113" s="456">
        <f>E114+E118+E157+E161</f>
        <v>207544941</v>
      </c>
      <c r="F113" s="456">
        <f>F114+F118+F157+F161</f>
        <v>207544941</v>
      </c>
      <c r="G113" s="456">
        <f>G114+G118+G157+G161</f>
        <v>77555950</v>
      </c>
      <c r="H113" s="456">
        <f>H114+H118+H157+H161</f>
        <v>3806275</v>
      </c>
      <c r="I113" s="456">
        <f>I114+I118+I157+I161</f>
        <v>0</v>
      </c>
      <c r="J113" s="456">
        <f t="shared" ref="J113:J139" si="112">L113+O113</f>
        <v>18847804</v>
      </c>
      <c r="K113" s="456">
        <f>K114+K118+K157+K161</f>
        <v>11802100</v>
      </c>
      <c r="L113" s="456">
        <f>L114+L118+L157+L161</f>
        <v>6985336</v>
      </c>
      <c r="M113" s="456">
        <f>M114+M118+M157+M161</f>
        <v>1953040</v>
      </c>
      <c r="N113" s="456">
        <f>N114+N118+N157+N161</f>
        <v>465600</v>
      </c>
      <c r="O113" s="456">
        <f>O114+O118+O157+O161</f>
        <v>11862468</v>
      </c>
      <c r="P113" s="456">
        <f>E113+J113</f>
        <v>226392745</v>
      </c>
      <c r="Q113" s="646" t="b">
        <f>P113=P115+P116+P120+P121+P122+P123+P124+P129+P130+P133+P136+P138+P139+P155+P156+P159+P167+P125+P127+P135+P117+P126+P164+P132+P141+P144+P148+P151+P160</f>
        <v>1</v>
      </c>
      <c r="R113" s="295"/>
      <c r="S113" s="295" t="b">
        <f>P113=P114+P118+P157+P161</f>
        <v>1</v>
      </c>
      <c r="T113" s="294"/>
    </row>
    <row r="114" spans="1:20" ht="47.25" thickTop="1" thickBot="1" x14ac:dyDescent="0.25">
      <c r="A114" s="150" t="s">
        <v>777</v>
      </c>
      <c r="B114" s="150" t="s">
        <v>733</v>
      </c>
      <c r="C114" s="150"/>
      <c r="D114" s="150" t="s">
        <v>734</v>
      </c>
      <c r="E114" s="459">
        <f t="shared" ref="E114:P114" si="113">SUM(E115:E117)</f>
        <v>58880960</v>
      </c>
      <c r="F114" s="459">
        <f t="shared" si="113"/>
        <v>58880960</v>
      </c>
      <c r="G114" s="459">
        <f t="shared" si="113"/>
        <v>43500000</v>
      </c>
      <c r="H114" s="459">
        <f t="shared" si="113"/>
        <v>1630750</v>
      </c>
      <c r="I114" s="459">
        <f t="shared" si="113"/>
        <v>0</v>
      </c>
      <c r="J114" s="459">
        <f t="shared" si="113"/>
        <v>299300</v>
      </c>
      <c r="K114" s="459">
        <f t="shared" si="113"/>
        <v>299300</v>
      </c>
      <c r="L114" s="459">
        <f t="shared" si="113"/>
        <v>0</v>
      </c>
      <c r="M114" s="459">
        <f t="shared" si="113"/>
        <v>0</v>
      </c>
      <c r="N114" s="459">
        <f t="shared" si="113"/>
        <v>0</v>
      </c>
      <c r="O114" s="459">
        <f t="shared" si="113"/>
        <v>299300</v>
      </c>
      <c r="P114" s="459">
        <f t="shared" si="113"/>
        <v>59180260</v>
      </c>
      <c r="Q114" s="646"/>
      <c r="R114" s="295"/>
      <c r="T114" s="294"/>
    </row>
    <row r="115" spans="1:20" ht="230.25" thickTop="1" thickBot="1" x14ac:dyDescent="0.25">
      <c r="A115" s="226" t="s">
        <v>434</v>
      </c>
      <c r="B115" s="226" t="s">
        <v>249</v>
      </c>
      <c r="C115" s="226" t="s">
        <v>247</v>
      </c>
      <c r="D115" s="226" t="s">
        <v>248</v>
      </c>
      <c r="E115" s="459">
        <f t="shared" ref="E115" si="114">F115</f>
        <v>58800960</v>
      </c>
      <c r="F115" s="460">
        <v>58800960</v>
      </c>
      <c r="G115" s="460">
        <v>43500000</v>
      </c>
      <c r="H115" s="460">
        <f>1062000+31750+503000+34000</f>
        <v>1630750</v>
      </c>
      <c r="I115" s="460"/>
      <c r="J115" s="459">
        <f t="shared" si="112"/>
        <v>299300</v>
      </c>
      <c r="K115" s="460">
        <v>299300</v>
      </c>
      <c r="L115" s="460"/>
      <c r="M115" s="460"/>
      <c r="N115" s="460"/>
      <c r="O115" s="461">
        <f>K115</f>
        <v>299300</v>
      </c>
      <c r="P115" s="459">
        <f t="shared" ref="P115:P130" si="115">E115+J115</f>
        <v>59100260</v>
      </c>
      <c r="Q115" s="646"/>
      <c r="R115" s="295"/>
      <c r="T115" s="294"/>
    </row>
    <row r="116" spans="1:20" ht="184.5" thickTop="1" thickBot="1" x14ac:dyDescent="0.25">
      <c r="A116" s="226" t="s">
        <v>676</v>
      </c>
      <c r="B116" s="226" t="s">
        <v>379</v>
      </c>
      <c r="C116" s="226" t="s">
        <v>668</v>
      </c>
      <c r="D116" s="226" t="s">
        <v>669</v>
      </c>
      <c r="E116" s="459">
        <f t="shared" ref="E116:E117" si="116">F116</f>
        <v>50000</v>
      </c>
      <c r="F116" s="460">
        <v>50000</v>
      </c>
      <c r="G116" s="460"/>
      <c r="H116" s="460"/>
      <c r="I116" s="460"/>
      <c r="J116" s="459">
        <f t="shared" ref="J116:J117" si="117">L116+O116</f>
        <v>0</v>
      </c>
      <c r="K116" s="460"/>
      <c r="L116" s="460"/>
      <c r="M116" s="460"/>
      <c r="N116" s="460"/>
      <c r="O116" s="461">
        <f>K116</f>
        <v>0</v>
      </c>
      <c r="P116" s="459">
        <f t="shared" ref="P116:P117" si="118">E116+J116</f>
        <v>50000</v>
      </c>
      <c r="Q116" s="646"/>
      <c r="R116" s="295"/>
      <c r="T116" s="294"/>
    </row>
    <row r="117" spans="1:20" ht="93" thickTop="1" thickBot="1" x14ac:dyDescent="0.25">
      <c r="A117" s="548" t="s">
        <v>984</v>
      </c>
      <c r="B117" s="548" t="s">
        <v>45</v>
      </c>
      <c r="C117" s="548" t="s">
        <v>44</v>
      </c>
      <c r="D117" s="548" t="s">
        <v>261</v>
      </c>
      <c r="E117" s="546">
        <f t="shared" si="116"/>
        <v>30000</v>
      </c>
      <c r="F117" s="460">
        <v>30000</v>
      </c>
      <c r="G117" s="460"/>
      <c r="H117" s="460"/>
      <c r="I117" s="460"/>
      <c r="J117" s="546">
        <f t="shared" si="117"/>
        <v>0</v>
      </c>
      <c r="K117" s="460"/>
      <c r="L117" s="460"/>
      <c r="M117" s="460"/>
      <c r="N117" s="460"/>
      <c r="O117" s="551"/>
      <c r="P117" s="546">
        <f t="shared" si="118"/>
        <v>30000</v>
      </c>
      <c r="Q117" s="646"/>
      <c r="R117" s="295"/>
      <c r="T117" s="294"/>
    </row>
    <row r="118" spans="1:20" ht="91.5" thickTop="1" thickBot="1" x14ac:dyDescent="0.25">
      <c r="A118" s="150" t="s">
        <v>778</v>
      </c>
      <c r="B118" s="150" t="s">
        <v>760</v>
      </c>
      <c r="C118" s="150"/>
      <c r="D118" s="150" t="s">
        <v>761</v>
      </c>
      <c r="E118" s="546">
        <f t="shared" ref="E118:P118" si="119">SUM(E119:E156)-E119-E128-E137-E140-E154-E134-E131</f>
        <v>148663981</v>
      </c>
      <c r="F118" s="546">
        <f t="shared" si="119"/>
        <v>148663981</v>
      </c>
      <c r="G118" s="546">
        <f t="shared" si="119"/>
        <v>34055950</v>
      </c>
      <c r="H118" s="546">
        <f t="shared" si="119"/>
        <v>2175525</v>
      </c>
      <c r="I118" s="546">
        <f t="shared" si="119"/>
        <v>0</v>
      </c>
      <c r="J118" s="546">
        <f t="shared" si="119"/>
        <v>9787104</v>
      </c>
      <c r="K118" s="546">
        <f t="shared" si="119"/>
        <v>3206400</v>
      </c>
      <c r="L118" s="546">
        <f t="shared" si="119"/>
        <v>6520336</v>
      </c>
      <c r="M118" s="546">
        <f t="shared" si="119"/>
        <v>1953040</v>
      </c>
      <c r="N118" s="546">
        <f t="shared" si="119"/>
        <v>465600</v>
      </c>
      <c r="O118" s="546">
        <f t="shared" si="119"/>
        <v>3266768</v>
      </c>
      <c r="P118" s="546">
        <f t="shared" si="119"/>
        <v>158451085</v>
      </c>
      <c r="Q118" s="646"/>
      <c r="R118" s="295"/>
      <c r="T118" s="294"/>
    </row>
    <row r="119" spans="1:20" s="277" customFormat="1" ht="276" thickTop="1" thickBot="1" x14ac:dyDescent="0.25">
      <c r="A119" s="505" t="s">
        <v>779</v>
      </c>
      <c r="B119" s="505" t="s">
        <v>780</v>
      </c>
      <c r="C119" s="505"/>
      <c r="D119" s="505" t="s">
        <v>781</v>
      </c>
      <c r="E119" s="488">
        <f>SUM(E120:E124)</f>
        <v>64538000</v>
      </c>
      <c r="F119" s="488">
        <f t="shared" ref="F119:P119" si="120">SUM(F120:F124)</f>
        <v>64538000</v>
      </c>
      <c r="G119" s="488">
        <f t="shared" si="120"/>
        <v>0</v>
      </c>
      <c r="H119" s="488">
        <f t="shared" si="120"/>
        <v>0</v>
      </c>
      <c r="I119" s="488">
        <f t="shared" si="120"/>
        <v>0</v>
      </c>
      <c r="J119" s="488">
        <f t="shared" si="120"/>
        <v>150000</v>
      </c>
      <c r="K119" s="488">
        <f t="shared" si="120"/>
        <v>150000</v>
      </c>
      <c r="L119" s="488">
        <f t="shared" si="120"/>
        <v>0</v>
      </c>
      <c r="M119" s="488">
        <f t="shared" si="120"/>
        <v>0</v>
      </c>
      <c r="N119" s="488">
        <f t="shared" si="120"/>
        <v>0</v>
      </c>
      <c r="O119" s="488">
        <f t="shared" si="120"/>
        <v>150000</v>
      </c>
      <c r="P119" s="488">
        <f t="shared" si="120"/>
        <v>64688000</v>
      </c>
      <c r="Q119" s="647"/>
      <c r="R119" s="297"/>
      <c r="T119" s="298"/>
    </row>
    <row r="120" spans="1:20" s="275" customFormat="1" ht="138.75" thickTop="1" thickBot="1" x14ac:dyDescent="0.25">
      <c r="A120" s="549" t="s">
        <v>282</v>
      </c>
      <c r="B120" s="549" t="s">
        <v>283</v>
      </c>
      <c r="C120" s="549" t="s">
        <v>218</v>
      </c>
      <c r="D120" s="578" t="s">
        <v>284</v>
      </c>
      <c r="E120" s="546">
        <f>F120</f>
        <v>270000</v>
      </c>
      <c r="F120" s="460">
        <v>270000</v>
      </c>
      <c r="G120" s="460"/>
      <c r="H120" s="460"/>
      <c r="I120" s="460"/>
      <c r="J120" s="546">
        <f t="shared" si="112"/>
        <v>150000</v>
      </c>
      <c r="K120" s="460">
        <v>150000</v>
      </c>
      <c r="L120" s="460"/>
      <c r="M120" s="460"/>
      <c r="N120" s="460"/>
      <c r="O120" s="551">
        <f t="shared" ref="O120:O139" si="121">K120</f>
        <v>150000</v>
      </c>
      <c r="P120" s="546">
        <f t="shared" si="115"/>
        <v>420000</v>
      </c>
      <c r="Q120" s="642"/>
      <c r="R120" s="295"/>
    </row>
    <row r="121" spans="1:20" s="275" customFormat="1" ht="138.75" thickTop="1" thickBot="1" x14ac:dyDescent="0.25">
      <c r="A121" s="549" t="s">
        <v>285</v>
      </c>
      <c r="B121" s="549" t="s">
        <v>286</v>
      </c>
      <c r="C121" s="549" t="s">
        <v>219</v>
      </c>
      <c r="D121" s="549" t="s">
        <v>6</v>
      </c>
      <c r="E121" s="546">
        <f t="shared" ref="E121:E167" si="122">F121</f>
        <v>900000</v>
      </c>
      <c r="F121" s="460">
        <f>-50000+((1350000)-400000)</f>
        <v>900000</v>
      </c>
      <c r="G121" s="460"/>
      <c r="H121" s="460"/>
      <c r="I121" s="460"/>
      <c r="J121" s="546">
        <f t="shared" si="112"/>
        <v>0</v>
      </c>
      <c r="K121" s="460"/>
      <c r="L121" s="460"/>
      <c r="M121" s="460"/>
      <c r="N121" s="460"/>
      <c r="O121" s="551">
        <f t="shared" si="121"/>
        <v>0</v>
      </c>
      <c r="P121" s="546">
        <f t="shared" si="115"/>
        <v>900000</v>
      </c>
      <c r="Q121" s="642"/>
      <c r="R121" s="300"/>
    </row>
    <row r="122" spans="1:20" s="275" customFormat="1" ht="184.5" thickTop="1" thickBot="1" x14ac:dyDescent="0.25">
      <c r="A122" s="549" t="s">
        <v>288</v>
      </c>
      <c r="B122" s="549" t="s">
        <v>289</v>
      </c>
      <c r="C122" s="549" t="s">
        <v>219</v>
      </c>
      <c r="D122" s="549" t="s">
        <v>7</v>
      </c>
      <c r="E122" s="546">
        <f t="shared" si="122"/>
        <v>15600000</v>
      </c>
      <c r="F122" s="460">
        <v>15600000</v>
      </c>
      <c r="G122" s="460"/>
      <c r="H122" s="460"/>
      <c r="I122" s="460"/>
      <c r="J122" s="546">
        <f t="shared" si="112"/>
        <v>0</v>
      </c>
      <c r="K122" s="460"/>
      <c r="L122" s="460"/>
      <c r="M122" s="460"/>
      <c r="N122" s="460"/>
      <c r="O122" s="551">
        <f t="shared" si="121"/>
        <v>0</v>
      </c>
      <c r="P122" s="546">
        <f t="shared" si="115"/>
        <v>15600000</v>
      </c>
      <c r="Q122" s="642"/>
      <c r="R122" s="300"/>
    </row>
    <row r="123" spans="1:20" s="275" customFormat="1" ht="184.5" thickTop="1" thickBot="1" x14ac:dyDescent="0.25">
      <c r="A123" s="549" t="s">
        <v>290</v>
      </c>
      <c r="B123" s="549" t="s">
        <v>287</v>
      </c>
      <c r="C123" s="549" t="s">
        <v>219</v>
      </c>
      <c r="D123" s="549" t="s">
        <v>8</v>
      </c>
      <c r="E123" s="546">
        <f t="shared" si="122"/>
        <v>900000</v>
      </c>
      <c r="F123" s="460">
        <v>900000</v>
      </c>
      <c r="G123" s="460"/>
      <c r="H123" s="460"/>
      <c r="I123" s="460"/>
      <c r="J123" s="546">
        <f t="shared" si="112"/>
        <v>0</v>
      </c>
      <c r="K123" s="460"/>
      <c r="L123" s="460"/>
      <c r="M123" s="460"/>
      <c r="N123" s="460"/>
      <c r="O123" s="551">
        <f t="shared" si="121"/>
        <v>0</v>
      </c>
      <c r="P123" s="546">
        <f t="shared" si="115"/>
        <v>900000</v>
      </c>
      <c r="Q123" s="642"/>
      <c r="R123" s="300"/>
    </row>
    <row r="124" spans="1:20" s="275" customFormat="1" ht="184.5" thickTop="1" thickBot="1" x14ac:dyDescent="0.25">
      <c r="A124" s="549" t="s">
        <v>291</v>
      </c>
      <c r="B124" s="549" t="s">
        <v>292</v>
      </c>
      <c r="C124" s="549" t="s">
        <v>219</v>
      </c>
      <c r="D124" s="549" t="s">
        <v>9</v>
      </c>
      <c r="E124" s="546">
        <f t="shared" si="122"/>
        <v>46868000</v>
      </c>
      <c r="F124" s="460">
        <v>46868000</v>
      </c>
      <c r="G124" s="460"/>
      <c r="H124" s="460"/>
      <c r="I124" s="460"/>
      <c r="J124" s="546">
        <f t="shared" si="112"/>
        <v>0</v>
      </c>
      <c r="K124" s="460"/>
      <c r="L124" s="460"/>
      <c r="M124" s="460"/>
      <c r="N124" s="460"/>
      <c r="O124" s="551">
        <f t="shared" si="121"/>
        <v>0</v>
      </c>
      <c r="P124" s="546">
        <f t="shared" si="115"/>
        <v>46868000</v>
      </c>
      <c r="Q124" s="642"/>
      <c r="R124" s="300"/>
    </row>
    <row r="125" spans="1:20" s="275" customFormat="1" ht="184.5" thickTop="1" thickBot="1" x14ac:dyDescent="0.25">
      <c r="A125" s="687" t="s">
        <v>503</v>
      </c>
      <c r="B125" s="687" t="s">
        <v>504</v>
      </c>
      <c r="C125" s="687" t="s">
        <v>219</v>
      </c>
      <c r="D125" s="687" t="s">
        <v>505</v>
      </c>
      <c r="E125" s="685">
        <f t="shared" si="122"/>
        <v>226297</v>
      </c>
      <c r="F125" s="460">
        <v>226297</v>
      </c>
      <c r="G125" s="460"/>
      <c r="H125" s="460"/>
      <c r="I125" s="460"/>
      <c r="J125" s="685">
        <f t="shared" si="112"/>
        <v>0</v>
      </c>
      <c r="K125" s="460"/>
      <c r="L125" s="460"/>
      <c r="M125" s="460"/>
      <c r="N125" s="460"/>
      <c r="O125" s="551">
        <f t="shared" si="121"/>
        <v>0</v>
      </c>
      <c r="P125" s="546">
        <f t="shared" si="115"/>
        <v>226297</v>
      </c>
      <c r="Q125" s="642"/>
      <c r="R125" s="300"/>
    </row>
    <row r="126" spans="1:20" s="275" customFormat="1" ht="138.75" thickTop="1" thickBot="1" x14ac:dyDescent="0.25">
      <c r="A126" s="549" t="s">
        <v>985</v>
      </c>
      <c r="B126" s="549" t="s">
        <v>986</v>
      </c>
      <c r="C126" s="549" t="s">
        <v>219</v>
      </c>
      <c r="D126" s="549" t="s">
        <v>987</v>
      </c>
      <c r="E126" s="546">
        <f t="shared" ref="E126" si="123">F126</f>
        <v>179985</v>
      </c>
      <c r="F126" s="460">
        <v>179985</v>
      </c>
      <c r="G126" s="460"/>
      <c r="H126" s="460"/>
      <c r="I126" s="460"/>
      <c r="J126" s="546">
        <f t="shared" ref="J126" si="124">L126+O126</f>
        <v>0</v>
      </c>
      <c r="K126" s="460"/>
      <c r="L126" s="460"/>
      <c r="M126" s="460"/>
      <c r="N126" s="460"/>
      <c r="O126" s="551">
        <f t="shared" ref="O126" si="125">K126</f>
        <v>0</v>
      </c>
      <c r="P126" s="546">
        <f t="shared" ref="P126" si="126">E126+J126</f>
        <v>179985</v>
      </c>
      <c r="Q126" s="642"/>
      <c r="R126" s="300"/>
    </row>
    <row r="127" spans="1:20" ht="138.75" thickTop="1" thickBot="1" x14ac:dyDescent="0.25">
      <c r="A127" s="687" t="s">
        <v>506</v>
      </c>
      <c r="B127" s="687" t="s">
        <v>507</v>
      </c>
      <c r="C127" s="687" t="s">
        <v>218</v>
      </c>
      <c r="D127" s="687" t="s">
        <v>508</v>
      </c>
      <c r="E127" s="685">
        <f t="shared" si="122"/>
        <v>498130</v>
      </c>
      <c r="F127" s="460">
        <v>498130</v>
      </c>
      <c r="G127" s="460"/>
      <c r="H127" s="460"/>
      <c r="I127" s="460"/>
      <c r="J127" s="685">
        <f t="shared" si="112"/>
        <v>0</v>
      </c>
      <c r="K127" s="460"/>
      <c r="L127" s="460"/>
      <c r="M127" s="460"/>
      <c r="N127" s="460"/>
      <c r="O127" s="688">
        <f>K127</f>
        <v>0</v>
      </c>
      <c r="P127" s="685">
        <f t="shared" si="115"/>
        <v>498130</v>
      </c>
      <c r="R127" s="300"/>
    </row>
    <row r="128" spans="1:20" s="275" customFormat="1" ht="276" thickTop="1" thickBot="1" x14ac:dyDescent="0.25">
      <c r="A128" s="505" t="s">
        <v>782</v>
      </c>
      <c r="B128" s="505" t="s">
        <v>783</v>
      </c>
      <c r="C128" s="505"/>
      <c r="D128" s="505" t="s">
        <v>784</v>
      </c>
      <c r="E128" s="488">
        <f>SUM(E129:E130)</f>
        <v>39948595</v>
      </c>
      <c r="F128" s="488">
        <f t="shared" ref="F128:P128" si="127">SUM(F129:F130)</f>
        <v>39948595</v>
      </c>
      <c r="G128" s="488">
        <f t="shared" si="127"/>
        <v>27355405</v>
      </c>
      <c r="H128" s="488">
        <f t="shared" si="127"/>
        <v>1341430</v>
      </c>
      <c r="I128" s="488">
        <f t="shared" si="127"/>
        <v>0</v>
      </c>
      <c r="J128" s="488">
        <f t="shared" si="127"/>
        <v>580500</v>
      </c>
      <c r="K128" s="488">
        <f t="shared" si="127"/>
        <v>30500</v>
      </c>
      <c r="L128" s="488">
        <f t="shared" si="127"/>
        <v>550000</v>
      </c>
      <c r="M128" s="488">
        <f t="shared" si="127"/>
        <v>300000</v>
      </c>
      <c r="N128" s="488">
        <f t="shared" si="127"/>
        <v>51000</v>
      </c>
      <c r="O128" s="488">
        <f t="shared" si="127"/>
        <v>30500</v>
      </c>
      <c r="P128" s="488">
        <f t="shared" si="127"/>
        <v>40529095</v>
      </c>
      <c r="Q128" s="642"/>
      <c r="R128" s="301"/>
    </row>
    <row r="129" spans="1:18" ht="276" thickTop="1" thickBot="1" x14ac:dyDescent="0.25">
      <c r="A129" s="549" t="s">
        <v>280</v>
      </c>
      <c r="B129" s="549" t="s">
        <v>278</v>
      </c>
      <c r="C129" s="549" t="s">
        <v>213</v>
      </c>
      <c r="D129" s="549" t="s">
        <v>17</v>
      </c>
      <c r="E129" s="546">
        <f t="shared" si="122"/>
        <v>31422670</v>
      </c>
      <c r="F129" s="460">
        <v>31422670</v>
      </c>
      <c r="G129" s="460">
        <v>21405255</v>
      </c>
      <c r="H129" s="460">
        <f>(460665+13000+138220+9000)</f>
        <v>620885</v>
      </c>
      <c r="I129" s="460"/>
      <c r="J129" s="546">
        <f t="shared" si="112"/>
        <v>550000</v>
      </c>
      <c r="K129" s="460">
        <v>0</v>
      </c>
      <c r="L129" s="460">
        <v>550000</v>
      </c>
      <c r="M129" s="460">
        <v>300000</v>
      </c>
      <c r="N129" s="460">
        <f>(40000+4000+7000)</f>
        <v>51000</v>
      </c>
      <c r="O129" s="551">
        <f t="shared" si="121"/>
        <v>0</v>
      </c>
      <c r="P129" s="546">
        <f t="shared" si="115"/>
        <v>31972670</v>
      </c>
      <c r="R129" s="295"/>
    </row>
    <row r="130" spans="1:18" ht="138.75" thickTop="1" thickBot="1" x14ac:dyDescent="0.25">
      <c r="A130" s="549" t="s">
        <v>281</v>
      </c>
      <c r="B130" s="549" t="s">
        <v>279</v>
      </c>
      <c r="C130" s="549" t="s">
        <v>212</v>
      </c>
      <c r="D130" s="549" t="s">
        <v>478</v>
      </c>
      <c r="E130" s="546">
        <f t="shared" si="122"/>
        <v>8525925</v>
      </c>
      <c r="F130" s="460">
        <v>8525925</v>
      </c>
      <c r="G130" s="460">
        <f>(3360745+2589405)</f>
        <v>5950150</v>
      </c>
      <c r="H130" s="460">
        <f>(329310+5880+88535+720+254560+6555+34710+275)</f>
        <v>720545</v>
      </c>
      <c r="I130" s="460"/>
      <c r="J130" s="546">
        <f t="shared" si="112"/>
        <v>30500</v>
      </c>
      <c r="K130" s="460">
        <v>30500</v>
      </c>
      <c r="L130" s="460"/>
      <c r="M130" s="460"/>
      <c r="N130" s="460"/>
      <c r="O130" s="551">
        <f t="shared" si="121"/>
        <v>30500</v>
      </c>
      <c r="P130" s="546">
        <f t="shared" si="115"/>
        <v>8556425</v>
      </c>
      <c r="R130" s="295"/>
    </row>
    <row r="131" spans="1:18" ht="138.75" hidden="1" thickTop="1" thickBot="1" x14ac:dyDescent="0.25">
      <c r="A131" s="282" t="s">
        <v>1120</v>
      </c>
      <c r="B131" s="282" t="s">
        <v>815</v>
      </c>
      <c r="C131" s="282"/>
      <c r="D131" s="282" t="s">
        <v>816</v>
      </c>
      <c r="E131" s="278">
        <f>E132</f>
        <v>0</v>
      </c>
      <c r="F131" s="278">
        <f t="shared" ref="F131:P131" si="128">F132</f>
        <v>0</v>
      </c>
      <c r="G131" s="278">
        <f t="shared" si="128"/>
        <v>0</v>
      </c>
      <c r="H131" s="278">
        <f t="shared" si="128"/>
        <v>0</v>
      </c>
      <c r="I131" s="278">
        <f t="shared" si="128"/>
        <v>0</v>
      </c>
      <c r="J131" s="278">
        <f t="shared" si="128"/>
        <v>0</v>
      </c>
      <c r="K131" s="278">
        <f t="shared" si="128"/>
        <v>0</v>
      </c>
      <c r="L131" s="278">
        <f t="shared" si="128"/>
        <v>0</v>
      </c>
      <c r="M131" s="278">
        <f t="shared" si="128"/>
        <v>0</v>
      </c>
      <c r="N131" s="278">
        <f t="shared" si="128"/>
        <v>0</v>
      </c>
      <c r="O131" s="278">
        <f t="shared" si="128"/>
        <v>0</v>
      </c>
      <c r="P131" s="278">
        <f t="shared" si="128"/>
        <v>0</v>
      </c>
      <c r="R131" s="295"/>
    </row>
    <row r="132" spans="1:18" ht="276" hidden="1" thickTop="1" thickBot="1" x14ac:dyDescent="0.25">
      <c r="A132" s="261" t="s">
        <v>1121</v>
      </c>
      <c r="B132" s="261" t="s">
        <v>1122</v>
      </c>
      <c r="C132" s="261" t="s">
        <v>198</v>
      </c>
      <c r="D132" s="261" t="s">
        <v>1123</v>
      </c>
      <c r="E132" s="258">
        <f t="shared" ref="E132" si="129">F132</f>
        <v>0</v>
      </c>
      <c r="F132" s="281"/>
      <c r="G132" s="281"/>
      <c r="H132" s="281"/>
      <c r="I132" s="281"/>
      <c r="J132" s="258">
        <f t="shared" ref="J132" si="130">L132+O132</f>
        <v>0</v>
      </c>
      <c r="K132" s="281"/>
      <c r="L132" s="281"/>
      <c r="M132" s="281"/>
      <c r="N132" s="281"/>
      <c r="O132" s="264">
        <f t="shared" ref="O132" si="131">K132</f>
        <v>0</v>
      </c>
      <c r="P132" s="258">
        <f t="shared" ref="P132" si="132">E132+J132</f>
        <v>0</v>
      </c>
      <c r="R132" s="295"/>
    </row>
    <row r="133" spans="1:18" ht="409.6" thickTop="1" thickBot="1" x14ac:dyDescent="0.25">
      <c r="A133" s="549" t="s">
        <v>276</v>
      </c>
      <c r="B133" s="549" t="s">
        <v>277</v>
      </c>
      <c r="C133" s="549" t="s">
        <v>212</v>
      </c>
      <c r="D133" s="549" t="s">
        <v>476</v>
      </c>
      <c r="E133" s="546">
        <f t="shared" si="122"/>
        <v>3283295</v>
      </c>
      <c r="F133" s="460">
        <v>3283295</v>
      </c>
      <c r="G133" s="460"/>
      <c r="H133" s="460"/>
      <c r="I133" s="460"/>
      <c r="J133" s="546">
        <f t="shared" si="112"/>
        <v>0</v>
      </c>
      <c r="K133" s="546"/>
      <c r="L133" s="460"/>
      <c r="M133" s="460"/>
      <c r="N133" s="460"/>
      <c r="O133" s="551">
        <f t="shared" si="121"/>
        <v>0</v>
      </c>
      <c r="P133" s="546">
        <f>+J133+E133</f>
        <v>3283295</v>
      </c>
      <c r="R133" s="300"/>
    </row>
    <row r="134" spans="1:18" ht="138.75" thickTop="1" thickBot="1" x14ac:dyDescent="0.25">
      <c r="A134" s="505" t="s">
        <v>939</v>
      </c>
      <c r="B134" s="505" t="s">
        <v>940</v>
      </c>
      <c r="C134" s="505"/>
      <c r="D134" s="505" t="s">
        <v>941</v>
      </c>
      <c r="E134" s="488">
        <f t="shared" si="122"/>
        <v>159297</v>
      </c>
      <c r="F134" s="488">
        <f>F135</f>
        <v>159297</v>
      </c>
      <c r="G134" s="488">
        <f t="shared" ref="G134:I134" si="133">G135</f>
        <v>0</v>
      </c>
      <c r="H134" s="488">
        <f t="shared" si="133"/>
        <v>0</v>
      </c>
      <c r="I134" s="488">
        <f t="shared" si="133"/>
        <v>0</v>
      </c>
      <c r="J134" s="488">
        <f t="shared" si="112"/>
        <v>0</v>
      </c>
      <c r="K134" s="488">
        <f t="shared" ref="K134:N134" si="134">K135</f>
        <v>0</v>
      </c>
      <c r="L134" s="488">
        <f t="shared" si="134"/>
        <v>0</v>
      </c>
      <c r="M134" s="488">
        <f t="shared" si="134"/>
        <v>0</v>
      </c>
      <c r="N134" s="488">
        <f t="shared" si="134"/>
        <v>0</v>
      </c>
      <c r="O134" s="488">
        <f t="shared" si="121"/>
        <v>0</v>
      </c>
      <c r="P134" s="488">
        <f>+J134+E134</f>
        <v>159297</v>
      </c>
      <c r="R134" s="300"/>
    </row>
    <row r="135" spans="1:18" ht="276" thickTop="1" thickBot="1" x14ac:dyDescent="0.25">
      <c r="A135" s="687" t="s">
        <v>509</v>
      </c>
      <c r="B135" s="687" t="s">
        <v>510</v>
      </c>
      <c r="C135" s="687" t="s">
        <v>212</v>
      </c>
      <c r="D135" s="687" t="s">
        <v>511</v>
      </c>
      <c r="E135" s="685">
        <f t="shared" si="122"/>
        <v>159297</v>
      </c>
      <c r="F135" s="460">
        <v>159297</v>
      </c>
      <c r="G135" s="460"/>
      <c r="H135" s="460"/>
      <c r="I135" s="460"/>
      <c r="J135" s="685">
        <f t="shared" si="112"/>
        <v>0</v>
      </c>
      <c r="K135" s="685"/>
      <c r="L135" s="460"/>
      <c r="M135" s="460"/>
      <c r="N135" s="460"/>
      <c r="O135" s="688">
        <f t="shared" si="121"/>
        <v>0</v>
      </c>
      <c r="P135" s="685">
        <f>+J135+E135</f>
        <v>159297</v>
      </c>
      <c r="R135" s="300"/>
    </row>
    <row r="136" spans="1:18" ht="367.5" thickTop="1" thickBot="1" x14ac:dyDescent="0.25">
      <c r="A136" s="549" t="s">
        <v>365</v>
      </c>
      <c r="B136" s="549" t="s">
        <v>364</v>
      </c>
      <c r="C136" s="549" t="s">
        <v>52</v>
      </c>
      <c r="D136" s="549" t="s">
        <v>477</v>
      </c>
      <c r="E136" s="546">
        <f t="shared" si="122"/>
        <v>2842500</v>
      </c>
      <c r="F136" s="460">
        <v>2842500</v>
      </c>
      <c r="G136" s="460"/>
      <c r="H136" s="460"/>
      <c r="I136" s="460"/>
      <c r="J136" s="546">
        <f t="shared" si="112"/>
        <v>0</v>
      </c>
      <c r="K136" s="546"/>
      <c r="L136" s="460"/>
      <c r="M136" s="460"/>
      <c r="N136" s="460"/>
      <c r="O136" s="551">
        <f t="shared" si="121"/>
        <v>0</v>
      </c>
      <c r="P136" s="546">
        <f>E136+J136</f>
        <v>2842500</v>
      </c>
      <c r="R136" s="300"/>
    </row>
    <row r="137" spans="1:18" s="275" customFormat="1" ht="93" thickTop="1" thickBot="1" x14ac:dyDescent="0.25">
      <c r="A137" s="505" t="s">
        <v>785</v>
      </c>
      <c r="B137" s="505" t="s">
        <v>786</v>
      </c>
      <c r="C137" s="505"/>
      <c r="D137" s="505" t="s">
        <v>787</v>
      </c>
      <c r="E137" s="488">
        <f>E138</f>
        <v>758000</v>
      </c>
      <c r="F137" s="488">
        <f t="shared" ref="F137:P137" si="135">F138</f>
        <v>758000</v>
      </c>
      <c r="G137" s="488">
        <f t="shared" si="135"/>
        <v>0</v>
      </c>
      <c r="H137" s="488">
        <f t="shared" si="135"/>
        <v>0</v>
      </c>
      <c r="I137" s="488">
        <f t="shared" si="135"/>
        <v>0</v>
      </c>
      <c r="J137" s="488">
        <f t="shared" si="135"/>
        <v>0</v>
      </c>
      <c r="K137" s="488">
        <f t="shared" si="135"/>
        <v>0</v>
      </c>
      <c r="L137" s="488">
        <f t="shared" si="135"/>
        <v>0</v>
      </c>
      <c r="M137" s="488">
        <f t="shared" si="135"/>
        <v>0</v>
      </c>
      <c r="N137" s="488">
        <f t="shared" si="135"/>
        <v>0</v>
      </c>
      <c r="O137" s="488">
        <f t="shared" si="135"/>
        <v>0</v>
      </c>
      <c r="P137" s="488">
        <f t="shared" si="135"/>
        <v>758000</v>
      </c>
      <c r="Q137" s="642"/>
      <c r="R137" s="301"/>
    </row>
    <row r="138" spans="1:18" ht="230.25" thickTop="1" thickBot="1" x14ac:dyDescent="0.25">
      <c r="A138" s="549" t="s">
        <v>341</v>
      </c>
      <c r="B138" s="549" t="s">
        <v>342</v>
      </c>
      <c r="C138" s="549" t="s">
        <v>218</v>
      </c>
      <c r="D138" s="549" t="s">
        <v>683</v>
      </c>
      <c r="E138" s="546">
        <f t="shared" si="122"/>
        <v>758000</v>
      </c>
      <c r="F138" s="460">
        <v>758000</v>
      </c>
      <c r="G138" s="460"/>
      <c r="H138" s="460"/>
      <c r="I138" s="460"/>
      <c r="J138" s="546">
        <f t="shared" si="112"/>
        <v>0</v>
      </c>
      <c r="K138" s="460"/>
      <c r="L138" s="460"/>
      <c r="M138" s="460"/>
      <c r="N138" s="460"/>
      <c r="O138" s="551">
        <f t="shared" si="121"/>
        <v>0</v>
      </c>
      <c r="P138" s="546">
        <f>E138+J138</f>
        <v>758000</v>
      </c>
      <c r="R138" s="300"/>
    </row>
    <row r="139" spans="1:18" ht="93" thickTop="1" thickBot="1" x14ac:dyDescent="0.25">
      <c r="A139" s="549" t="s">
        <v>447</v>
      </c>
      <c r="B139" s="549" t="s">
        <v>389</v>
      </c>
      <c r="C139" s="549" t="s">
        <v>390</v>
      </c>
      <c r="D139" s="549" t="s">
        <v>388</v>
      </c>
      <c r="E139" s="591">
        <f t="shared" si="122"/>
        <v>107000</v>
      </c>
      <c r="F139" s="460">
        <v>107000</v>
      </c>
      <c r="G139" s="460">
        <v>88000</v>
      </c>
      <c r="H139" s="460"/>
      <c r="I139" s="460"/>
      <c r="J139" s="546">
        <f t="shared" si="112"/>
        <v>0</v>
      </c>
      <c r="K139" s="460"/>
      <c r="L139" s="460"/>
      <c r="M139" s="460"/>
      <c r="N139" s="460"/>
      <c r="O139" s="551">
        <f t="shared" si="121"/>
        <v>0</v>
      </c>
      <c r="P139" s="546">
        <f>E139+J139</f>
        <v>107000</v>
      </c>
      <c r="R139" s="300"/>
    </row>
    <row r="140" spans="1:18" ht="230.25" hidden="1" thickTop="1" thickBot="1" x14ac:dyDescent="0.25">
      <c r="A140" s="282" t="s">
        <v>1170</v>
      </c>
      <c r="B140" s="282" t="s">
        <v>1171</v>
      </c>
      <c r="C140" s="282"/>
      <c r="D140" s="282" t="s">
        <v>1169</v>
      </c>
      <c r="E140" s="278">
        <f>E141+E144+E148+E151</f>
        <v>0</v>
      </c>
      <c r="F140" s="278">
        <f t="shared" ref="F140:P140" si="136">F141+F144+F148+F151</f>
        <v>0</v>
      </c>
      <c r="G140" s="278">
        <f t="shared" si="136"/>
        <v>0</v>
      </c>
      <c r="H140" s="278">
        <f t="shared" si="136"/>
        <v>0</v>
      </c>
      <c r="I140" s="278">
        <f t="shared" si="136"/>
        <v>0</v>
      </c>
      <c r="J140" s="278">
        <f t="shared" si="136"/>
        <v>0</v>
      </c>
      <c r="K140" s="278">
        <f t="shared" si="136"/>
        <v>0</v>
      </c>
      <c r="L140" s="278">
        <f t="shared" si="136"/>
        <v>0</v>
      </c>
      <c r="M140" s="278">
        <f t="shared" si="136"/>
        <v>0</v>
      </c>
      <c r="N140" s="278">
        <f t="shared" si="136"/>
        <v>0</v>
      </c>
      <c r="O140" s="278">
        <f t="shared" si="136"/>
        <v>0</v>
      </c>
      <c r="P140" s="278">
        <f t="shared" si="136"/>
        <v>0</v>
      </c>
      <c r="R140" s="300"/>
    </row>
    <row r="141" spans="1:18" ht="409.6" hidden="1" thickTop="1" x14ac:dyDescent="0.65">
      <c r="A141" s="817" t="s">
        <v>1175</v>
      </c>
      <c r="B141" s="817" t="s">
        <v>1176</v>
      </c>
      <c r="C141" s="817" t="s">
        <v>52</v>
      </c>
      <c r="D141" s="302" t="s">
        <v>1172</v>
      </c>
      <c r="E141" s="818">
        <f t="shared" ref="E141:E144" si="137">F141</f>
        <v>0</v>
      </c>
      <c r="F141" s="818"/>
      <c r="G141" s="818"/>
      <c r="H141" s="818"/>
      <c r="I141" s="818"/>
      <c r="J141" s="818">
        <f t="shared" ref="J141:J144" si="138">L141+O141</f>
        <v>0</v>
      </c>
      <c r="K141" s="820">
        <v>0</v>
      </c>
      <c r="L141" s="818"/>
      <c r="M141" s="818"/>
      <c r="N141" s="818"/>
      <c r="O141" s="820">
        <f t="shared" ref="O141:O144" si="139">K141</f>
        <v>0</v>
      </c>
      <c r="P141" s="818">
        <f t="shared" ref="P141:P144" si="140">E141+J141</f>
        <v>0</v>
      </c>
      <c r="Q141" s="832"/>
      <c r="R141" s="838"/>
    </row>
    <row r="142" spans="1:18" ht="409.5" hidden="1" x14ac:dyDescent="0.2">
      <c r="A142" s="819"/>
      <c r="B142" s="819"/>
      <c r="C142" s="819"/>
      <c r="D142" s="303" t="s">
        <v>1173</v>
      </c>
      <c r="E142" s="819"/>
      <c r="F142" s="819"/>
      <c r="G142" s="819"/>
      <c r="H142" s="819"/>
      <c r="I142" s="819"/>
      <c r="J142" s="819"/>
      <c r="K142" s="821"/>
      <c r="L142" s="819"/>
      <c r="M142" s="819"/>
      <c r="N142" s="819"/>
      <c r="O142" s="821"/>
      <c r="P142" s="819"/>
      <c r="Q142" s="832"/>
      <c r="R142" s="839"/>
    </row>
    <row r="143" spans="1:18" ht="409.6" hidden="1" thickBot="1" x14ac:dyDescent="0.25">
      <c r="A143" s="801"/>
      <c r="B143" s="801"/>
      <c r="C143" s="801"/>
      <c r="D143" s="304" t="s">
        <v>1174</v>
      </c>
      <c r="E143" s="801"/>
      <c r="F143" s="801"/>
      <c r="G143" s="801"/>
      <c r="H143" s="801"/>
      <c r="I143" s="801"/>
      <c r="J143" s="801"/>
      <c r="K143" s="822"/>
      <c r="L143" s="801"/>
      <c r="M143" s="801"/>
      <c r="N143" s="801"/>
      <c r="O143" s="822"/>
      <c r="P143" s="801"/>
      <c r="Q143" s="832"/>
      <c r="R143" s="839"/>
    </row>
    <row r="144" spans="1:18" ht="409.6" hidden="1" thickTop="1" x14ac:dyDescent="0.65">
      <c r="A144" s="817" t="s">
        <v>1181</v>
      </c>
      <c r="B144" s="817" t="s">
        <v>1182</v>
      </c>
      <c r="C144" s="817" t="s">
        <v>52</v>
      </c>
      <c r="D144" s="302" t="s">
        <v>1177</v>
      </c>
      <c r="E144" s="818">
        <f t="shared" si="137"/>
        <v>0</v>
      </c>
      <c r="F144" s="818"/>
      <c r="G144" s="818"/>
      <c r="H144" s="818"/>
      <c r="I144" s="818"/>
      <c r="J144" s="818">
        <f t="shared" si="138"/>
        <v>0</v>
      </c>
      <c r="K144" s="820">
        <v>0</v>
      </c>
      <c r="L144" s="818"/>
      <c r="M144" s="818"/>
      <c r="N144" s="818"/>
      <c r="O144" s="818">
        <f t="shared" si="139"/>
        <v>0</v>
      </c>
      <c r="P144" s="818">
        <f t="shared" si="140"/>
        <v>0</v>
      </c>
      <c r="R144" s="838"/>
    </row>
    <row r="145" spans="1:18" ht="409.5" hidden="1" x14ac:dyDescent="0.2">
      <c r="A145" s="819"/>
      <c r="B145" s="819"/>
      <c r="C145" s="819"/>
      <c r="D145" s="303" t="s">
        <v>1178</v>
      </c>
      <c r="E145" s="819"/>
      <c r="F145" s="819"/>
      <c r="G145" s="819"/>
      <c r="H145" s="819"/>
      <c r="I145" s="819"/>
      <c r="J145" s="819"/>
      <c r="K145" s="821"/>
      <c r="L145" s="819"/>
      <c r="M145" s="819"/>
      <c r="N145" s="819"/>
      <c r="O145" s="819"/>
      <c r="P145" s="819"/>
      <c r="R145" s="840"/>
    </row>
    <row r="146" spans="1:18" ht="409.5" hidden="1" x14ac:dyDescent="0.2">
      <c r="A146" s="819"/>
      <c r="B146" s="819"/>
      <c r="C146" s="819"/>
      <c r="D146" s="303" t="s">
        <v>1179</v>
      </c>
      <c r="E146" s="819"/>
      <c r="F146" s="819"/>
      <c r="G146" s="819"/>
      <c r="H146" s="819"/>
      <c r="I146" s="819"/>
      <c r="J146" s="819"/>
      <c r="K146" s="821"/>
      <c r="L146" s="819"/>
      <c r="M146" s="819"/>
      <c r="N146" s="819"/>
      <c r="O146" s="819"/>
      <c r="P146" s="819"/>
      <c r="R146" s="840"/>
    </row>
    <row r="147" spans="1:18" ht="183.75" hidden="1" thickBot="1" x14ac:dyDescent="0.25">
      <c r="A147" s="801"/>
      <c r="B147" s="801"/>
      <c r="C147" s="801"/>
      <c r="D147" s="304" t="s">
        <v>1180</v>
      </c>
      <c r="E147" s="801"/>
      <c r="F147" s="801"/>
      <c r="G147" s="801"/>
      <c r="H147" s="801"/>
      <c r="I147" s="801"/>
      <c r="J147" s="801"/>
      <c r="K147" s="822"/>
      <c r="L147" s="801"/>
      <c r="M147" s="801"/>
      <c r="N147" s="801"/>
      <c r="O147" s="801"/>
      <c r="P147" s="801"/>
      <c r="R147" s="840"/>
    </row>
    <row r="148" spans="1:18" ht="409.6" hidden="1" thickTop="1" x14ac:dyDescent="0.65">
      <c r="A148" s="817" t="s">
        <v>1183</v>
      </c>
      <c r="B148" s="817" t="s">
        <v>1184</v>
      </c>
      <c r="C148" s="817" t="s">
        <v>52</v>
      </c>
      <c r="D148" s="302" t="s">
        <v>1185</v>
      </c>
      <c r="E148" s="818">
        <f t="shared" ref="E148" si="141">F148</f>
        <v>0</v>
      </c>
      <c r="F148" s="818"/>
      <c r="G148" s="818"/>
      <c r="H148" s="818"/>
      <c r="I148" s="818"/>
      <c r="J148" s="818">
        <f t="shared" ref="J148" si="142">L148+O148</f>
        <v>0</v>
      </c>
      <c r="K148" s="820">
        <v>0</v>
      </c>
      <c r="L148" s="818"/>
      <c r="M148" s="818"/>
      <c r="N148" s="818"/>
      <c r="O148" s="820">
        <f t="shared" ref="O148" si="143">K148</f>
        <v>0</v>
      </c>
      <c r="P148" s="818">
        <f t="shared" ref="P148" si="144">E148+J148</f>
        <v>0</v>
      </c>
      <c r="R148" s="838"/>
    </row>
    <row r="149" spans="1:18" ht="409.5" hidden="1" x14ac:dyDescent="0.2">
      <c r="A149" s="819"/>
      <c r="B149" s="819"/>
      <c r="C149" s="819"/>
      <c r="D149" s="303" t="s">
        <v>1186</v>
      </c>
      <c r="E149" s="819"/>
      <c r="F149" s="819"/>
      <c r="G149" s="819"/>
      <c r="H149" s="819"/>
      <c r="I149" s="819"/>
      <c r="J149" s="819"/>
      <c r="K149" s="821"/>
      <c r="L149" s="819"/>
      <c r="M149" s="819"/>
      <c r="N149" s="819"/>
      <c r="O149" s="821"/>
      <c r="P149" s="819"/>
      <c r="R149" s="839"/>
    </row>
    <row r="150" spans="1:18" ht="138" hidden="1" thickBot="1" x14ac:dyDescent="0.25">
      <c r="A150" s="801"/>
      <c r="B150" s="801"/>
      <c r="C150" s="801"/>
      <c r="D150" s="304" t="s">
        <v>1187</v>
      </c>
      <c r="E150" s="801"/>
      <c r="F150" s="801"/>
      <c r="G150" s="801"/>
      <c r="H150" s="801"/>
      <c r="I150" s="801"/>
      <c r="J150" s="801"/>
      <c r="K150" s="822"/>
      <c r="L150" s="801"/>
      <c r="M150" s="801"/>
      <c r="N150" s="801"/>
      <c r="O150" s="822"/>
      <c r="P150" s="801"/>
      <c r="R150" s="839"/>
    </row>
    <row r="151" spans="1:18" ht="409.6" hidden="1" thickTop="1" x14ac:dyDescent="0.65">
      <c r="A151" s="817" t="s">
        <v>1191</v>
      </c>
      <c r="B151" s="817" t="s">
        <v>1192</v>
      </c>
      <c r="C151" s="817" t="s">
        <v>52</v>
      </c>
      <c r="D151" s="302" t="s">
        <v>1188</v>
      </c>
      <c r="E151" s="818">
        <f t="shared" ref="E151" si="145">F151</f>
        <v>0</v>
      </c>
      <c r="F151" s="818"/>
      <c r="G151" s="818"/>
      <c r="H151" s="818"/>
      <c r="I151" s="818"/>
      <c r="J151" s="818">
        <f t="shared" ref="J151" si="146">L151+O151</f>
        <v>0</v>
      </c>
      <c r="K151" s="820">
        <v>0</v>
      </c>
      <c r="L151" s="818"/>
      <c r="M151" s="818"/>
      <c r="N151" s="818"/>
      <c r="O151" s="820">
        <f t="shared" ref="O151" si="147">K151</f>
        <v>0</v>
      </c>
      <c r="P151" s="818">
        <f t="shared" ref="P151" si="148">E151+J151</f>
        <v>0</v>
      </c>
      <c r="R151" s="838"/>
    </row>
    <row r="152" spans="1:18" ht="352.5" hidden="1" customHeight="1" x14ac:dyDescent="0.2">
      <c r="A152" s="819"/>
      <c r="B152" s="819"/>
      <c r="C152" s="819"/>
      <c r="D152" s="303" t="s">
        <v>1189</v>
      </c>
      <c r="E152" s="819"/>
      <c r="F152" s="819"/>
      <c r="G152" s="819"/>
      <c r="H152" s="819"/>
      <c r="I152" s="819"/>
      <c r="J152" s="819"/>
      <c r="K152" s="821"/>
      <c r="L152" s="819"/>
      <c r="M152" s="819"/>
      <c r="N152" s="819"/>
      <c r="O152" s="821"/>
      <c r="P152" s="819"/>
      <c r="R152" s="839"/>
    </row>
    <row r="153" spans="1:18" ht="92.25" hidden="1" thickBot="1" x14ac:dyDescent="0.25">
      <c r="A153" s="801"/>
      <c r="B153" s="801"/>
      <c r="C153" s="801"/>
      <c r="D153" s="304" t="s">
        <v>1190</v>
      </c>
      <c r="E153" s="801"/>
      <c r="F153" s="801"/>
      <c r="G153" s="801"/>
      <c r="H153" s="801"/>
      <c r="I153" s="801"/>
      <c r="J153" s="801"/>
      <c r="K153" s="822"/>
      <c r="L153" s="801"/>
      <c r="M153" s="801"/>
      <c r="N153" s="801"/>
      <c r="O153" s="822"/>
      <c r="P153" s="801"/>
      <c r="R153" s="839"/>
    </row>
    <row r="154" spans="1:18" s="275" customFormat="1" ht="48" thickTop="1" thickBot="1" x14ac:dyDescent="0.25">
      <c r="A154" s="505" t="s">
        <v>788</v>
      </c>
      <c r="B154" s="505" t="s">
        <v>789</v>
      </c>
      <c r="C154" s="505"/>
      <c r="D154" s="505" t="s">
        <v>790</v>
      </c>
      <c r="E154" s="488">
        <f>SUM(E155:E156)</f>
        <v>36122882</v>
      </c>
      <c r="F154" s="488">
        <f t="shared" ref="F154:P154" si="149">SUM(F155:F156)</f>
        <v>36122882</v>
      </c>
      <c r="G154" s="488">
        <f t="shared" si="149"/>
        <v>6612545</v>
      </c>
      <c r="H154" s="488">
        <f t="shared" si="149"/>
        <v>834095</v>
      </c>
      <c r="I154" s="488">
        <f t="shared" si="149"/>
        <v>0</v>
      </c>
      <c r="J154" s="488">
        <f t="shared" si="149"/>
        <v>9056604</v>
      </c>
      <c r="K154" s="488">
        <f t="shared" si="149"/>
        <v>3025900</v>
      </c>
      <c r="L154" s="488">
        <f t="shared" si="149"/>
        <v>5970336</v>
      </c>
      <c r="M154" s="488">
        <f t="shared" si="149"/>
        <v>1653040</v>
      </c>
      <c r="N154" s="488">
        <f t="shared" si="149"/>
        <v>414600</v>
      </c>
      <c r="O154" s="488">
        <f t="shared" si="149"/>
        <v>3086268</v>
      </c>
      <c r="P154" s="488">
        <f t="shared" si="149"/>
        <v>45179486</v>
      </c>
      <c r="Q154" s="642"/>
      <c r="R154" s="301"/>
    </row>
    <row r="155" spans="1:18" ht="184.5" thickTop="1" thickBot="1" x14ac:dyDescent="0.25">
      <c r="A155" s="549" t="s">
        <v>343</v>
      </c>
      <c r="B155" s="549" t="s">
        <v>345</v>
      </c>
      <c r="C155" s="549" t="s">
        <v>204</v>
      </c>
      <c r="D155" s="515" t="s">
        <v>347</v>
      </c>
      <c r="E155" s="546">
        <f t="shared" si="122"/>
        <v>12694065</v>
      </c>
      <c r="F155" s="460">
        <v>12694065</v>
      </c>
      <c r="G155" s="463">
        <f>(2293360+2454115+1865070)</f>
        <v>6612545</v>
      </c>
      <c r="H155" s="463">
        <f>(6000+34105+94725+91275+3000+264710+207240+113635+19405)</f>
        <v>834095</v>
      </c>
      <c r="I155" s="460"/>
      <c r="J155" s="546">
        <f t="shared" ref="J155:J167" si="150">L155+O155</f>
        <v>8590704</v>
      </c>
      <c r="K155" s="460">
        <f>(2000000+260000+300000)</f>
        <v>2560000</v>
      </c>
      <c r="L155" s="460">
        <f>(5275704-60368+600000+155000)</f>
        <v>5970336</v>
      </c>
      <c r="M155" s="460">
        <f>(1468040+180000+5000)</f>
        <v>1653040</v>
      </c>
      <c r="N155" s="460">
        <f>(215600+55000+23000+62000+58000+1000)</f>
        <v>414600</v>
      </c>
      <c r="O155" s="551">
        <f>(K155+60368)</f>
        <v>2620368</v>
      </c>
      <c r="P155" s="546">
        <f t="shared" ref="P155:P167" si="151">E155+J155</f>
        <v>21284769</v>
      </c>
      <c r="R155" s="295"/>
    </row>
    <row r="156" spans="1:18" ht="138.75" thickTop="1" thickBot="1" x14ac:dyDescent="0.25">
      <c r="A156" s="549" t="s">
        <v>344</v>
      </c>
      <c r="B156" s="549" t="s">
        <v>346</v>
      </c>
      <c r="C156" s="549" t="s">
        <v>204</v>
      </c>
      <c r="D156" s="515" t="s">
        <v>348</v>
      </c>
      <c r="E156" s="546">
        <f t="shared" si="122"/>
        <v>23428817</v>
      </c>
      <c r="F156" s="460">
        <v>23428817</v>
      </c>
      <c r="G156" s="460"/>
      <c r="H156" s="460"/>
      <c r="I156" s="460"/>
      <c r="J156" s="546">
        <f t="shared" si="150"/>
        <v>465900</v>
      </c>
      <c r="K156" s="460">
        <v>465900</v>
      </c>
      <c r="L156" s="460"/>
      <c r="M156" s="460"/>
      <c r="N156" s="460"/>
      <c r="O156" s="551">
        <f t="shared" ref="O156:O167" si="152">K156</f>
        <v>465900</v>
      </c>
      <c r="P156" s="546">
        <f t="shared" si="151"/>
        <v>23894717</v>
      </c>
      <c r="R156" s="295"/>
    </row>
    <row r="157" spans="1:18" ht="91.5" thickTop="1" thickBot="1" x14ac:dyDescent="0.25">
      <c r="A157" s="150" t="s">
        <v>791</v>
      </c>
      <c r="B157" s="150" t="s">
        <v>792</v>
      </c>
      <c r="C157" s="150"/>
      <c r="D157" s="576" t="s">
        <v>793</v>
      </c>
      <c r="E157" s="546">
        <f>SUM(E158)</f>
        <v>0</v>
      </c>
      <c r="F157" s="546">
        <f t="shared" ref="F157:P157" si="153">SUM(F158)</f>
        <v>0</v>
      </c>
      <c r="G157" s="546">
        <f t="shared" si="153"/>
        <v>0</v>
      </c>
      <c r="H157" s="546">
        <f t="shared" si="153"/>
        <v>0</v>
      </c>
      <c r="I157" s="546">
        <f t="shared" si="153"/>
        <v>0</v>
      </c>
      <c r="J157" s="546">
        <f>SUM(J158)</f>
        <v>6000000</v>
      </c>
      <c r="K157" s="546">
        <f t="shared" si="153"/>
        <v>6000000</v>
      </c>
      <c r="L157" s="546">
        <f t="shared" si="153"/>
        <v>0</v>
      </c>
      <c r="M157" s="546">
        <f t="shared" si="153"/>
        <v>0</v>
      </c>
      <c r="N157" s="546">
        <f t="shared" si="153"/>
        <v>0</v>
      </c>
      <c r="O157" s="546">
        <f t="shared" si="153"/>
        <v>6000000</v>
      </c>
      <c r="P157" s="546">
        <f t="shared" si="153"/>
        <v>6000000</v>
      </c>
      <c r="R157" s="295"/>
    </row>
    <row r="158" spans="1:18" s="275" customFormat="1" ht="93" thickTop="1" thickBot="1" x14ac:dyDescent="0.25">
      <c r="A158" s="505" t="s">
        <v>794</v>
      </c>
      <c r="B158" s="505" t="s">
        <v>795</v>
      </c>
      <c r="C158" s="505"/>
      <c r="D158" s="498" t="s">
        <v>796</v>
      </c>
      <c r="E158" s="488">
        <f>SUM(E159:E160)</f>
        <v>0</v>
      </c>
      <c r="F158" s="488">
        <f>SUM(F159:F160)</f>
        <v>0</v>
      </c>
      <c r="G158" s="488">
        <f>SUM(G159:G160)</f>
        <v>0</v>
      </c>
      <c r="H158" s="488">
        <f>SUM(H159:H160)</f>
        <v>0</v>
      </c>
      <c r="I158" s="488">
        <f>SUM(I159:I160)</f>
        <v>0</v>
      </c>
      <c r="J158" s="488">
        <f t="shared" ref="J158:O158" si="154">SUM(J159:J160)</f>
        <v>6000000</v>
      </c>
      <c r="K158" s="488">
        <f t="shared" si="154"/>
        <v>6000000</v>
      </c>
      <c r="L158" s="488">
        <f t="shared" si="154"/>
        <v>0</v>
      </c>
      <c r="M158" s="488">
        <f t="shared" si="154"/>
        <v>0</v>
      </c>
      <c r="N158" s="488">
        <f t="shared" si="154"/>
        <v>0</v>
      </c>
      <c r="O158" s="488">
        <f t="shared" si="154"/>
        <v>6000000</v>
      </c>
      <c r="P158" s="488">
        <f>SUM(P159:P160)</f>
        <v>6000000</v>
      </c>
      <c r="Q158" s="642"/>
      <c r="R158" s="305"/>
    </row>
    <row r="159" spans="1:18" ht="138.75" thickTop="1" thickBot="1" x14ac:dyDescent="0.25">
      <c r="A159" s="549" t="s">
        <v>384</v>
      </c>
      <c r="B159" s="549" t="s">
        <v>382</v>
      </c>
      <c r="C159" s="549" t="s">
        <v>356</v>
      </c>
      <c r="D159" s="515" t="s">
        <v>383</v>
      </c>
      <c r="E159" s="546">
        <f t="shared" si="122"/>
        <v>0</v>
      </c>
      <c r="F159" s="460"/>
      <c r="G159" s="460"/>
      <c r="H159" s="460"/>
      <c r="I159" s="460"/>
      <c r="J159" s="546">
        <f t="shared" si="150"/>
        <v>6000000</v>
      </c>
      <c r="K159" s="460">
        <v>6000000</v>
      </c>
      <c r="L159" s="460"/>
      <c r="M159" s="460"/>
      <c r="N159" s="460"/>
      <c r="O159" s="551">
        <f t="shared" si="152"/>
        <v>6000000</v>
      </c>
      <c r="P159" s="546">
        <f t="shared" si="151"/>
        <v>6000000</v>
      </c>
      <c r="R159" s="295"/>
    </row>
    <row r="160" spans="1:18" ht="409.6" hidden="1" thickTop="1" thickBot="1" x14ac:dyDescent="0.25">
      <c r="A160" s="261" t="s">
        <v>1193</v>
      </c>
      <c r="B160" s="261" t="s">
        <v>1194</v>
      </c>
      <c r="C160" s="261" t="s">
        <v>356</v>
      </c>
      <c r="D160" s="288" t="s">
        <v>1195</v>
      </c>
      <c r="E160" s="258">
        <f t="shared" si="122"/>
        <v>0</v>
      </c>
      <c r="F160" s="281"/>
      <c r="G160" s="281"/>
      <c r="H160" s="281"/>
      <c r="I160" s="281"/>
      <c r="J160" s="258">
        <f t="shared" si="150"/>
        <v>0</v>
      </c>
      <c r="K160" s="281">
        <v>0</v>
      </c>
      <c r="L160" s="281"/>
      <c r="M160" s="281"/>
      <c r="N160" s="281"/>
      <c r="O160" s="264">
        <f t="shared" si="152"/>
        <v>0</v>
      </c>
      <c r="P160" s="258">
        <f t="shared" si="151"/>
        <v>0</v>
      </c>
      <c r="R160" s="295"/>
    </row>
    <row r="161" spans="1:18" ht="47.25" thickTop="1" thickBot="1" x14ac:dyDescent="0.25">
      <c r="A161" s="150" t="s">
        <v>801</v>
      </c>
      <c r="B161" s="482" t="s">
        <v>798</v>
      </c>
      <c r="C161" s="482"/>
      <c r="D161" s="482" t="s">
        <v>799</v>
      </c>
      <c r="E161" s="546">
        <f t="shared" ref="E161:P161" si="155">E165+E162</f>
        <v>0</v>
      </c>
      <c r="F161" s="546">
        <f t="shared" si="155"/>
        <v>0</v>
      </c>
      <c r="G161" s="546">
        <f t="shared" si="155"/>
        <v>0</v>
      </c>
      <c r="H161" s="546">
        <f t="shared" si="155"/>
        <v>0</v>
      </c>
      <c r="I161" s="546">
        <f t="shared" si="155"/>
        <v>0</v>
      </c>
      <c r="J161" s="546">
        <f t="shared" si="155"/>
        <v>2761400</v>
      </c>
      <c r="K161" s="546">
        <f t="shared" si="155"/>
        <v>2296400</v>
      </c>
      <c r="L161" s="546">
        <f t="shared" si="155"/>
        <v>465000</v>
      </c>
      <c r="M161" s="546">
        <f t="shared" si="155"/>
        <v>0</v>
      </c>
      <c r="N161" s="546">
        <f t="shared" si="155"/>
        <v>0</v>
      </c>
      <c r="O161" s="546">
        <f t="shared" si="155"/>
        <v>2296400</v>
      </c>
      <c r="P161" s="546">
        <f t="shared" si="155"/>
        <v>2761400</v>
      </c>
      <c r="R161" s="295"/>
    </row>
    <row r="162" spans="1:18" ht="91.5" thickTop="1" thickBot="1" x14ac:dyDescent="0.25">
      <c r="A162" s="483" t="s">
        <v>993</v>
      </c>
      <c r="B162" s="485" t="s">
        <v>854</v>
      </c>
      <c r="C162" s="485"/>
      <c r="D162" s="485" t="s">
        <v>855</v>
      </c>
      <c r="E162" s="484">
        <f>E163</f>
        <v>0</v>
      </c>
      <c r="F162" s="484">
        <f t="shared" ref="F162:P166" si="156">F163</f>
        <v>0</v>
      </c>
      <c r="G162" s="484">
        <f t="shared" si="156"/>
        <v>0</v>
      </c>
      <c r="H162" s="484">
        <f t="shared" si="156"/>
        <v>0</v>
      </c>
      <c r="I162" s="484">
        <f t="shared" si="156"/>
        <v>0</v>
      </c>
      <c r="J162" s="484">
        <f t="shared" si="156"/>
        <v>2296400</v>
      </c>
      <c r="K162" s="484">
        <f t="shared" si="156"/>
        <v>2296400</v>
      </c>
      <c r="L162" s="484">
        <f t="shared" si="156"/>
        <v>0</v>
      </c>
      <c r="M162" s="484">
        <f t="shared" si="156"/>
        <v>0</v>
      </c>
      <c r="N162" s="484">
        <f t="shared" si="156"/>
        <v>0</v>
      </c>
      <c r="O162" s="484">
        <f t="shared" si="156"/>
        <v>2296400</v>
      </c>
      <c r="P162" s="484">
        <f t="shared" si="156"/>
        <v>2296400</v>
      </c>
      <c r="R162" s="295"/>
    </row>
    <row r="163" spans="1:18" ht="146.25" thickTop="1" thickBot="1" x14ac:dyDescent="0.25">
      <c r="A163" s="505" t="s">
        <v>989</v>
      </c>
      <c r="B163" s="505" t="s">
        <v>873</v>
      </c>
      <c r="C163" s="505"/>
      <c r="D163" s="505" t="s">
        <v>874</v>
      </c>
      <c r="E163" s="488">
        <f>E164</f>
        <v>0</v>
      </c>
      <c r="F163" s="488">
        <f t="shared" si="156"/>
        <v>0</v>
      </c>
      <c r="G163" s="488">
        <f t="shared" si="156"/>
        <v>0</v>
      </c>
      <c r="H163" s="488">
        <f t="shared" si="156"/>
        <v>0</v>
      </c>
      <c r="I163" s="488">
        <f t="shared" si="156"/>
        <v>0</v>
      </c>
      <c r="J163" s="488">
        <f t="shared" si="156"/>
        <v>2296400</v>
      </c>
      <c r="K163" s="488">
        <f t="shared" si="156"/>
        <v>2296400</v>
      </c>
      <c r="L163" s="488">
        <f t="shared" si="156"/>
        <v>0</v>
      </c>
      <c r="M163" s="488">
        <f t="shared" si="156"/>
        <v>0</v>
      </c>
      <c r="N163" s="488">
        <f t="shared" si="156"/>
        <v>0</v>
      </c>
      <c r="O163" s="488">
        <f t="shared" si="156"/>
        <v>2296400</v>
      </c>
      <c r="P163" s="488">
        <f t="shared" si="156"/>
        <v>2296400</v>
      </c>
      <c r="R163" s="295"/>
    </row>
    <row r="164" spans="1:18" ht="99.75" thickTop="1" thickBot="1" x14ac:dyDescent="0.25">
      <c r="A164" s="549" t="s">
        <v>990</v>
      </c>
      <c r="B164" s="549" t="s">
        <v>991</v>
      </c>
      <c r="C164" s="549" t="s">
        <v>318</v>
      </c>
      <c r="D164" s="549" t="s">
        <v>992</v>
      </c>
      <c r="E164" s="546">
        <f>E165</f>
        <v>0</v>
      </c>
      <c r="F164" s="460"/>
      <c r="G164" s="460"/>
      <c r="H164" s="460"/>
      <c r="I164" s="460"/>
      <c r="J164" s="546">
        <f>L164+O164</f>
        <v>2296400</v>
      </c>
      <c r="K164" s="460">
        <v>2296400</v>
      </c>
      <c r="L164" s="460"/>
      <c r="M164" s="460"/>
      <c r="N164" s="460"/>
      <c r="O164" s="551">
        <f>K164</f>
        <v>2296400</v>
      </c>
      <c r="P164" s="546">
        <f>E164+J164</f>
        <v>2296400</v>
      </c>
      <c r="R164" s="295"/>
    </row>
    <row r="165" spans="1:18" ht="136.5" thickTop="1" thickBot="1" x14ac:dyDescent="0.25">
      <c r="A165" s="483" t="s">
        <v>803</v>
      </c>
      <c r="B165" s="485" t="s">
        <v>740</v>
      </c>
      <c r="C165" s="485"/>
      <c r="D165" s="485" t="s">
        <v>738</v>
      </c>
      <c r="E165" s="484">
        <f>E166</f>
        <v>0</v>
      </c>
      <c r="F165" s="484">
        <f t="shared" si="156"/>
        <v>0</v>
      </c>
      <c r="G165" s="484">
        <f t="shared" si="156"/>
        <v>0</v>
      </c>
      <c r="H165" s="484">
        <f t="shared" si="156"/>
        <v>0</v>
      </c>
      <c r="I165" s="484">
        <f t="shared" si="156"/>
        <v>0</v>
      </c>
      <c r="J165" s="484">
        <f t="shared" si="156"/>
        <v>465000</v>
      </c>
      <c r="K165" s="484">
        <f t="shared" si="156"/>
        <v>0</v>
      </c>
      <c r="L165" s="484">
        <f t="shared" si="156"/>
        <v>465000</v>
      </c>
      <c r="M165" s="484">
        <f t="shared" si="156"/>
        <v>0</v>
      </c>
      <c r="N165" s="484">
        <f t="shared" si="156"/>
        <v>0</v>
      </c>
      <c r="O165" s="484">
        <f t="shared" si="156"/>
        <v>0</v>
      </c>
      <c r="P165" s="484">
        <f t="shared" si="156"/>
        <v>465000</v>
      </c>
      <c r="R165" s="295"/>
    </row>
    <row r="166" spans="1:18" ht="48" thickTop="1" thickBot="1" x14ac:dyDescent="0.25">
      <c r="A166" s="486" t="s">
        <v>802</v>
      </c>
      <c r="B166" s="486" t="s">
        <v>743</v>
      </c>
      <c r="C166" s="486"/>
      <c r="D166" s="498" t="s">
        <v>741</v>
      </c>
      <c r="E166" s="488">
        <f>E167</f>
        <v>0</v>
      </c>
      <c r="F166" s="488">
        <f t="shared" si="156"/>
        <v>0</v>
      </c>
      <c r="G166" s="488">
        <f t="shared" si="156"/>
        <v>0</v>
      </c>
      <c r="H166" s="488">
        <f t="shared" si="156"/>
        <v>0</v>
      </c>
      <c r="I166" s="488">
        <f t="shared" si="156"/>
        <v>0</v>
      </c>
      <c r="J166" s="488">
        <f t="shared" si="156"/>
        <v>465000</v>
      </c>
      <c r="K166" s="488">
        <f t="shared" si="156"/>
        <v>0</v>
      </c>
      <c r="L166" s="488">
        <f t="shared" si="156"/>
        <v>465000</v>
      </c>
      <c r="M166" s="488">
        <f t="shared" si="156"/>
        <v>0</v>
      </c>
      <c r="N166" s="488">
        <f t="shared" si="156"/>
        <v>0</v>
      </c>
      <c r="O166" s="488">
        <f t="shared" si="156"/>
        <v>0</v>
      </c>
      <c r="P166" s="488">
        <f t="shared" si="156"/>
        <v>465000</v>
      </c>
      <c r="R166" s="295"/>
    </row>
    <row r="167" spans="1:18" ht="409.6" thickTop="1" thickBot="1" x14ac:dyDescent="0.7">
      <c r="A167" s="799" t="s">
        <v>442</v>
      </c>
      <c r="B167" s="799" t="s">
        <v>354</v>
      </c>
      <c r="C167" s="799" t="s">
        <v>179</v>
      </c>
      <c r="D167" s="500" t="s">
        <v>462</v>
      </c>
      <c r="E167" s="792">
        <f t="shared" si="122"/>
        <v>0</v>
      </c>
      <c r="F167" s="793"/>
      <c r="G167" s="793"/>
      <c r="H167" s="793"/>
      <c r="I167" s="793"/>
      <c r="J167" s="792">
        <f t="shared" si="150"/>
        <v>465000</v>
      </c>
      <c r="K167" s="793"/>
      <c r="L167" s="793">
        <v>465000</v>
      </c>
      <c r="M167" s="793"/>
      <c r="N167" s="793"/>
      <c r="O167" s="824">
        <f t="shared" si="152"/>
        <v>0</v>
      </c>
      <c r="P167" s="823">
        <f t="shared" si="151"/>
        <v>465000</v>
      </c>
      <c r="R167" s="300"/>
    </row>
    <row r="168" spans="1:18" ht="184.5" thickTop="1" thickBot="1" x14ac:dyDescent="0.25">
      <c r="A168" s="816"/>
      <c r="B168" s="828"/>
      <c r="C168" s="816"/>
      <c r="D168" s="504" t="s">
        <v>463</v>
      </c>
      <c r="E168" s="816"/>
      <c r="F168" s="815"/>
      <c r="G168" s="815"/>
      <c r="H168" s="815"/>
      <c r="I168" s="815"/>
      <c r="J168" s="816"/>
      <c r="K168" s="816"/>
      <c r="L168" s="815"/>
      <c r="M168" s="815"/>
      <c r="N168" s="815"/>
      <c r="O168" s="825"/>
      <c r="P168" s="826"/>
      <c r="R168" s="300"/>
    </row>
    <row r="169" spans="1:18" ht="181.5" thickTop="1" thickBot="1" x14ac:dyDescent="0.25">
      <c r="A169" s="450">
        <v>1000000</v>
      </c>
      <c r="B169" s="450"/>
      <c r="C169" s="450"/>
      <c r="D169" s="451" t="s">
        <v>24</v>
      </c>
      <c r="E169" s="452">
        <f>E170</f>
        <v>145398530</v>
      </c>
      <c r="F169" s="453">
        <f t="shared" ref="F169:G169" si="157">F170</f>
        <v>145398530</v>
      </c>
      <c r="G169" s="453">
        <f t="shared" si="157"/>
        <v>103167225</v>
      </c>
      <c r="H169" s="453">
        <f>H170</f>
        <v>7734640</v>
      </c>
      <c r="I169" s="453">
        <f>I170</f>
        <v>0</v>
      </c>
      <c r="J169" s="452">
        <f>J170</f>
        <v>14379770</v>
      </c>
      <c r="K169" s="453">
        <f>K170</f>
        <v>4666920</v>
      </c>
      <c r="L169" s="453">
        <f>L170</f>
        <v>9603770</v>
      </c>
      <c r="M169" s="453">
        <f t="shared" ref="M169" si="158">M170</f>
        <v>7102670</v>
      </c>
      <c r="N169" s="453">
        <f>N170</f>
        <v>306880</v>
      </c>
      <c r="O169" s="452">
        <f>O170</f>
        <v>4776000</v>
      </c>
      <c r="P169" s="453">
        <f t="shared" ref="P169" si="159">P170</f>
        <v>159778300</v>
      </c>
    </row>
    <row r="170" spans="1:18" ht="181.5" thickTop="1" thickBot="1" x14ac:dyDescent="0.25">
      <c r="A170" s="454">
        <v>1010000</v>
      </c>
      <c r="B170" s="454"/>
      <c r="C170" s="454"/>
      <c r="D170" s="455" t="s">
        <v>41</v>
      </c>
      <c r="E170" s="456">
        <f>E171+E173+E186+E181</f>
        <v>145398530</v>
      </c>
      <c r="F170" s="456">
        <f>F171+F173+F186+F181</f>
        <v>145398530</v>
      </c>
      <c r="G170" s="456">
        <f>G171+G173+G186+G181</f>
        <v>103167225</v>
      </c>
      <c r="H170" s="456">
        <f>H171+H173+H186+H181</f>
        <v>7734640</v>
      </c>
      <c r="I170" s="456">
        <f>I171+I173+I186+I181</f>
        <v>0</v>
      </c>
      <c r="J170" s="456">
        <f t="shared" ref="J170:J180" si="160">L170+O170</f>
        <v>14379770</v>
      </c>
      <c r="K170" s="456">
        <f>K171+K173+K186+K181</f>
        <v>4666920</v>
      </c>
      <c r="L170" s="456">
        <f>L171+L173+L186+L181</f>
        <v>9603770</v>
      </c>
      <c r="M170" s="456">
        <f>M171+M173+M186+M181</f>
        <v>7102670</v>
      </c>
      <c r="N170" s="456">
        <f>N171+N173+N186+N181</f>
        <v>306880</v>
      </c>
      <c r="O170" s="456">
        <f>O171+O173+O186+O181</f>
        <v>4776000</v>
      </c>
      <c r="P170" s="456">
        <f t="shared" ref="P170:P180" si="161">E170+J170</f>
        <v>159778300</v>
      </c>
      <c r="Q170" s="646" t="b">
        <f>P170=P172+P174+P175+P176+P177+P179+P180+P188+P185+P184</f>
        <v>1</v>
      </c>
      <c r="R170" s="295"/>
    </row>
    <row r="171" spans="1:18" ht="47.25" thickTop="1" thickBot="1" x14ac:dyDescent="0.25">
      <c r="A171" s="150" t="s">
        <v>804</v>
      </c>
      <c r="B171" s="150" t="s">
        <v>757</v>
      </c>
      <c r="C171" s="150"/>
      <c r="D171" s="150" t="s">
        <v>758</v>
      </c>
      <c r="E171" s="501">
        <f>E172</f>
        <v>78240350</v>
      </c>
      <c r="F171" s="501">
        <f t="shared" ref="F171:P171" si="162">F172</f>
        <v>78240350</v>
      </c>
      <c r="G171" s="501">
        <f t="shared" si="162"/>
        <v>59906300</v>
      </c>
      <c r="H171" s="501">
        <f t="shared" si="162"/>
        <v>4525245</v>
      </c>
      <c r="I171" s="501">
        <f t="shared" si="162"/>
        <v>0</v>
      </c>
      <c r="J171" s="501">
        <f t="shared" si="162"/>
        <v>8879540</v>
      </c>
      <c r="K171" s="501">
        <f t="shared" si="162"/>
        <v>0</v>
      </c>
      <c r="L171" s="501">
        <f t="shared" si="162"/>
        <v>8840540</v>
      </c>
      <c r="M171" s="501">
        <f t="shared" si="162"/>
        <v>6717330</v>
      </c>
      <c r="N171" s="501">
        <f t="shared" si="162"/>
        <v>234900</v>
      </c>
      <c r="O171" s="501">
        <f t="shared" si="162"/>
        <v>39000</v>
      </c>
      <c r="P171" s="501">
        <f t="shared" si="162"/>
        <v>87119890</v>
      </c>
      <c r="Q171" s="646"/>
      <c r="R171" s="295"/>
    </row>
    <row r="172" spans="1:18" ht="93" thickTop="1" thickBot="1" x14ac:dyDescent="0.25">
      <c r="A172" s="499" t="s">
        <v>684</v>
      </c>
      <c r="B172" s="499" t="s">
        <v>685</v>
      </c>
      <c r="C172" s="499" t="s">
        <v>194</v>
      </c>
      <c r="D172" s="499" t="s">
        <v>1262</v>
      </c>
      <c r="E172" s="501">
        <f>F172</f>
        <v>78240350</v>
      </c>
      <c r="F172" s="460">
        <v>78240350</v>
      </c>
      <c r="G172" s="460">
        <v>59906300</v>
      </c>
      <c r="H172" s="460">
        <f>(3878085+33910+419090+159070+35090)</f>
        <v>4525245</v>
      </c>
      <c r="I172" s="460"/>
      <c r="J172" s="501">
        <f t="shared" si="160"/>
        <v>8879540</v>
      </c>
      <c r="K172" s="460">
        <v>0</v>
      </c>
      <c r="L172" s="460">
        <v>8840540</v>
      </c>
      <c r="M172" s="460">
        <v>6717330</v>
      </c>
      <c r="N172" s="460">
        <v>234900</v>
      </c>
      <c r="O172" s="503">
        <f>(K172+39000)</f>
        <v>39000</v>
      </c>
      <c r="P172" s="501">
        <f t="shared" si="161"/>
        <v>87119890</v>
      </c>
      <c r="R172" s="295"/>
    </row>
    <row r="173" spans="1:18" s="254" customFormat="1" ht="47.25" thickTop="1" thickBot="1" x14ac:dyDescent="0.25">
      <c r="A173" s="150" t="s">
        <v>805</v>
      </c>
      <c r="B173" s="150" t="s">
        <v>806</v>
      </c>
      <c r="C173" s="150"/>
      <c r="D173" s="150" t="s">
        <v>807</v>
      </c>
      <c r="E173" s="501">
        <f>SUM(E174:E180)-E178</f>
        <v>66138320</v>
      </c>
      <c r="F173" s="501">
        <f t="shared" ref="F173:P173" si="163">SUM(F174:F180)-F178</f>
        <v>66138320</v>
      </c>
      <c r="G173" s="501">
        <f t="shared" si="163"/>
        <v>43260925</v>
      </c>
      <c r="H173" s="501">
        <f t="shared" si="163"/>
        <v>3209395</v>
      </c>
      <c r="I173" s="501">
        <f t="shared" si="163"/>
        <v>0</v>
      </c>
      <c r="J173" s="501">
        <f t="shared" si="163"/>
        <v>5486230</v>
      </c>
      <c r="K173" s="501">
        <f t="shared" si="163"/>
        <v>4652920</v>
      </c>
      <c r="L173" s="501">
        <f t="shared" si="163"/>
        <v>763230</v>
      </c>
      <c r="M173" s="501">
        <f t="shared" si="163"/>
        <v>385340</v>
      </c>
      <c r="N173" s="501">
        <f t="shared" si="163"/>
        <v>71980</v>
      </c>
      <c r="O173" s="501">
        <f t="shared" si="163"/>
        <v>4723000</v>
      </c>
      <c r="P173" s="501">
        <f t="shared" si="163"/>
        <v>71624550</v>
      </c>
      <c r="Q173" s="634"/>
      <c r="R173" s="300"/>
    </row>
    <row r="174" spans="1:18" ht="48" thickTop="1" thickBot="1" x14ac:dyDescent="0.25">
      <c r="A174" s="499" t="s">
        <v>180</v>
      </c>
      <c r="B174" s="499" t="s">
        <v>181</v>
      </c>
      <c r="C174" s="499" t="s">
        <v>183</v>
      </c>
      <c r="D174" s="499" t="s">
        <v>184</v>
      </c>
      <c r="E174" s="501">
        <f t="shared" ref="E174:E177" si="164">F174</f>
        <v>1100800</v>
      </c>
      <c r="F174" s="460">
        <v>1100800</v>
      </c>
      <c r="G174" s="460"/>
      <c r="H174" s="460"/>
      <c r="I174" s="460"/>
      <c r="J174" s="501">
        <f t="shared" si="160"/>
        <v>0</v>
      </c>
      <c r="K174" s="460"/>
      <c r="L174" s="460"/>
      <c r="M174" s="460"/>
      <c r="N174" s="460"/>
      <c r="O174" s="503">
        <f t="shared" ref="O174:O180" si="165">K174</f>
        <v>0</v>
      </c>
      <c r="P174" s="501">
        <f t="shared" si="161"/>
        <v>1100800</v>
      </c>
      <c r="R174" s="300"/>
    </row>
    <row r="175" spans="1:18" ht="93" thickTop="1" thickBot="1" x14ac:dyDescent="0.25">
      <c r="A175" s="499" t="s">
        <v>185</v>
      </c>
      <c r="B175" s="499" t="s">
        <v>186</v>
      </c>
      <c r="C175" s="499" t="s">
        <v>187</v>
      </c>
      <c r="D175" s="499" t="s">
        <v>188</v>
      </c>
      <c r="E175" s="501">
        <f t="shared" si="164"/>
        <v>15273555</v>
      </c>
      <c r="F175" s="460">
        <v>15273555</v>
      </c>
      <c r="G175" s="460">
        <v>11168800</v>
      </c>
      <c r="H175" s="460">
        <f>(893620+10630+122500+36000+23230)</f>
        <v>1085980</v>
      </c>
      <c r="I175" s="460"/>
      <c r="J175" s="501">
        <f t="shared" si="160"/>
        <v>120000</v>
      </c>
      <c r="K175" s="460">
        <v>0</v>
      </c>
      <c r="L175" s="460">
        <v>120000</v>
      </c>
      <c r="M175" s="460">
        <v>17940</v>
      </c>
      <c r="N175" s="460">
        <v>19880</v>
      </c>
      <c r="O175" s="503">
        <f t="shared" si="165"/>
        <v>0</v>
      </c>
      <c r="P175" s="501">
        <f t="shared" si="161"/>
        <v>15393555</v>
      </c>
      <c r="R175" s="295"/>
    </row>
    <row r="176" spans="1:18" ht="93" thickTop="1" thickBot="1" x14ac:dyDescent="0.25">
      <c r="A176" s="499" t="s">
        <v>189</v>
      </c>
      <c r="B176" s="499" t="s">
        <v>190</v>
      </c>
      <c r="C176" s="499" t="s">
        <v>187</v>
      </c>
      <c r="D176" s="499" t="s">
        <v>486</v>
      </c>
      <c r="E176" s="501">
        <f t="shared" si="164"/>
        <v>2274910</v>
      </c>
      <c r="F176" s="460">
        <v>2274910</v>
      </c>
      <c r="G176" s="460">
        <v>1467815</v>
      </c>
      <c r="H176" s="460">
        <f>(339200+5150+95015+5150)</f>
        <v>444515</v>
      </c>
      <c r="I176" s="460"/>
      <c r="J176" s="501">
        <f t="shared" si="160"/>
        <v>4738920</v>
      </c>
      <c r="K176" s="460">
        <v>4652920</v>
      </c>
      <c r="L176" s="460">
        <v>86000</v>
      </c>
      <c r="M176" s="460">
        <v>14100</v>
      </c>
      <c r="N176" s="460">
        <v>7300</v>
      </c>
      <c r="O176" s="503">
        <f t="shared" si="165"/>
        <v>4652920</v>
      </c>
      <c r="P176" s="501">
        <f t="shared" si="161"/>
        <v>7013830</v>
      </c>
      <c r="R176" s="295"/>
    </row>
    <row r="177" spans="1:18" ht="184.5" thickTop="1" thickBot="1" x14ac:dyDescent="0.25">
      <c r="A177" s="499" t="s">
        <v>191</v>
      </c>
      <c r="B177" s="499" t="s">
        <v>182</v>
      </c>
      <c r="C177" s="499" t="s">
        <v>192</v>
      </c>
      <c r="D177" s="499" t="s">
        <v>193</v>
      </c>
      <c r="E177" s="501">
        <f t="shared" si="164"/>
        <v>16744655</v>
      </c>
      <c r="F177" s="460">
        <v>16744655</v>
      </c>
      <c r="G177" s="460">
        <v>11922920</v>
      </c>
      <c r="H177" s="460">
        <f>946300+11800+502850+99600+41080</f>
        <v>1601630</v>
      </c>
      <c r="I177" s="460"/>
      <c r="J177" s="501">
        <f t="shared" si="160"/>
        <v>481300</v>
      </c>
      <c r="K177" s="460">
        <v>0</v>
      </c>
      <c r="L177" s="460">
        <v>477820</v>
      </c>
      <c r="M177" s="460">
        <v>342900</v>
      </c>
      <c r="N177" s="460">
        <v>44800</v>
      </c>
      <c r="O177" s="503">
        <f>(K177+3480)</f>
        <v>3480</v>
      </c>
      <c r="P177" s="501">
        <f t="shared" si="161"/>
        <v>17225955</v>
      </c>
      <c r="R177" s="295"/>
    </row>
    <row r="178" spans="1:18" ht="93" thickTop="1" thickBot="1" x14ac:dyDescent="0.25">
      <c r="A178" s="505" t="s">
        <v>808</v>
      </c>
      <c r="B178" s="505" t="s">
        <v>809</v>
      </c>
      <c r="C178" s="505"/>
      <c r="D178" s="505" t="s">
        <v>810</v>
      </c>
      <c r="E178" s="488">
        <f>SUM(E179:E180)</f>
        <v>30744400</v>
      </c>
      <c r="F178" s="488">
        <f t="shared" ref="F178:P178" si="166">SUM(F179:F180)</f>
        <v>30744400</v>
      </c>
      <c r="G178" s="488">
        <f t="shared" si="166"/>
        <v>18701390</v>
      </c>
      <c r="H178" s="488">
        <f t="shared" si="166"/>
        <v>77270</v>
      </c>
      <c r="I178" s="488">
        <f t="shared" si="166"/>
        <v>0</v>
      </c>
      <c r="J178" s="488">
        <f t="shared" si="166"/>
        <v>146010</v>
      </c>
      <c r="K178" s="488">
        <f t="shared" si="166"/>
        <v>0</v>
      </c>
      <c r="L178" s="488">
        <f t="shared" si="166"/>
        <v>79410</v>
      </c>
      <c r="M178" s="488">
        <f t="shared" si="166"/>
        <v>10400</v>
      </c>
      <c r="N178" s="488">
        <f t="shared" si="166"/>
        <v>0</v>
      </c>
      <c r="O178" s="488">
        <f t="shared" si="166"/>
        <v>66600</v>
      </c>
      <c r="P178" s="488">
        <f t="shared" si="166"/>
        <v>30890410</v>
      </c>
      <c r="R178" s="295"/>
    </row>
    <row r="179" spans="1:18" ht="138.75" thickTop="1" thickBot="1" x14ac:dyDescent="0.25">
      <c r="A179" s="499" t="s">
        <v>349</v>
      </c>
      <c r="B179" s="499" t="s">
        <v>350</v>
      </c>
      <c r="C179" s="499" t="s">
        <v>195</v>
      </c>
      <c r="D179" s="499" t="s">
        <v>487</v>
      </c>
      <c r="E179" s="501">
        <f>F179</f>
        <v>23987945</v>
      </c>
      <c r="F179" s="460">
        <v>23987945</v>
      </c>
      <c r="G179" s="460">
        <v>18701390</v>
      </c>
      <c r="H179" s="460">
        <f>(70300+6600+370)</f>
        <v>77270</v>
      </c>
      <c r="I179" s="460"/>
      <c r="J179" s="501">
        <f t="shared" si="160"/>
        <v>146010</v>
      </c>
      <c r="K179" s="460">
        <v>0</v>
      </c>
      <c r="L179" s="460">
        <v>79410</v>
      </c>
      <c r="M179" s="460">
        <v>10400</v>
      </c>
      <c r="N179" s="460"/>
      <c r="O179" s="503">
        <f>(K179+66600)</f>
        <v>66600</v>
      </c>
      <c r="P179" s="501">
        <f t="shared" si="161"/>
        <v>24133955</v>
      </c>
      <c r="R179" s="295"/>
    </row>
    <row r="180" spans="1:18" ht="93" thickTop="1" thickBot="1" x14ac:dyDescent="0.25">
      <c r="A180" s="499" t="s">
        <v>351</v>
      </c>
      <c r="B180" s="499" t="s">
        <v>352</v>
      </c>
      <c r="C180" s="499" t="s">
        <v>195</v>
      </c>
      <c r="D180" s="499" t="s">
        <v>488</v>
      </c>
      <c r="E180" s="501">
        <f>F180</f>
        <v>6756455</v>
      </c>
      <c r="F180" s="460">
        <v>6756455</v>
      </c>
      <c r="G180" s="460"/>
      <c r="H180" s="460"/>
      <c r="I180" s="460"/>
      <c r="J180" s="501">
        <f t="shared" si="160"/>
        <v>0</v>
      </c>
      <c r="K180" s="460"/>
      <c r="L180" s="460"/>
      <c r="M180" s="460"/>
      <c r="N180" s="460"/>
      <c r="O180" s="503">
        <f t="shared" si="165"/>
        <v>0</v>
      </c>
      <c r="P180" s="501">
        <f t="shared" si="161"/>
        <v>6756455</v>
      </c>
      <c r="R180" s="300"/>
    </row>
    <row r="181" spans="1:18" ht="47.25" thickTop="1" thickBot="1" x14ac:dyDescent="0.25">
      <c r="A181" s="150" t="s">
        <v>980</v>
      </c>
      <c r="B181" s="482" t="s">
        <v>798</v>
      </c>
      <c r="C181" s="482"/>
      <c r="D181" s="482" t="s">
        <v>799</v>
      </c>
      <c r="E181" s="501">
        <f>SUM(E182)</f>
        <v>1019860</v>
      </c>
      <c r="F181" s="501">
        <f t="shared" ref="F181:P181" si="167">SUM(F182)</f>
        <v>1019860</v>
      </c>
      <c r="G181" s="501">
        <f t="shared" si="167"/>
        <v>0</v>
      </c>
      <c r="H181" s="501">
        <f t="shared" si="167"/>
        <v>0</v>
      </c>
      <c r="I181" s="501">
        <f t="shared" si="167"/>
        <v>0</v>
      </c>
      <c r="J181" s="501">
        <f t="shared" si="167"/>
        <v>14000</v>
      </c>
      <c r="K181" s="501">
        <f t="shared" si="167"/>
        <v>14000</v>
      </c>
      <c r="L181" s="501">
        <f t="shared" si="167"/>
        <v>0</v>
      </c>
      <c r="M181" s="501">
        <f t="shared" si="167"/>
        <v>0</v>
      </c>
      <c r="N181" s="501">
        <f t="shared" si="167"/>
        <v>0</v>
      </c>
      <c r="O181" s="501">
        <f t="shared" si="167"/>
        <v>14000</v>
      </c>
      <c r="P181" s="501">
        <f t="shared" si="167"/>
        <v>1033860</v>
      </c>
      <c r="R181" s="300"/>
    </row>
    <row r="182" spans="1:18" ht="136.5" thickTop="1" thickBot="1" x14ac:dyDescent="0.25">
      <c r="A182" s="483" t="s">
        <v>981</v>
      </c>
      <c r="B182" s="483" t="s">
        <v>740</v>
      </c>
      <c r="C182" s="483"/>
      <c r="D182" s="483" t="s">
        <v>738</v>
      </c>
      <c r="E182" s="484">
        <f>E183+E185</f>
        <v>1019860</v>
      </c>
      <c r="F182" s="484">
        <f t="shared" ref="F182:I182" si="168">F183+F185</f>
        <v>1019860</v>
      </c>
      <c r="G182" s="484">
        <f t="shared" si="168"/>
        <v>0</v>
      </c>
      <c r="H182" s="484">
        <f t="shared" si="168"/>
        <v>0</v>
      </c>
      <c r="I182" s="484">
        <f t="shared" si="168"/>
        <v>0</v>
      </c>
      <c r="J182" s="484">
        <f t="shared" ref="J182" si="169">J183+J185</f>
        <v>14000</v>
      </c>
      <c r="K182" s="484">
        <f t="shared" ref="K182" si="170">K183+K185</f>
        <v>14000</v>
      </c>
      <c r="L182" s="484">
        <f t="shared" ref="L182" si="171">L183+L185</f>
        <v>0</v>
      </c>
      <c r="M182" s="484">
        <f t="shared" ref="M182" si="172">M183+M185</f>
        <v>0</v>
      </c>
      <c r="N182" s="484">
        <f t="shared" ref="N182" si="173">N183+N185</f>
        <v>0</v>
      </c>
      <c r="O182" s="484">
        <f t="shared" ref="O182" si="174">O183+O185</f>
        <v>14000</v>
      </c>
      <c r="P182" s="484">
        <f>P183+P185</f>
        <v>1033860</v>
      </c>
      <c r="R182" s="300"/>
    </row>
    <row r="183" spans="1:18" ht="93" thickTop="1" thickBot="1" x14ac:dyDescent="0.25">
      <c r="A183" s="505" t="s">
        <v>1135</v>
      </c>
      <c r="B183" s="505" t="s">
        <v>1136</v>
      </c>
      <c r="C183" s="505"/>
      <c r="D183" s="505" t="s">
        <v>1134</v>
      </c>
      <c r="E183" s="488">
        <f>E184</f>
        <v>1019860</v>
      </c>
      <c r="F183" s="488">
        <f t="shared" ref="F183:P183" si="175">F184</f>
        <v>1019860</v>
      </c>
      <c r="G183" s="488">
        <f t="shared" si="175"/>
        <v>0</v>
      </c>
      <c r="H183" s="488">
        <f t="shared" si="175"/>
        <v>0</v>
      </c>
      <c r="I183" s="488">
        <f t="shared" si="175"/>
        <v>0</v>
      </c>
      <c r="J183" s="488">
        <f t="shared" si="175"/>
        <v>0</v>
      </c>
      <c r="K183" s="488">
        <f t="shared" si="175"/>
        <v>0</v>
      </c>
      <c r="L183" s="488">
        <f t="shared" si="175"/>
        <v>0</v>
      </c>
      <c r="M183" s="488">
        <f t="shared" si="175"/>
        <v>0</v>
      </c>
      <c r="N183" s="488">
        <f t="shared" si="175"/>
        <v>0</v>
      </c>
      <c r="O183" s="488">
        <f t="shared" si="175"/>
        <v>0</v>
      </c>
      <c r="P183" s="488">
        <f t="shared" si="175"/>
        <v>1019860</v>
      </c>
      <c r="R183" s="300"/>
    </row>
    <row r="184" spans="1:18" ht="153" customHeight="1" thickTop="1" thickBot="1" x14ac:dyDescent="0.25">
      <c r="A184" s="499" t="s">
        <v>1138</v>
      </c>
      <c r="B184" s="499" t="s">
        <v>1139</v>
      </c>
      <c r="C184" s="499" t="s">
        <v>226</v>
      </c>
      <c r="D184" s="499" t="s">
        <v>1137</v>
      </c>
      <c r="E184" s="501">
        <f t="shared" ref="E184" si="176">F184</f>
        <v>1019860</v>
      </c>
      <c r="F184" s="460">
        <v>1019860</v>
      </c>
      <c r="G184" s="460"/>
      <c r="H184" s="460"/>
      <c r="I184" s="460"/>
      <c r="J184" s="501">
        <f>L184+O184</f>
        <v>0</v>
      </c>
      <c r="K184" s="460"/>
      <c r="L184" s="460"/>
      <c r="M184" s="460"/>
      <c r="N184" s="460"/>
      <c r="O184" s="503">
        <f>K184</f>
        <v>0</v>
      </c>
      <c r="P184" s="501">
        <f>E184+J184</f>
        <v>1019860</v>
      </c>
      <c r="R184" s="300"/>
    </row>
    <row r="185" spans="1:18" ht="93" thickTop="1" thickBot="1" x14ac:dyDescent="0.25">
      <c r="A185" s="499" t="s">
        <v>982</v>
      </c>
      <c r="B185" s="499" t="s">
        <v>210</v>
      </c>
      <c r="C185" s="499" t="s">
        <v>179</v>
      </c>
      <c r="D185" s="499" t="s">
        <v>36</v>
      </c>
      <c r="E185" s="501">
        <f t="shared" ref="E185" si="177">F185</f>
        <v>0</v>
      </c>
      <c r="F185" s="460"/>
      <c r="G185" s="460"/>
      <c r="H185" s="460"/>
      <c r="I185" s="460"/>
      <c r="J185" s="501">
        <f t="shared" ref="J185" si="178">L185+O185</f>
        <v>14000</v>
      </c>
      <c r="K185" s="460">
        <v>14000</v>
      </c>
      <c r="L185" s="460"/>
      <c r="M185" s="460"/>
      <c r="N185" s="460"/>
      <c r="O185" s="503">
        <f t="shared" ref="O185" si="179">K185</f>
        <v>14000</v>
      </c>
      <c r="P185" s="501">
        <f t="shared" ref="P185" si="180">E185+J185</f>
        <v>14000</v>
      </c>
      <c r="R185" s="295"/>
    </row>
    <row r="186" spans="1:18" ht="47.25" hidden="1" thickTop="1" thickBot="1" x14ac:dyDescent="0.25">
      <c r="A186" s="252" t="s">
        <v>811</v>
      </c>
      <c r="B186" s="252" t="s">
        <v>751</v>
      </c>
      <c r="C186" s="252"/>
      <c r="D186" s="252" t="s">
        <v>752</v>
      </c>
      <c r="E186" s="258">
        <f>E187</f>
        <v>0</v>
      </c>
      <c r="F186" s="258">
        <f t="shared" ref="F186:P187" si="181">F187</f>
        <v>0</v>
      </c>
      <c r="G186" s="258">
        <f t="shared" si="181"/>
        <v>0</v>
      </c>
      <c r="H186" s="258">
        <f t="shared" si="181"/>
        <v>0</v>
      </c>
      <c r="I186" s="258">
        <f t="shared" si="181"/>
        <v>0</v>
      </c>
      <c r="J186" s="258">
        <f t="shared" si="181"/>
        <v>0</v>
      </c>
      <c r="K186" s="258">
        <f t="shared" si="181"/>
        <v>0</v>
      </c>
      <c r="L186" s="258">
        <f t="shared" si="181"/>
        <v>0</v>
      </c>
      <c r="M186" s="258">
        <f t="shared" si="181"/>
        <v>0</v>
      </c>
      <c r="N186" s="258">
        <f t="shared" si="181"/>
        <v>0</v>
      </c>
      <c r="O186" s="258">
        <f t="shared" si="181"/>
        <v>0</v>
      </c>
      <c r="P186" s="258">
        <f t="shared" si="181"/>
        <v>0</v>
      </c>
      <c r="R186" s="300"/>
    </row>
    <row r="187" spans="1:18" ht="271.5" hidden="1" thickTop="1" thickBot="1" x14ac:dyDescent="0.25">
      <c r="A187" s="255" t="s">
        <v>812</v>
      </c>
      <c r="B187" s="255" t="s">
        <v>754</v>
      </c>
      <c r="C187" s="255"/>
      <c r="D187" s="255" t="s">
        <v>755</v>
      </c>
      <c r="E187" s="273">
        <f>E188</f>
        <v>0</v>
      </c>
      <c r="F187" s="273">
        <f t="shared" si="181"/>
        <v>0</v>
      </c>
      <c r="G187" s="273">
        <f t="shared" si="181"/>
        <v>0</v>
      </c>
      <c r="H187" s="273">
        <f t="shared" si="181"/>
        <v>0</v>
      </c>
      <c r="I187" s="273">
        <f t="shared" si="181"/>
        <v>0</v>
      </c>
      <c r="J187" s="273">
        <f t="shared" si="181"/>
        <v>0</v>
      </c>
      <c r="K187" s="273">
        <f t="shared" si="181"/>
        <v>0</v>
      </c>
      <c r="L187" s="273">
        <f t="shared" si="181"/>
        <v>0</v>
      </c>
      <c r="M187" s="273">
        <f t="shared" si="181"/>
        <v>0</v>
      </c>
      <c r="N187" s="273">
        <f t="shared" si="181"/>
        <v>0</v>
      </c>
      <c r="O187" s="273">
        <f t="shared" si="181"/>
        <v>0</v>
      </c>
      <c r="P187" s="273">
        <f t="shared" si="181"/>
        <v>0</v>
      </c>
      <c r="R187" s="300"/>
    </row>
    <row r="188" spans="1:18" ht="93" hidden="1" thickTop="1" thickBot="1" x14ac:dyDescent="0.25">
      <c r="A188" s="261" t="s">
        <v>624</v>
      </c>
      <c r="B188" s="261" t="s">
        <v>380</v>
      </c>
      <c r="C188" s="261" t="s">
        <v>45</v>
      </c>
      <c r="D188" s="261" t="s">
        <v>381</v>
      </c>
      <c r="E188" s="258">
        <f t="shared" ref="E188" si="182">F188</f>
        <v>0</v>
      </c>
      <c r="F188" s="281">
        <v>0</v>
      </c>
      <c r="G188" s="281"/>
      <c r="H188" s="281"/>
      <c r="I188" s="281"/>
      <c r="J188" s="258">
        <f>L188+O188</f>
        <v>0</v>
      </c>
      <c r="K188" s="281"/>
      <c r="L188" s="281"/>
      <c r="M188" s="281"/>
      <c r="N188" s="281"/>
      <c r="O188" s="264">
        <f>K188</f>
        <v>0</v>
      </c>
      <c r="P188" s="258">
        <f>E188+J188</f>
        <v>0</v>
      </c>
      <c r="R188" s="300"/>
    </row>
    <row r="189" spans="1:18" ht="136.5" thickTop="1" thickBot="1" x14ac:dyDescent="0.25">
      <c r="A189" s="450" t="s">
        <v>22</v>
      </c>
      <c r="B189" s="450"/>
      <c r="C189" s="450"/>
      <c r="D189" s="451" t="s">
        <v>23</v>
      </c>
      <c r="E189" s="452">
        <f>E190</f>
        <v>112321058</v>
      </c>
      <c r="F189" s="453">
        <f t="shared" ref="F189:G189" si="183">F190</f>
        <v>112321058</v>
      </c>
      <c r="G189" s="453">
        <f t="shared" si="183"/>
        <v>50998970</v>
      </c>
      <c r="H189" s="453">
        <f>H190</f>
        <v>4537205</v>
      </c>
      <c r="I189" s="453">
        <f t="shared" ref="I189" si="184">I190</f>
        <v>0</v>
      </c>
      <c r="J189" s="452">
        <f>J190</f>
        <v>9230456</v>
      </c>
      <c r="K189" s="453">
        <f>K190</f>
        <v>7097437</v>
      </c>
      <c r="L189" s="453">
        <f>L190</f>
        <v>2053849</v>
      </c>
      <c r="M189" s="453">
        <f t="shared" ref="M189" si="185">M190</f>
        <v>1042780</v>
      </c>
      <c r="N189" s="453">
        <f>N190</f>
        <v>353328</v>
      </c>
      <c r="O189" s="452">
        <f>O190</f>
        <v>7176607</v>
      </c>
      <c r="P189" s="453">
        <f t="shared" ref="P189" si="186">P190</f>
        <v>121551514</v>
      </c>
    </row>
    <row r="190" spans="1:18" ht="178.5" customHeight="1" thickTop="1" thickBot="1" x14ac:dyDescent="0.25">
      <c r="A190" s="454" t="s">
        <v>21</v>
      </c>
      <c r="B190" s="454"/>
      <c r="C190" s="454"/>
      <c r="D190" s="455" t="s">
        <v>37</v>
      </c>
      <c r="E190" s="456">
        <f>E191+E197+E210+E213+E219</f>
        <v>112321058</v>
      </c>
      <c r="F190" s="456">
        <f t="shared" ref="F190:I190" si="187">F191+F197+F210+F213+F219</f>
        <v>112321058</v>
      </c>
      <c r="G190" s="456">
        <f t="shared" si="187"/>
        <v>50998970</v>
      </c>
      <c r="H190" s="456">
        <f t="shared" si="187"/>
        <v>4537205</v>
      </c>
      <c r="I190" s="456">
        <f t="shared" si="187"/>
        <v>0</v>
      </c>
      <c r="J190" s="456">
        <f>L190+O190</f>
        <v>9230456</v>
      </c>
      <c r="K190" s="456">
        <f t="shared" ref="K190" si="188">K191+K197+K210+K213+K219</f>
        <v>7097437</v>
      </c>
      <c r="L190" s="456">
        <f t="shared" ref="L190" si="189">L191+L197+L210+L213+L219</f>
        <v>2053849</v>
      </c>
      <c r="M190" s="456">
        <f t="shared" ref="M190" si="190">M191+M197+M210+M213+M219</f>
        <v>1042780</v>
      </c>
      <c r="N190" s="456">
        <f t="shared" ref="N190" si="191">N191+N197+N210+N213+N219</f>
        <v>353328</v>
      </c>
      <c r="O190" s="456">
        <f t="shared" ref="O190" si="192">O191+O197+O210+O213+O219</f>
        <v>7176607</v>
      </c>
      <c r="P190" s="456">
        <f>E190+J190</f>
        <v>121551514</v>
      </c>
      <c r="Q190" s="646" t="b">
        <f>P190=P193+P195+P196+P199+P200+P202+P204+P205+P207+P208+P209+P212+P218+P216+P221</f>
        <v>1</v>
      </c>
      <c r="R190" s="295"/>
    </row>
    <row r="191" spans="1:18" ht="91.5" thickTop="1" thickBot="1" x14ac:dyDescent="0.25">
      <c r="A191" s="150" t="s">
        <v>813</v>
      </c>
      <c r="B191" s="150" t="s">
        <v>760</v>
      </c>
      <c r="C191" s="150"/>
      <c r="D191" s="150" t="s">
        <v>761</v>
      </c>
      <c r="E191" s="592">
        <f>SUM(E192:E196)-E192-E194</f>
        <v>19041780</v>
      </c>
      <c r="F191" s="592">
        <f t="shared" ref="F191:P191" si="193">SUM(F192:F196)-F192-F194</f>
        <v>19041780</v>
      </c>
      <c r="G191" s="592">
        <f t="shared" si="193"/>
        <v>8950680</v>
      </c>
      <c r="H191" s="592">
        <f t="shared" si="193"/>
        <v>1018510</v>
      </c>
      <c r="I191" s="592">
        <f t="shared" si="193"/>
        <v>0</v>
      </c>
      <c r="J191" s="592">
        <f t="shared" si="193"/>
        <v>903993</v>
      </c>
      <c r="K191" s="592">
        <f t="shared" si="193"/>
        <v>537693</v>
      </c>
      <c r="L191" s="592">
        <f t="shared" si="193"/>
        <v>366300</v>
      </c>
      <c r="M191" s="592">
        <f t="shared" si="193"/>
        <v>180000</v>
      </c>
      <c r="N191" s="592">
        <f t="shared" si="193"/>
        <v>95000</v>
      </c>
      <c r="O191" s="592">
        <f t="shared" si="193"/>
        <v>537693</v>
      </c>
      <c r="P191" s="592">
        <f t="shared" si="193"/>
        <v>19945773</v>
      </c>
      <c r="Q191" s="646"/>
      <c r="R191" s="295"/>
    </row>
    <row r="192" spans="1:18" s="275" customFormat="1" ht="138.75" thickTop="1" thickBot="1" x14ac:dyDescent="0.25">
      <c r="A192" s="505" t="s">
        <v>814</v>
      </c>
      <c r="B192" s="505" t="s">
        <v>815</v>
      </c>
      <c r="C192" s="505"/>
      <c r="D192" s="505" t="s">
        <v>816</v>
      </c>
      <c r="E192" s="593">
        <f>E193</f>
        <v>6040461</v>
      </c>
      <c r="F192" s="593">
        <f t="shared" ref="F192:P192" si="194">F193</f>
        <v>6040461</v>
      </c>
      <c r="G192" s="593">
        <f t="shared" si="194"/>
        <v>4559615</v>
      </c>
      <c r="H192" s="593">
        <f t="shared" si="194"/>
        <v>137400</v>
      </c>
      <c r="I192" s="593">
        <f t="shared" si="194"/>
        <v>0</v>
      </c>
      <c r="J192" s="593">
        <f t="shared" si="194"/>
        <v>0</v>
      </c>
      <c r="K192" s="593">
        <f t="shared" si="194"/>
        <v>0</v>
      </c>
      <c r="L192" s="593">
        <f t="shared" si="194"/>
        <v>0</v>
      </c>
      <c r="M192" s="593">
        <f t="shared" si="194"/>
        <v>0</v>
      </c>
      <c r="N192" s="593">
        <f t="shared" si="194"/>
        <v>0</v>
      </c>
      <c r="O192" s="593">
        <f t="shared" si="194"/>
        <v>0</v>
      </c>
      <c r="P192" s="593">
        <f t="shared" si="194"/>
        <v>6040461</v>
      </c>
      <c r="Q192" s="648"/>
      <c r="R192" s="305"/>
    </row>
    <row r="193" spans="1:18" ht="138.75" thickTop="1" thickBot="1" x14ac:dyDescent="0.25">
      <c r="A193" s="549" t="s">
        <v>196</v>
      </c>
      <c r="B193" s="549" t="s">
        <v>197</v>
      </c>
      <c r="C193" s="549" t="s">
        <v>198</v>
      </c>
      <c r="D193" s="549" t="s">
        <v>686</v>
      </c>
      <c r="E193" s="462">
        <f t="shared" ref="E193:E208" si="195">F193</f>
        <v>6040461</v>
      </c>
      <c r="F193" s="463">
        <v>6040461</v>
      </c>
      <c r="G193" s="463">
        <v>4559615</v>
      </c>
      <c r="H193" s="463">
        <f>(96665+5295+31600+3840)</f>
        <v>137400</v>
      </c>
      <c r="I193" s="463"/>
      <c r="J193" s="546">
        <f t="shared" ref="J193:J218" si="196">L193+O193</f>
        <v>0</v>
      </c>
      <c r="K193" s="463"/>
      <c r="L193" s="475"/>
      <c r="M193" s="475"/>
      <c r="N193" s="475"/>
      <c r="O193" s="551">
        <f t="shared" ref="O193:O218" si="197">K193</f>
        <v>0</v>
      </c>
      <c r="P193" s="546">
        <f>+J193+E193</f>
        <v>6040461</v>
      </c>
      <c r="Q193" s="649"/>
      <c r="R193" s="300"/>
    </row>
    <row r="194" spans="1:18" s="275" customFormat="1" ht="93" thickTop="1" thickBot="1" x14ac:dyDescent="0.25">
      <c r="A194" s="505" t="s">
        <v>817</v>
      </c>
      <c r="B194" s="505" t="s">
        <v>818</v>
      </c>
      <c r="C194" s="505"/>
      <c r="D194" s="505" t="s">
        <v>819</v>
      </c>
      <c r="E194" s="506">
        <f>SUM(E195:E196)</f>
        <v>13001319</v>
      </c>
      <c r="F194" s="506">
        <f t="shared" ref="F194:P194" si="198">SUM(F195:F196)</f>
        <v>13001319</v>
      </c>
      <c r="G194" s="506">
        <f t="shared" si="198"/>
        <v>4391065</v>
      </c>
      <c r="H194" s="506">
        <f t="shared" si="198"/>
        <v>881110</v>
      </c>
      <c r="I194" s="506">
        <f t="shared" si="198"/>
        <v>0</v>
      </c>
      <c r="J194" s="506">
        <f t="shared" si="198"/>
        <v>903993</v>
      </c>
      <c r="K194" s="506">
        <f t="shared" si="198"/>
        <v>537693</v>
      </c>
      <c r="L194" s="506">
        <f t="shared" si="198"/>
        <v>366300</v>
      </c>
      <c r="M194" s="506">
        <f t="shared" si="198"/>
        <v>180000</v>
      </c>
      <c r="N194" s="506">
        <f t="shared" si="198"/>
        <v>95000</v>
      </c>
      <c r="O194" s="506">
        <f t="shared" si="198"/>
        <v>537693</v>
      </c>
      <c r="P194" s="506">
        <f t="shared" si="198"/>
        <v>13905312</v>
      </c>
      <c r="Q194" s="650"/>
      <c r="R194" s="301"/>
    </row>
    <row r="195" spans="1:18" ht="93" thickTop="1" thickBot="1" x14ac:dyDescent="0.25">
      <c r="A195" s="549" t="s">
        <v>202</v>
      </c>
      <c r="B195" s="549" t="s">
        <v>203</v>
      </c>
      <c r="C195" s="549" t="s">
        <v>198</v>
      </c>
      <c r="D195" s="549" t="s">
        <v>10</v>
      </c>
      <c r="E195" s="462">
        <f t="shared" si="195"/>
        <v>4920329</v>
      </c>
      <c r="F195" s="463">
        <v>4920329</v>
      </c>
      <c r="G195" s="463">
        <v>2954350</v>
      </c>
      <c r="H195" s="463">
        <f>(567760+5370+142130+2090)</f>
        <v>717350</v>
      </c>
      <c r="I195" s="463"/>
      <c r="J195" s="546">
        <f t="shared" si="196"/>
        <v>903993</v>
      </c>
      <c r="K195" s="463">
        <f>(537693)</f>
        <v>537693</v>
      </c>
      <c r="L195" s="475">
        <v>366300</v>
      </c>
      <c r="M195" s="475">
        <v>180000</v>
      </c>
      <c r="N195" s="475">
        <v>95000</v>
      </c>
      <c r="O195" s="551">
        <f>K195</f>
        <v>537693</v>
      </c>
      <c r="P195" s="546">
        <f t="shared" ref="P195:P218" si="199">E195+J195</f>
        <v>5824322</v>
      </c>
      <c r="R195" s="295"/>
    </row>
    <row r="196" spans="1:18" ht="93" thickTop="1" thickBot="1" x14ac:dyDescent="0.25">
      <c r="A196" s="549" t="s">
        <v>368</v>
      </c>
      <c r="B196" s="549" t="s">
        <v>369</v>
      </c>
      <c r="C196" s="549" t="s">
        <v>198</v>
      </c>
      <c r="D196" s="549" t="s">
        <v>370</v>
      </c>
      <c r="E196" s="462">
        <f t="shared" si="195"/>
        <v>8080990</v>
      </c>
      <c r="F196" s="463">
        <v>8080990</v>
      </c>
      <c r="G196" s="463">
        <v>1436715</v>
      </c>
      <c r="H196" s="463">
        <f>(99760+4560+57520+1920)</f>
        <v>163760</v>
      </c>
      <c r="I196" s="463"/>
      <c r="J196" s="546">
        <f t="shared" si="196"/>
        <v>0</v>
      </c>
      <c r="K196" s="463"/>
      <c r="L196" s="475"/>
      <c r="M196" s="475"/>
      <c r="N196" s="475"/>
      <c r="O196" s="551">
        <f t="shared" si="197"/>
        <v>0</v>
      </c>
      <c r="P196" s="546">
        <f t="shared" si="199"/>
        <v>8080990</v>
      </c>
      <c r="R196" s="295"/>
    </row>
    <row r="197" spans="1:18" ht="47.25" thickTop="1" thickBot="1" x14ac:dyDescent="0.25">
      <c r="A197" s="150" t="s">
        <v>820</v>
      </c>
      <c r="B197" s="150" t="s">
        <v>821</v>
      </c>
      <c r="C197" s="549"/>
      <c r="D197" s="150" t="s">
        <v>822</v>
      </c>
      <c r="E197" s="462">
        <f>SUM(E198:E209)-E198-E201-E203-E206</f>
        <v>93240278</v>
      </c>
      <c r="F197" s="462">
        <f t="shared" ref="F197:P197" si="200">SUM(F198:F209)-F198-F201-F203-F206</f>
        <v>93240278</v>
      </c>
      <c r="G197" s="462">
        <f t="shared" si="200"/>
        <v>42048290</v>
      </c>
      <c r="H197" s="462">
        <f t="shared" si="200"/>
        <v>3518695</v>
      </c>
      <c r="I197" s="462">
        <f t="shared" si="200"/>
        <v>0</v>
      </c>
      <c r="J197" s="462">
        <f t="shared" si="200"/>
        <v>8026463</v>
      </c>
      <c r="K197" s="462">
        <f t="shared" si="200"/>
        <v>6259744</v>
      </c>
      <c r="L197" s="462">
        <f t="shared" si="200"/>
        <v>1687549</v>
      </c>
      <c r="M197" s="462">
        <f t="shared" si="200"/>
        <v>862780</v>
      </c>
      <c r="N197" s="462">
        <f t="shared" si="200"/>
        <v>258328</v>
      </c>
      <c r="O197" s="462">
        <f t="shared" si="200"/>
        <v>6338914</v>
      </c>
      <c r="P197" s="462">
        <f t="shared" si="200"/>
        <v>101266741</v>
      </c>
      <c r="R197" s="295"/>
    </row>
    <row r="198" spans="1:18" s="275" customFormat="1" ht="93" thickTop="1" thickBot="1" x14ac:dyDescent="0.25">
      <c r="A198" s="505" t="s">
        <v>823</v>
      </c>
      <c r="B198" s="505" t="s">
        <v>824</v>
      </c>
      <c r="C198" s="505"/>
      <c r="D198" s="505" t="s">
        <v>825</v>
      </c>
      <c r="E198" s="506">
        <f>SUM(E199:E200)</f>
        <v>25324232</v>
      </c>
      <c r="F198" s="506">
        <f t="shared" ref="F198:P198" si="201">SUM(F199:F200)</f>
        <v>25324232</v>
      </c>
      <c r="G198" s="506">
        <f t="shared" si="201"/>
        <v>0</v>
      </c>
      <c r="H198" s="506">
        <f t="shared" si="201"/>
        <v>0</v>
      </c>
      <c r="I198" s="506">
        <f t="shared" si="201"/>
        <v>0</v>
      </c>
      <c r="J198" s="506">
        <f t="shared" si="201"/>
        <v>0</v>
      </c>
      <c r="K198" s="506">
        <f t="shared" si="201"/>
        <v>0</v>
      </c>
      <c r="L198" s="506">
        <f t="shared" si="201"/>
        <v>0</v>
      </c>
      <c r="M198" s="506">
        <f t="shared" si="201"/>
        <v>0</v>
      </c>
      <c r="N198" s="506">
        <f t="shared" si="201"/>
        <v>0</v>
      </c>
      <c r="O198" s="506">
        <f t="shared" si="201"/>
        <v>0</v>
      </c>
      <c r="P198" s="506">
        <f t="shared" si="201"/>
        <v>25324232</v>
      </c>
      <c r="Q198" s="642"/>
      <c r="R198" s="305"/>
    </row>
    <row r="199" spans="1:18" ht="138.75" thickTop="1" thickBot="1" x14ac:dyDescent="0.25">
      <c r="A199" s="549" t="s">
        <v>46</v>
      </c>
      <c r="B199" s="549" t="s">
        <v>199</v>
      </c>
      <c r="C199" s="549" t="s">
        <v>208</v>
      </c>
      <c r="D199" s="549" t="s">
        <v>47</v>
      </c>
      <c r="E199" s="462">
        <f t="shared" si="195"/>
        <v>22258032</v>
      </c>
      <c r="F199" s="463">
        <v>22258032</v>
      </c>
      <c r="G199" s="460"/>
      <c r="H199" s="460"/>
      <c r="I199" s="460"/>
      <c r="J199" s="546">
        <f t="shared" si="196"/>
        <v>0</v>
      </c>
      <c r="K199" s="460"/>
      <c r="L199" s="460"/>
      <c r="M199" s="460"/>
      <c r="N199" s="460"/>
      <c r="O199" s="551">
        <f t="shared" si="197"/>
        <v>0</v>
      </c>
      <c r="P199" s="546">
        <f t="shared" si="199"/>
        <v>22258032</v>
      </c>
      <c r="R199" s="295"/>
    </row>
    <row r="200" spans="1:18" ht="138.75" thickTop="1" thickBot="1" x14ac:dyDescent="0.25">
      <c r="A200" s="549" t="s">
        <v>48</v>
      </c>
      <c r="B200" s="549" t="s">
        <v>200</v>
      </c>
      <c r="C200" s="549" t="s">
        <v>208</v>
      </c>
      <c r="D200" s="549" t="s">
        <v>4</v>
      </c>
      <c r="E200" s="462">
        <f t="shared" si="195"/>
        <v>3066200</v>
      </c>
      <c r="F200" s="463">
        <v>3066200</v>
      </c>
      <c r="G200" s="460"/>
      <c r="H200" s="460"/>
      <c r="I200" s="460"/>
      <c r="J200" s="546">
        <f t="shared" si="196"/>
        <v>0</v>
      </c>
      <c r="K200" s="460"/>
      <c r="L200" s="460"/>
      <c r="M200" s="460"/>
      <c r="N200" s="460"/>
      <c r="O200" s="551">
        <f t="shared" si="197"/>
        <v>0</v>
      </c>
      <c r="P200" s="546">
        <f t="shared" si="199"/>
        <v>3066200</v>
      </c>
      <c r="R200" s="295"/>
    </row>
    <row r="201" spans="1:18" s="275" customFormat="1" ht="184.5" thickTop="1" thickBot="1" x14ac:dyDescent="0.25">
      <c r="A201" s="505" t="s">
        <v>826</v>
      </c>
      <c r="B201" s="505" t="s">
        <v>827</v>
      </c>
      <c r="C201" s="505"/>
      <c r="D201" s="505" t="s">
        <v>828</v>
      </c>
      <c r="E201" s="506">
        <f>E202</f>
        <v>53300</v>
      </c>
      <c r="F201" s="506">
        <f t="shared" ref="F201:P201" si="202">F202</f>
        <v>53300</v>
      </c>
      <c r="G201" s="506">
        <f t="shared" si="202"/>
        <v>0</v>
      </c>
      <c r="H201" s="506">
        <f t="shared" si="202"/>
        <v>0</v>
      </c>
      <c r="I201" s="506">
        <f t="shared" si="202"/>
        <v>0</v>
      </c>
      <c r="J201" s="506">
        <f t="shared" si="202"/>
        <v>0</v>
      </c>
      <c r="K201" s="506">
        <f t="shared" si="202"/>
        <v>0</v>
      </c>
      <c r="L201" s="506">
        <f t="shared" si="202"/>
        <v>0</v>
      </c>
      <c r="M201" s="506">
        <f t="shared" si="202"/>
        <v>0</v>
      </c>
      <c r="N201" s="506">
        <f t="shared" si="202"/>
        <v>0</v>
      </c>
      <c r="O201" s="506">
        <f t="shared" si="202"/>
        <v>0</v>
      </c>
      <c r="P201" s="506">
        <f t="shared" si="202"/>
        <v>53300</v>
      </c>
      <c r="Q201" s="642"/>
      <c r="R201" s="310"/>
    </row>
    <row r="202" spans="1:18" ht="184.5" thickTop="1" thickBot="1" x14ac:dyDescent="0.25">
      <c r="A202" s="549" t="s">
        <v>49</v>
      </c>
      <c r="B202" s="549" t="s">
        <v>201</v>
      </c>
      <c r="C202" s="549" t="s">
        <v>208</v>
      </c>
      <c r="D202" s="549" t="s">
        <v>366</v>
      </c>
      <c r="E202" s="462">
        <f>F202</f>
        <v>53300</v>
      </c>
      <c r="F202" s="463">
        <v>53300</v>
      </c>
      <c r="G202" s="463"/>
      <c r="H202" s="463"/>
      <c r="I202" s="460"/>
      <c r="J202" s="546">
        <f t="shared" si="196"/>
        <v>0</v>
      </c>
      <c r="K202" s="460"/>
      <c r="L202" s="463"/>
      <c r="M202" s="463"/>
      <c r="N202" s="463"/>
      <c r="O202" s="551">
        <f t="shared" si="197"/>
        <v>0</v>
      </c>
      <c r="P202" s="546">
        <f t="shared" si="199"/>
        <v>53300</v>
      </c>
      <c r="R202" s="295"/>
    </row>
    <row r="203" spans="1:18" ht="93" thickTop="1" thickBot="1" x14ac:dyDescent="0.25">
      <c r="A203" s="505" t="s">
        <v>829</v>
      </c>
      <c r="B203" s="505" t="s">
        <v>830</v>
      </c>
      <c r="C203" s="505"/>
      <c r="D203" s="505" t="s">
        <v>831</v>
      </c>
      <c r="E203" s="506">
        <f>SUM(E204:E205)</f>
        <v>62601280</v>
      </c>
      <c r="F203" s="506">
        <f t="shared" ref="F203:P203" si="203">SUM(F204:F205)</f>
        <v>62601280</v>
      </c>
      <c r="G203" s="506">
        <f t="shared" si="203"/>
        <v>40789410</v>
      </c>
      <c r="H203" s="506">
        <f t="shared" si="203"/>
        <v>3518695</v>
      </c>
      <c r="I203" s="506">
        <f t="shared" si="203"/>
        <v>0</v>
      </c>
      <c r="J203" s="506">
        <f t="shared" si="203"/>
        <v>8026463</v>
      </c>
      <c r="K203" s="506">
        <f t="shared" si="203"/>
        <v>6259744</v>
      </c>
      <c r="L203" s="506">
        <f t="shared" si="203"/>
        <v>1687549</v>
      </c>
      <c r="M203" s="506">
        <f t="shared" si="203"/>
        <v>862780</v>
      </c>
      <c r="N203" s="506">
        <f t="shared" si="203"/>
        <v>258328</v>
      </c>
      <c r="O203" s="506">
        <f t="shared" si="203"/>
        <v>6338914</v>
      </c>
      <c r="P203" s="506">
        <f t="shared" si="203"/>
        <v>70627743</v>
      </c>
      <c r="R203" s="295"/>
    </row>
    <row r="204" spans="1:18" ht="184.5" thickTop="1" thickBot="1" x14ac:dyDescent="0.25">
      <c r="A204" s="549" t="s">
        <v>28</v>
      </c>
      <c r="B204" s="549" t="s">
        <v>205</v>
      </c>
      <c r="C204" s="549" t="s">
        <v>208</v>
      </c>
      <c r="D204" s="549" t="s">
        <v>50</v>
      </c>
      <c r="E204" s="462">
        <f t="shared" si="195"/>
        <v>57087290</v>
      </c>
      <c r="F204" s="463">
        <v>57087290</v>
      </c>
      <c r="G204" s="463">
        <f>(12879510+12795060+10845985+4268855)</f>
        <v>40789410</v>
      </c>
      <c r="H204" s="463">
        <f>(568195+101700+408980+67080+521160+40690+421560+252585+9315+25800+17640+132495+378400+3930+411080+5380+95115+57590)</f>
        <v>3518695</v>
      </c>
      <c r="I204" s="463"/>
      <c r="J204" s="546">
        <f t="shared" si="196"/>
        <v>8026463</v>
      </c>
      <c r="K204" s="463">
        <v>6259744</v>
      </c>
      <c r="L204" s="463">
        <f>(808722+957997-58300-20870)</f>
        <v>1687549</v>
      </c>
      <c r="M204" s="463">
        <f>(242165+620615)</f>
        <v>862780</v>
      </c>
      <c r="N204" s="463">
        <f>(197561+60767)</f>
        <v>258328</v>
      </c>
      <c r="O204" s="551">
        <f>(K204+58300+20870)</f>
        <v>6338914</v>
      </c>
      <c r="P204" s="546">
        <f t="shared" si="199"/>
        <v>65113753</v>
      </c>
      <c r="R204" s="295"/>
    </row>
    <row r="205" spans="1:18" ht="184.5" thickTop="1" thickBot="1" x14ac:dyDescent="0.25">
      <c r="A205" s="549" t="s">
        <v>29</v>
      </c>
      <c r="B205" s="549" t="s">
        <v>206</v>
      </c>
      <c r="C205" s="549" t="s">
        <v>208</v>
      </c>
      <c r="D205" s="549" t="s">
        <v>51</v>
      </c>
      <c r="E205" s="462">
        <f t="shared" si="195"/>
        <v>5513990</v>
      </c>
      <c r="F205" s="463">
        <v>5513990</v>
      </c>
      <c r="G205" s="463"/>
      <c r="H205" s="463"/>
      <c r="I205" s="463"/>
      <c r="J205" s="546">
        <f t="shared" si="196"/>
        <v>0</v>
      </c>
      <c r="K205" s="463">
        <v>0</v>
      </c>
      <c r="L205" s="463"/>
      <c r="M205" s="463"/>
      <c r="N205" s="463"/>
      <c r="O205" s="551">
        <f t="shared" si="197"/>
        <v>0</v>
      </c>
      <c r="P205" s="546">
        <f t="shared" si="199"/>
        <v>5513990</v>
      </c>
      <c r="R205" s="295"/>
    </row>
    <row r="206" spans="1:18" ht="93" thickTop="1" thickBot="1" x14ac:dyDescent="0.25">
      <c r="A206" s="594" t="s">
        <v>832</v>
      </c>
      <c r="B206" s="505" t="s">
        <v>833</v>
      </c>
      <c r="C206" s="505"/>
      <c r="D206" s="505" t="s">
        <v>834</v>
      </c>
      <c r="E206" s="506">
        <f>SUM(E207:E209)</f>
        <v>5261466</v>
      </c>
      <c r="F206" s="506">
        <f t="shared" ref="F206:P206" si="204">SUM(F207:F209)</f>
        <v>5261466</v>
      </c>
      <c r="G206" s="506">
        <f t="shared" si="204"/>
        <v>1258880</v>
      </c>
      <c r="H206" s="506">
        <f t="shared" si="204"/>
        <v>0</v>
      </c>
      <c r="I206" s="506">
        <f t="shared" si="204"/>
        <v>0</v>
      </c>
      <c r="J206" s="506">
        <f t="shared" si="204"/>
        <v>0</v>
      </c>
      <c r="K206" s="506">
        <f t="shared" si="204"/>
        <v>0</v>
      </c>
      <c r="L206" s="506">
        <f t="shared" si="204"/>
        <v>0</v>
      </c>
      <c r="M206" s="506">
        <f t="shared" si="204"/>
        <v>0</v>
      </c>
      <c r="N206" s="506">
        <f t="shared" si="204"/>
        <v>0</v>
      </c>
      <c r="O206" s="506">
        <f t="shared" si="204"/>
        <v>0</v>
      </c>
      <c r="P206" s="506">
        <f t="shared" si="204"/>
        <v>5261466</v>
      </c>
      <c r="R206" s="295"/>
    </row>
    <row r="207" spans="1:18" ht="276" thickTop="1" thickBot="1" x14ac:dyDescent="0.25">
      <c r="A207" s="595" t="s">
        <v>30</v>
      </c>
      <c r="B207" s="595" t="s">
        <v>207</v>
      </c>
      <c r="C207" s="595" t="s">
        <v>208</v>
      </c>
      <c r="D207" s="549" t="s">
        <v>31</v>
      </c>
      <c r="E207" s="462">
        <f t="shared" si="195"/>
        <v>1016620</v>
      </c>
      <c r="F207" s="463">
        <v>1016620</v>
      </c>
      <c r="G207" s="460"/>
      <c r="H207" s="460"/>
      <c r="I207" s="460"/>
      <c r="J207" s="546">
        <f t="shared" si="196"/>
        <v>0</v>
      </c>
      <c r="K207" s="460"/>
      <c r="L207" s="460"/>
      <c r="M207" s="460"/>
      <c r="N207" s="460"/>
      <c r="O207" s="551">
        <f t="shared" si="197"/>
        <v>0</v>
      </c>
      <c r="P207" s="546">
        <f t="shared" si="199"/>
        <v>1016620</v>
      </c>
      <c r="R207" s="295"/>
    </row>
    <row r="208" spans="1:18" ht="184.5" thickTop="1" thickBot="1" x14ac:dyDescent="0.25">
      <c r="A208" s="595" t="s">
        <v>537</v>
      </c>
      <c r="B208" s="595" t="s">
        <v>535</v>
      </c>
      <c r="C208" s="595" t="s">
        <v>208</v>
      </c>
      <c r="D208" s="549" t="s">
        <v>536</v>
      </c>
      <c r="E208" s="462">
        <f t="shared" si="195"/>
        <v>2490471</v>
      </c>
      <c r="F208" s="463">
        <v>2490471</v>
      </c>
      <c r="G208" s="460"/>
      <c r="H208" s="460"/>
      <c r="I208" s="460"/>
      <c r="J208" s="546">
        <f t="shared" si="196"/>
        <v>0</v>
      </c>
      <c r="K208" s="460"/>
      <c r="L208" s="460"/>
      <c r="M208" s="460"/>
      <c r="N208" s="460"/>
      <c r="O208" s="551">
        <f t="shared" si="197"/>
        <v>0</v>
      </c>
      <c r="P208" s="546">
        <f t="shared" si="199"/>
        <v>2490471</v>
      </c>
      <c r="R208" s="295"/>
    </row>
    <row r="209" spans="1:18" ht="93" thickTop="1" thickBot="1" x14ac:dyDescent="0.25">
      <c r="A209" s="595" t="s">
        <v>32</v>
      </c>
      <c r="B209" s="595" t="s">
        <v>209</v>
      </c>
      <c r="C209" s="595" t="s">
        <v>208</v>
      </c>
      <c r="D209" s="549" t="s">
        <v>33</v>
      </c>
      <c r="E209" s="462">
        <f>F209</f>
        <v>1754375</v>
      </c>
      <c r="F209" s="463">
        <v>1754375</v>
      </c>
      <c r="G209" s="460">
        <v>1258880</v>
      </c>
      <c r="H209" s="460"/>
      <c r="I209" s="460"/>
      <c r="J209" s="546">
        <f t="shared" si="196"/>
        <v>0</v>
      </c>
      <c r="K209" s="460">
        <v>0</v>
      </c>
      <c r="L209" s="460"/>
      <c r="M209" s="460"/>
      <c r="N209" s="460"/>
      <c r="O209" s="551">
        <f t="shared" si="197"/>
        <v>0</v>
      </c>
      <c r="P209" s="546">
        <f t="shared" si="199"/>
        <v>1754375</v>
      </c>
      <c r="R209" s="295"/>
    </row>
    <row r="210" spans="1:18" ht="91.5" thickTop="1" thickBot="1" x14ac:dyDescent="0.25">
      <c r="A210" s="150" t="s">
        <v>835</v>
      </c>
      <c r="B210" s="150" t="s">
        <v>792</v>
      </c>
      <c r="C210" s="150"/>
      <c r="D210" s="576" t="s">
        <v>793</v>
      </c>
      <c r="E210" s="462">
        <f>E211</f>
        <v>39000</v>
      </c>
      <c r="F210" s="462">
        <f t="shared" ref="F210:P211" si="205">F211</f>
        <v>39000</v>
      </c>
      <c r="G210" s="462">
        <f t="shared" si="205"/>
        <v>0</v>
      </c>
      <c r="H210" s="462">
        <f t="shared" si="205"/>
        <v>0</v>
      </c>
      <c r="I210" s="462">
        <f t="shared" si="205"/>
        <v>0</v>
      </c>
      <c r="J210" s="462">
        <f t="shared" si="205"/>
        <v>0</v>
      </c>
      <c r="K210" s="462">
        <f t="shared" si="205"/>
        <v>0</v>
      </c>
      <c r="L210" s="462">
        <f t="shared" si="205"/>
        <v>0</v>
      </c>
      <c r="M210" s="462">
        <f t="shared" si="205"/>
        <v>0</v>
      </c>
      <c r="N210" s="462">
        <f t="shared" si="205"/>
        <v>0</v>
      </c>
      <c r="O210" s="462">
        <f t="shared" si="205"/>
        <v>0</v>
      </c>
      <c r="P210" s="462">
        <f t="shared" si="205"/>
        <v>39000</v>
      </c>
      <c r="R210" s="295"/>
    </row>
    <row r="211" spans="1:18" ht="93" thickTop="1" thickBot="1" x14ac:dyDescent="0.25">
      <c r="A211" s="594" t="s">
        <v>836</v>
      </c>
      <c r="B211" s="594" t="s">
        <v>795</v>
      </c>
      <c r="C211" s="594"/>
      <c r="D211" s="505" t="s">
        <v>796</v>
      </c>
      <c r="E211" s="506">
        <f>E212</f>
        <v>39000</v>
      </c>
      <c r="F211" s="506">
        <f t="shared" si="205"/>
        <v>39000</v>
      </c>
      <c r="G211" s="506">
        <f t="shared" si="205"/>
        <v>0</v>
      </c>
      <c r="H211" s="506">
        <f t="shared" si="205"/>
        <v>0</v>
      </c>
      <c r="I211" s="506">
        <f t="shared" si="205"/>
        <v>0</v>
      </c>
      <c r="J211" s="506">
        <f t="shared" si="205"/>
        <v>0</v>
      </c>
      <c r="K211" s="506">
        <f t="shared" si="205"/>
        <v>0</v>
      </c>
      <c r="L211" s="506">
        <f t="shared" si="205"/>
        <v>0</v>
      </c>
      <c r="M211" s="506">
        <f t="shared" si="205"/>
        <v>0</v>
      </c>
      <c r="N211" s="506">
        <f t="shared" si="205"/>
        <v>0</v>
      </c>
      <c r="O211" s="506">
        <f t="shared" si="205"/>
        <v>0</v>
      </c>
      <c r="P211" s="506">
        <f t="shared" si="205"/>
        <v>39000</v>
      </c>
      <c r="R211" s="295"/>
    </row>
    <row r="212" spans="1:18" ht="276" thickTop="1" thickBot="1" x14ac:dyDescent="0.25">
      <c r="A212" s="595" t="s">
        <v>358</v>
      </c>
      <c r="B212" s="595" t="s">
        <v>357</v>
      </c>
      <c r="C212" s="595" t="s">
        <v>356</v>
      </c>
      <c r="D212" s="549" t="s">
        <v>687</v>
      </c>
      <c r="E212" s="462">
        <f>F212</f>
        <v>39000</v>
      </c>
      <c r="F212" s="463">
        <v>39000</v>
      </c>
      <c r="G212" s="460"/>
      <c r="H212" s="460"/>
      <c r="I212" s="460"/>
      <c r="J212" s="546">
        <f t="shared" si="196"/>
        <v>0</v>
      </c>
      <c r="K212" s="460"/>
      <c r="L212" s="460"/>
      <c r="M212" s="460"/>
      <c r="N212" s="460"/>
      <c r="O212" s="551">
        <f t="shared" si="197"/>
        <v>0</v>
      </c>
      <c r="P212" s="546">
        <f t="shared" si="199"/>
        <v>39000</v>
      </c>
      <c r="R212" s="300"/>
    </row>
    <row r="213" spans="1:18" ht="47.25" thickTop="1" thickBot="1" x14ac:dyDescent="0.25">
      <c r="A213" s="150" t="s">
        <v>837</v>
      </c>
      <c r="B213" s="482" t="s">
        <v>798</v>
      </c>
      <c r="C213" s="482"/>
      <c r="D213" s="482" t="s">
        <v>799</v>
      </c>
      <c r="E213" s="462">
        <f>E217+E214</f>
        <v>0</v>
      </c>
      <c r="F213" s="462">
        <f t="shared" ref="F213:P213" si="206">F217+F214</f>
        <v>0</v>
      </c>
      <c r="G213" s="462">
        <f t="shared" si="206"/>
        <v>0</v>
      </c>
      <c r="H213" s="462">
        <f t="shared" si="206"/>
        <v>0</v>
      </c>
      <c r="I213" s="462">
        <f t="shared" si="206"/>
        <v>0</v>
      </c>
      <c r="J213" s="462">
        <f t="shared" si="206"/>
        <v>300000</v>
      </c>
      <c r="K213" s="462">
        <f t="shared" si="206"/>
        <v>300000</v>
      </c>
      <c r="L213" s="462">
        <f t="shared" si="206"/>
        <v>0</v>
      </c>
      <c r="M213" s="462">
        <f t="shared" si="206"/>
        <v>0</v>
      </c>
      <c r="N213" s="462">
        <f t="shared" si="206"/>
        <v>0</v>
      </c>
      <c r="O213" s="462">
        <f t="shared" si="206"/>
        <v>300000</v>
      </c>
      <c r="P213" s="462">
        <f t="shared" si="206"/>
        <v>300000</v>
      </c>
      <c r="R213" s="300"/>
    </row>
    <row r="214" spans="1:18" ht="91.5" hidden="1" thickTop="1" thickBot="1" x14ac:dyDescent="0.25">
      <c r="A214" s="483" t="s">
        <v>1225</v>
      </c>
      <c r="B214" s="483" t="s">
        <v>854</v>
      </c>
      <c r="C214" s="483"/>
      <c r="D214" s="483" t="s">
        <v>855</v>
      </c>
      <c r="E214" s="484">
        <f>E215</f>
        <v>0</v>
      </c>
      <c r="F214" s="484">
        <f t="shared" ref="F214:P215" si="207">F215</f>
        <v>0</v>
      </c>
      <c r="G214" s="484">
        <f t="shared" si="207"/>
        <v>0</v>
      </c>
      <c r="H214" s="484">
        <f t="shared" si="207"/>
        <v>0</v>
      </c>
      <c r="I214" s="484">
        <f t="shared" si="207"/>
        <v>0</v>
      </c>
      <c r="J214" s="484">
        <f t="shared" si="207"/>
        <v>0</v>
      </c>
      <c r="K214" s="484">
        <f t="shared" si="207"/>
        <v>0</v>
      </c>
      <c r="L214" s="484">
        <f t="shared" si="207"/>
        <v>0</v>
      </c>
      <c r="M214" s="484">
        <f t="shared" si="207"/>
        <v>0</v>
      </c>
      <c r="N214" s="484">
        <f t="shared" si="207"/>
        <v>0</v>
      </c>
      <c r="O214" s="484">
        <f t="shared" si="207"/>
        <v>0</v>
      </c>
      <c r="P214" s="484">
        <f t="shared" si="207"/>
        <v>0</v>
      </c>
      <c r="R214" s="300"/>
    </row>
    <row r="215" spans="1:18" ht="145.5" hidden="1" thickTop="1" thickBot="1" x14ac:dyDescent="0.25">
      <c r="A215" s="505" t="s">
        <v>1226</v>
      </c>
      <c r="B215" s="505" t="s">
        <v>873</v>
      </c>
      <c r="C215" s="505"/>
      <c r="D215" s="505" t="s">
        <v>1216</v>
      </c>
      <c r="E215" s="488">
        <f>E216</f>
        <v>0</v>
      </c>
      <c r="F215" s="488">
        <f t="shared" si="207"/>
        <v>0</v>
      </c>
      <c r="G215" s="488">
        <f t="shared" si="207"/>
        <v>0</v>
      </c>
      <c r="H215" s="488">
        <f t="shared" si="207"/>
        <v>0</v>
      </c>
      <c r="I215" s="488">
        <f t="shared" si="207"/>
        <v>0</v>
      </c>
      <c r="J215" s="488">
        <f t="shared" si="207"/>
        <v>0</v>
      </c>
      <c r="K215" s="488">
        <f t="shared" si="207"/>
        <v>0</v>
      </c>
      <c r="L215" s="488">
        <f t="shared" si="207"/>
        <v>0</v>
      </c>
      <c r="M215" s="488">
        <f t="shared" si="207"/>
        <v>0</v>
      </c>
      <c r="N215" s="488">
        <f t="shared" si="207"/>
        <v>0</v>
      </c>
      <c r="O215" s="488">
        <f t="shared" si="207"/>
        <v>0</v>
      </c>
      <c r="P215" s="488">
        <f t="shared" si="207"/>
        <v>0</v>
      </c>
      <c r="R215" s="300"/>
    </row>
    <row r="216" spans="1:18" ht="145.5" hidden="1" thickTop="1" thickBot="1" x14ac:dyDescent="0.25">
      <c r="A216" s="549" t="s">
        <v>1227</v>
      </c>
      <c r="B216" s="549" t="s">
        <v>327</v>
      </c>
      <c r="C216" s="549" t="s">
        <v>318</v>
      </c>
      <c r="D216" s="549" t="s">
        <v>673</v>
      </c>
      <c r="E216" s="546">
        <f t="shared" ref="E216" si="208">F216</f>
        <v>0</v>
      </c>
      <c r="F216" s="460"/>
      <c r="G216" s="460"/>
      <c r="H216" s="460"/>
      <c r="I216" s="460"/>
      <c r="J216" s="546">
        <f t="shared" ref="J216" si="209">L216+O216</f>
        <v>0</v>
      </c>
      <c r="K216" s="460">
        <v>0</v>
      </c>
      <c r="L216" s="460"/>
      <c r="M216" s="460"/>
      <c r="N216" s="460"/>
      <c r="O216" s="551">
        <f t="shared" ref="O216" si="210">K216</f>
        <v>0</v>
      </c>
      <c r="P216" s="546">
        <f>E216+J216</f>
        <v>0</v>
      </c>
      <c r="R216" s="300"/>
    </row>
    <row r="217" spans="1:18" ht="136.5" thickTop="1" thickBot="1" x14ac:dyDescent="0.25">
      <c r="A217" s="483" t="s">
        <v>838</v>
      </c>
      <c r="B217" s="483" t="s">
        <v>740</v>
      </c>
      <c r="C217" s="483"/>
      <c r="D217" s="483" t="s">
        <v>738</v>
      </c>
      <c r="E217" s="540">
        <f>E218</f>
        <v>0</v>
      </c>
      <c r="F217" s="540">
        <f t="shared" ref="F217:P217" si="211">F218</f>
        <v>0</v>
      </c>
      <c r="G217" s="540">
        <f t="shared" si="211"/>
        <v>0</v>
      </c>
      <c r="H217" s="540">
        <f t="shared" si="211"/>
        <v>0</v>
      </c>
      <c r="I217" s="540">
        <f t="shared" si="211"/>
        <v>0</v>
      </c>
      <c r="J217" s="540">
        <f t="shared" si="211"/>
        <v>300000</v>
      </c>
      <c r="K217" s="540">
        <f t="shared" si="211"/>
        <v>300000</v>
      </c>
      <c r="L217" s="540">
        <f t="shared" si="211"/>
        <v>0</v>
      </c>
      <c r="M217" s="540">
        <f t="shared" si="211"/>
        <v>0</v>
      </c>
      <c r="N217" s="540">
        <f t="shared" si="211"/>
        <v>0</v>
      </c>
      <c r="O217" s="540">
        <f t="shared" si="211"/>
        <v>300000</v>
      </c>
      <c r="P217" s="540">
        <f t="shared" si="211"/>
        <v>300000</v>
      </c>
      <c r="R217" s="300"/>
    </row>
    <row r="218" spans="1:18" ht="93" thickTop="1" thickBot="1" x14ac:dyDescent="0.25">
      <c r="A218" s="549" t="s">
        <v>648</v>
      </c>
      <c r="B218" s="549" t="s">
        <v>210</v>
      </c>
      <c r="C218" s="549" t="s">
        <v>179</v>
      </c>
      <c r="D218" s="549" t="s">
        <v>36</v>
      </c>
      <c r="E218" s="546">
        <f t="shared" ref="E218" si="212">F218</f>
        <v>0</v>
      </c>
      <c r="F218" s="460"/>
      <c r="G218" s="460"/>
      <c r="H218" s="460"/>
      <c r="I218" s="460"/>
      <c r="J218" s="546">
        <f t="shared" si="196"/>
        <v>300000</v>
      </c>
      <c r="K218" s="460">
        <f>(300000)</f>
        <v>300000</v>
      </c>
      <c r="L218" s="460"/>
      <c r="M218" s="460"/>
      <c r="N218" s="460"/>
      <c r="O218" s="551">
        <f t="shared" si="197"/>
        <v>300000</v>
      </c>
      <c r="P218" s="546">
        <f t="shared" si="199"/>
        <v>300000</v>
      </c>
      <c r="R218" s="295"/>
    </row>
    <row r="219" spans="1:18" ht="47.25" hidden="1" thickTop="1" thickBot="1" x14ac:dyDescent="0.25">
      <c r="A219" s="252" t="s">
        <v>1235</v>
      </c>
      <c r="B219" s="252" t="s">
        <v>751</v>
      </c>
      <c r="C219" s="252"/>
      <c r="D219" s="252" t="s">
        <v>752</v>
      </c>
      <c r="E219" s="258">
        <f>E220</f>
        <v>0</v>
      </c>
      <c r="F219" s="258">
        <f t="shared" ref="F219:P220" si="213">F220</f>
        <v>0</v>
      </c>
      <c r="G219" s="258">
        <f t="shared" si="213"/>
        <v>0</v>
      </c>
      <c r="H219" s="258">
        <f t="shared" si="213"/>
        <v>0</v>
      </c>
      <c r="I219" s="258">
        <f t="shared" si="213"/>
        <v>0</v>
      </c>
      <c r="J219" s="258">
        <f t="shared" si="213"/>
        <v>0</v>
      </c>
      <c r="K219" s="258">
        <f t="shared" si="213"/>
        <v>0</v>
      </c>
      <c r="L219" s="258">
        <f t="shared" si="213"/>
        <v>0</v>
      </c>
      <c r="M219" s="258">
        <f t="shared" si="213"/>
        <v>0</v>
      </c>
      <c r="N219" s="258">
        <f t="shared" si="213"/>
        <v>0</v>
      </c>
      <c r="O219" s="258">
        <f t="shared" si="213"/>
        <v>0</v>
      </c>
      <c r="P219" s="258">
        <f t="shared" si="213"/>
        <v>0</v>
      </c>
      <c r="R219" s="295"/>
    </row>
    <row r="220" spans="1:18" ht="271.5" hidden="1" thickTop="1" thickBot="1" x14ac:dyDescent="0.25">
      <c r="A220" s="255" t="s">
        <v>1236</v>
      </c>
      <c r="B220" s="255" t="s">
        <v>754</v>
      </c>
      <c r="C220" s="255"/>
      <c r="D220" s="255" t="s">
        <v>755</v>
      </c>
      <c r="E220" s="273">
        <f>E221</f>
        <v>0</v>
      </c>
      <c r="F220" s="273">
        <f t="shared" si="213"/>
        <v>0</v>
      </c>
      <c r="G220" s="273">
        <f t="shared" si="213"/>
        <v>0</v>
      </c>
      <c r="H220" s="273">
        <f t="shared" si="213"/>
        <v>0</v>
      </c>
      <c r="I220" s="273">
        <f t="shared" si="213"/>
        <v>0</v>
      </c>
      <c r="J220" s="273">
        <f t="shared" si="213"/>
        <v>0</v>
      </c>
      <c r="K220" s="273">
        <f t="shared" si="213"/>
        <v>0</v>
      </c>
      <c r="L220" s="273">
        <f t="shared" si="213"/>
        <v>0</v>
      </c>
      <c r="M220" s="273">
        <f t="shared" si="213"/>
        <v>0</v>
      </c>
      <c r="N220" s="273">
        <f t="shared" si="213"/>
        <v>0</v>
      </c>
      <c r="O220" s="273">
        <f t="shared" si="213"/>
        <v>0</v>
      </c>
      <c r="P220" s="273">
        <f t="shared" si="213"/>
        <v>0</v>
      </c>
      <c r="R220" s="295"/>
    </row>
    <row r="221" spans="1:18" ht="93" hidden="1" thickTop="1" thickBot="1" x14ac:dyDescent="0.25">
      <c r="A221" s="261" t="s">
        <v>1237</v>
      </c>
      <c r="B221" s="261" t="s">
        <v>380</v>
      </c>
      <c r="C221" s="261" t="s">
        <v>45</v>
      </c>
      <c r="D221" s="261" t="s">
        <v>381</v>
      </c>
      <c r="E221" s="258">
        <f t="shared" ref="E221" si="214">F221</f>
        <v>0</v>
      </c>
      <c r="F221" s="281">
        <v>0</v>
      </c>
      <c r="G221" s="281"/>
      <c r="H221" s="281"/>
      <c r="I221" s="281"/>
      <c r="J221" s="258">
        <f>L221+O221</f>
        <v>0</v>
      </c>
      <c r="K221" s="281">
        <v>0</v>
      </c>
      <c r="L221" s="281"/>
      <c r="M221" s="281"/>
      <c r="N221" s="281"/>
      <c r="O221" s="264">
        <f>K221</f>
        <v>0</v>
      </c>
      <c r="P221" s="258">
        <f>E221+J221</f>
        <v>0</v>
      </c>
      <c r="R221" s="295"/>
    </row>
    <row r="222" spans="1:18" ht="181.5" thickTop="1" thickBot="1" x14ac:dyDescent="0.25">
      <c r="A222" s="450" t="s">
        <v>167</v>
      </c>
      <c r="B222" s="450"/>
      <c r="C222" s="450"/>
      <c r="D222" s="451" t="s">
        <v>593</v>
      </c>
      <c r="E222" s="452">
        <f>E223</f>
        <v>28135308</v>
      </c>
      <c r="F222" s="453">
        <f t="shared" ref="F222:G222" si="215">F223</f>
        <v>28135308</v>
      </c>
      <c r="G222" s="453">
        <f t="shared" si="215"/>
        <v>6530800</v>
      </c>
      <c r="H222" s="453">
        <f>H223</f>
        <v>165444</v>
      </c>
      <c r="I222" s="453">
        <f t="shared" ref="I222" si="216">I223</f>
        <v>0</v>
      </c>
      <c r="J222" s="452">
        <f>J223</f>
        <v>30949326</v>
      </c>
      <c r="K222" s="453">
        <f>K223</f>
        <v>30065326</v>
      </c>
      <c r="L222" s="453">
        <f>L223</f>
        <v>0</v>
      </c>
      <c r="M222" s="453">
        <f t="shared" ref="M222" si="217">M223</f>
        <v>0</v>
      </c>
      <c r="N222" s="453">
        <f>N223</f>
        <v>0</v>
      </c>
      <c r="O222" s="452">
        <f>O223</f>
        <v>30949326</v>
      </c>
      <c r="P222" s="453">
        <f>P223</f>
        <v>59084634</v>
      </c>
      <c r="R222" s="300"/>
    </row>
    <row r="223" spans="1:18" ht="181.5" thickTop="1" thickBot="1" x14ac:dyDescent="0.25">
      <c r="A223" s="454" t="s">
        <v>168</v>
      </c>
      <c r="B223" s="454"/>
      <c r="C223" s="454"/>
      <c r="D223" s="455" t="s">
        <v>594</v>
      </c>
      <c r="E223" s="456">
        <f>E224+E228+E235</f>
        <v>28135308</v>
      </c>
      <c r="F223" s="456">
        <f t="shared" ref="F223:I223" si="218">F224+F228+F235</f>
        <v>28135308</v>
      </c>
      <c r="G223" s="456">
        <f t="shared" si="218"/>
        <v>6530800</v>
      </c>
      <c r="H223" s="456">
        <f t="shared" si="218"/>
        <v>165444</v>
      </c>
      <c r="I223" s="456">
        <f t="shared" si="218"/>
        <v>0</v>
      </c>
      <c r="J223" s="456">
        <f t="shared" ref="J223:J242" si="219">L223+O223</f>
        <v>30949326</v>
      </c>
      <c r="K223" s="456">
        <f t="shared" ref="K223:O223" si="220">K224+K228+K235</f>
        <v>30065326</v>
      </c>
      <c r="L223" s="456">
        <f t="shared" si="220"/>
        <v>0</v>
      </c>
      <c r="M223" s="456">
        <f t="shared" si="220"/>
        <v>0</v>
      </c>
      <c r="N223" s="456">
        <f t="shared" si="220"/>
        <v>0</v>
      </c>
      <c r="O223" s="456">
        <f t="shared" si="220"/>
        <v>30949326</v>
      </c>
      <c r="P223" s="456">
        <f>E223+J223</f>
        <v>59084634</v>
      </c>
      <c r="Q223" s="646" t="b">
        <f>P223=P225+P230+P231+P232+P234+P239+P242+P226+P240+P233+P237+P227</f>
        <v>1</v>
      </c>
      <c r="R223" s="312"/>
    </row>
    <row r="224" spans="1:18" ht="47.25" thickTop="1" thickBot="1" x14ac:dyDescent="0.25">
      <c r="A224" s="150" t="s">
        <v>839</v>
      </c>
      <c r="B224" s="150" t="s">
        <v>733</v>
      </c>
      <c r="C224" s="150"/>
      <c r="D224" s="150" t="s">
        <v>734</v>
      </c>
      <c r="E224" s="459">
        <f>SUM(E225:E227)</f>
        <v>8935308</v>
      </c>
      <c r="F224" s="501">
        <f t="shared" ref="F224:N224" si="221">SUM(F225:F227)</f>
        <v>8935308</v>
      </c>
      <c r="G224" s="501">
        <f t="shared" si="221"/>
        <v>6530800</v>
      </c>
      <c r="H224" s="501">
        <f t="shared" si="221"/>
        <v>165444</v>
      </c>
      <c r="I224" s="501">
        <f t="shared" si="221"/>
        <v>0</v>
      </c>
      <c r="J224" s="501">
        <f t="shared" si="221"/>
        <v>88000</v>
      </c>
      <c r="K224" s="501">
        <f t="shared" si="221"/>
        <v>88000</v>
      </c>
      <c r="L224" s="501">
        <f t="shared" si="221"/>
        <v>0</v>
      </c>
      <c r="M224" s="501">
        <f t="shared" si="221"/>
        <v>0</v>
      </c>
      <c r="N224" s="501">
        <f t="shared" si="221"/>
        <v>0</v>
      </c>
      <c r="O224" s="501">
        <f>SUM(O225:O227)</f>
        <v>88000</v>
      </c>
      <c r="P224" s="501">
        <f>SUM(P225:P227)</f>
        <v>9023308</v>
      </c>
      <c r="Q224" s="646"/>
      <c r="R224" s="312"/>
    </row>
    <row r="225" spans="1:18" ht="230.25" thickTop="1" thickBot="1" x14ac:dyDescent="0.25">
      <c r="A225" s="226" t="s">
        <v>440</v>
      </c>
      <c r="B225" s="226" t="s">
        <v>249</v>
      </c>
      <c r="C225" s="226" t="s">
        <v>247</v>
      </c>
      <c r="D225" s="226" t="s">
        <v>248</v>
      </c>
      <c r="E225" s="462">
        <f>F225</f>
        <v>8900478</v>
      </c>
      <c r="F225" s="463">
        <v>8900478</v>
      </c>
      <c r="G225" s="463">
        <v>6530800</v>
      </c>
      <c r="H225" s="463">
        <f>61273+5208+94487+4476</f>
        <v>165444</v>
      </c>
      <c r="I225" s="463"/>
      <c r="J225" s="459">
        <f t="shared" si="219"/>
        <v>88000</v>
      </c>
      <c r="K225" s="463">
        <v>88000</v>
      </c>
      <c r="L225" s="475"/>
      <c r="M225" s="475"/>
      <c r="N225" s="475"/>
      <c r="O225" s="461">
        <f t="shared" ref="O225:O239" si="222">K225</f>
        <v>88000</v>
      </c>
      <c r="P225" s="459">
        <f t="shared" ref="P225:P232" si="223">+J225+E225</f>
        <v>8988478</v>
      </c>
      <c r="R225" s="312"/>
    </row>
    <row r="226" spans="1:18" ht="184.5" thickTop="1" thickBot="1" x14ac:dyDescent="0.25">
      <c r="A226" s="464" t="s">
        <v>675</v>
      </c>
      <c r="B226" s="464" t="s">
        <v>379</v>
      </c>
      <c r="C226" s="464" t="s">
        <v>668</v>
      </c>
      <c r="D226" s="464" t="s">
        <v>669</v>
      </c>
      <c r="E226" s="465">
        <f t="shared" ref="E226:E227" si="224">F226</f>
        <v>12000</v>
      </c>
      <c r="F226" s="466">
        <v>12000</v>
      </c>
      <c r="G226" s="466"/>
      <c r="H226" s="466"/>
      <c r="I226" s="466"/>
      <c r="J226" s="465">
        <f t="shared" si="219"/>
        <v>0</v>
      </c>
      <c r="K226" s="466"/>
      <c r="L226" s="476"/>
      <c r="M226" s="477"/>
      <c r="N226" s="477"/>
      <c r="O226" s="478">
        <f t="shared" si="222"/>
        <v>0</v>
      </c>
      <c r="P226" s="465">
        <f>+J226+E226</f>
        <v>12000</v>
      </c>
      <c r="R226" s="312"/>
    </row>
    <row r="227" spans="1:18" ht="93" thickTop="1" thickBot="1" x14ac:dyDescent="0.25">
      <c r="A227" s="489" t="s">
        <v>1305</v>
      </c>
      <c r="B227" s="489" t="s">
        <v>45</v>
      </c>
      <c r="C227" s="489" t="s">
        <v>44</v>
      </c>
      <c r="D227" s="489" t="s">
        <v>261</v>
      </c>
      <c r="E227" s="491">
        <f t="shared" si="224"/>
        <v>22830</v>
      </c>
      <c r="F227" s="466">
        <v>22830</v>
      </c>
      <c r="G227" s="466"/>
      <c r="H227" s="466"/>
      <c r="I227" s="466"/>
      <c r="J227" s="491">
        <f t="shared" si="219"/>
        <v>0</v>
      </c>
      <c r="K227" s="466"/>
      <c r="L227" s="476"/>
      <c r="M227" s="477"/>
      <c r="N227" s="477"/>
      <c r="O227" s="478"/>
      <c r="P227" s="491">
        <f>+J227+E227</f>
        <v>22830</v>
      </c>
      <c r="R227" s="312"/>
    </row>
    <row r="228" spans="1:18" ht="91.5" thickTop="1" thickBot="1" x14ac:dyDescent="0.25">
      <c r="A228" s="150" t="s">
        <v>840</v>
      </c>
      <c r="B228" s="482" t="s">
        <v>792</v>
      </c>
      <c r="C228" s="482"/>
      <c r="D228" s="576" t="s">
        <v>793</v>
      </c>
      <c r="E228" s="491">
        <f>SUM(E229:E234)-E229</f>
        <v>18200000</v>
      </c>
      <c r="F228" s="491">
        <f t="shared" ref="F228:P228" si="225">SUM(F229:F234)-F229</f>
        <v>18200000</v>
      </c>
      <c r="G228" s="491">
        <f t="shared" si="225"/>
        <v>0</v>
      </c>
      <c r="H228" s="491">
        <f t="shared" si="225"/>
        <v>0</v>
      </c>
      <c r="I228" s="491">
        <f t="shared" si="225"/>
        <v>0</v>
      </c>
      <c r="J228" s="491">
        <f t="shared" si="225"/>
        <v>26008600</v>
      </c>
      <c r="K228" s="491">
        <f t="shared" si="225"/>
        <v>26008600</v>
      </c>
      <c r="L228" s="491">
        <f t="shared" si="225"/>
        <v>0</v>
      </c>
      <c r="M228" s="491">
        <f t="shared" si="225"/>
        <v>0</v>
      </c>
      <c r="N228" s="491">
        <f t="shared" si="225"/>
        <v>0</v>
      </c>
      <c r="O228" s="491">
        <f t="shared" si="225"/>
        <v>26008600</v>
      </c>
      <c r="P228" s="491">
        <f t="shared" si="225"/>
        <v>44208600</v>
      </c>
      <c r="R228" s="312"/>
    </row>
    <row r="229" spans="1:18" s="275" customFormat="1" ht="184.5" thickTop="1" thickBot="1" x14ac:dyDescent="0.25">
      <c r="A229" s="505" t="s">
        <v>841</v>
      </c>
      <c r="B229" s="486" t="s">
        <v>842</v>
      </c>
      <c r="C229" s="486"/>
      <c r="D229" s="486" t="s">
        <v>843</v>
      </c>
      <c r="E229" s="577">
        <f>SUM(E230:E232)</f>
        <v>18200000</v>
      </c>
      <c r="F229" s="577">
        <f t="shared" ref="F229:P229" si="226">SUM(F230:F232)</f>
        <v>18200000</v>
      </c>
      <c r="G229" s="577">
        <f t="shared" si="226"/>
        <v>0</v>
      </c>
      <c r="H229" s="577">
        <f t="shared" si="226"/>
        <v>0</v>
      </c>
      <c r="I229" s="577">
        <f t="shared" si="226"/>
        <v>0</v>
      </c>
      <c r="J229" s="577">
        <f t="shared" si="226"/>
        <v>26008600</v>
      </c>
      <c r="K229" s="577">
        <f t="shared" si="226"/>
        <v>26008600</v>
      </c>
      <c r="L229" s="577">
        <f t="shared" si="226"/>
        <v>0</v>
      </c>
      <c r="M229" s="577">
        <f t="shared" si="226"/>
        <v>0</v>
      </c>
      <c r="N229" s="577">
        <f t="shared" si="226"/>
        <v>0</v>
      </c>
      <c r="O229" s="577">
        <f t="shared" si="226"/>
        <v>26008600</v>
      </c>
      <c r="P229" s="577">
        <f t="shared" si="226"/>
        <v>44208600</v>
      </c>
      <c r="Q229" s="642"/>
      <c r="R229" s="312"/>
    </row>
    <row r="230" spans="1:18" ht="138.75" thickTop="1" thickBot="1" x14ac:dyDescent="0.25">
      <c r="A230" s="499" t="s">
        <v>293</v>
      </c>
      <c r="B230" s="499" t="s">
        <v>294</v>
      </c>
      <c r="C230" s="499" t="s">
        <v>356</v>
      </c>
      <c r="D230" s="499" t="s">
        <v>295</v>
      </c>
      <c r="E230" s="462">
        <f t="shared" ref="E230:E242" si="227">F230</f>
        <v>1500000</v>
      </c>
      <c r="F230" s="463">
        <v>1500000</v>
      </c>
      <c r="G230" s="463"/>
      <c r="H230" s="463"/>
      <c r="I230" s="463"/>
      <c r="J230" s="501">
        <f t="shared" si="219"/>
        <v>4508600</v>
      </c>
      <c r="K230" s="463">
        <v>4508600</v>
      </c>
      <c r="L230" s="475"/>
      <c r="M230" s="475"/>
      <c r="N230" s="475"/>
      <c r="O230" s="503">
        <f t="shared" si="222"/>
        <v>4508600</v>
      </c>
      <c r="P230" s="501">
        <f t="shared" si="223"/>
        <v>6008600</v>
      </c>
      <c r="R230" s="312"/>
    </row>
    <row r="231" spans="1:18" ht="138.75" thickTop="1" thickBot="1" x14ac:dyDescent="0.25">
      <c r="A231" s="499" t="s">
        <v>315</v>
      </c>
      <c r="B231" s="499" t="s">
        <v>316</v>
      </c>
      <c r="C231" s="499" t="s">
        <v>296</v>
      </c>
      <c r="D231" s="499" t="s">
        <v>317</v>
      </c>
      <c r="E231" s="462">
        <f t="shared" si="227"/>
        <v>0</v>
      </c>
      <c r="F231" s="463"/>
      <c r="G231" s="463"/>
      <c r="H231" s="463"/>
      <c r="I231" s="463"/>
      <c r="J231" s="501">
        <f t="shared" si="219"/>
        <v>3000000</v>
      </c>
      <c r="K231" s="463">
        <v>3000000</v>
      </c>
      <c r="L231" s="475"/>
      <c r="M231" s="475"/>
      <c r="N231" s="475"/>
      <c r="O231" s="503">
        <f t="shared" si="222"/>
        <v>3000000</v>
      </c>
      <c r="P231" s="501">
        <f t="shared" si="223"/>
        <v>3000000</v>
      </c>
      <c r="R231" s="312"/>
    </row>
    <row r="232" spans="1:18" ht="184.5" thickTop="1" thickBot="1" x14ac:dyDescent="0.25">
      <c r="A232" s="499" t="s">
        <v>297</v>
      </c>
      <c r="B232" s="499" t="s">
        <v>298</v>
      </c>
      <c r="C232" s="499" t="s">
        <v>296</v>
      </c>
      <c r="D232" s="499" t="s">
        <v>489</v>
      </c>
      <c r="E232" s="462">
        <f t="shared" si="227"/>
        <v>16700000</v>
      </c>
      <c r="F232" s="463">
        <v>16700000</v>
      </c>
      <c r="G232" s="463"/>
      <c r="H232" s="463"/>
      <c r="I232" s="463"/>
      <c r="J232" s="501">
        <f t="shared" si="219"/>
        <v>18500000</v>
      </c>
      <c r="K232" s="463">
        <v>18500000</v>
      </c>
      <c r="L232" s="475"/>
      <c r="M232" s="475"/>
      <c r="N232" s="475"/>
      <c r="O232" s="503">
        <f t="shared" si="222"/>
        <v>18500000</v>
      </c>
      <c r="P232" s="501">
        <f t="shared" si="223"/>
        <v>35200000</v>
      </c>
      <c r="R232" s="312"/>
    </row>
    <row r="233" spans="1:18" ht="230.25" hidden="1" thickTop="1" thickBot="1" x14ac:dyDescent="0.25">
      <c r="A233" s="261" t="s">
        <v>996</v>
      </c>
      <c r="B233" s="261" t="s">
        <v>311</v>
      </c>
      <c r="C233" s="261" t="s">
        <v>296</v>
      </c>
      <c r="D233" s="261" t="s">
        <v>312</v>
      </c>
      <c r="E233" s="308">
        <f t="shared" ref="E233" si="228">F233</f>
        <v>0</v>
      </c>
      <c r="F233" s="262">
        <v>0</v>
      </c>
      <c r="G233" s="262"/>
      <c r="H233" s="262"/>
      <c r="I233" s="262"/>
      <c r="J233" s="258">
        <f t="shared" ref="J233" si="229">L233+O233</f>
        <v>0</v>
      </c>
      <c r="K233" s="262"/>
      <c r="L233" s="263"/>
      <c r="M233" s="263"/>
      <c r="N233" s="263"/>
      <c r="O233" s="264">
        <f t="shared" ref="O233" si="230">K233</f>
        <v>0</v>
      </c>
      <c r="P233" s="258">
        <f t="shared" ref="P233" si="231">+J233+E233</f>
        <v>0</v>
      </c>
      <c r="R233" s="312"/>
    </row>
    <row r="234" spans="1:18" ht="93" hidden="1" thickTop="1" thickBot="1" x14ac:dyDescent="0.25">
      <c r="A234" s="261" t="s">
        <v>301</v>
      </c>
      <c r="B234" s="261" t="s">
        <v>302</v>
      </c>
      <c r="C234" s="261" t="s">
        <v>296</v>
      </c>
      <c r="D234" s="261" t="s">
        <v>303</v>
      </c>
      <c r="E234" s="308">
        <f t="shared" si="227"/>
        <v>0</v>
      </c>
      <c r="F234" s="262">
        <v>0</v>
      </c>
      <c r="G234" s="262"/>
      <c r="H234" s="262"/>
      <c r="I234" s="262"/>
      <c r="J234" s="258">
        <f t="shared" si="219"/>
        <v>0</v>
      </c>
      <c r="K234" s="281"/>
      <c r="L234" s="262"/>
      <c r="M234" s="262"/>
      <c r="N234" s="262"/>
      <c r="O234" s="264">
        <f t="shared" si="222"/>
        <v>0</v>
      </c>
      <c r="P234" s="258">
        <f t="shared" ref="P234" si="232">E234+J234</f>
        <v>0</v>
      </c>
      <c r="R234" s="300"/>
    </row>
    <row r="235" spans="1:18" ht="47.25" thickTop="1" thickBot="1" x14ac:dyDescent="0.25">
      <c r="A235" s="150" t="s">
        <v>844</v>
      </c>
      <c r="B235" s="150" t="s">
        <v>798</v>
      </c>
      <c r="C235" s="150"/>
      <c r="D235" s="150" t="s">
        <v>845</v>
      </c>
      <c r="E235" s="462">
        <f>E238+E236</f>
        <v>1000000</v>
      </c>
      <c r="F235" s="462">
        <f t="shared" ref="F235:P235" si="233">F238+F236</f>
        <v>1000000</v>
      </c>
      <c r="G235" s="462">
        <f t="shared" si="233"/>
        <v>0</v>
      </c>
      <c r="H235" s="462">
        <f t="shared" si="233"/>
        <v>0</v>
      </c>
      <c r="I235" s="462">
        <f t="shared" si="233"/>
        <v>0</v>
      </c>
      <c r="J235" s="462">
        <f t="shared" si="233"/>
        <v>4852726</v>
      </c>
      <c r="K235" s="462">
        <f t="shared" si="233"/>
        <v>3968726</v>
      </c>
      <c r="L235" s="462">
        <f t="shared" si="233"/>
        <v>0</v>
      </c>
      <c r="M235" s="462">
        <f t="shared" si="233"/>
        <v>0</v>
      </c>
      <c r="N235" s="462">
        <f t="shared" si="233"/>
        <v>0</v>
      </c>
      <c r="O235" s="462">
        <f t="shared" si="233"/>
        <v>4852726</v>
      </c>
      <c r="P235" s="462">
        <f t="shared" si="233"/>
        <v>5852726</v>
      </c>
      <c r="R235" s="300"/>
    </row>
    <row r="236" spans="1:18" ht="91.5" thickTop="1" thickBot="1" x14ac:dyDescent="0.25">
      <c r="A236" s="483" t="s">
        <v>1309</v>
      </c>
      <c r="B236" s="483" t="s">
        <v>854</v>
      </c>
      <c r="C236" s="483"/>
      <c r="D236" s="483" t="s">
        <v>855</v>
      </c>
      <c r="E236" s="540">
        <f>E237</f>
        <v>0</v>
      </c>
      <c r="F236" s="540">
        <f t="shared" ref="F236:P236" si="234">F237</f>
        <v>0</v>
      </c>
      <c r="G236" s="540">
        <f t="shared" si="234"/>
        <v>0</v>
      </c>
      <c r="H236" s="540">
        <f t="shared" si="234"/>
        <v>0</v>
      </c>
      <c r="I236" s="540">
        <f t="shared" si="234"/>
        <v>0</v>
      </c>
      <c r="J236" s="540">
        <f t="shared" si="234"/>
        <v>1968726</v>
      </c>
      <c r="K236" s="540">
        <f t="shared" si="234"/>
        <v>1968726</v>
      </c>
      <c r="L236" s="540">
        <f t="shared" si="234"/>
        <v>0</v>
      </c>
      <c r="M236" s="540">
        <f t="shared" si="234"/>
        <v>0</v>
      </c>
      <c r="N236" s="540">
        <f t="shared" si="234"/>
        <v>0</v>
      </c>
      <c r="O236" s="540">
        <f t="shared" si="234"/>
        <v>1968726</v>
      </c>
      <c r="P236" s="540">
        <f t="shared" si="234"/>
        <v>1968726</v>
      </c>
      <c r="R236" s="300"/>
    </row>
    <row r="237" spans="1:18" ht="129.75" customHeight="1" thickTop="1" thickBot="1" x14ac:dyDescent="0.25">
      <c r="A237" s="499" t="s">
        <v>1310</v>
      </c>
      <c r="B237" s="499" t="s">
        <v>319</v>
      </c>
      <c r="C237" s="499" t="s">
        <v>318</v>
      </c>
      <c r="D237" s="499" t="s">
        <v>670</v>
      </c>
      <c r="E237" s="462">
        <f t="shared" ref="E237" si="235">F237</f>
        <v>0</v>
      </c>
      <c r="F237" s="463"/>
      <c r="G237" s="463"/>
      <c r="H237" s="463"/>
      <c r="I237" s="463"/>
      <c r="J237" s="501">
        <f>L237+O237</f>
        <v>1968726</v>
      </c>
      <c r="K237" s="460">
        <v>1968726</v>
      </c>
      <c r="L237" s="463"/>
      <c r="M237" s="463"/>
      <c r="N237" s="463"/>
      <c r="O237" s="503">
        <f>K237</f>
        <v>1968726</v>
      </c>
      <c r="P237" s="501">
        <f t="shared" ref="P237" si="236">E237+J237</f>
        <v>1968726</v>
      </c>
      <c r="R237" s="300"/>
    </row>
    <row r="238" spans="1:18" ht="136.5" thickTop="1" thickBot="1" x14ac:dyDescent="0.25">
      <c r="A238" s="483" t="s">
        <v>846</v>
      </c>
      <c r="B238" s="483" t="s">
        <v>740</v>
      </c>
      <c r="C238" s="483"/>
      <c r="D238" s="483" t="s">
        <v>738</v>
      </c>
      <c r="E238" s="540">
        <f t="shared" ref="E238:P238" si="237">E239+E241+E240</f>
        <v>1000000</v>
      </c>
      <c r="F238" s="540">
        <f t="shared" si="237"/>
        <v>1000000</v>
      </c>
      <c r="G238" s="540">
        <f t="shared" si="237"/>
        <v>0</v>
      </c>
      <c r="H238" s="540">
        <f t="shared" si="237"/>
        <v>0</v>
      </c>
      <c r="I238" s="540">
        <f t="shared" si="237"/>
        <v>0</v>
      </c>
      <c r="J238" s="540">
        <f t="shared" si="237"/>
        <v>2884000</v>
      </c>
      <c r="K238" s="540">
        <f t="shared" si="237"/>
        <v>2000000</v>
      </c>
      <c r="L238" s="540">
        <f t="shared" si="237"/>
        <v>0</v>
      </c>
      <c r="M238" s="540">
        <f t="shared" si="237"/>
        <v>0</v>
      </c>
      <c r="N238" s="540">
        <f t="shared" si="237"/>
        <v>0</v>
      </c>
      <c r="O238" s="540">
        <f t="shared" si="237"/>
        <v>2884000</v>
      </c>
      <c r="P238" s="540">
        <f t="shared" si="237"/>
        <v>3884000</v>
      </c>
      <c r="R238" s="300"/>
    </row>
    <row r="239" spans="1:18" ht="48" thickTop="1" thickBot="1" x14ac:dyDescent="0.25">
      <c r="A239" s="499" t="s">
        <v>310</v>
      </c>
      <c r="B239" s="499" t="s">
        <v>225</v>
      </c>
      <c r="C239" s="499" t="s">
        <v>226</v>
      </c>
      <c r="D239" s="499" t="s">
        <v>43</v>
      </c>
      <c r="E239" s="462">
        <f t="shared" si="227"/>
        <v>1000000</v>
      </c>
      <c r="F239" s="463">
        <v>1000000</v>
      </c>
      <c r="G239" s="463"/>
      <c r="H239" s="463"/>
      <c r="I239" s="463"/>
      <c r="J239" s="501">
        <f t="shared" si="219"/>
        <v>2000000</v>
      </c>
      <c r="K239" s="460">
        <v>2000000</v>
      </c>
      <c r="L239" s="463"/>
      <c r="M239" s="463"/>
      <c r="N239" s="463"/>
      <c r="O239" s="503">
        <f t="shared" si="222"/>
        <v>2000000</v>
      </c>
      <c r="P239" s="501">
        <f>E239+J239</f>
        <v>3000000</v>
      </c>
      <c r="R239" s="312"/>
    </row>
    <row r="240" spans="1:18" ht="93" hidden="1" thickTop="1" thickBot="1" x14ac:dyDescent="0.25">
      <c r="A240" s="261" t="s">
        <v>983</v>
      </c>
      <c r="B240" s="261" t="s">
        <v>210</v>
      </c>
      <c r="C240" s="261" t="s">
        <v>179</v>
      </c>
      <c r="D240" s="261" t="s">
        <v>36</v>
      </c>
      <c r="E240" s="308">
        <f t="shared" ref="E240" si="238">F240</f>
        <v>0</v>
      </c>
      <c r="F240" s="262"/>
      <c r="G240" s="262"/>
      <c r="H240" s="262"/>
      <c r="I240" s="262"/>
      <c r="J240" s="258">
        <f t="shared" ref="J240" si="239">L240+O240</f>
        <v>0</v>
      </c>
      <c r="K240" s="281"/>
      <c r="L240" s="262"/>
      <c r="M240" s="262"/>
      <c r="N240" s="262"/>
      <c r="O240" s="264">
        <f t="shared" ref="O240" si="240">K240</f>
        <v>0</v>
      </c>
      <c r="P240" s="258">
        <f>E240+J240</f>
        <v>0</v>
      </c>
      <c r="R240" s="312"/>
    </row>
    <row r="241" spans="1:18" ht="48" thickTop="1" thickBot="1" x14ac:dyDescent="0.25">
      <c r="A241" s="505" t="s">
        <v>847</v>
      </c>
      <c r="B241" s="505" t="s">
        <v>743</v>
      </c>
      <c r="C241" s="505"/>
      <c r="D241" s="505" t="s">
        <v>848</v>
      </c>
      <c r="E241" s="506">
        <f>E242</f>
        <v>0</v>
      </c>
      <c r="F241" s="506">
        <f t="shared" ref="F241:P241" si="241">F242</f>
        <v>0</v>
      </c>
      <c r="G241" s="506">
        <f t="shared" si="241"/>
        <v>0</v>
      </c>
      <c r="H241" s="506">
        <f t="shared" si="241"/>
        <v>0</v>
      </c>
      <c r="I241" s="506">
        <f t="shared" si="241"/>
        <v>0</v>
      </c>
      <c r="J241" s="506">
        <f t="shared" si="241"/>
        <v>884000</v>
      </c>
      <c r="K241" s="506">
        <f t="shared" si="241"/>
        <v>0</v>
      </c>
      <c r="L241" s="506">
        <f t="shared" si="241"/>
        <v>0</v>
      </c>
      <c r="M241" s="506">
        <f t="shared" si="241"/>
        <v>0</v>
      </c>
      <c r="N241" s="506">
        <f t="shared" si="241"/>
        <v>0</v>
      </c>
      <c r="O241" s="506">
        <f t="shared" si="241"/>
        <v>884000</v>
      </c>
      <c r="P241" s="506">
        <f t="shared" si="241"/>
        <v>884000</v>
      </c>
      <c r="R241" s="300"/>
    </row>
    <row r="242" spans="1:18" ht="409.6" thickTop="1" thickBot="1" x14ac:dyDescent="0.7">
      <c r="A242" s="799" t="s">
        <v>443</v>
      </c>
      <c r="B242" s="799" t="s">
        <v>354</v>
      </c>
      <c r="C242" s="799" t="s">
        <v>179</v>
      </c>
      <c r="D242" s="500" t="s">
        <v>462</v>
      </c>
      <c r="E242" s="792">
        <f t="shared" si="227"/>
        <v>0</v>
      </c>
      <c r="F242" s="793"/>
      <c r="G242" s="793"/>
      <c r="H242" s="793"/>
      <c r="I242" s="793"/>
      <c r="J242" s="792">
        <f t="shared" si="219"/>
        <v>884000</v>
      </c>
      <c r="K242" s="793"/>
      <c r="L242" s="793">
        <v>0</v>
      </c>
      <c r="M242" s="793"/>
      <c r="N242" s="793"/>
      <c r="O242" s="824">
        <f>K242+884000</f>
        <v>884000</v>
      </c>
      <c r="P242" s="823">
        <f>E242+J242</f>
        <v>884000</v>
      </c>
      <c r="R242" s="300"/>
    </row>
    <row r="243" spans="1:18" ht="184.5" thickTop="1" thickBot="1" x14ac:dyDescent="0.25">
      <c r="A243" s="799"/>
      <c r="B243" s="799"/>
      <c r="C243" s="799"/>
      <c r="D243" s="504" t="s">
        <v>463</v>
      </c>
      <c r="E243" s="792"/>
      <c r="F243" s="793"/>
      <c r="G243" s="793"/>
      <c r="H243" s="793"/>
      <c r="I243" s="793"/>
      <c r="J243" s="792"/>
      <c r="K243" s="793"/>
      <c r="L243" s="793"/>
      <c r="M243" s="793"/>
      <c r="N243" s="793"/>
      <c r="O243" s="824"/>
      <c r="P243" s="823"/>
      <c r="R243" s="300"/>
    </row>
    <row r="244" spans="1:18" ht="181.5" thickTop="1" thickBot="1" x14ac:dyDescent="0.25">
      <c r="A244" s="450" t="s">
        <v>572</v>
      </c>
      <c r="B244" s="450"/>
      <c r="C244" s="450"/>
      <c r="D244" s="451" t="s">
        <v>591</v>
      </c>
      <c r="E244" s="452">
        <f>E245</f>
        <v>340901497</v>
      </c>
      <c r="F244" s="453">
        <f t="shared" ref="F244:G244" si="242">F245</f>
        <v>340901497</v>
      </c>
      <c r="G244" s="453">
        <f t="shared" si="242"/>
        <v>8506105</v>
      </c>
      <c r="H244" s="453">
        <f>H245</f>
        <v>254069</v>
      </c>
      <c r="I244" s="453">
        <f t="shared" ref="I244" si="243">I245</f>
        <v>0</v>
      </c>
      <c r="J244" s="452">
        <f>J245</f>
        <v>132322000</v>
      </c>
      <c r="K244" s="453">
        <f>K245</f>
        <v>131022000</v>
      </c>
      <c r="L244" s="453">
        <f>L245</f>
        <v>0</v>
      </c>
      <c r="M244" s="453">
        <f t="shared" ref="M244" si="244">M245</f>
        <v>0</v>
      </c>
      <c r="N244" s="453">
        <f>N245</f>
        <v>0</v>
      </c>
      <c r="O244" s="452">
        <f>O245</f>
        <v>132322000</v>
      </c>
      <c r="P244" s="453">
        <f>P245</f>
        <v>473223497</v>
      </c>
      <c r="R244" s="300"/>
    </row>
    <row r="245" spans="1:18" ht="181.5" thickTop="1" thickBot="1" x14ac:dyDescent="0.25">
      <c r="A245" s="454" t="s">
        <v>573</v>
      </c>
      <c r="B245" s="454"/>
      <c r="C245" s="454"/>
      <c r="D245" s="455" t="s">
        <v>592</v>
      </c>
      <c r="E245" s="456">
        <f>E246+E250+E257+E269</f>
        <v>340901497</v>
      </c>
      <c r="F245" s="456">
        <f t="shared" ref="F245:I245" si="245">F246+F250+F257+F269</f>
        <v>340901497</v>
      </c>
      <c r="G245" s="456">
        <f t="shared" si="245"/>
        <v>8506105</v>
      </c>
      <c r="H245" s="456">
        <f t="shared" si="245"/>
        <v>254069</v>
      </c>
      <c r="I245" s="456">
        <f t="shared" si="245"/>
        <v>0</v>
      </c>
      <c r="J245" s="456">
        <f t="shared" ref="J245:J267" si="246">L245+O245</f>
        <v>132322000</v>
      </c>
      <c r="K245" s="456">
        <f t="shared" ref="K245:O245" si="247">K246+K250+K257+K269</f>
        <v>131022000</v>
      </c>
      <c r="L245" s="456">
        <f t="shared" si="247"/>
        <v>0</v>
      </c>
      <c r="M245" s="456">
        <f t="shared" si="247"/>
        <v>0</v>
      </c>
      <c r="N245" s="456">
        <f t="shared" si="247"/>
        <v>0</v>
      </c>
      <c r="O245" s="456">
        <f t="shared" si="247"/>
        <v>132322000</v>
      </c>
      <c r="P245" s="456">
        <f>E245+J245</f>
        <v>473223497</v>
      </c>
      <c r="Q245" s="646" t="b">
        <f>P245=P247+P248+P249+P252+P253+P254+P255+P259+P262+P264+P265+P267+P271+P272+P273+P256</f>
        <v>1</v>
      </c>
      <c r="R245" s="294"/>
    </row>
    <row r="246" spans="1:18" ht="47.25" thickTop="1" thickBot="1" x14ac:dyDescent="0.25">
      <c r="A246" s="150" t="s">
        <v>849</v>
      </c>
      <c r="B246" s="150" t="s">
        <v>733</v>
      </c>
      <c r="C246" s="150"/>
      <c r="D246" s="150" t="s">
        <v>734</v>
      </c>
      <c r="E246" s="459">
        <f>SUM(E247:E249)</f>
        <v>9012595</v>
      </c>
      <c r="F246" s="459">
        <f t="shared" ref="F246:P246" si="248">SUM(F247:F249)</f>
        <v>9012595</v>
      </c>
      <c r="G246" s="459">
        <f t="shared" si="248"/>
        <v>6736115</v>
      </c>
      <c r="H246" s="459">
        <f t="shared" si="248"/>
        <v>189764</v>
      </c>
      <c r="I246" s="459">
        <f t="shared" si="248"/>
        <v>0</v>
      </c>
      <c r="J246" s="459">
        <f t="shared" si="248"/>
        <v>22000</v>
      </c>
      <c r="K246" s="459">
        <f t="shared" si="248"/>
        <v>22000</v>
      </c>
      <c r="L246" s="459">
        <f t="shared" si="248"/>
        <v>0</v>
      </c>
      <c r="M246" s="459">
        <f t="shared" si="248"/>
        <v>0</v>
      </c>
      <c r="N246" s="459">
        <f t="shared" si="248"/>
        <v>0</v>
      </c>
      <c r="O246" s="459">
        <f t="shared" si="248"/>
        <v>22000</v>
      </c>
      <c r="P246" s="459">
        <f t="shared" si="248"/>
        <v>9034595</v>
      </c>
      <c r="Q246" s="646"/>
      <c r="R246" s="294"/>
    </row>
    <row r="247" spans="1:18" ht="230.25" thickTop="1" thickBot="1" x14ac:dyDescent="0.25">
      <c r="A247" s="226" t="s">
        <v>574</v>
      </c>
      <c r="B247" s="226" t="s">
        <v>249</v>
      </c>
      <c r="C247" s="226" t="s">
        <v>247</v>
      </c>
      <c r="D247" s="226" t="s">
        <v>248</v>
      </c>
      <c r="E247" s="462">
        <f>F247</f>
        <v>8944984</v>
      </c>
      <c r="F247" s="463">
        <v>8944984</v>
      </c>
      <c r="G247" s="463">
        <v>6736115</v>
      </c>
      <c r="H247" s="463">
        <f>125302+7056+52006+5400</f>
        <v>189764</v>
      </c>
      <c r="I247" s="463"/>
      <c r="J247" s="459">
        <f t="shared" si="246"/>
        <v>22000</v>
      </c>
      <c r="K247" s="463">
        <v>22000</v>
      </c>
      <c r="L247" s="475"/>
      <c r="M247" s="475"/>
      <c r="N247" s="475"/>
      <c r="O247" s="461">
        <f t="shared" ref="O247:O265" si="249">K247</f>
        <v>22000</v>
      </c>
      <c r="P247" s="459">
        <f t="shared" ref="P247:P253" si="250">+J247+E247</f>
        <v>8966984</v>
      </c>
      <c r="R247" s="294"/>
    </row>
    <row r="248" spans="1:18" ht="184.5" thickTop="1" thickBot="1" x14ac:dyDescent="0.25">
      <c r="A248" s="489" t="s">
        <v>677</v>
      </c>
      <c r="B248" s="489" t="s">
        <v>379</v>
      </c>
      <c r="C248" s="489" t="s">
        <v>668</v>
      </c>
      <c r="D248" s="489" t="s">
        <v>669</v>
      </c>
      <c r="E248" s="462">
        <f>F248</f>
        <v>10000</v>
      </c>
      <c r="F248" s="463">
        <v>10000</v>
      </c>
      <c r="G248" s="463"/>
      <c r="H248" s="463"/>
      <c r="I248" s="463"/>
      <c r="J248" s="501">
        <f t="shared" ref="J248" si="251">L248+O248</f>
        <v>0</v>
      </c>
      <c r="K248" s="463"/>
      <c r="L248" s="475"/>
      <c r="M248" s="475"/>
      <c r="N248" s="475"/>
      <c r="O248" s="503">
        <f t="shared" ref="O248" si="252">K248</f>
        <v>0</v>
      </c>
      <c r="P248" s="501">
        <f t="shared" ref="P248" si="253">+J248+E248</f>
        <v>10000</v>
      </c>
      <c r="R248" s="294"/>
    </row>
    <row r="249" spans="1:18" ht="93" thickTop="1" thickBot="1" x14ac:dyDescent="0.25">
      <c r="A249" s="499" t="s">
        <v>575</v>
      </c>
      <c r="B249" s="499" t="s">
        <v>45</v>
      </c>
      <c r="C249" s="499" t="s">
        <v>44</v>
      </c>
      <c r="D249" s="499" t="s">
        <v>261</v>
      </c>
      <c r="E249" s="462">
        <f>F249</f>
        <v>57611</v>
      </c>
      <c r="F249" s="463">
        <v>57611</v>
      </c>
      <c r="G249" s="463"/>
      <c r="H249" s="463"/>
      <c r="I249" s="463"/>
      <c r="J249" s="501">
        <f t="shared" si="246"/>
        <v>0</v>
      </c>
      <c r="K249" s="463"/>
      <c r="L249" s="475"/>
      <c r="M249" s="475"/>
      <c r="N249" s="475"/>
      <c r="O249" s="503">
        <f t="shared" si="249"/>
        <v>0</v>
      </c>
      <c r="P249" s="501">
        <f t="shared" si="250"/>
        <v>57611</v>
      </c>
      <c r="R249" s="300"/>
    </row>
    <row r="250" spans="1:18" ht="91.5" thickTop="1" thickBot="1" x14ac:dyDescent="0.25">
      <c r="A250" s="150" t="s">
        <v>850</v>
      </c>
      <c r="B250" s="482" t="s">
        <v>792</v>
      </c>
      <c r="C250" s="482"/>
      <c r="D250" s="576" t="s">
        <v>793</v>
      </c>
      <c r="E250" s="462">
        <f>SUM(E251:E256)-E251</f>
        <v>287330792</v>
      </c>
      <c r="F250" s="462">
        <f t="shared" ref="F250:P250" si="254">SUM(F251:F256)-F251</f>
        <v>287330792</v>
      </c>
      <c r="G250" s="462">
        <f t="shared" si="254"/>
        <v>0</v>
      </c>
      <c r="H250" s="462">
        <f t="shared" si="254"/>
        <v>10000</v>
      </c>
      <c r="I250" s="462">
        <f t="shared" si="254"/>
        <v>0</v>
      </c>
      <c r="J250" s="462">
        <f t="shared" si="254"/>
        <v>5465000</v>
      </c>
      <c r="K250" s="462">
        <f t="shared" si="254"/>
        <v>5465000</v>
      </c>
      <c r="L250" s="462">
        <f t="shared" si="254"/>
        <v>0</v>
      </c>
      <c r="M250" s="462">
        <f t="shared" si="254"/>
        <v>0</v>
      </c>
      <c r="N250" s="462">
        <f t="shared" si="254"/>
        <v>0</v>
      </c>
      <c r="O250" s="462">
        <f t="shared" si="254"/>
        <v>5465000</v>
      </c>
      <c r="P250" s="462">
        <f t="shared" si="254"/>
        <v>292795792</v>
      </c>
      <c r="R250" s="300"/>
    </row>
    <row r="251" spans="1:18" ht="184.5" thickTop="1" thickBot="1" x14ac:dyDescent="0.25">
      <c r="A251" s="505" t="s">
        <v>851</v>
      </c>
      <c r="B251" s="486" t="s">
        <v>842</v>
      </c>
      <c r="C251" s="486"/>
      <c r="D251" s="486" t="s">
        <v>843</v>
      </c>
      <c r="E251" s="506">
        <f>SUM(E252:E253)</f>
        <v>50650000</v>
      </c>
      <c r="F251" s="506">
        <f>SUM(F252:F253)</f>
        <v>50650000</v>
      </c>
      <c r="G251" s="506">
        <f t="shared" ref="G251:P251" si="255">SUM(G252:G253)</f>
        <v>0</v>
      </c>
      <c r="H251" s="506">
        <f t="shared" si="255"/>
        <v>0</v>
      </c>
      <c r="I251" s="506">
        <f t="shared" si="255"/>
        <v>0</v>
      </c>
      <c r="J251" s="506">
        <f t="shared" si="255"/>
        <v>250000</v>
      </c>
      <c r="K251" s="506">
        <f t="shared" si="255"/>
        <v>250000</v>
      </c>
      <c r="L251" s="506">
        <f t="shared" si="255"/>
        <v>0</v>
      </c>
      <c r="M251" s="506">
        <f t="shared" si="255"/>
        <v>0</v>
      </c>
      <c r="N251" s="506">
        <f t="shared" si="255"/>
        <v>0</v>
      </c>
      <c r="O251" s="506">
        <f t="shared" si="255"/>
        <v>250000</v>
      </c>
      <c r="P251" s="506">
        <f t="shared" si="255"/>
        <v>50900000</v>
      </c>
      <c r="R251" s="300"/>
    </row>
    <row r="252" spans="1:18" ht="138.75" thickTop="1" thickBot="1" x14ac:dyDescent="0.25">
      <c r="A252" s="499" t="s">
        <v>576</v>
      </c>
      <c r="B252" s="499" t="s">
        <v>394</v>
      </c>
      <c r="C252" s="499" t="s">
        <v>296</v>
      </c>
      <c r="D252" s="499" t="s">
        <v>395</v>
      </c>
      <c r="E252" s="462">
        <f t="shared" ref="E252:E265" si="256">F252</f>
        <v>50000000</v>
      </c>
      <c r="F252" s="463">
        <f>35000000+15000000</f>
        <v>50000000</v>
      </c>
      <c r="G252" s="463"/>
      <c r="H252" s="463"/>
      <c r="I252" s="463"/>
      <c r="J252" s="501">
        <f t="shared" si="246"/>
        <v>0</v>
      </c>
      <c r="K252" s="463"/>
      <c r="L252" s="475"/>
      <c r="M252" s="475"/>
      <c r="N252" s="475"/>
      <c r="O252" s="503">
        <f t="shared" si="249"/>
        <v>0</v>
      </c>
      <c r="P252" s="501">
        <f t="shared" si="250"/>
        <v>50000000</v>
      </c>
      <c r="R252" s="300"/>
    </row>
    <row r="253" spans="1:18" ht="138.75" thickTop="1" thickBot="1" x14ac:dyDescent="0.25">
      <c r="A253" s="499" t="s">
        <v>577</v>
      </c>
      <c r="B253" s="499" t="s">
        <v>299</v>
      </c>
      <c r="C253" s="499" t="s">
        <v>296</v>
      </c>
      <c r="D253" s="499" t="s">
        <v>300</v>
      </c>
      <c r="E253" s="462">
        <f t="shared" si="256"/>
        <v>650000</v>
      </c>
      <c r="F253" s="463">
        <v>650000</v>
      </c>
      <c r="G253" s="463"/>
      <c r="H253" s="463"/>
      <c r="I253" s="463"/>
      <c r="J253" s="501">
        <f t="shared" si="246"/>
        <v>250000</v>
      </c>
      <c r="K253" s="463">
        <v>250000</v>
      </c>
      <c r="L253" s="475"/>
      <c r="M253" s="475"/>
      <c r="N253" s="475"/>
      <c r="O253" s="503">
        <f t="shared" si="249"/>
        <v>250000</v>
      </c>
      <c r="P253" s="501">
        <f t="shared" si="250"/>
        <v>900000</v>
      </c>
      <c r="R253" s="300"/>
    </row>
    <row r="254" spans="1:18" ht="230.25" thickTop="1" thickBot="1" x14ac:dyDescent="0.25">
      <c r="A254" s="499" t="s">
        <v>578</v>
      </c>
      <c r="B254" s="499" t="s">
        <v>311</v>
      </c>
      <c r="C254" s="499" t="s">
        <v>296</v>
      </c>
      <c r="D254" s="499" t="s">
        <v>312</v>
      </c>
      <c r="E254" s="462">
        <f t="shared" si="256"/>
        <v>2574000</v>
      </c>
      <c r="F254" s="463">
        <v>2574000</v>
      </c>
      <c r="G254" s="463"/>
      <c r="H254" s="463"/>
      <c r="I254" s="463"/>
      <c r="J254" s="501">
        <f t="shared" si="246"/>
        <v>0</v>
      </c>
      <c r="K254" s="460"/>
      <c r="L254" s="463"/>
      <c r="M254" s="463"/>
      <c r="N254" s="463"/>
      <c r="O254" s="503">
        <f t="shared" si="249"/>
        <v>0</v>
      </c>
      <c r="P254" s="501">
        <f t="shared" ref="P254:P259" si="257">E254+J254</f>
        <v>2574000</v>
      </c>
      <c r="R254" s="300"/>
    </row>
    <row r="255" spans="1:18" ht="93" thickTop="1" thickBot="1" x14ac:dyDescent="0.25">
      <c r="A255" s="499" t="s">
        <v>579</v>
      </c>
      <c r="B255" s="499" t="s">
        <v>302</v>
      </c>
      <c r="C255" s="499" t="s">
        <v>296</v>
      </c>
      <c r="D255" s="499" t="s">
        <v>303</v>
      </c>
      <c r="E255" s="462">
        <f t="shared" si="256"/>
        <v>229382942</v>
      </c>
      <c r="F255" s="463">
        <v>229382942</v>
      </c>
      <c r="G255" s="463"/>
      <c r="H255" s="463">
        <v>10000</v>
      </c>
      <c r="I255" s="463"/>
      <c r="J255" s="501">
        <f t="shared" si="246"/>
        <v>5215000</v>
      </c>
      <c r="K255" s="460">
        <v>5215000</v>
      </c>
      <c r="L255" s="463"/>
      <c r="M255" s="463"/>
      <c r="N255" s="463"/>
      <c r="O255" s="503">
        <f t="shared" si="249"/>
        <v>5215000</v>
      </c>
      <c r="P255" s="501">
        <f t="shared" si="257"/>
        <v>234597942</v>
      </c>
      <c r="R255" s="294"/>
    </row>
    <row r="256" spans="1:18" ht="138.75" thickTop="1" thickBot="1" x14ac:dyDescent="0.25">
      <c r="A256" s="499" t="s">
        <v>1312</v>
      </c>
      <c r="B256" s="499" t="s">
        <v>1313</v>
      </c>
      <c r="C256" s="499" t="s">
        <v>1314</v>
      </c>
      <c r="D256" s="499" t="s">
        <v>1311</v>
      </c>
      <c r="E256" s="462">
        <f t="shared" si="256"/>
        <v>4723850</v>
      </c>
      <c r="F256" s="463">
        <v>4723850</v>
      </c>
      <c r="G256" s="463"/>
      <c r="H256" s="463"/>
      <c r="I256" s="463"/>
      <c r="J256" s="501">
        <f t="shared" si="246"/>
        <v>0</v>
      </c>
      <c r="K256" s="460"/>
      <c r="L256" s="463"/>
      <c r="M256" s="463"/>
      <c r="N256" s="463"/>
      <c r="O256" s="503">
        <f t="shared" si="249"/>
        <v>0</v>
      </c>
      <c r="P256" s="501">
        <f t="shared" si="257"/>
        <v>4723850</v>
      </c>
      <c r="R256" s="294"/>
    </row>
    <row r="257" spans="1:18" ht="47.25" thickTop="1" thickBot="1" x14ac:dyDescent="0.25">
      <c r="A257" s="150" t="s">
        <v>852</v>
      </c>
      <c r="B257" s="482" t="s">
        <v>798</v>
      </c>
      <c r="C257" s="482"/>
      <c r="D257" s="482" t="s">
        <v>799</v>
      </c>
      <c r="E257" s="462">
        <f>E258+E260+E263</f>
        <v>41966000</v>
      </c>
      <c r="F257" s="462">
        <f t="shared" ref="F257:P257" si="258">F258+F260+F263</f>
        <v>41966000</v>
      </c>
      <c r="G257" s="462">
        <f t="shared" si="258"/>
        <v>0</v>
      </c>
      <c r="H257" s="462">
        <f t="shared" si="258"/>
        <v>0</v>
      </c>
      <c r="I257" s="462">
        <f t="shared" si="258"/>
        <v>0</v>
      </c>
      <c r="J257" s="462">
        <f>J258+J260+J263</f>
        <v>126835000</v>
      </c>
      <c r="K257" s="462">
        <f t="shared" si="258"/>
        <v>125535000</v>
      </c>
      <c r="L257" s="462">
        <f t="shared" si="258"/>
        <v>0</v>
      </c>
      <c r="M257" s="462">
        <f t="shared" si="258"/>
        <v>0</v>
      </c>
      <c r="N257" s="462">
        <f t="shared" si="258"/>
        <v>0</v>
      </c>
      <c r="O257" s="462">
        <f t="shared" si="258"/>
        <v>126835000</v>
      </c>
      <c r="P257" s="462">
        <f t="shared" si="258"/>
        <v>168801000</v>
      </c>
      <c r="R257" s="300"/>
    </row>
    <row r="258" spans="1:18" ht="91.5" thickTop="1" thickBot="1" x14ac:dyDescent="0.25">
      <c r="A258" s="483" t="s">
        <v>853</v>
      </c>
      <c r="B258" s="483" t="s">
        <v>854</v>
      </c>
      <c r="C258" s="483"/>
      <c r="D258" s="483" t="s">
        <v>855</v>
      </c>
      <c r="E258" s="540">
        <f>E259</f>
        <v>0</v>
      </c>
      <c r="F258" s="540">
        <f t="shared" ref="F258:P258" si="259">F259</f>
        <v>0</v>
      </c>
      <c r="G258" s="540">
        <f t="shared" si="259"/>
        <v>0</v>
      </c>
      <c r="H258" s="540">
        <f t="shared" si="259"/>
        <v>0</v>
      </c>
      <c r="I258" s="540">
        <f t="shared" si="259"/>
        <v>0</v>
      </c>
      <c r="J258" s="540">
        <f t="shared" si="259"/>
        <v>6670000</v>
      </c>
      <c r="K258" s="540">
        <f t="shared" si="259"/>
        <v>6670000</v>
      </c>
      <c r="L258" s="540">
        <f t="shared" si="259"/>
        <v>0</v>
      </c>
      <c r="M258" s="540">
        <f t="shared" si="259"/>
        <v>0</v>
      </c>
      <c r="N258" s="540">
        <f t="shared" si="259"/>
        <v>0</v>
      </c>
      <c r="O258" s="540">
        <f t="shared" si="259"/>
        <v>6670000</v>
      </c>
      <c r="P258" s="540">
        <f t="shared" si="259"/>
        <v>6670000</v>
      </c>
      <c r="R258" s="300"/>
    </row>
    <row r="259" spans="1:18" ht="99.75" thickTop="1" thickBot="1" x14ac:dyDescent="0.25">
      <c r="A259" s="499" t="s">
        <v>580</v>
      </c>
      <c r="B259" s="499" t="s">
        <v>319</v>
      </c>
      <c r="C259" s="499" t="s">
        <v>318</v>
      </c>
      <c r="D259" s="499" t="s">
        <v>670</v>
      </c>
      <c r="E259" s="462">
        <f t="shared" si="256"/>
        <v>0</v>
      </c>
      <c r="F259" s="463"/>
      <c r="G259" s="463"/>
      <c r="H259" s="463"/>
      <c r="I259" s="463"/>
      <c r="J259" s="501">
        <f>L259+O259</f>
        <v>6670000</v>
      </c>
      <c r="K259" s="460">
        <v>6670000</v>
      </c>
      <c r="L259" s="463"/>
      <c r="M259" s="463"/>
      <c r="N259" s="463"/>
      <c r="O259" s="503">
        <f>K259</f>
        <v>6670000</v>
      </c>
      <c r="P259" s="501">
        <f t="shared" si="257"/>
        <v>6670000</v>
      </c>
      <c r="R259" s="294"/>
    </row>
    <row r="260" spans="1:18" ht="136.5" thickTop="1" thickBot="1" x14ac:dyDescent="0.25">
      <c r="A260" s="483" t="s">
        <v>856</v>
      </c>
      <c r="B260" s="483" t="s">
        <v>857</v>
      </c>
      <c r="C260" s="483"/>
      <c r="D260" s="483" t="s">
        <v>858</v>
      </c>
      <c r="E260" s="540">
        <f t="shared" ref="E260:P261" si="260">E261</f>
        <v>41966000</v>
      </c>
      <c r="F260" s="540">
        <f t="shared" si="260"/>
        <v>41966000</v>
      </c>
      <c r="G260" s="540">
        <f t="shared" si="260"/>
        <v>0</v>
      </c>
      <c r="H260" s="540">
        <f t="shared" si="260"/>
        <v>0</v>
      </c>
      <c r="I260" s="540">
        <f t="shared" si="260"/>
        <v>0</v>
      </c>
      <c r="J260" s="540">
        <f t="shared" si="260"/>
        <v>95000000</v>
      </c>
      <c r="K260" s="540">
        <f t="shared" si="260"/>
        <v>95000000</v>
      </c>
      <c r="L260" s="540">
        <f t="shared" si="260"/>
        <v>0</v>
      </c>
      <c r="M260" s="540">
        <f t="shared" si="260"/>
        <v>0</v>
      </c>
      <c r="N260" s="540">
        <f t="shared" si="260"/>
        <v>0</v>
      </c>
      <c r="O260" s="540">
        <f t="shared" si="260"/>
        <v>95000000</v>
      </c>
      <c r="P260" s="540">
        <f t="shared" si="260"/>
        <v>136966000</v>
      </c>
      <c r="R260" s="300"/>
    </row>
    <row r="261" spans="1:18" ht="138.75" thickTop="1" thickBot="1" x14ac:dyDescent="0.25">
      <c r="A261" s="499" t="s">
        <v>1041</v>
      </c>
      <c r="B261" s="505" t="s">
        <v>1042</v>
      </c>
      <c r="C261" s="483"/>
      <c r="D261" s="505" t="s">
        <v>1043</v>
      </c>
      <c r="E261" s="506">
        <f t="shared" si="260"/>
        <v>41966000</v>
      </c>
      <c r="F261" s="506">
        <f t="shared" si="260"/>
        <v>41966000</v>
      </c>
      <c r="G261" s="506">
        <f t="shared" si="260"/>
        <v>0</v>
      </c>
      <c r="H261" s="506">
        <f t="shared" si="260"/>
        <v>0</v>
      </c>
      <c r="I261" s="506">
        <f t="shared" si="260"/>
        <v>0</v>
      </c>
      <c r="J261" s="506">
        <f t="shared" si="260"/>
        <v>95000000</v>
      </c>
      <c r="K261" s="506">
        <f t="shared" si="260"/>
        <v>95000000</v>
      </c>
      <c r="L261" s="506">
        <f t="shared" si="260"/>
        <v>0</v>
      </c>
      <c r="M261" s="506">
        <f t="shared" si="260"/>
        <v>0</v>
      </c>
      <c r="N261" s="506">
        <f t="shared" si="260"/>
        <v>0</v>
      </c>
      <c r="O261" s="506">
        <f t="shared" si="260"/>
        <v>95000000</v>
      </c>
      <c r="P261" s="506">
        <f t="shared" si="260"/>
        <v>136966000</v>
      </c>
      <c r="R261" s="300"/>
    </row>
    <row r="262" spans="1:18" ht="230.25" thickTop="1" thickBot="1" x14ac:dyDescent="0.25">
      <c r="A262" s="499" t="s">
        <v>581</v>
      </c>
      <c r="B262" s="499" t="s">
        <v>307</v>
      </c>
      <c r="C262" s="499" t="s">
        <v>309</v>
      </c>
      <c r="D262" s="499" t="s">
        <v>308</v>
      </c>
      <c r="E262" s="462">
        <f t="shared" si="256"/>
        <v>41966000</v>
      </c>
      <c r="F262" s="463">
        <v>41966000</v>
      </c>
      <c r="G262" s="463"/>
      <c r="H262" s="463"/>
      <c r="I262" s="463"/>
      <c r="J262" s="501">
        <f t="shared" si="246"/>
        <v>95000000</v>
      </c>
      <c r="K262" s="463">
        <f>105000000-10000000</f>
        <v>95000000</v>
      </c>
      <c r="L262" s="475"/>
      <c r="M262" s="475"/>
      <c r="N262" s="475"/>
      <c r="O262" s="503">
        <f>K262</f>
        <v>95000000</v>
      </c>
      <c r="P262" s="501">
        <f>+J262+E262</f>
        <v>136966000</v>
      </c>
      <c r="R262" s="294"/>
    </row>
    <row r="263" spans="1:18" ht="136.5" thickTop="1" thickBot="1" x14ac:dyDescent="0.25">
      <c r="A263" s="483" t="s">
        <v>859</v>
      </c>
      <c r="B263" s="483" t="s">
        <v>740</v>
      </c>
      <c r="C263" s="483"/>
      <c r="D263" s="483" t="s">
        <v>738</v>
      </c>
      <c r="E263" s="540">
        <f>SUM(E264:E268)-E266</f>
        <v>0</v>
      </c>
      <c r="F263" s="540">
        <f t="shared" ref="F263:I263" si="261">SUM(F264:F268)-F266</f>
        <v>0</v>
      </c>
      <c r="G263" s="540">
        <f t="shared" si="261"/>
        <v>0</v>
      </c>
      <c r="H263" s="540">
        <f t="shared" si="261"/>
        <v>0</v>
      </c>
      <c r="I263" s="540">
        <f t="shared" si="261"/>
        <v>0</v>
      </c>
      <c r="J263" s="540">
        <f>SUM(J264:J268)-J266</f>
        <v>25165000</v>
      </c>
      <c r="K263" s="540">
        <f t="shared" ref="K263:P263" si="262">SUM(K264:K268)-K266</f>
        <v>23865000</v>
      </c>
      <c r="L263" s="540">
        <f t="shared" si="262"/>
        <v>0</v>
      </c>
      <c r="M263" s="540">
        <f t="shared" si="262"/>
        <v>0</v>
      </c>
      <c r="N263" s="540">
        <f t="shared" si="262"/>
        <v>0</v>
      </c>
      <c r="O263" s="540">
        <f t="shared" si="262"/>
        <v>25165000</v>
      </c>
      <c r="P263" s="540">
        <f t="shared" si="262"/>
        <v>25165000</v>
      </c>
      <c r="R263" s="294"/>
    </row>
    <row r="264" spans="1:18" ht="48" thickTop="1" thickBot="1" x14ac:dyDescent="0.25">
      <c r="A264" s="499" t="s">
        <v>582</v>
      </c>
      <c r="B264" s="499" t="s">
        <v>225</v>
      </c>
      <c r="C264" s="499" t="s">
        <v>226</v>
      </c>
      <c r="D264" s="499" t="s">
        <v>43</v>
      </c>
      <c r="E264" s="462">
        <f t="shared" si="256"/>
        <v>0</v>
      </c>
      <c r="F264" s="463"/>
      <c r="G264" s="463"/>
      <c r="H264" s="463"/>
      <c r="I264" s="463"/>
      <c r="J264" s="501">
        <f t="shared" si="246"/>
        <v>12560000</v>
      </c>
      <c r="K264" s="460">
        <v>12560000</v>
      </c>
      <c r="L264" s="463"/>
      <c r="M264" s="463"/>
      <c r="N264" s="463"/>
      <c r="O264" s="503">
        <f t="shared" si="249"/>
        <v>12560000</v>
      </c>
      <c r="P264" s="501">
        <f>E264+J264</f>
        <v>12560000</v>
      </c>
      <c r="R264" s="294"/>
    </row>
    <row r="265" spans="1:18" ht="93" thickTop="1" thickBot="1" x14ac:dyDescent="0.25">
      <c r="A265" s="499" t="s">
        <v>583</v>
      </c>
      <c r="B265" s="499" t="s">
        <v>210</v>
      </c>
      <c r="C265" s="499" t="s">
        <v>179</v>
      </c>
      <c r="D265" s="499" t="s">
        <v>36</v>
      </c>
      <c r="E265" s="462">
        <f t="shared" si="256"/>
        <v>0</v>
      </c>
      <c r="F265" s="463"/>
      <c r="G265" s="463"/>
      <c r="H265" s="463"/>
      <c r="I265" s="463"/>
      <c r="J265" s="501">
        <f t="shared" si="246"/>
        <v>11305000</v>
      </c>
      <c r="K265" s="460">
        <v>11305000</v>
      </c>
      <c r="L265" s="463"/>
      <c r="M265" s="463"/>
      <c r="N265" s="463"/>
      <c r="O265" s="503">
        <f t="shared" si="249"/>
        <v>11305000</v>
      </c>
      <c r="P265" s="501">
        <f>E265+J265</f>
        <v>11305000</v>
      </c>
      <c r="R265" s="294"/>
    </row>
    <row r="266" spans="1:18" ht="48" thickTop="1" thickBot="1" x14ac:dyDescent="0.25">
      <c r="A266" s="505" t="s">
        <v>860</v>
      </c>
      <c r="B266" s="505" t="s">
        <v>743</v>
      </c>
      <c r="C266" s="505"/>
      <c r="D266" s="505" t="s">
        <v>848</v>
      </c>
      <c r="E266" s="506">
        <f>E267</f>
        <v>0</v>
      </c>
      <c r="F266" s="506">
        <f t="shared" ref="F266:P266" si="263">F267</f>
        <v>0</v>
      </c>
      <c r="G266" s="506">
        <f t="shared" si="263"/>
        <v>0</v>
      </c>
      <c r="H266" s="506">
        <f t="shared" si="263"/>
        <v>0</v>
      </c>
      <c r="I266" s="506">
        <f t="shared" si="263"/>
        <v>0</v>
      </c>
      <c r="J266" s="506">
        <f t="shared" si="263"/>
        <v>1300000</v>
      </c>
      <c r="K266" s="506">
        <f t="shared" si="263"/>
        <v>0</v>
      </c>
      <c r="L266" s="506">
        <f t="shared" si="263"/>
        <v>0</v>
      </c>
      <c r="M266" s="506">
        <f t="shared" si="263"/>
        <v>0</v>
      </c>
      <c r="N266" s="506">
        <f t="shared" si="263"/>
        <v>0</v>
      </c>
      <c r="O266" s="506">
        <f t="shared" si="263"/>
        <v>1300000</v>
      </c>
      <c r="P266" s="506">
        <f t="shared" si="263"/>
        <v>1300000</v>
      </c>
      <c r="R266" s="300"/>
    </row>
    <row r="267" spans="1:18" ht="409.6" thickTop="1" thickBot="1" x14ac:dyDescent="0.7">
      <c r="A267" s="799" t="s">
        <v>584</v>
      </c>
      <c r="B267" s="799" t="s">
        <v>354</v>
      </c>
      <c r="C267" s="799" t="s">
        <v>179</v>
      </c>
      <c r="D267" s="500" t="s">
        <v>462</v>
      </c>
      <c r="E267" s="792"/>
      <c r="F267" s="793"/>
      <c r="G267" s="793"/>
      <c r="H267" s="793"/>
      <c r="I267" s="793"/>
      <c r="J267" s="792">
        <f t="shared" si="246"/>
        <v>1300000</v>
      </c>
      <c r="K267" s="793"/>
      <c r="L267" s="793">
        <v>0</v>
      </c>
      <c r="M267" s="793"/>
      <c r="N267" s="793"/>
      <c r="O267" s="824">
        <v>1300000</v>
      </c>
      <c r="P267" s="823">
        <f>E267+J267</f>
        <v>1300000</v>
      </c>
      <c r="R267" s="300"/>
    </row>
    <row r="268" spans="1:18" ht="184.5" thickTop="1" thickBot="1" x14ac:dyDescent="0.25">
      <c r="A268" s="799"/>
      <c r="B268" s="799"/>
      <c r="C268" s="799"/>
      <c r="D268" s="504" t="s">
        <v>463</v>
      </c>
      <c r="E268" s="792"/>
      <c r="F268" s="793"/>
      <c r="G268" s="793"/>
      <c r="H268" s="793"/>
      <c r="I268" s="793"/>
      <c r="J268" s="792"/>
      <c r="K268" s="793"/>
      <c r="L268" s="793"/>
      <c r="M268" s="793"/>
      <c r="N268" s="793"/>
      <c r="O268" s="824"/>
      <c r="P268" s="823"/>
      <c r="R268" s="300"/>
    </row>
    <row r="269" spans="1:18" ht="47.25" thickTop="1" thickBot="1" x14ac:dyDescent="0.25">
      <c r="A269" s="150" t="s">
        <v>861</v>
      </c>
      <c r="B269" s="150" t="s">
        <v>745</v>
      </c>
      <c r="C269" s="150"/>
      <c r="D269" s="585" t="s">
        <v>746</v>
      </c>
      <c r="E269" s="501">
        <f>E270</f>
        <v>2592110</v>
      </c>
      <c r="F269" s="501">
        <f t="shared" ref="F269:P269" si="264">F270</f>
        <v>2592110</v>
      </c>
      <c r="G269" s="501">
        <f t="shared" si="264"/>
        <v>1769990</v>
      </c>
      <c r="H269" s="501">
        <f t="shared" si="264"/>
        <v>54305</v>
      </c>
      <c r="I269" s="501">
        <f t="shared" si="264"/>
        <v>0</v>
      </c>
      <c r="J269" s="501">
        <f t="shared" si="264"/>
        <v>0</v>
      </c>
      <c r="K269" s="501">
        <f t="shared" si="264"/>
        <v>0</v>
      </c>
      <c r="L269" s="501">
        <f t="shared" si="264"/>
        <v>0</v>
      </c>
      <c r="M269" s="501">
        <f t="shared" si="264"/>
        <v>0</v>
      </c>
      <c r="N269" s="501">
        <f t="shared" si="264"/>
        <v>0</v>
      </c>
      <c r="O269" s="501">
        <f t="shared" si="264"/>
        <v>0</v>
      </c>
      <c r="P269" s="501">
        <f t="shared" si="264"/>
        <v>2592110</v>
      </c>
      <c r="R269" s="300"/>
    </row>
    <row r="270" spans="1:18" ht="181.5" thickTop="1" thickBot="1" x14ac:dyDescent="0.25">
      <c r="A270" s="483" t="s">
        <v>863</v>
      </c>
      <c r="B270" s="483" t="s">
        <v>864</v>
      </c>
      <c r="C270" s="483"/>
      <c r="D270" s="586" t="s">
        <v>862</v>
      </c>
      <c r="E270" s="484">
        <f>SUM(E271:E273)</f>
        <v>2592110</v>
      </c>
      <c r="F270" s="484">
        <f t="shared" ref="F270:P270" si="265">SUM(F271:F273)</f>
        <v>2592110</v>
      </c>
      <c r="G270" s="484">
        <f t="shared" si="265"/>
        <v>1769990</v>
      </c>
      <c r="H270" s="484">
        <f t="shared" si="265"/>
        <v>54305</v>
      </c>
      <c r="I270" s="484">
        <f t="shared" si="265"/>
        <v>0</v>
      </c>
      <c r="J270" s="484">
        <f t="shared" si="265"/>
        <v>0</v>
      </c>
      <c r="K270" s="484">
        <f t="shared" si="265"/>
        <v>0</v>
      </c>
      <c r="L270" s="484">
        <f t="shared" si="265"/>
        <v>0</v>
      </c>
      <c r="M270" s="484">
        <f t="shared" si="265"/>
        <v>0</v>
      </c>
      <c r="N270" s="484">
        <f t="shared" si="265"/>
        <v>0</v>
      </c>
      <c r="O270" s="484">
        <f t="shared" si="265"/>
        <v>0</v>
      </c>
      <c r="P270" s="484">
        <f t="shared" si="265"/>
        <v>2592110</v>
      </c>
      <c r="R270" s="300"/>
    </row>
    <row r="271" spans="1:18" ht="184.5" thickTop="1" thickBot="1" x14ac:dyDescent="0.25">
      <c r="A271" s="499" t="s">
        <v>585</v>
      </c>
      <c r="B271" s="499" t="s">
        <v>543</v>
      </c>
      <c r="C271" s="499" t="s">
        <v>264</v>
      </c>
      <c r="D271" s="499" t="s">
        <v>544</v>
      </c>
      <c r="E271" s="462">
        <f>F271</f>
        <v>63040</v>
      </c>
      <c r="F271" s="463">
        <v>63040</v>
      </c>
      <c r="G271" s="463"/>
      <c r="H271" s="463"/>
      <c r="I271" s="463"/>
      <c r="J271" s="501">
        <f>L271+O271</f>
        <v>0</v>
      </c>
      <c r="K271" s="460"/>
      <c r="L271" s="463"/>
      <c r="M271" s="463"/>
      <c r="N271" s="463"/>
      <c r="O271" s="503">
        <f>K271</f>
        <v>0</v>
      </c>
      <c r="P271" s="501">
        <f>E271+J271</f>
        <v>63040</v>
      </c>
      <c r="R271" s="300"/>
    </row>
    <row r="272" spans="1:18" ht="93" thickTop="1" thickBot="1" x14ac:dyDescent="0.25">
      <c r="A272" s="499" t="s">
        <v>586</v>
      </c>
      <c r="B272" s="499" t="s">
        <v>263</v>
      </c>
      <c r="C272" s="499" t="s">
        <v>264</v>
      </c>
      <c r="D272" s="499" t="s">
        <v>262</v>
      </c>
      <c r="E272" s="462">
        <f t="shared" ref="E272:E273" si="266">F272</f>
        <v>2529070</v>
      </c>
      <c r="F272" s="463">
        <v>2529070</v>
      </c>
      <c r="G272" s="463">
        <v>1769990</v>
      </c>
      <c r="H272" s="463">
        <f>(2060+40860+11385)</f>
        <v>54305</v>
      </c>
      <c r="I272" s="463"/>
      <c r="J272" s="501">
        <f>L272+O272</f>
        <v>0</v>
      </c>
      <c r="K272" s="460"/>
      <c r="L272" s="463"/>
      <c r="M272" s="463"/>
      <c r="N272" s="463"/>
      <c r="O272" s="503">
        <f>K272</f>
        <v>0</v>
      </c>
      <c r="P272" s="501">
        <f>E272+J272</f>
        <v>2529070</v>
      </c>
      <c r="R272" s="295"/>
    </row>
    <row r="273" spans="1:18" ht="93" hidden="1" thickTop="1" thickBot="1" x14ac:dyDescent="0.25">
      <c r="A273" s="261" t="s">
        <v>587</v>
      </c>
      <c r="B273" s="261" t="s">
        <v>588</v>
      </c>
      <c r="C273" s="261" t="s">
        <v>264</v>
      </c>
      <c r="D273" s="261" t="s">
        <v>589</v>
      </c>
      <c r="E273" s="308">
        <f t="shared" si="266"/>
        <v>0</v>
      </c>
      <c r="F273" s="262">
        <f>(1219000)-1219000</f>
        <v>0</v>
      </c>
      <c r="G273" s="262">
        <f>(354000+540000)-894000</f>
        <v>0</v>
      </c>
      <c r="H273" s="262">
        <f>(6000+3000)-9000</f>
        <v>0</v>
      </c>
      <c r="I273" s="262"/>
      <c r="J273" s="258">
        <f>L273+O273</f>
        <v>0</v>
      </c>
      <c r="K273" s="281"/>
      <c r="L273" s="262"/>
      <c r="M273" s="262"/>
      <c r="N273" s="262"/>
      <c r="O273" s="264">
        <f>K273</f>
        <v>0</v>
      </c>
      <c r="P273" s="258">
        <f>E273+J273</f>
        <v>0</v>
      </c>
      <c r="R273" s="300"/>
    </row>
    <row r="274" spans="1:18" ht="316.5" thickTop="1" thickBot="1" x14ac:dyDescent="0.25">
      <c r="A274" s="450" t="s">
        <v>25</v>
      </c>
      <c r="B274" s="450"/>
      <c r="C274" s="450"/>
      <c r="D274" s="451" t="s">
        <v>391</v>
      </c>
      <c r="E274" s="452">
        <f>E275</f>
        <v>3685330</v>
      </c>
      <c r="F274" s="453">
        <f t="shared" ref="F274:G274" si="267">F275</f>
        <v>3685330</v>
      </c>
      <c r="G274" s="453">
        <f t="shared" si="267"/>
        <v>2707790</v>
      </c>
      <c r="H274" s="453">
        <f>H275</f>
        <v>117376</v>
      </c>
      <c r="I274" s="453">
        <f t="shared" ref="I274" si="268">I275</f>
        <v>0</v>
      </c>
      <c r="J274" s="452">
        <f>J275</f>
        <v>32971688</v>
      </c>
      <c r="K274" s="453">
        <f>K275</f>
        <v>32971688</v>
      </c>
      <c r="L274" s="453">
        <f>L275</f>
        <v>0</v>
      </c>
      <c r="M274" s="453">
        <f t="shared" ref="M274" si="269">M275</f>
        <v>0</v>
      </c>
      <c r="N274" s="453">
        <f>N275</f>
        <v>0</v>
      </c>
      <c r="O274" s="452">
        <f>O275</f>
        <v>32971688</v>
      </c>
      <c r="P274" s="453">
        <f t="shared" ref="P274" si="270">P275</f>
        <v>36657018</v>
      </c>
    </row>
    <row r="275" spans="1:18" ht="181.5" thickTop="1" thickBot="1" x14ac:dyDescent="0.25">
      <c r="A275" s="454" t="s">
        <v>26</v>
      </c>
      <c r="B275" s="454"/>
      <c r="C275" s="454"/>
      <c r="D275" s="455" t="s">
        <v>952</v>
      </c>
      <c r="E275" s="456">
        <f>E276+E280+E283</f>
        <v>3685330</v>
      </c>
      <c r="F275" s="456">
        <f t="shared" ref="F275:I275" si="271">F276+F280+F283</f>
        <v>3685330</v>
      </c>
      <c r="G275" s="456">
        <f t="shared" si="271"/>
        <v>2707790</v>
      </c>
      <c r="H275" s="456">
        <f t="shared" si="271"/>
        <v>117376</v>
      </c>
      <c r="I275" s="456">
        <f t="shared" si="271"/>
        <v>0</v>
      </c>
      <c r="J275" s="456">
        <f>L275+O275</f>
        <v>32971688</v>
      </c>
      <c r="K275" s="456">
        <f t="shared" ref="K275:O275" si="272">K276+K280+K283</f>
        <v>32971688</v>
      </c>
      <c r="L275" s="456">
        <f t="shared" si="272"/>
        <v>0</v>
      </c>
      <c r="M275" s="456">
        <f t="shared" si="272"/>
        <v>0</v>
      </c>
      <c r="N275" s="456">
        <f t="shared" si="272"/>
        <v>0</v>
      </c>
      <c r="O275" s="456">
        <f t="shared" si="272"/>
        <v>32971688</v>
      </c>
      <c r="P275" s="456">
        <f t="shared" ref="P275:P291" si="273">E275+J275</f>
        <v>36657018</v>
      </c>
      <c r="Q275" s="646" t="b">
        <f>P275=P287+P289+P290+P277+P291+P282+P288+P278+P285+P279+P294</f>
        <v>1</v>
      </c>
      <c r="R275" s="295"/>
    </row>
    <row r="276" spans="1:18" ht="47.25" thickTop="1" thickBot="1" x14ac:dyDescent="0.25">
      <c r="A276" s="150" t="s">
        <v>865</v>
      </c>
      <c r="B276" s="150" t="s">
        <v>733</v>
      </c>
      <c r="C276" s="150"/>
      <c r="D276" s="150" t="s">
        <v>734</v>
      </c>
      <c r="E276" s="546">
        <f t="shared" ref="E276:P276" si="274">SUM(E277:E279)</f>
        <v>3685330</v>
      </c>
      <c r="F276" s="546">
        <f t="shared" si="274"/>
        <v>3685330</v>
      </c>
      <c r="G276" s="546">
        <f t="shared" si="274"/>
        <v>2707790</v>
      </c>
      <c r="H276" s="546">
        <f t="shared" si="274"/>
        <v>117376</v>
      </c>
      <c r="I276" s="546">
        <f t="shared" si="274"/>
        <v>0</v>
      </c>
      <c r="J276" s="546">
        <f t="shared" si="274"/>
        <v>0</v>
      </c>
      <c r="K276" s="546">
        <f t="shared" si="274"/>
        <v>0</v>
      </c>
      <c r="L276" s="546">
        <f t="shared" si="274"/>
        <v>0</v>
      </c>
      <c r="M276" s="546">
        <f t="shared" si="274"/>
        <v>0</v>
      </c>
      <c r="N276" s="546">
        <f t="shared" si="274"/>
        <v>0</v>
      </c>
      <c r="O276" s="546">
        <f t="shared" si="274"/>
        <v>0</v>
      </c>
      <c r="P276" s="546">
        <f t="shared" si="274"/>
        <v>3685330</v>
      </c>
      <c r="Q276" s="646"/>
      <c r="R276" s="295"/>
    </row>
    <row r="277" spans="1:18" ht="230.25" thickTop="1" thickBot="1" x14ac:dyDescent="0.25">
      <c r="A277" s="549" t="s">
        <v>436</v>
      </c>
      <c r="B277" s="549" t="s">
        <v>249</v>
      </c>
      <c r="C277" s="549" t="s">
        <v>247</v>
      </c>
      <c r="D277" s="549" t="s">
        <v>248</v>
      </c>
      <c r="E277" s="546">
        <f>F277</f>
        <v>3675330</v>
      </c>
      <c r="F277" s="460">
        <v>3675330</v>
      </c>
      <c r="G277" s="460">
        <v>2707790</v>
      </c>
      <c r="H277" s="460">
        <f>1845+45196+70335</f>
        <v>117376</v>
      </c>
      <c r="I277" s="460"/>
      <c r="J277" s="546">
        <f t="shared" ref="J277:J291" si="275">L277+O277</f>
        <v>0</v>
      </c>
      <c r="K277" s="460"/>
      <c r="L277" s="460"/>
      <c r="M277" s="460"/>
      <c r="N277" s="460"/>
      <c r="O277" s="551">
        <f>K277</f>
        <v>0</v>
      </c>
      <c r="P277" s="546">
        <f t="shared" si="273"/>
        <v>3675330</v>
      </c>
      <c r="Q277" s="646"/>
      <c r="R277" s="300"/>
    </row>
    <row r="278" spans="1:18" ht="184.5" thickTop="1" thickBot="1" x14ac:dyDescent="0.25">
      <c r="A278" s="548" t="s">
        <v>678</v>
      </c>
      <c r="B278" s="548" t="s">
        <v>379</v>
      </c>
      <c r="C278" s="548" t="s">
        <v>668</v>
      </c>
      <c r="D278" s="548" t="s">
        <v>669</v>
      </c>
      <c r="E278" s="462">
        <f>F278</f>
        <v>10000</v>
      </c>
      <c r="F278" s="463">
        <v>10000</v>
      </c>
      <c r="G278" s="463"/>
      <c r="H278" s="463"/>
      <c r="I278" s="463"/>
      <c r="J278" s="546">
        <f t="shared" si="275"/>
        <v>0</v>
      </c>
      <c r="K278" s="463"/>
      <c r="L278" s="475"/>
      <c r="M278" s="475"/>
      <c r="N278" s="475"/>
      <c r="O278" s="551">
        <f t="shared" ref="O278" si="276">K278</f>
        <v>0</v>
      </c>
      <c r="P278" s="546">
        <f t="shared" ref="P278" si="277">+J278+E278</f>
        <v>10000</v>
      </c>
      <c r="Q278" s="646"/>
      <c r="R278" s="300"/>
    </row>
    <row r="279" spans="1:18" ht="93" hidden="1" thickTop="1" thickBot="1" x14ac:dyDescent="0.25">
      <c r="A279" s="549" t="s">
        <v>995</v>
      </c>
      <c r="B279" s="549" t="s">
        <v>45</v>
      </c>
      <c r="C279" s="549" t="s">
        <v>44</v>
      </c>
      <c r="D279" s="549" t="s">
        <v>261</v>
      </c>
      <c r="E279" s="546">
        <f>F279</f>
        <v>0</v>
      </c>
      <c r="F279" s="460">
        <v>0</v>
      </c>
      <c r="G279" s="460"/>
      <c r="H279" s="460"/>
      <c r="I279" s="460"/>
      <c r="J279" s="546">
        <f t="shared" ref="J279" si="278">L279+O279</f>
        <v>0</v>
      </c>
      <c r="K279" s="463"/>
      <c r="L279" s="475"/>
      <c r="M279" s="475"/>
      <c r="N279" s="475"/>
      <c r="O279" s="551">
        <f t="shared" ref="O279" si="279">K279</f>
        <v>0</v>
      </c>
      <c r="P279" s="546">
        <f t="shared" ref="P279" si="280">+J279+E279</f>
        <v>0</v>
      </c>
      <c r="Q279" s="646"/>
      <c r="R279" s="300"/>
    </row>
    <row r="280" spans="1:18" ht="47.25" thickTop="1" thickBot="1" x14ac:dyDescent="0.25">
      <c r="A280" s="150" t="s">
        <v>866</v>
      </c>
      <c r="B280" s="150" t="s">
        <v>821</v>
      </c>
      <c r="C280" s="549"/>
      <c r="D280" s="150" t="s">
        <v>822</v>
      </c>
      <c r="E280" s="462">
        <f>E281</f>
        <v>0</v>
      </c>
      <c r="F280" s="462">
        <f t="shared" ref="F280:P281" si="281">F281</f>
        <v>0</v>
      </c>
      <c r="G280" s="462">
        <f t="shared" si="281"/>
        <v>0</v>
      </c>
      <c r="H280" s="462">
        <f t="shared" si="281"/>
        <v>0</v>
      </c>
      <c r="I280" s="462">
        <f t="shared" si="281"/>
        <v>0</v>
      </c>
      <c r="J280" s="462">
        <f t="shared" si="281"/>
        <v>20000000</v>
      </c>
      <c r="K280" s="462">
        <f t="shared" si="281"/>
        <v>20000000</v>
      </c>
      <c r="L280" s="462">
        <f t="shared" si="281"/>
        <v>0</v>
      </c>
      <c r="M280" s="462">
        <f t="shared" si="281"/>
        <v>0</v>
      </c>
      <c r="N280" s="462">
        <f t="shared" si="281"/>
        <v>0</v>
      </c>
      <c r="O280" s="462">
        <f t="shared" si="281"/>
        <v>20000000</v>
      </c>
      <c r="P280" s="462">
        <f t="shared" si="281"/>
        <v>20000000</v>
      </c>
      <c r="Q280" s="646"/>
      <c r="R280" s="300"/>
    </row>
    <row r="281" spans="1:18" ht="93" thickTop="1" thickBot="1" x14ac:dyDescent="0.25">
      <c r="A281" s="505" t="s">
        <v>867</v>
      </c>
      <c r="B281" s="505" t="s">
        <v>868</v>
      </c>
      <c r="C281" s="505"/>
      <c r="D281" s="505" t="s">
        <v>869</v>
      </c>
      <c r="E281" s="506">
        <f>E282</f>
        <v>0</v>
      </c>
      <c r="F281" s="506">
        <f t="shared" si="281"/>
        <v>0</v>
      </c>
      <c r="G281" s="506">
        <f t="shared" si="281"/>
        <v>0</v>
      </c>
      <c r="H281" s="506">
        <f t="shared" si="281"/>
        <v>0</v>
      </c>
      <c r="I281" s="506">
        <f t="shared" si="281"/>
        <v>0</v>
      </c>
      <c r="J281" s="506">
        <f t="shared" si="281"/>
        <v>20000000</v>
      </c>
      <c r="K281" s="506">
        <f t="shared" si="281"/>
        <v>20000000</v>
      </c>
      <c r="L281" s="506">
        <f t="shared" si="281"/>
        <v>0</v>
      </c>
      <c r="M281" s="506">
        <f t="shared" si="281"/>
        <v>0</v>
      </c>
      <c r="N281" s="506">
        <f t="shared" si="281"/>
        <v>0</v>
      </c>
      <c r="O281" s="506">
        <f t="shared" si="281"/>
        <v>20000000</v>
      </c>
      <c r="P281" s="506">
        <f t="shared" si="281"/>
        <v>20000000</v>
      </c>
      <c r="Q281" s="646"/>
      <c r="R281" s="300"/>
    </row>
    <row r="282" spans="1:18" ht="321.75" thickTop="1" thickBot="1" x14ac:dyDescent="0.25">
      <c r="A282" s="549" t="s">
        <v>452</v>
      </c>
      <c r="B282" s="549" t="s">
        <v>454</v>
      </c>
      <c r="C282" s="549" t="s">
        <v>208</v>
      </c>
      <c r="D282" s="549" t="s">
        <v>453</v>
      </c>
      <c r="E282" s="546">
        <f t="shared" ref="E282:E289" si="282">F282</f>
        <v>0</v>
      </c>
      <c r="F282" s="460"/>
      <c r="G282" s="460"/>
      <c r="H282" s="460"/>
      <c r="I282" s="460"/>
      <c r="J282" s="546">
        <f t="shared" si="275"/>
        <v>20000000</v>
      </c>
      <c r="K282" s="460">
        <v>20000000</v>
      </c>
      <c r="L282" s="460"/>
      <c r="M282" s="460"/>
      <c r="N282" s="460"/>
      <c r="O282" s="551">
        <f t="shared" ref="O282" si="283">K282</f>
        <v>20000000</v>
      </c>
      <c r="P282" s="546">
        <f t="shared" si="273"/>
        <v>20000000</v>
      </c>
      <c r="Q282" s="646"/>
      <c r="R282" s="295"/>
    </row>
    <row r="283" spans="1:18" ht="47.25" thickTop="1" thickBot="1" x14ac:dyDescent="0.25">
      <c r="A283" s="150" t="s">
        <v>870</v>
      </c>
      <c r="B283" s="150" t="s">
        <v>798</v>
      </c>
      <c r="C283" s="549"/>
      <c r="D283" s="150" t="s">
        <v>845</v>
      </c>
      <c r="E283" s="546">
        <f>E284+E292</f>
        <v>0</v>
      </c>
      <c r="F283" s="546">
        <f t="shared" ref="F283:I283" si="284">F284+F292</f>
        <v>0</v>
      </c>
      <c r="G283" s="546">
        <f t="shared" si="284"/>
        <v>0</v>
      </c>
      <c r="H283" s="546">
        <f t="shared" si="284"/>
        <v>0</v>
      </c>
      <c r="I283" s="546">
        <f t="shared" si="284"/>
        <v>0</v>
      </c>
      <c r="J283" s="546">
        <f t="shared" ref="J283" si="285">J284+J292</f>
        <v>12971688</v>
      </c>
      <c r="K283" s="546">
        <f t="shared" ref="K283" si="286">K284+K292</f>
        <v>12971688</v>
      </c>
      <c r="L283" s="546">
        <f t="shared" ref="L283" si="287">L284+L292</f>
        <v>0</v>
      </c>
      <c r="M283" s="546">
        <f t="shared" ref="M283" si="288">M284+M292</f>
        <v>0</v>
      </c>
      <c r="N283" s="546">
        <f t="shared" ref="N283" si="289">N284+N292</f>
        <v>0</v>
      </c>
      <c r="O283" s="546">
        <f t="shared" ref="O283" si="290">O284+O292</f>
        <v>12971688</v>
      </c>
      <c r="P283" s="546">
        <f t="shared" ref="P283" si="291">P284+P292</f>
        <v>12971688</v>
      </c>
      <c r="Q283" s="646"/>
      <c r="R283" s="300"/>
    </row>
    <row r="284" spans="1:18" ht="91.5" thickTop="1" thickBot="1" x14ac:dyDescent="0.25">
      <c r="A284" s="483" t="s">
        <v>871</v>
      </c>
      <c r="B284" s="483" t="s">
        <v>854</v>
      </c>
      <c r="C284" s="483"/>
      <c r="D284" s="483" t="s">
        <v>855</v>
      </c>
      <c r="E284" s="484">
        <f t="shared" ref="E284:P284" si="292">SUM(E285:E291)-E286</f>
        <v>0</v>
      </c>
      <c r="F284" s="484">
        <f t="shared" si="292"/>
        <v>0</v>
      </c>
      <c r="G284" s="484">
        <f t="shared" si="292"/>
        <v>0</v>
      </c>
      <c r="H284" s="484">
        <f t="shared" si="292"/>
        <v>0</v>
      </c>
      <c r="I284" s="484">
        <f t="shared" si="292"/>
        <v>0</v>
      </c>
      <c r="J284" s="484">
        <f t="shared" si="292"/>
        <v>12971688</v>
      </c>
      <c r="K284" s="484">
        <f t="shared" si="292"/>
        <v>12971688</v>
      </c>
      <c r="L284" s="484">
        <f t="shared" si="292"/>
        <v>0</v>
      </c>
      <c r="M284" s="484">
        <f t="shared" si="292"/>
        <v>0</v>
      </c>
      <c r="N284" s="484">
        <f t="shared" si="292"/>
        <v>0</v>
      </c>
      <c r="O284" s="484">
        <f t="shared" si="292"/>
        <v>12971688</v>
      </c>
      <c r="P284" s="484">
        <f t="shared" si="292"/>
        <v>12971688</v>
      </c>
      <c r="Q284" s="646"/>
      <c r="R284" s="300"/>
    </row>
    <row r="285" spans="1:18" ht="99.75" thickTop="1" thickBot="1" x14ac:dyDescent="0.25">
      <c r="A285" s="549" t="s">
        <v>994</v>
      </c>
      <c r="B285" s="549" t="s">
        <v>319</v>
      </c>
      <c r="C285" s="549" t="s">
        <v>318</v>
      </c>
      <c r="D285" s="549" t="s">
        <v>670</v>
      </c>
      <c r="E285" s="546">
        <f t="shared" ref="E285" si="293">F285</f>
        <v>0</v>
      </c>
      <c r="F285" s="460"/>
      <c r="G285" s="460"/>
      <c r="H285" s="460"/>
      <c r="I285" s="460"/>
      <c r="J285" s="546">
        <f t="shared" ref="J285" si="294">L285+O285</f>
        <v>706113</v>
      </c>
      <c r="K285" s="460">
        <v>706113</v>
      </c>
      <c r="L285" s="460"/>
      <c r="M285" s="460"/>
      <c r="N285" s="460"/>
      <c r="O285" s="551">
        <f>K285</f>
        <v>706113</v>
      </c>
      <c r="P285" s="546">
        <f t="shared" ref="P285" si="295">E285+J285</f>
        <v>706113</v>
      </c>
      <c r="Q285" s="646"/>
      <c r="R285" s="295"/>
    </row>
    <row r="286" spans="1:18" ht="146.25" thickTop="1" thickBot="1" x14ac:dyDescent="0.25">
      <c r="A286" s="505" t="s">
        <v>872</v>
      </c>
      <c r="B286" s="505" t="s">
        <v>873</v>
      </c>
      <c r="C286" s="505"/>
      <c r="D286" s="505" t="s">
        <v>874</v>
      </c>
      <c r="E286" s="488">
        <f>SUM(E287:E288)</f>
        <v>0</v>
      </c>
      <c r="F286" s="488">
        <f t="shared" ref="F286:P286" si="296">SUM(F287:F288)</f>
        <v>0</v>
      </c>
      <c r="G286" s="488">
        <f t="shared" si="296"/>
        <v>0</v>
      </c>
      <c r="H286" s="488">
        <f t="shared" si="296"/>
        <v>0</v>
      </c>
      <c r="I286" s="488">
        <f t="shared" si="296"/>
        <v>0</v>
      </c>
      <c r="J286" s="488">
        <f t="shared" si="296"/>
        <v>3192710</v>
      </c>
      <c r="K286" s="488">
        <f t="shared" si="296"/>
        <v>3192710</v>
      </c>
      <c r="L286" s="488">
        <f t="shared" si="296"/>
        <v>0</v>
      </c>
      <c r="M286" s="488">
        <f t="shared" si="296"/>
        <v>0</v>
      </c>
      <c r="N286" s="488">
        <f t="shared" si="296"/>
        <v>0</v>
      </c>
      <c r="O286" s="488">
        <f t="shared" si="296"/>
        <v>3192710</v>
      </c>
      <c r="P286" s="488">
        <f t="shared" si="296"/>
        <v>3192710</v>
      </c>
      <c r="Q286" s="646"/>
      <c r="R286" s="300"/>
    </row>
    <row r="287" spans="1:18" ht="99.75" thickTop="1" thickBot="1" x14ac:dyDescent="0.25">
      <c r="A287" s="549" t="s">
        <v>324</v>
      </c>
      <c r="B287" s="549" t="s">
        <v>325</v>
      </c>
      <c r="C287" s="549" t="s">
        <v>318</v>
      </c>
      <c r="D287" s="549" t="s">
        <v>671</v>
      </c>
      <c r="E287" s="546">
        <f t="shared" si="282"/>
        <v>0</v>
      </c>
      <c r="F287" s="460"/>
      <c r="G287" s="460"/>
      <c r="H287" s="460"/>
      <c r="I287" s="460"/>
      <c r="J287" s="546">
        <f t="shared" si="275"/>
        <v>1944219</v>
      </c>
      <c r="K287" s="460">
        <v>1944219</v>
      </c>
      <c r="L287" s="460"/>
      <c r="M287" s="460"/>
      <c r="N287" s="460"/>
      <c r="O287" s="551">
        <f>K287</f>
        <v>1944219</v>
      </c>
      <c r="P287" s="546">
        <f t="shared" si="273"/>
        <v>1944219</v>
      </c>
      <c r="Q287" s="633"/>
      <c r="R287" s="295"/>
    </row>
    <row r="288" spans="1:18" ht="99.75" thickTop="1" thickBot="1" x14ac:dyDescent="0.25">
      <c r="A288" s="549" t="s">
        <v>541</v>
      </c>
      <c r="B288" s="549" t="s">
        <v>542</v>
      </c>
      <c r="C288" s="549" t="s">
        <v>318</v>
      </c>
      <c r="D288" s="549" t="s">
        <v>672</v>
      </c>
      <c r="E288" s="546">
        <f t="shared" si="282"/>
        <v>0</v>
      </c>
      <c r="F288" s="460"/>
      <c r="G288" s="460"/>
      <c r="H288" s="460"/>
      <c r="I288" s="460"/>
      <c r="J288" s="546">
        <f t="shared" si="275"/>
        <v>1248491</v>
      </c>
      <c r="K288" s="460">
        <v>1248491</v>
      </c>
      <c r="L288" s="460"/>
      <c r="M288" s="460"/>
      <c r="N288" s="460"/>
      <c r="O288" s="551">
        <f>K288</f>
        <v>1248491</v>
      </c>
      <c r="P288" s="546">
        <f t="shared" si="273"/>
        <v>1248491</v>
      </c>
      <c r="Q288" s="633"/>
      <c r="R288" s="295"/>
    </row>
    <row r="289" spans="1:18" ht="145.5" thickTop="1" thickBot="1" x14ac:dyDescent="0.25">
      <c r="A289" s="549" t="s">
        <v>326</v>
      </c>
      <c r="B289" s="549" t="s">
        <v>327</v>
      </c>
      <c r="C289" s="549" t="s">
        <v>318</v>
      </c>
      <c r="D289" s="549" t="s">
        <v>673</v>
      </c>
      <c r="E289" s="546">
        <f t="shared" si="282"/>
        <v>0</v>
      </c>
      <c r="F289" s="460"/>
      <c r="G289" s="460"/>
      <c r="H289" s="460"/>
      <c r="I289" s="460"/>
      <c r="J289" s="546">
        <f t="shared" si="275"/>
        <v>1300000</v>
      </c>
      <c r="K289" s="460">
        <v>1300000</v>
      </c>
      <c r="L289" s="460"/>
      <c r="M289" s="460"/>
      <c r="N289" s="460"/>
      <c r="O289" s="551">
        <f>K289</f>
        <v>1300000</v>
      </c>
      <c r="P289" s="546">
        <f t="shared" si="273"/>
        <v>1300000</v>
      </c>
      <c r="Q289" s="633"/>
    </row>
    <row r="290" spans="1:18" ht="99.75" thickTop="1" thickBot="1" x14ac:dyDescent="0.3">
      <c r="A290" s="549" t="s">
        <v>328</v>
      </c>
      <c r="B290" s="549" t="s">
        <v>329</v>
      </c>
      <c r="C290" s="549" t="s">
        <v>318</v>
      </c>
      <c r="D290" s="549" t="s">
        <v>674</v>
      </c>
      <c r="E290" s="546">
        <f>F290</f>
        <v>0</v>
      </c>
      <c r="F290" s="460"/>
      <c r="G290" s="460"/>
      <c r="H290" s="460"/>
      <c r="I290" s="460"/>
      <c r="J290" s="546">
        <f t="shared" si="275"/>
        <v>7772865</v>
      </c>
      <c r="K290" s="460">
        <f>7272865+500000</f>
        <v>7772865</v>
      </c>
      <c r="L290" s="460"/>
      <c r="M290" s="460"/>
      <c r="N290" s="460"/>
      <c r="O290" s="551">
        <f>K290</f>
        <v>7772865</v>
      </c>
      <c r="P290" s="546">
        <f t="shared" si="273"/>
        <v>7772865</v>
      </c>
      <c r="Q290" s="651"/>
      <c r="R290" s="295"/>
    </row>
    <row r="291" spans="1:18" ht="138.75" hidden="1" thickTop="1" thickBot="1" x14ac:dyDescent="0.25">
      <c r="A291" s="261" t="s">
        <v>458</v>
      </c>
      <c r="B291" s="261" t="s">
        <v>367</v>
      </c>
      <c r="C291" s="261" t="s">
        <v>179</v>
      </c>
      <c r="D291" s="261" t="s">
        <v>275</v>
      </c>
      <c r="E291" s="258">
        <f>F291</f>
        <v>0</v>
      </c>
      <c r="F291" s="281"/>
      <c r="G291" s="281"/>
      <c r="H291" s="281"/>
      <c r="I291" s="281"/>
      <c r="J291" s="258">
        <f t="shared" si="275"/>
        <v>0</v>
      </c>
      <c r="K291" s="281">
        <v>0</v>
      </c>
      <c r="L291" s="281"/>
      <c r="M291" s="281"/>
      <c r="N291" s="281"/>
      <c r="O291" s="264">
        <f>K291</f>
        <v>0</v>
      </c>
      <c r="P291" s="258">
        <f t="shared" si="273"/>
        <v>0</v>
      </c>
      <c r="R291" s="295"/>
    </row>
    <row r="292" spans="1:18" ht="136.5" hidden="1" thickTop="1" thickBot="1" x14ac:dyDescent="0.25">
      <c r="A292" s="255" t="s">
        <v>1084</v>
      </c>
      <c r="B292" s="255" t="s">
        <v>740</v>
      </c>
      <c r="C292" s="255"/>
      <c r="D292" s="255" t="s">
        <v>738</v>
      </c>
      <c r="E292" s="311">
        <f>E293</f>
        <v>0</v>
      </c>
      <c r="F292" s="311">
        <f>F293</f>
        <v>0</v>
      </c>
      <c r="G292" s="311">
        <f>G293</f>
        <v>0</v>
      </c>
      <c r="H292" s="311">
        <f>H293</f>
        <v>0</v>
      </c>
      <c r="I292" s="311">
        <f>I293</f>
        <v>0</v>
      </c>
      <c r="J292" s="311">
        <f t="shared" ref="J292:O292" si="297">J293</f>
        <v>0</v>
      </c>
      <c r="K292" s="311">
        <f t="shared" si="297"/>
        <v>0</v>
      </c>
      <c r="L292" s="311">
        <f t="shared" si="297"/>
        <v>0</v>
      </c>
      <c r="M292" s="311">
        <f t="shared" si="297"/>
        <v>0</v>
      </c>
      <c r="N292" s="311">
        <f t="shared" si="297"/>
        <v>0</v>
      </c>
      <c r="O292" s="311">
        <f t="shared" si="297"/>
        <v>0</v>
      </c>
      <c r="P292" s="311">
        <f>P293</f>
        <v>0</v>
      </c>
      <c r="R292" s="295"/>
    </row>
    <row r="293" spans="1:18" ht="48" hidden="1" thickTop="1" thickBot="1" x14ac:dyDescent="0.25">
      <c r="A293" s="282" t="s">
        <v>1085</v>
      </c>
      <c r="B293" s="282" t="s">
        <v>743</v>
      </c>
      <c r="C293" s="282"/>
      <c r="D293" s="282" t="s">
        <v>848</v>
      </c>
      <c r="E293" s="309">
        <f>E294</f>
        <v>0</v>
      </c>
      <c r="F293" s="309">
        <f t="shared" ref="F293:P293" si="298">F294</f>
        <v>0</v>
      </c>
      <c r="G293" s="309">
        <f t="shared" si="298"/>
        <v>0</v>
      </c>
      <c r="H293" s="309">
        <f t="shared" si="298"/>
        <v>0</v>
      </c>
      <c r="I293" s="309">
        <f t="shared" si="298"/>
        <v>0</v>
      </c>
      <c r="J293" s="309">
        <f t="shared" si="298"/>
        <v>0</v>
      </c>
      <c r="K293" s="309">
        <f t="shared" si="298"/>
        <v>0</v>
      </c>
      <c r="L293" s="309">
        <f t="shared" si="298"/>
        <v>0</v>
      </c>
      <c r="M293" s="309">
        <f t="shared" si="298"/>
        <v>0</v>
      </c>
      <c r="N293" s="309">
        <f t="shared" si="298"/>
        <v>0</v>
      </c>
      <c r="O293" s="309">
        <f t="shared" si="298"/>
        <v>0</v>
      </c>
      <c r="P293" s="309">
        <f t="shared" si="298"/>
        <v>0</v>
      </c>
      <c r="R293" s="295"/>
    </row>
    <row r="294" spans="1:18" ht="409.6" hidden="1" thickTop="1" thickBot="1" x14ac:dyDescent="0.7">
      <c r="A294" s="836" t="s">
        <v>1086</v>
      </c>
      <c r="B294" s="836" t="s">
        <v>354</v>
      </c>
      <c r="C294" s="836" t="s">
        <v>179</v>
      </c>
      <c r="D294" s="306" t="s">
        <v>462</v>
      </c>
      <c r="E294" s="837">
        <f t="shared" ref="E294" si="299">F294</f>
        <v>0</v>
      </c>
      <c r="F294" s="830"/>
      <c r="G294" s="830"/>
      <c r="H294" s="830"/>
      <c r="I294" s="830"/>
      <c r="J294" s="837">
        <f t="shared" ref="J294" si="300">L294+O294</f>
        <v>0</v>
      </c>
      <c r="K294" s="830"/>
      <c r="L294" s="830"/>
      <c r="M294" s="830"/>
      <c r="N294" s="830"/>
      <c r="O294" s="831">
        <f>K294</f>
        <v>0</v>
      </c>
      <c r="P294" s="833">
        <f>E294+J294</f>
        <v>0</v>
      </c>
      <c r="R294" s="295"/>
    </row>
    <row r="295" spans="1:18" ht="184.5" hidden="1" thickTop="1" thickBot="1" x14ac:dyDescent="0.25">
      <c r="A295" s="836"/>
      <c r="B295" s="836"/>
      <c r="C295" s="836"/>
      <c r="D295" s="307" t="s">
        <v>463</v>
      </c>
      <c r="E295" s="837"/>
      <c r="F295" s="830"/>
      <c r="G295" s="830"/>
      <c r="H295" s="830"/>
      <c r="I295" s="830"/>
      <c r="J295" s="837"/>
      <c r="K295" s="830"/>
      <c r="L295" s="830"/>
      <c r="M295" s="830"/>
      <c r="N295" s="830"/>
      <c r="O295" s="831"/>
      <c r="P295" s="833"/>
      <c r="R295" s="295"/>
    </row>
    <row r="296" spans="1:18" ht="181.5" thickTop="1" thickBot="1" x14ac:dyDescent="0.25">
      <c r="A296" s="450" t="s">
        <v>169</v>
      </c>
      <c r="B296" s="450"/>
      <c r="C296" s="450"/>
      <c r="D296" s="451" t="s">
        <v>953</v>
      </c>
      <c r="E296" s="452">
        <f>E297</f>
        <v>8172083</v>
      </c>
      <c r="F296" s="453">
        <f t="shared" ref="F296:G296" si="301">F297</f>
        <v>8172083</v>
      </c>
      <c r="G296" s="453">
        <f t="shared" si="301"/>
        <v>6097950</v>
      </c>
      <c r="H296" s="453">
        <f>H297</f>
        <v>195000</v>
      </c>
      <c r="I296" s="453">
        <f t="shared" ref="I296" si="302">I297</f>
        <v>0</v>
      </c>
      <c r="J296" s="452">
        <f>J297</f>
        <v>1498100</v>
      </c>
      <c r="K296" s="453">
        <f>K297</f>
        <v>1498100</v>
      </c>
      <c r="L296" s="453">
        <f>L297</f>
        <v>0</v>
      </c>
      <c r="M296" s="453">
        <f t="shared" ref="M296" si="303">M297</f>
        <v>0</v>
      </c>
      <c r="N296" s="453">
        <f>N297</f>
        <v>0</v>
      </c>
      <c r="O296" s="452">
        <f>O297</f>
        <v>1498100</v>
      </c>
      <c r="P296" s="453">
        <f t="shared" ref="P296" si="304">P297</f>
        <v>9670183</v>
      </c>
    </row>
    <row r="297" spans="1:18" ht="181.5" thickTop="1" thickBot="1" x14ac:dyDescent="0.25">
      <c r="A297" s="454" t="s">
        <v>170</v>
      </c>
      <c r="B297" s="454"/>
      <c r="C297" s="454"/>
      <c r="D297" s="455" t="s">
        <v>954</v>
      </c>
      <c r="E297" s="456">
        <f>E298+E301</f>
        <v>8172083</v>
      </c>
      <c r="F297" s="456">
        <f>F298+F301</f>
        <v>8172083</v>
      </c>
      <c r="G297" s="456">
        <f>G298+G301</f>
        <v>6097950</v>
      </c>
      <c r="H297" s="456">
        <f>H298+H301</f>
        <v>195000</v>
      </c>
      <c r="I297" s="456">
        <f>I298+I301</f>
        <v>0</v>
      </c>
      <c r="J297" s="456">
        <f>L297+O297</f>
        <v>1498100</v>
      </c>
      <c r="K297" s="456">
        <f>K298+K301</f>
        <v>1498100</v>
      </c>
      <c r="L297" s="456">
        <f>L298+L301</f>
        <v>0</v>
      </c>
      <c r="M297" s="456">
        <f>M298+M301</f>
        <v>0</v>
      </c>
      <c r="N297" s="456">
        <f>N298+N301</f>
        <v>0</v>
      </c>
      <c r="O297" s="456">
        <f>O298+O301</f>
        <v>1498100</v>
      </c>
      <c r="P297" s="456">
        <f>E297+J297</f>
        <v>9670183</v>
      </c>
      <c r="Q297" s="646" t="b">
        <f>P297=P299+P300+P303</f>
        <v>1</v>
      </c>
      <c r="R297" s="295"/>
    </row>
    <row r="298" spans="1:18" ht="47.25" thickTop="1" thickBot="1" x14ac:dyDescent="0.25">
      <c r="A298" s="150" t="s">
        <v>875</v>
      </c>
      <c r="B298" s="150" t="s">
        <v>733</v>
      </c>
      <c r="C298" s="150"/>
      <c r="D298" s="150" t="s">
        <v>734</v>
      </c>
      <c r="E298" s="459">
        <f>SUM(E299:E300)</f>
        <v>8172083</v>
      </c>
      <c r="F298" s="459">
        <f t="shared" ref="F298" si="305">SUM(F299:F300)</f>
        <v>8172083</v>
      </c>
      <c r="G298" s="459">
        <f t="shared" ref="G298" si="306">SUM(G299:G300)</f>
        <v>6097950</v>
      </c>
      <c r="H298" s="459">
        <f t="shared" ref="H298" si="307">SUM(H299:H300)</f>
        <v>195000</v>
      </c>
      <c r="I298" s="459">
        <f t="shared" ref="I298" si="308">SUM(I299:I300)</f>
        <v>0</v>
      </c>
      <c r="J298" s="459">
        <f t="shared" ref="J298" si="309">SUM(J299:J300)</f>
        <v>90000</v>
      </c>
      <c r="K298" s="459">
        <f t="shared" ref="K298" si="310">SUM(K299:K300)</f>
        <v>90000</v>
      </c>
      <c r="L298" s="459">
        <f t="shared" ref="L298" si="311">SUM(L299:L300)</f>
        <v>0</v>
      </c>
      <c r="M298" s="459">
        <f t="shared" ref="M298" si="312">SUM(M299:M300)</f>
        <v>0</v>
      </c>
      <c r="N298" s="459">
        <f t="shared" ref="N298" si="313">SUM(N299:N300)</f>
        <v>0</v>
      </c>
      <c r="O298" s="459">
        <f t="shared" ref="O298" si="314">SUM(O299:O300)</f>
        <v>90000</v>
      </c>
      <c r="P298" s="459">
        <f t="shared" ref="P298" si="315">SUM(P299:P300)</f>
        <v>8262083</v>
      </c>
      <c r="Q298" s="646"/>
      <c r="R298" s="295"/>
    </row>
    <row r="299" spans="1:18" ht="230.25" thickTop="1" thickBot="1" x14ac:dyDescent="0.25">
      <c r="A299" s="226" t="s">
        <v>438</v>
      </c>
      <c r="B299" s="226" t="s">
        <v>249</v>
      </c>
      <c r="C299" s="226" t="s">
        <v>247</v>
      </c>
      <c r="D299" s="226" t="s">
        <v>248</v>
      </c>
      <c r="E299" s="459">
        <f>F299</f>
        <v>8164495</v>
      </c>
      <c r="F299" s="460">
        <v>8164495</v>
      </c>
      <c r="G299" s="460">
        <v>6097950</v>
      </c>
      <c r="H299" s="460">
        <f>151000+3000+41000</f>
        <v>195000</v>
      </c>
      <c r="I299" s="460"/>
      <c r="J299" s="459">
        <f>L299+O299</f>
        <v>90000</v>
      </c>
      <c r="K299" s="460">
        <v>90000</v>
      </c>
      <c r="L299" s="460"/>
      <c r="M299" s="460"/>
      <c r="N299" s="460"/>
      <c r="O299" s="461">
        <f>K299</f>
        <v>90000</v>
      </c>
      <c r="P299" s="459">
        <f>E299+J299</f>
        <v>8254495</v>
      </c>
      <c r="Q299" s="646"/>
      <c r="R299" s="295"/>
    </row>
    <row r="300" spans="1:18" ht="184.5" thickTop="1" thickBot="1" x14ac:dyDescent="0.25">
      <c r="A300" s="226" t="s">
        <v>679</v>
      </c>
      <c r="B300" s="226" t="s">
        <v>379</v>
      </c>
      <c r="C300" s="226" t="s">
        <v>668</v>
      </c>
      <c r="D300" s="226" t="s">
        <v>669</v>
      </c>
      <c r="E300" s="462">
        <f>F300</f>
        <v>7588</v>
      </c>
      <c r="F300" s="463">
        <v>7588</v>
      </c>
      <c r="G300" s="463"/>
      <c r="H300" s="463"/>
      <c r="I300" s="463"/>
      <c r="J300" s="459">
        <f t="shared" ref="J300" si="316">L300+O300</f>
        <v>0</v>
      </c>
      <c r="K300" s="463"/>
      <c r="L300" s="475"/>
      <c r="M300" s="475"/>
      <c r="N300" s="475"/>
      <c r="O300" s="461">
        <f t="shared" ref="O300" si="317">K300</f>
        <v>0</v>
      </c>
      <c r="P300" s="459">
        <f t="shared" ref="P300" si="318">+J300+E300</f>
        <v>7588</v>
      </c>
      <c r="Q300" s="646"/>
      <c r="R300" s="295"/>
    </row>
    <row r="301" spans="1:18" ht="47.25" thickTop="1" thickBot="1" x14ac:dyDescent="0.25">
      <c r="A301" s="150" t="s">
        <v>972</v>
      </c>
      <c r="B301" s="150" t="s">
        <v>798</v>
      </c>
      <c r="C301" s="549"/>
      <c r="D301" s="150" t="s">
        <v>845</v>
      </c>
      <c r="E301" s="546">
        <f>E302</f>
        <v>0</v>
      </c>
      <c r="F301" s="546">
        <f t="shared" ref="F301:P302" si="319">F302</f>
        <v>0</v>
      </c>
      <c r="G301" s="546">
        <f t="shared" si="319"/>
        <v>0</v>
      </c>
      <c r="H301" s="546">
        <f t="shared" si="319"/>
        <v>0</v>
      </c>
      <c r="I301" s="546">
        <f t="shared" si="319"/>
        <v>0</v>
      </c>
      <c r="J301" s="546">
        <f t="shared" si="319"/>
        <v>1408100</v>
      </c>
      <c r="K301" s="546">
        <f t="shared" si="319"/>
        <v>1408100</v>
      </c>
      <c r="L301" s="546">
        <f t="shared" si="319"/>
        <v>0</v>
      </c>
      <c r="M301" s="546">
        <f t="shared" si="319"/>
        <v>0</v>
      </c>
      <c r="N301" s="546">
        <f t="shared" si="319"/>
        <v>0</v>
      </c>
      <c r="O301" s="546">
        <f t="shared" si="319"/>
        <v>1408100</v>
      </c>
      <c r="P301" s="546">
        <f t="shared" si="319"/>
        <v>1408100</v>
      </c>
      <c r="Q301" s="646"/>
      <c r="R301" s="295"/>
    </row>
    <row r="302" spans="1:18" ht="91.5" thickTop="1" thickBot="1" x14ac:dyDescent="0.25">
      <c r="A302" s="483" t="s">
        <v>973</v>
      </c>
      <c r="B302" s="483" t="s">
        <v>854</v>
      </c>
      <c r="C302" s="483"/>
      <c r="D302" s="483" t="s">
        <v>855</v>
      </c>
      <c r="E302" s="484">
        <f>E303</f>
        <v>0</v>
      </c>
      <c r="F302" s="484">
        <f t="shared" si="319"/>
        <v>0</v>
      </c>
      <c r="G302" s="484">
        <f t="shared" si="319"/>
        <v>0</v>
      </c>
      <c r="H302" s="484">
        <f t="shared" si="319"/>
        <v>0</v>
      </c>
      <c r="I302" s="484">
        <f t="shared" si="319"/>
        <v>0</v>
      </c>
      <c r="J302" s="484">
        <f t="shared" si="319"/>
        <v>1408100</v>
      </c>
      <c r="K302" s="484">
        <f t="shared" si="319"/>
        <v>1408100</v>
      </c>
      <c r="L302" s="484">
        <f t="shared" si="319"/>
        <v>0</v>
      </c>
      <c r="M302" s="484">
        <f t="shared" si="319"/>
        <v>0</v>
      </c>
      <c r="N302" s="484">
        <f t="shared" si="319"/>
        <v>0</v>
      </c>
      <c r="O302" s="484">
        <f t="shared" si="319"/>
        <v>1408100</v>
      </c>
      <c r="P302" s="484">
        <f t="shared" si="319"/>
        <v>1408100</v>
      </c>
      <c r="Q302" s="646"/>
      <c r="R302" s="295"/>
    </row>
    <row r="303" spans="1:18" ht="138.75" thickTop="1" thickBot="1" x14ac:dyDescent="0.25">
      <c r="A303" s="549" t="s">
        <v>974</v>
      </c>
      <c r="B303" s="549" t="s">
        <v>975</v>
      </c>
      <c r="C303" s="549" t="s">
        <v>318</v>
      </c>
      <c r="D303" s="549" t="s">
        <v>976</v>
      </c>
      <c r="E303" s="462">
        <f>F303</f>
        <v>0</v>
      </c>
      <c r="F303" s="463"/>
      <c r="G303" s="463"/>
      <c r="H303" s="463"/>
      <c r="I303" s="463"/>
      <c r="J303" s="546">
        <f t="shared" ref="J303" si="320">L303+O303</f>
        <v>1408100</v>
      </c>
      <c r="K303" s="463">
        <v>1408100</v>
      </c>
      <c r="L303" s="475"/>
      <c r="M303" s="475"/>
      <c r="N303" s="475"/>
      <c r="O303" s="551">
        <f t="shared" ref="O303" si="321">K303</f>
        <v>1408100</v>
      </c>
      <c r="P303" s="546">
        <f t="shared" ref="P303" si="322">+J303+E303</f>
        <v>1408100</v>
      </c>
      <c r="Q303" s="646"/>
      <c r="R303" s="295"/>
    </row>
    <row r="304" spans="1:18" ht="136.5" thickTop="1" thickBot="1" x14ac:dyDescent="0.25">
      <c r="A304" s="450" t="s">
        <v>466</v>
      </c>
      <c r="B304" s="450"/>
      <c r="C304" s="450"/>
      <c r="D304" s="451" t="s">
        <v>468</v>
      </c>
      <c r="E304" s="452">
        <f>E305</f>
        <v>121167879</v>
      </c>
      <c r="F304" s="453">
        <f t="shared" ref="F304:G304" si="323">F305</f>
        <v>121167879</v>
      </c>
      <c r="G304" s="453">
        <f t="shared" si="323"/>
        <v>3273700</v>
      </c>
      <c r="H304" s="453">
        <f>H305</f>
        <v>131446</v>
      </c>
      <c r="I304" s="453">
        <f t="shared" ref="I304" si="324">I305</f>
        <v>0</v>
      </c>
      <c r="J304" s="452">
        <f>J305</f>
        <v>0</v>
      </c>
      <c r="K304" s="453">
        <f>K305</f>
        <v>0</v>
      </c>
      <c r="L304" s="453">
        <f>L305</f>
        <v>0</v>
      </c>
      <c r="M304" s="453">
        <f t="shared" ref="M304" si="325">M305</f>
        <v>0</v>
      </c>
      <c r="N304" s="453">
        <f>N305</f>
        <v>0</v>
      </c>
      <c r="O304" s="452">
        <f>O305</f>
        <v>0</v>
      </c>
      <c r="P304" s="453">
        <f t="shared" ref="P304" si="326">P305</f>
        <v>121167879</v>
      </c>
    </row>
    <row r="305" spans="1:18" ht="181.5" thickTop="1" thickBot="1" x14ac:dyDescent="0.25">
      <c r="A305" s="454" t="s">
        <v>467</v>
      </c>
      <c r="B305" s="454"/>
      <c r="C305" s="454"/>
      <c r="D305" s="455" t="s">
        <v>469</v>
      </c>
      <c r="E305" s="456">
        <f>E306+E309</f>
        <v>121167879</v>
      </c>
      <c r="F305" s="456">
        <f>F306+F309</f>
        <v>121167879</v>
      </c>
      <c r="G305" s="456">
        <f>G306+G309</f>
        <v>3273700</v>
      </c>
      <c r="H305" s="456">
        <f>H306+H309</f>
        <v>131446</v>
      </c>
      <c r="I305" s="456">
        <f>I306+I309</f>
        <v>0</v>
      </c>
      <c r="J305" s="456">
        <f>L305+O305</f>
        <v>0</v>
      </c>
      <c r="K305" s="456">
        <f>K306+K309</f>
        <v>0</v>
      </c>
      <c r="L305" s="456">
        <f>L306+L309</f>
        <v>0</v>
      </c>
      <c r="M305" s="456">
        <f>M306+M309</f>
        <v>0</v>
      </c>
      <c r="N305" s="456">
        <f>N306+N309</f>
        <v>0</v>
      </c>
      <c r="O305" s="456">
        <f>O306+O309</f>
        <v>0</v>
      </c>
      <c r="P305" s="456">
        <f>E305+J305</f>
        <v>121167879</v>
      </c>
      <c r="Q305" s="646" t="b">
        <f>P305=P307+P314+P308+P312+P315</f>
        <v>1</v>
      </c>
      <c r="R305" s="295"/>
    </row>
    <row r="306" spans="1:18" ht="47.25" thickTop="1" thickBot="1" x14ac:dyDescent="0.25">
      <c r="A306" s="150" t="s">
        <v>876</v>
      </c>
      <c r="B306" s="150" t="s">
        <v>733</v>
      </c>
      <c r="C306" s="150"/>
      <c r="D306" s="150" t="s">
        <v>734</v>
      </c>
      <c r="E306" s="459">
        <f>SUM(E307:E308)</f>
        <v>6322671</v>
      </c>
      <c r="F306" s="459">
        <f t="shared" ref="F306" si="327">SUM(F307:F308)</f>
        <v>6322671</v>
      </c>
      <c r="G306" s="459">
        <f t="shared" ref="G306" si="328">SUM(G307:G308)</f>
        <v>3273700</v>
      </c>
      <c r="H306" s="459">
        <f t="shared" ref="H306" si="329">SUM(H307:H308)</f>
        <v>131446</v>
      </c>
      <c r="I306" s="459">
        <f t="shared" ref="I306" si="330">SUM(I307:I308)</f>
        <v>0</v>
      </c>
      <c r="J306" s="546">
        <f t="shared" ref="J306" si="331">SUM(J307:J308)</f>
        <v>0</v>
      </c>
      <c r="K306" s="546">
        <f t="shared" ref="K306" si="332">SUM(K307:K308)</f>
        <v>0</v>
      </c>
      <c r="L306" s="546">
        <f t="shared" ref="L306" si="333">SUM(L307:L308)</f>
        <v>0</v>
      </c>
      <c r="M306" s="546">
        <f t="shared" ref="M306" si="334">SUM(M307:M308)</f>
        <v>0</v>
      </c>
      <c r="N306" s="546">
        <f t="shared" ref="N306" si="335">SUM(N307:N308)</f>
        <v>0</v>
      </c>
      <c r="O306" s="546">
        <f t="shared" ref="O306" si="336">SUM(O307:O308)</f>
        <v>0</v>
      </c>
      <c r="P306" s="546">
        <f t="shared" ref="P306" si="337">SUM(P307:P308)</f>
        <v>6322671</v>
      </c>
      <c r="Q306" s="646"/>
      <c r="R306" s="295"/>
    </row>
    <row r="307" spans="1:18" ht="230.25" thickTop="1" thickBot="1" x14ac:dyDescent="0.25">
      <c r="A307" s="226" t="s">
        <v>470</v>
      </c>
      <c r="B307" s="226" t="s">
        <v>249</v>
      </c>
      <c r="C307" s="226" t="s">
        <v>247</v>
      </c>
      <c r="D307" s="226" t="s">
        <v>248</v>
      </c>
      <c r="E307" s="459">
        <f>F307</f>
        <v>6322671</v>
      </c>
      <c r="F307" s="460">
        <v>6322671</v>
      </c>
      <c r="G307" s="460">
        <v>3273700</v>
      </c>
      <c r="H307" s="460">
        <f>86000+2822+39624+3000</f>
        <v>131446</v>
      </c>
      <c r="I307" s="460"/>
      <c r="J307" s="546">
        <f>L307+O307</f>
        <v>0</v>
      </c>
      <c r="K307" s="460">
        <v>0</v>
      </c>
      <c r="L307" s="460"/>
      <c r="M307" s="460"/>
      <c r="N307" s="460"/>
      <c r="O307" s="551">
        <f>K307</f>
        <v>0</v>
      </c>
      <c r="P307" s="546">
        <f>E307+J307</f>
        <v>6322671</v>
      </c>
      <c r="Q307" s="646"/>
      <c r="R307" s="295"/>
    </row>
    <row r="308" spans="1:18" ht="184.5" hidden="1" thickTop="1" thickBot="1" x14ac:dyDescent="0.25">
      <c r="A308" s="261" t="s">
        <v>680</v>
      </c>
      <c r="B308" s="261" t="s">
        <v>379</v>
      </c>
      <c r="C308" s="261" t="s">
        <v>668</v>
      </c>
      <c r="D308" s="261" t="s">
        <v>669</v>
      </c>
      <c r="E308" s="308">
        <f>F308</f>
        <v>0</v>
      </c>
      <c r="F308" s="262"/>
      <c r="G308" s="262"/>
      <c r="H308" s="262"/>
      <c r="I308" s="262"/>
      <c r="J308" s="258">
        <f t="shared" ref="J308" si="338">L308+O308</f>
        <v>0</v>
      </c>
      <c r="K308" s="262"/>
      <c r="L308" s="263"/>
      <c r="M308" s="263"/>
      <c r="N308" s="263"/>
      <c r="O308" s="264">
        <f t="shared" ref="O308" si="339">K308</f>
        <v>0</v>
      </c>
      <c r="P308" s="258">
        <f t="shared" ref="P308" si="340">+J308+E308</f>
        <v>0</v>
      </c>
      <c r="Q308" s="646"/>
      <c r="R308" s="295"/>
    </row>
    <row r="309" spans="1:18" ht="47.25" thickTop="1" thickBot="1" x14ac:dyDescent="0.25">
      <c r="A309" s="150" t="s">
        <v>877</v>
      </c>
      <c r="B309" s="150" t="s">
        <v>798</v>
      </c>
      <c r="C309" s="549"/>
      <c r="D309" s="150" t="s">
        <v>845</v>
      </c>
      <c r="E309" s="546">
        <f>E310</f>
        <v>114845208</v>
      </c>
      <c r="F309" s="546">
        <f t="shared" ref="F309:P313" si="341">F310</f>
        <v>114845208</v>
      </c>
      <c r="G309" s="546">
        <f t="shared" si="341"/>
        <v>0</v>
      </c>
      <c r="H309" s="546">
        <f t="shared" si="341"/>
        <v>0</v>
      </c>
      <c r="I309" s="546">
        <f t="shared" si="341"/>
        <v>0</v>
      </c>
      <c r="J309" s="546">
        <f t="shared" si="341"/>
        <v>0</v>
      </c>
      <c r="K309" s="546">
        <f t="shared" si="341"/>
        <v>0</v>
      </c>
      <c r="L309" s="546">
        <f t="shared" si="341"/>
        <v>0</v>
      </c>
      <c r="M309" s="546">
        <f t="shared" si="341"/>
        <v>0</v>
      </c>
      <c r="N309" s="546">
        <f t="shared" si="341"/>
        <v>0</v>
      </c>
      <c r="O309" s="546">
        <f t="shared" si="341"/>
        <v>0</v>
      </c>
      <c r="P309" s="546">
        <f t="shared" si="341"/>
        <v>114845208</v>
      </c>
      <c r="Q309" s="646"/>
      <c r="R309" s="300"/>
    </row>
    <row r="310" spans="1:18" ht="136.5" thickTop="1" thickBot="1" x14ac:dyDescent="0.25">
      <c r="A310" s="483" t="s">
        <v>878</v>
      </c>
      <c r="B310" s="483" t="s">
        <v>857</v>
      </c>
      <c r="C310" s="483"/>
      <c r="D310" s="483" t="s">
        <v>858</v>
      </c>
      <c r="E310" s="484">
        <f>E313+E311+E315</f>
        <v>114845208</v>
      </c>
      <c r="F310" s="484">
        <f t="shared" ref="F310:P310" si="342">F313+F311+F315</f>
        <v>114845208</v>
      </c>
      <c r="G310" s="484">
        <f t="shared" si="342"/>
        <v>0</v>
      </c>
      <c r="H310" s="484">
        <f t="shared" si="342"/>
        <v>0</v>
      </c>
      <c r="I310" s="484">
        <f t="shared" si="342"/>
        <v>0</v>
      </c>
      <c r="J310" s="484">
        <f t="shared" si="342"/>
        <v>0</v>
      </c>
      <c r="K310" s="484">
        <f t="shared" si="342"/>
        <v>0</v>
      </c>
      <c r="L310" s="484">
        <f t="shared" si="342"/>
        <v>0</v>
      </c>
      <c r="M310" s="484">
        <f t="shared" si="342"/>
        <v>0</v>
      </c>
      <c r="N310" s="484">
        <f t="shared" si="342"/>
        <v>0</v>
      </c>
      <c r="O310" s="484">
        <f t="shared" si="342"/>
        <v>0</v>
      </c>
      <c r="P310" s="484">
        <f t="shared" si="342"/>
        <v>114845208</v>
      </c>
      <c r="Q310" s="646"/>
      <c r="R310" s="300"/>
    </row>
    <row r="311" spans="1:18" ht="138.75" thickTop="1" thickBot="1" x14ac:dyDescent="0.25">
      <c r="A311" s="505" t="s">
        <v>1114</v>
      </c>
      <c r="B311" s="505" t="s">
        <v>1115</v>
      </c>
      <c r="C311" s="505"/>
      <c r="D311" s="505" t="s">
        <v>1113</v>
      </c>
      <c r="E311" s="488">
        <f>E312</f>
        <v>7903408</v>
      </c>
      <c r="F311" s="488">
        <f t="shared" ref="F311:O311" si="343">F312</f>
        <v>7903408</v>
      </c>
      <c r="G311" s="488">
        <f t="shared" si="343"/>
        <v>0</v>
      </c>
      <c r="H311" s="488">
        <f t="shared" si="343"/>
        <v>0</v>
      </c>
      <c r="I311" s="488">
        <f t="shared" si="343"/>
        <v>0</v>
      </c>
      <c r="J311" s="488">
        <f t="shared" si="343"/>
        <v>0</v>
      </c>
      <c r="K311" s="488">
        <f t="shared" si="343"/>
        <v>0</v>
      </c>
      <c r="L311" s="488">
        <f t="shared" si="343"/>
        <v>0</v>
      </c>
      <c r="M311" s="488">
        <f t="shared" si="343"/>
        <v>0</v>
      </c>
      <c r="N311" s="488">
        <f t="shared" si="343"/>
        <v>0</v>
      </c>
      <c r="O311" s="488">
        <f t="shared" si="343"/>
        <v>0</v>
      </c>
      <c r="P311" s="488">
        <f t="shared" si="341"/>
        <v>7903408</v>
      </c>
      <c r="Q311" s="646"/>
      <c r="R311" s="300"/>
    </row>
    <row r="312" spans="1:18" ht="93" thickTop="1" thickBot="1" x14ac:dyDescent="0.25">
      <c r="A312" s="549" t="s">
        <v>490</v>
      </c>
      <c r="B312" s="549" t="s">
        <v>431</v>
      </c>
      <c r="C312" s="549" t="s">
        <v>432</v>
      </c>
      <c r="D312" s="549" t="s">
        <v>433</v>
      </c>
      <c r="E312" s="546">
        <f>F312</f>
        <v>7903408</v>
      </c>
      <c r="F312" s="460">
        <v>7903408</v>
      </c>
      <c r="G312" s="460"/>
      <c r="H312" s="460"/>
      <c r="I312" s="460"/>
      <c r="J312" s="546">
        <f>L312+O312</f>
        <v>0</v>
      </c>
      <c r="K312" s="460"/>
      <c r="L312" s="460"/>
      <c r="M312" s="460"/>
      <c r="N312" s="460"/>
      <c r="O312" s="551">
        <f>K312</f>
        <v>0</v>
      </c>
      <c r="P312" s="546">
        <f>E312+J312</f>
        <v>7903408</v>
      </c>
      <c r="Q312" s="646"/>
      <c r="R312" s="300"/>
    </row>
    <row r="313" spans="1:18" ht="138.75" thickTop="1" thickBot="1" x14ac:dyDescent="0.25">
      <c r="A313" s="505" t="s">
        <v>879</v>
      </c>
      <c r="B313" s="505" t="s">
        <v>880</v>
      </c>
      <c r="C313" s="505"/>
      <c r="D313" s="505" t="s">
        <v>881</v>
      </c>
      <c r="E313" s="488">
        <f>E314</f>
        <v>106941800</v>
      </c>
      <c r="F313" s="488">
        <f t="shared" si="341"/>
        <v>106941800</v>
      </c>
      <c r="G313" s="488">
        <f t="shared" si="341"/>
        <v>0</v>
      </c>
      <c r="H313" s="488">
        <f t="shared" si="341"/>
        <v>0</v>
      </c>
      <c r="I313" s="488">
        <f t="shared" si="341"/>
        <v>0</v>
      </c>
      <c r="J313" s="488">
        <f t="shared" si="341"/>
        <v>0</v>
      </c>
      <c r="K313" s="488">
        <f t="shared" si="341"/>
        <v>0</v>
      </c>
      <c r="L313" s="488">
        <f t="shared" si="341"/>
        <v>0</v>
      </c>
      <c r="M313" s="488">
        <f t="shared" si="341"/>
        <v>0</v>
      </c>
      <c r="N313" s="488">
        <f t="shared" si="341"/>
        <v>0</v>
      </c>
      <c r="O313" s="488">
        <f t="shared" si="341"/>
        <v>0</v>
      </c>
      <c r="P313" s="488">
        <f t="shared" si="341"/>
        <v>106941800</v>
      </c>
      <c r="Q313" s="646"/>
      <c r="R313" s="300"/>
    </row>
    <row r="314" spans="1:18" ht="93" thickTop="1" thickBot="1" x14ac:dyDescent="0.25">
      <c r="A314" s="549" t="s">
        <v>491</v>
      </c>
      <c r="B314" s="549" t="s">
        <v>304</v>
      </c>
      <c r="C314" s="549" t="s">
        <v>306</v>
      </c>
      <c r="D314" s="549" t="s">
        <v>305</v>
      </c>
      <c r="E314" s="546">
        <f>F314</f>
        <v>106941800</v>
      </c>
      <c r="F314" s="460">
        <v>106941800</v>
      </c>
      <c r="G314" s="460"/>
      <c r="H314" s="460"/>
      <c r="I314" s="460"/>
      <c r="J314" s="546">
        <f>L314+O314</f>
        <v>0</v>
      </c>
      <c r="K314" s="460"/>
      <c r="L314" s="460"/>
      <c r="M314" s="460"/>
      <c r="N314" s="460"/>
      <c r="O314" s="551">
        <f>K314</f>
        <v>0</v>
      </c>
      <c r="P314" s="546">
        <f>E314+J314</f>
        <v>106941800</v>
      </c>
      <c r="Q314" s="646"/>
      <c r="R314" s="300"/>
    </row>
    <row r="315" spans="1:18" ht="93" hidden="1" thickTop="1" thickBot="1" x14ac:dyDescent="0.25">
      <c r="A315" s="261" t="s">
        <v>1223</v>
      </c>
      <c r="B315" s="261" t="s">
        <v>1224</v>
      </c>
      <c r="C315" s="261" t="s">
        <v>309</v>
      </c>
      <c r="D315" s="261" t="s">
        <v>1222</v>
      </c>
      <c r="E315" s="258">
        <f>F315</f>
        <v>0</v>
      </c>
      <c r="F315" s="281">
        <v>0</v>
      </c>
      <c r="G315" s="281"/>
      <c r="H315" s="281"/>
      <c r="I315" s="281"/>
      <c r="J315" s="258">
        <f>L315+O315</f>
        <v>0</v>
      </c>
      <c r="K315" s="281"/>
      <c r="L315" s="281"/>
      <c r="M315" s="281"/>
      <c r="N315" s="281"/>
      <c r="O315" s="264">
        <f>K315</f>
        <v>0</v>
      </c>
      <c r="P315" s="258">
        <f>E315+J315</f>
        <v>0</v>
      </c>
      <c r="Q315" s="646"/>
      <c r="R315" s="300"/>
    </row>
    <row r="316" spans="1:18" ht="136.5" thickTop="1" thickBot="1" x14ac:dyDescent="0.25">
      <c r="A316" s="450" t="s">
        <v>175</v>
      </c>
      <c r="B316" s="450"/>
      <c r="C316" s="450"/>
      <c r="D316" s="451" t="s">
        <v>371</v>
      </c>
      <c r="E316" s="452">
        <f>E317</f>
        <v>8319400</v>
      </c>
      <c r="F316" s="453">
        <f t="shared" ref="F316:G316" si="344">F317</f>
        <v>8319400</v>
      </c>
      <c r="G316" s="453">
        <f t="shared" si="344"/>
        <v>0</v>
      </c>
      <c r="H316" s="453">
        <f>H317</f>
        <v>0</v>
      </c>
      <c r="I316" s="453">
        <f t="shared" ref="I316" si="345">I317</f>
        <v>0</v>
      </c>
      <c r="J316" s="452">
        <f>J317</f>
        <v>800000</v>
      </c>
      <c r="K316" s="453">
        <f>K317</f>
        <v>800000</v>
      </c>
      <c r="L316" s="453">
        <f>L317</f>
        <v>0</v>
      </c>
      <c r="M316" s="453">
        <f t="shared" ref="M316" si="346">M317</f>
        <v>0</v>
      </c>
      <c r="N316" s="453">
        <f>N317</f>
        <v>0</v>
      </c>
      <c r="O316" s="452">
        <f>O317</f>
        <v>800000</v>
      </c>
      <c r="P316" s="453">
        <f t="shared" ref="P316" si="347">P317</f>
        <v>9119400</v>
      </c>
    </row>
    <row r="317" spans="1:18" ht="136.5" thickTop="1" thickBot="1" x14ac:dyDescent="0.25">
      <c r="A317" s="454" t="s">
        <v>176</v>
      </c>
      <c r="B317" s="454"/>
      <c r="C317" s="454"/>
      <c r="D317" s="455" t="s">
        <v>372</v>
      </c>
      <c r="E317" s="456">
        <f>E318+E326</f>
        <v>8319400</v>
      </c>
      <c r="F317" s="456">
        <f>F318+F326</f>
        <v>8319400</v>
      </c>
      <c r="G317" s="456">
        <f t="shared" ref="G317:K317" si="348">G318+G326</f>
        <v>0</v>
      </c>
      <c r="H317" s="456">
        <f t="shared" si="348"/>
        <v>0</v>
      </c>
      <c r="I317" s="456">
        <f t="shared" si="348"/>
        <v>0</v>
      </c>
      <c r="J317" s="456">
        <f t="shared" ref="J317:J325" si="349">L317+O317</f>
        <v>800000</v>
      </c>
      <c r="K317" s="456">
        <f t="shared" si="348"/>
        <v>800000</v>
      </c>
      <c r="L317" s="456">
        <f t="shared" ref="L317" si="350">L318+L326</f>
        <v>0</v>
      </c>
      <c r="M317" s="456">
        <f t="shared" ref="M317" si="351">M318+M326</f>
        <v>0</v>
      </c>
      <c r="N317" s="456">
        <f t="shared" ref="N317" si="352">N318+N326</f>
        <v>0</v>
      </c>
      <c r="O317" s="456">
        <f t="shared" ref="O317" si="353">O318+O326</f>
        <v>800000</v>
      </c>
      <c r="P317" s="456">
        <f t="shared" ref="P317:P325" si="354">E317+J317</f>
        <v>9119400</v>
      </c>
      <c r="Q317" s="646" t="b">
        <f>P317=P322+P323+P325+P328+P320</f>
        <v>1</v>
      </c>
      <c r="R317" s="295"/>
    </row>
    <row r="318" spans="1:18" ht="47.25" thickTop="1" thickBot="1" x14ac:dyDescent="0.25">
      <c r="A318" s="150" t="s">
        <v>882</v>
      </c>
      <c r="B318" s="150" t="s">
        <v>798</v>
      </c>
      <c r="C318" s="549"/>
      <c r="D318" s="150" t="s">
        <v>845</v>
      </c>
      <c r="E318" s="592">
        <f t="shared" ref="E318:P318" si="355">E321+E319</f>
        <v>8319400</v>
      </c>
      <c r="F318" s="592">
        <f t="shared" si="355"/>
        <v>8319400</v>
      </c>
      <c r="G318" s="592">
        <f t="shared" si="355"/>
        <v>0</v>
      </c>
      <c r="H318" s="592">
        <f t="shared" si="355"/>
        <v>0</v>
      </c>
      <c r="I318" s="592">
        <f t="shared" si="355"/>
        <v>0</v>
      </c>
      <c r="J318" s="592">
        <f t="shared" si="355"/>
        <v>800000</v>
      </c>
      <c r="K318" s="592">
        <f t="shared" si="355"/>
        <v>800000</v>
      </c>
      <c r="L318" s="592">
        <f t="shared" si="355"/>
        <v>0</v>
      </c>
      <c r="M318" s="592">
        <f t="shared" si="355"/>
        <v>0</v>
      </c>
      <c r="N318" s="592">
        <f t="shared" si="355"/>
        <v>0</v>
      </c>
      <c r="O318" s="592">
        <f t="shared" si="355"/>
        <v>800000</v>
      </c>
      <c r="P318" s="592">
        <f t="shared" si="355"/>
        <v>9119400</v>
      </c>
      <c r="Q318" s="646"/>
      <c r="R318" s="295"/>
    </row>
    <row r="319" spans="1:18" ht="91.5" thickTop="1" thickBot="1" x14ac:dyDescent="0.25">
      <c r="A319" s="483" t="s">
        <v>1111</v>
      </c>
      <c r="B319" s="483" t="s">
        <v>854</v>
      </c>
      <c r="C319" s="483"/>
      <c r="D319" s="483" t="s">
        <v>855</v>
      </c>
      <c r="E319" s="628">
        <f>E320</f>
        <v>74340</v>
      </c>
      <c r="F319" s="628">
        <f>F320</f>
        <v>74340</v>
      </c>
      <c r="G319" s="628">
        <f t="shared" ref="G319:O319" si="356">G320</f>
        <v>0</v>
      </c>
      <c r="H319" s="628">
        <f t="shared" si="356"/>
        <v>0</v>
      </c>
      <c r="I319" s="628">
        <f t="shared" si="356"/>
        <v>0</v>
      </c>
      <c r="J319" s="628">
        <f t="shared" si="356"/>
        <v>0</v>
      </c>
      <c r="K319" s="628">
        <f t="shared" si="356"/>
        <v>0</v>
      </c>
      <c r="L319" s="628">
        <f t="shared" si="356"/>
        <v>0</v>
      </c>
      <c r="M319" s="628">
        <f t="shared" si="356"/>
        <v>0</v>
      </c>
      <c r="N319" s="628">
        <f t="shared" si="356"/>
        <v>0</v>
      </c>
      <c r="O319" s="628">
        <f t="shared" si="356"/>
        <v>0</v>
      </c>
      <c r="P319" s="628">
        <f>P320</f>
        <v>74340</v>
      </c>
      <c r="Q319" s="646"/>
      <c r="R319" s="295"/>
    </row>
    <row r="320" spans="1:18" ht="138.75" thickTop="1" thickBot="1" x14ac:dyDescent="0.25">
      <c r="A320" s="549" t="s">
        <v>1112</v>
      </c>
      <c r="B320" s="549" t="s">
        <v>367</v>
      </c>
      <c r="C320" s="549" t="s">
        <v>179</v>
      </c>
      <c r="D320" s="549" t="s">
        <v>275</v>
      </c>
      <c r="E320" s="546">
        <f t="shared" ref="E320" si="357">F320</f>
        <v>74340</v>
      </c>
      <c r="F320" s="460">
        <v>74340</v>
      </c>
      <c r="G320" s="460"/>
      <c r="H320" s="460"/>
      <c r="I320" s="460"/>
      <c r="J320" s="546">
        <f t="shared" ref="J320" si="358">L320+O320</f>
        <v>0</v>
      </c>
      <c r="K320" s="460"/>
      <c r="L320" s="460"/>
      <c r="M320" s="460"/>
      <c r="N320" s="460"/>
      <c r="O320" s="551">
        <f>K320</f>
        <v>0</v>
      </c>
      <c r="P320" s="546">
        <f t="shared" ref="P320" si="359">E320+J320</f>
        <v>74340</v>
      </c>
      <c r="Q320" s="646"/>
      <c r="R320" s="295"/>
    </row>
    <row r="321" spans="1:18" ht="136.5" thickTop="1" thickBot="1" x14ac:dyDescent="0.25">
      <c r="A321" s="483" t="s">
        <v>883</v>
      </c>
      <c r="B321" s="483" t="s">
        <v>740</v>
      </c>
      <c r="C321" s="483"/>
      <c r="D321" s="483" t="s">
        <v>738</v>
      </c>
      <c r="E321" s="628">
        <f>SUM(E322:E325)-E324</f>
        <v>8245060</v>
      </c>
      <c r="F321" s="628">
        <f t="shared" ref="F321:P321" si="360">SUM(F322:F325)-F324</f>
        <v>8245060</v>
      </c>
      <c r="G321" s="628">
        <f t="shared" si="360"/>
        <v>0</v>
      </c>
      <c r="H321" s="628">
        <f t="shared" si="360"/>
        <v>0</v>
      </c>
      <c r="I321" s="628">
        <f t="shared" si="360"/>
        <v>0</v>
      </c>
      <c r="J321" s="628">
        <f t="shared" si="360"/>
        <v>800000</v>
      </c>
      <c r="K321" s="628">
        <f t="shared" si="360"/>
        <v>800000</v>
      </c>
      <c r="L321" s="628">
        <f t="shared" si="360"/>
        <v>0</v>
      </c>
      <c r="M321" s="628">
        <f t="shared" si="360"/>
        <v>0</v>
      </c>
      <c r="N321" s="628">
        <f t="shared" si="360"/>
        <v>0</v>
      </c>
      <c r="O321" s="628">
        <f t="shared" si="360"/>
        <v>800000</v>
      </c>
      <c r="P321" s="628">
        <f t="shared" si="360"/>
        <v>9045060</v>
      </c>
      <c r="Q321" s="646"/>
      <c r="R321" s="295"/>
    </row>
    <row r="322" spans="1:18" ht="93" thickTop="1" thickBot="1" x14ac:dyDescent="0.25">
      <c r="A322" s="549" t="s">
        <v>273</v>
      </c>
      <c r="B322" s="549" t="s">
        <v>274</v>
      </c>
      <c r="C322" s="549" t="s">
        <v>272</v>
      </c>
      <c r="D322" s="549" t="s">
        <v>271</v>
      </c>
      <c r="E322" s="546">
        <f t="shared" ref="E322:E325" si="361">F322</f>
        <v>5260060</v>
      </c>
      <c r="F322" s="460">
        <f>5760060-500000</f>
        <v>5260060</v>
      </c>
      <c r="G322" s="460"/>
      <c r="H322" s="460"/>
      <c r="I322" s="460"/>
      <c r="J322" s="546">
        <f t="shared" si="349"/>
        <v>0</v>
      </c>
      <c r="K322" s="460"/>
      <c r="L322" s="460"/>
      <c r="M322" s="460"/>
      <c r="N322" s="460"/>
      <c r="O322" s="551">
        <f>K322</f>
        <v>0</v>
      </c>
      <c r="P322" s="546">
        <f t="shared" si="354"/>
        <v>5260060</v>
      </c>
      <c r="R322" s="295"/>
    </row>
    <row r="323" spans="1:18" ht="138.75" thickTop="1" thickBot="1" x14ac:dyDescent="0.25">
      <c r="A323" s="549" t="s">
        <v>265</v>
      </c>
      <c r="B323" s="549" t="s">
        <v>267</v>
      </c>
      <c r="C323" s="549" t="s">
        <v>226</v>
      </c>
      <c r="D323" s="549" t="s">
        <v>266</v>
      </c>
      <c r="E323" s="546">
        <f t="shared" si="361"/>
        <v>1085000</v>
      </c>
      <c r="F323" s="460">
        <v>1085000</v>
      </c>
      <c r="G323" s="460"/>
      <c r="H323" s="460"/>
      <c r="I323" s="460"/>
      <c r="J323" s="546">
        <f t="shared" si="349"/>
        <v>0</v>
      </c>
      <c r="K323" s="460"/>
      <c r="L323" s="460"/>
      <c r="M323" s="460"/>
      <c r="N323" s="460"/>
      <c r="O323" s="551">
        <f>K323</f>
        <v>0</v>
      </c>
      <c r="P323" s="546">
        <f t="shared" si="354"/>
        <v>1085000</v>
      </c>
      <c r="R323" s="295"/>
    </row>
    <row r="324" spans="1:18" ht="48" thickTop="1" thickBot="1" x14ac:dyDescent="0.25">
      <c r="A324" s="505" t="s">
        <v>884</v>
      </c>
      <c r="B324" s="505" t="s">
        <v>743</v>
      </c>
      <c r="C324" s="505"/>
      <c r="D324" s="505" t="s">
        <v>741</v>
      </c>
      <c r="E324" s="488">
        <f>E325</f>
        <v>1900000</v>
      </c>
      <c r="F324" s="488">
        <f t="shared" ref="F324:P324" si="362">F325</f>
        <v>1900000</v>
      </c>
      <c r="G324" s="488">
        <f t="shared" si="362"/>
        <v>0</v>
      </c>
      <c r="H324" s="488">
        <f t="shared" si="362"/>
        <v>0</v>
      </c>
      <c r="I324" s="488">
        <f t="shared" si="362"/>
        <v>0</v>
      </c>
      <c r="J324" s="488">
        <f t="shared" si="362"/>
        <v>800000</v>
      </c>
      <c r="K324" s="488">
        <f t="shared" si="362"/>
        <v>800000</v>
      </c>
      <c r="L324" s="488">
        <f t="shared" si="362"/>
        <v>0</v>
      </c>
      <c r="M324" s="488">
        <f t="shared" si="362"/>
        <v>0</v>
      </c>
      <c r="N324" s="488">
        <f t="shared" si="362"/>
        <v>0</v>
      </c>
      <c r="O324" s="488">
        <f t="shared" si="362"/>
        <v>800000</v>
      </c>
      <c r="P324" s="488">
        <f t="shared" si="362"/>
        <v>2700000</v>
      </c>
      <c r="R324" s="295"/>
    </row>
    <row r="325" spans="1:18" ht="93" thickTop="1" thickBot="1" x14ac:dyDescent="0.25">
      <c r="A325" s="549" t="s">
        <v>269</v>
      </c>
      <c r="B325" s="549" t="s">
        <v>270</v>
      </c>
      <c r="C325" s="549" t="s">
        <v>179</v>
      </c>
      <c r="D325" s="549" t="s">
        <v>268</v>
      </c>
      <c r="E325" s="546">
        <f t="shared" si="361"/>
        <v>1900000</v>
      </c>
      <c r="F325" s="460">
        <f>(1200000+700000)</f>
        <v>1900000</v>
      </c>
      <c r="G325" s="460"/>
      <c r="H325" s="460"/>
      <c r="I325" s="460"/>
      <c r="J325" s="546">
        <f t="shared" si="349"/>
        <v>800000</v>
      </c>
      <c r="K325" s="460">
        <v>800000</v>
      </c>
      <c r="L325" s="460"/>
      <c r="M325" s="460"/>
      <c r="N325" s="460"/>
      <c r="O325" s="551">
        <f>K325</f>
        <v>800000</v>
      </c>
      <c r="P325" s="546">
        <f t="shared" si="354"/>
        <v>2700000</v>
      </c>
      <c r="R325" s="295"/>
    </row>
    <row r="326" spans="1:18" ht="47.25" hidden="1" thickTop="1" thickBot="1" x14ac:dyDescent="0.25">
      <c r="A326" s="252" t="s">
        <v>968</v>
      </c>
      <c r="B326" s="252" t="s">
        <v>751</v>
      </c>
      <c r="C326" s="252"/>
      <c r="D326" s="252" t="s">
        <v>752</v>
      </c>
      <c r="E326" s="258">
        <f>E327</f>
        <v>0</v>
      </c>
      <c r="F326" s="258">
        <f t="shared" ref="F326:P327" si="363">F327</f>
        <v>0</v>
      </c>
      <c r="G326" s="258">
        <f t="shared" si="363"/>
        <v>0</v>
      </c>
      <c r="H326" s="258">
        <f t="shared" si="363"/>
        <v>0</v>
      </c>
      <c r="I326" s="258">
        <f t="shared" si="363"/>
        <v>0</v>
      </c>
      <c r="J326" s="258">
        <f t="shared" si="363"/>
        <v>0</v>
      </c>
      <c r="K326" s="258">
        <f t="shared" si="363"/>
        <v>0</v>
      </c>
      <c r="L326" s="258">
        <f t="shared" si="363"/>
        <v>0</v>
      </c>
      <c r="M326" s="258">
        <f t="shared" si="363"/>
        <v>0</v>
      </c>
      <c r="N326" s="258">
        <f t="shared" si="363"/>
        <v>0</v>
      </c>
      <c r="O326" s="258">
        <f t="shared" si="363"/>
        <v>0</v>
      </c>
      <c r="P326" s="258">
        <f t="shared" si="363"/>
        <v>0</v>
      </c>
      <c r="R326" s="295"/>
    </row>
    <row r="327" spans="1:18" ht="271.5" hidden="1" thickTop="1" thickBot="1" x14ac:dyDescent="0.25">
      <c r="A327" s="255" t="s">
        <v>969</v>
      </c>
      <c r="B327" s="255" t="s">
        <v>754</v>
      </c>
      <c r="C327" s="255"/>
      <c r="D327" s="255" t="s">
        <v>755</v>
      </c>
      <c r="E327" s="273">
        <f>E328</f>
        <v>0</v>
      </c>
      <c r="F327" s="273">
        <f t="shared" si="363"/>
        <v>0</v>
      </c>
      <c r="G327" s="273">
        <f t="shared" si="363"/>
        <v>0</v>
      </c>
      <c r="H327" s="273">
        <f t="shared" si="363"/>
        <v>0</v>
      </c>
      <c r="I327" s="273">
        <f t="shared" si="363"/>
        <v>0</v>
      </c>
      <c r="J327" s="273">
        <f t="shared" si="363"/>
        <v>0</v>
      </c>
      <c r="K327" s="273">
        <f t="shared" si="363"/>
        <v>0</v>
      </c>
      <c r="L327" s="273">
        <f t="shared" si="363"/>
        <v>0</v>
      </c>
      <c r="M327" s="273">
        <f t="shared" si="363"/>
        <v>0</v>
      </c>
      <c r="N327" s="273">
        <f t="shared" si="363"/>
        <v>0</v>
      </c>
      <c r="O327" s="273">
        <f t="shared" si="363"/>
        <v>0</v>
      </c>
      <c r="P327" s="273">
        <f t="shared" si="363"/>
        <v>0</v>
      </c>
      <c r="R327" s="295"/>
    </row>
    <row r="328" spans="1:18" ht="93" hidden="1" thickTop="1" thickBot="1" x14ac:dyDescent="0.25">
      <c r="A328" s="261" t="s">
        <v>970</v>
      </c>
      <c r="B328" s="261" t="s">
        <v>380</v>
      </c>
      <c r="C328" s="261" t="s">
        <v>45</v>
      </c>
      <c r="D328" s="261" t="s">
        <v>381</v>
      </c>
      <c r="E328" s="258">
        <f t="shared" ref="E328" si="364">F328</f>
        <v>0</v>
      </c>
      <c r="F328" s="281">
        <v>0</v>
      </c>
      <c r="G328" s="281"/>
      <c r="H328" s="281"/>
      <c r="I328" s="281"/>
      <c r="J328" s="258">
        <f>L328+O328</f>
        <v>0</v>
      </c>
      <c r="K328" s="281">
        <v>0</v>
      </c>
      <c r="L328" s="281"/>
      <c r="M328" s="281"/>
      <c r="N328" s="281"/>
      <c r="O328" s="264">
        <f>K328</f>
        <v>0</v>
      </c>
      <c r="P328" s="258">
        <f>E328+J328</f>
        <v>0</v>
      </c>
      <c r="R328" s="295"/>
    </row>
    <row r="329" spans="1:18" ht="226.5" thickTop="1" thickBot="1" x14ac:dyDescent="0.25">
      <c r="A329" s="450" t="s">
        <v>173</v>
      </c>
      <c r="B329" s="450"/>
      <c r="C329" s="450"/>
      <c r="D329" s="451" t="s">
        <v>945</v>
      </c>
      <c r="E329" s="452">
        <f>E330</f>
        <v>6793333</v>
      </c>
      <c r="F329" s="453">
        <f t="shared" ref="F329:G329" si="365">F330</f>
        <v>6793333</v>
      </c>
      <c r="G329" s="453">
        <f t="shared" si="365"/>
        <v>5204880</v>
      </c>
      <c r="H329" s="453">
        <f>H330</f>
        <v>171531</v>
      </c>
      <c r="I329" s="453">
        <f t="shared" ref="I329" si="366">I330</f>
        <v>0</v>
      </c>
      <c r="J329" s="452">
        <f>J330</f>
        <v>746000</v>
      </c>
      <c r="K329" s="453">
        <f>K330</f>
        <v>46000</v>
      </c>
      <c r="L329" s="453">
        <f>L330</f>
        <v>652000</v>
      </c>
      <c r="M329" s="453">
        <f t="shared" ref="M329" si="367">M330</f>
        <v>0</v>
      </c>
      <c r="N329" s="453">
        <f>N330</f>
        <v>0</v>
      </c>
      <c r="O329" s="452">
        <f>O330</f>
        <v>94000</v>
      </c>
      <c r="P329" s="453">
        <f t="shared" ref="P329" si="368">P330</f>
        <v>7539333</v>
      </c>
    </row>
    <row r="330" spans="1:18" ht="181.5" thickTop="1" thickBot="1" x14ac:dyDescent="0.25">
      <c r="A330" s="454" t="s">
        <v>174</v>
      </c>
      <c r="B330" s="454"/>
      <c r="C330" s="454"/>
      <c r="D330" s="455" t="s">
        <v>944</v>
      </c>
      <c r="E330" s="456">
        <f>E331+E334</f>
        <v>6793333</v>
      </c>
      <c r="F330" s="456">
        <f t="shared" ref="F330:I330" si="369">F331+F334</f>
        <v>6793333</v>
      </c>
      <c r="G330" s="456">
        <f t="shared" si="369"/>
        <v>5204880</v>
      </c>
      <c r="H330" s="456">
        <f t="shared" si="369"/>
        <v>171531</v>
      </c>
      <c r="I330" s="456">
        <f t="shared" si="369"/>
        <v>0</v>
      </c>
      <c r="J330" s="456">
        <f>L330+O330</f>
        <v>746000</v>
      </c>
      <c r="K330" s="456">
        <f t="shared" ref="K330:O330" si="370">K331+K334</f>
        <v>46000</v>
      </c>
      <c r="L330" s="456">
        <f t="shared" si="370"/>
        <v>652000</v>
      </c>
      <c r="M330" s="456">
        <f t="shared" si="370"/>
        <v>0</v>
      </c>
      <c r="N330" s="456">
        <f t="shared" si="370"/>
        <v>0</v>
      </c>
      <c r="O330" s="456">
        <f t="shared" si="370"/>
        <v>94000</v>
      </c>
      <c r="P330" s="456">
        <f t="shared" ref="P330:P336" si="371">E330+J330</f>
        <v>7539333</v>
      </c>
      <c r="Q330" s="646" t="b">
        <f>P330=P332+P336</f>
        <v>1</v>
      </c>
      <c r="R330" s="295"/>
    </row>
    <row r="331" spans="1:18" ht="47.25" thickTop="1" thickBot="1" x14ac:dyDescent="0.25">
      <c r="A331" s="150" t="s">
        <v>885</v>
      </c>
      <c r="B331" s="150" t="s">
        <v>733</v>
      </c>
      <c r="C331" s="150"/>
      <c r="D331" s="150" t="s">
        <v>734</v>
      </c>
      <c r="E331" s="459">
        <f>SUM(E332:E333)</f>
        <v>6793333</v>
      </c>
      <c r="F331" s="459">
        <f t="shared" ref="F331" si="372">SUM(F332:F333)</f>
        <v>6793333</v>
      </c>
      <c r="G331" s="459">
        <f t="shared" ref="G331" si="373">SUM(G332:G333)</f>
        <v>5204880</v>
      </c>
      <c r="H331" s="459">
        <f t="shared" ref="H331" si="374">SUM(H332:H333)</f>
        <v>171531</v>
      </c>
      <c r="I331" s="459">
        <f t="shared" ref="I331" si="375">SUM(I332:I333)</f>
        <v>0</v>
      </c>
      <c r="J331" s="459">
        <f t="shared" ref="J331" si="376">SUM(J332:J333)</f>
        <v>46000</v>
      </c>
      <c r="K331" s="459">
        <f t="shared" ref="K331" si="377">SUM(K332:K333)</f>
        <v>46000</v>
      </c>
      <c r="L331" s="459">
        <f t="shared" ref="L331" si="378">SUM(L332:L333)</f>
        <v>0</v>
      </c>
      <c r="M331" s="459">
        <f t="shared" ref="M331" si="379">SUM(M332:M333)</f>
        <v>0</v>
      </c>
      <c r="N331" s="459">
        <f t="shared" ref="N331" si="380">SUM(N332:N333)</f>
        <v>0</v>
      </c>
      <c r="O331" s="459">
        <f>SUM(O332:O333)</f>
        <v>46000</v>
      </c>
      <c r="P331" s="459">
        <f t="shared" ref="P331" si="381">SUM(P332:P333)</f>
        <v>6839333</v>
      </c>
      <c r="Q331" s="646"/>
      <c r="R331" s="295"/>
    </row>
    <row r="332" spans="1:18" ht="230.25" thickTop="1" thickBot="1" x14ac:dyDescent="0.25">
      <c r="A332" s="226" t="s">
        <v>441</v>
      </c>
      <c r="B332" s="226" t="s">
        <v>249</v>
      </c>
      <c r="C332" s="226" t="s">
        <v>247</v>
      </c>
      <c r="D332" s="226" t="s">
        <v>248</v>
      </c>
      <c r="E332" s="459">
        <f>F332</f>
        <v>6793333</v>
      </c>
      <c r="F332" s="460">
        <v>6793333</v>
      </c>
      <c r="G332" s="460">
        <v>5204880</v>
      </c>
      <c r="H332" s="460">
        <f>120400+4752+42719+3660</f>
        <v>171531</v>
      </c>
      <c r="I332" s="460"/>
      <c r="J332" s="459">
        <f t="shared" ref="J332:J336" si="382">L332+O332</f>
        <v>46000</v>
      </c>
      <c r="K332" s="460">
        <v>46000</v>
      </c>
      <c r="L332" s="460"/>
      <c r="M332" s="460"/>
      <c r="N332" s="460"/>
      <c r="O332" s="461">
        <f>K332</f>
        <v>46000</v>
      </c>
      <c r="P332" s="459">
        <f t="shared" si="371"/>
        <v>6839333</v>
      </c>
      <c r="Q332" s="646"/>
      <c r="R332" s="295"/>
    </row>
    <row r="333" spans="1:18" ht="184.5" hidden="1" thickTop="1" thickBot="1" x14ac:dyDescent="0.25">
      <c r="A333" s="261" t="s">
        <v>681</v>
      </c>
      <c r="B333" s="261" t="s">
        <v>379</v>
      </c>
      <c r="C333" s="261" t="s">
        <v>668</v>
      </c>
      <c r="D333" s="261" t="s">
        <v>669</v>
      </c>
      <c r="E333" s="308">
        <f>F333</f>
        <v>0</v>
      </c>
      <c r="F333" s="262">
        <v>0</v>
      </c>
      <c r="G333" s="262"/>
      <c r="H333" s="262"/>
      <c r="I333" s="262"/>
      <c r="J333" s="258">
        <f t="shared" si="382"/>
        <v>0</v>
      </c>
      <c r="K333" s="262"/>
      <c r="L333" s="263"/>
      <c r="M333" s="263"/>
      <c r="N333" s="263"/>
      <c r="O333" s="264">
        <f t="shared" ref="O333" si="383">K333</f>
        <v>0</v>
      </c>
      <c r="P333" s="258">
        <f t="shared" ref="P333" si="384">+J333+E333</f>
        <v>0</v>
      </c>
      <c r="Q333" s="646"/>
      <c r="R333" s="295"/>
    </row>
    <row r="334" spans="1:18" ht="47.25" thickTop="1" thickBot="1" x14ac:dyDescent="0.25">
      <c r="A334" s="150" t="s">
        <v>886</v>
      </c>
      <c r="B334" s="150" t="s">
        <v>745</v>
      </c>
      <c r="C334" s="150"/>
      <c r="D334" s="150" t="s">
        <v>746</v>
      </c>
      <c r="E334" s="462">
        <f>E335</f>
        <v>0</v>
      </c>
      <c r="F334" s="462">
        <f t="shared" ref="F334:P335" si="385">F335</f>
        <v>0</v>
      </c>
      <c r="G334" s="462">
        <f t="shared" si="385"/>
        <v>0</v>
      </c>
      <c r="H334" s="462">
        <f t="shared" si="385"/>
        <v>0</v>
      </c>
      <c r="I334" s="462">
        <f t="shared" si="385"/>
        <v>0</v>
      </c>
      <c r="J334" s="462">
        <f t="shared" si="385"/>
        <v>700000</v>
      </c>
      <c r="K334" s="462">
        <f t="shared" si="385"/>
        <v>0</v>
      </c>
      <c r="L334" s="462">
        <f t="shared" si="385"/>
        <v>652000</v>
      </c>
      <c r="M334" s="462">
        <f t="shared" si="385"/>
        <v>0</v>
      </c>
      <c r="N334" s="462">
        <f t="shared" si="385"/>
        <v>0</v>
      </c>
      <c r="O334" s="462">
        <f t="shared" si="385"/>
        <v>48000</v>
      </c>
      <c r="P334" s="462">
        <f t="shared" si="385"/>
        <v>700000</v>
      </c>
      <c r="Q334" s="646"/>
      <c r="R334" s="295"/>
    </row>
    <row r="335" spans="1:18" ht="91.5" thickTop="1" thickBot="1" x14ac:dyDescent="0.25">
      <c r="A335" s="483" t="s">
        <v>887</v>
      </c>
      <c r="B335" s="483" t="s">
        <v>888</v>
      </c>
      <c r="C335" s="483"/>
      <c r="D335" s="483" t="s">
        <v>889</v>
      </c>
      <c r="E335" s="540">
        <f>E336</f>
        <v>0</v>
      </c>
      <c r="F335" s="540">
        <f t="shared" si="385"/>
        <v>0</v>
      </c>
      <c r="G335" s="540">
        <f t="shared" si="385"/>
        <v>0</v>
      </c>
      <c r="H335" s="540">
        <f t="shared" si="385"/>
        <v>0</v>
      </c>
      <c r="I335" s="540">
        <f t="shared" si="385"/>
        <v>0</v>
      </c>
      <c r="J335" s="540">
        <f t="shared" si="385"/>
        <v>700000</v>
      </c>
      <c r="K335" s="540">
        <f t="shared" ref="K335:P335" si="386">K336</f>
        <v>0</v>
      </c>
      <c r="L335" s="540">
        <f t="shared" si="386"/>
        <v>652000</v>
      </c>
      <c r="M335" s="540">
        <f t="shared" si="386"/>
        <v>0</v>
      </c>
      <c r="N335" s="540">
        <f t="shared" si="386"/>
        <v>0</v>
      </c>
      <c r="O335" s="540">
        <f t="shared" si="386"/>
        <v>48000</v>
      </c>
      <c r="P335" s="540">
        <f t="shared" si="386"/>
        <v>700000</v>
      </c>
      <c r="Q335" s="646"/>
      <c r="R335" s="295"/>
    </row>
    <row r="336" spans="1:18" ht="93" thickTop="1" thickBot="1" x14ac:dyDescent="0.25">
      <c r="A336" s="226" t="s">
        <v>1280</v>
      </c>
      <c r="B336" s="226" t="s">
        <v>1281</v>
      </c>
      <c r="C336" s="226" t="s">
        <v>53</v>
      </c>
      <c r="D336" s="226" t="s">
        <v>1282</v>
      </c>
      <c r="E336" s="459">
        <v>0</v>
      </c>
      <c r="F336" s="460"/>
      <c r="G336" s="460"/>
      <c r="H336" s="460"/>
      <c r="I336" s="460"/>
      <c r="J336" s="459">
        <f t="shared" si="382"/>
        <v>700000</v>
      </c>
      <c r="K336" s="459"/>
      <c r="L336" s="460">
        <v>652000</v>
      </c>
      <c r="M336" s="460"/>
      <c r="N336" s="460"/>
      <c r="O336" s="461">
        <f>K336+48000</f>
        <v>48000</v>
      </c>
      <c r="P336" s="459">
        <f t="shared" si="371"/>
        <v>700000</v>
      </c>
      <c r="Q336" s="646" t="b">
        <f>J336='d9'!F17</f>
        <v>1</v>
      </c>
    </row>
    <row r="337" spans="1:19" ht="136.5" thickTop="1" thickBot="1" x14ac:dyDescent="0.25">
      <c r="A337" s="450" t="s">
        <v>171</v>
      </c>
      <c r="B337" s="450"/>
      <c r="C337" s="450"/>
      <c r="D337" s="451" t="s">
        <v>957</v>
      </c>
      <c r="E337" s="452">
        <f>E338</f>
        <v>9820960</v>
      </c>
      <c r="F337" s="453">
        <f t="shared" ref="F337:G337" si="387">F338</f>
        <v>9820960</v>
      </c>
      <c r="G337" s="453">
        <f t="shared" si="387"/>
        <v>7650520</v>
      </c>
      <c r="H337" s="453">
        <f>H338</f>
        <v>103980</v>
      </c>
      <c r="I337" s="453">
        <f t="shared" ref="I337" si="388">I338</f>
        <v>0</v>
      </c>
      <c r="J337" s="452">
        <f>J338</f>
        <v>490000</v>
      </c>
      <c r="K337" s="453">
        <f>K338</f>
        <v>490000</v>
      </c>
      <c r="L337" s="453">
        <f>L338</f>
        <v>0</v>
      </c>
      <c r="M337" s="453">
        <f t="shared" ref="M337" si="389">M338</f>
        <v>0</v>
      </c>
      <c r="N337" s="453">
        <f>N338</f>
        <v>0</v>
      </c>
      <c r="O337" s="452">
        <f>O338</f>
        <v>490000</v>
      </c>
      <c r="P337" s="453">
        <f t="shared" ref="P337" si="390">P338</f>
        <v>10310960</v>
      </c>
    </row>
    <row r="338" spans="1:19" ht="181.5" thickTop="1" thickBot="1" x14ac:dyDescent="0.25">
      <c r="A338" s="454" t="s">
        <v>172</v>
      </c>
      <c r="B338" s="454"/>
      <c r="C338" s="454"/>
      <c r="D338" s="455" t="s">
        <v>956</v>
      </c>
      <c r="E338" s="456">
        <f>E339+E341</f>
        <v>9820960</v>
      </c>
      <c r="F338" s="456">
        <f t="shared" ref="F338:I338" si="391">F339+F341</f>
        <v>9820960</v>
      </c>
      <c r="G338" s="456">
        <f t="shared" si="391"/>
        <v>7650520</v>
      </c>
      <c r="H338" s="456">
        <f t="shared" si="391"/>
        <v>103980</v>
      </c>
      <c r="I338" s="456">
        <f t="shared" si="391"/>
        <v>0</v>
      </c>
      <c r="J338" s="456">
        <f>L338+O338</f>
        <v>490000</v>
      </c>
      <c r="K338" s="456">
        <f t="shared" ref="K338:O338" si="392">K339+K341</f>
        <v>490000</v>
      </c>
      <c r="L338" s="456">
        <f t="shared" si="392"/>
        <v>0</v>
      </c>
      <c r="M338" s="456">
        <f t="shared" si="392"/>
        <v>0</v>
      </c>
      <c r="N338" s="456">
        <f t="shared" si="392"/>
        <v>0</v>
      </c>
      <c r="O338" s="456">
        <f t="shared" si="392"/>
        <v>490000</v>
      </c>
      <c r="P338" s="456">
        <f>E338+J338</f>
        <v>10310960</v>
      </c>
      <c r="Q338" s="646" t="b">
        <f>P338=P343+P345+P340</f>
        <v>1</v>
      </c>
      <c r="R338" s="294"/>
    </row>
    <row r="339" spans="1:19" ht="47.25" thickTop="1" thickBot="1" x14ac:dyDescent="0.25">
      <c r="A339" s="150" t="s">
        <v>890</v>
      </c>
      <c r="B339" s="150" t="s">
        <v>733</v>
      </c>
      <c r="C339" s="150"/>
      <c r="D339" s="150" t="s">
        <v>734</v>
      </c>
      <c r="E339" s="459">
        <f>SUM(E340)</f>
        <v>9820960</v>
      </c>
      <c r="F339" s="459">
        <f t="shared" ref="F339:P339" si="393">SUM(F340)</f>
        <v>9820960</v>
      </c>
      <c r="G339" s="459">
        <f t="shared" si="393"/>
        <v>7650520</v>
      </c>
      <c r="H339" s="459">
        <f t="shared" si="393"/>
        <v>103980</v>
      </c>
      <c r="I339" s="459">
        <f t="shared" si="393"/>
        <v>0</v>
      </c>
      <c r="J339" s="459">
        <f t="shared" si="393"/>
        <v>40000</v>
      </c>
      <c r="K339" s="459">
        <f t="shared" si="393"/>
        <v>40000</v>
      </c>
      <c r="L339" s="459">
        <f t="shared" si="393"/>
        <v>0</v>
      </c>
      <c r="M339" s="459">
        <f t="shared" si="393"/>
        <v>0</v>
      </c>
      <c r="N339" s="459">
        <f t="shared" si="393"/>
        <v>0</v>
      </c>
      <c r="O339" s="459">
        <f t="shared" si="393"/>
        <v>40000</v>
      </c>
      <c r="P339" s="459">
        <f t="shared" si="393"/>
        <v>9860960</v>
      </c>
      <c r="Q339" s="646"/>
      <c r="R339" s="294"/>
    </row>
    <row r="340" spans="1:19" ht="230.25" thickTop="1" thickBot="1" x14ac:dyDescent="0.25">
      <c r="A340" s="226" t="s">
        <v>437</v>
      </c>
      <c r="B340" s="226" t="s">
        <v>249</v>
      </c>
      <c r="C340" s="226" t="s">
        <v>247</v>
      </c>
      <c r="D340" s="226" t="s">
        <v>248</v>
      </c>
      <c r="E340" s="459">
        <f>F340</f>
        <v>9820960</v>
      </c>
      <c r="F340" s="460">
        <v>9820960</v>
      </c>
      <c r="G340" s="460">
        <v>7650520</v>
      </c>
      <c r="H340" s="460">
        <f>82000+2000+19980</f>
        <v>103980</v>
      </c>
      <c r="I340" s="460"/>
      <c r="J340" s="459">
        <f>L340+O340</f>
        <v>40000</v>
      </c>
      <c r="K340" s="460">
        <v>40000</v>
      </c>
      <c r="L340" s="460"/>
      <c r="M340" s="460"/>
      <c r="N340" s="460"/>
      <c r="O340" s="461">
        <f>K340</f>
        <v>40000</v>
      </c>
      <c r="P340" s="459">
        <f>E340+J340</f>
        <v>9860960</v>
      </c>
      <c r="R340" s="294"/>
    </row>
    <row r="341" spans="1:19" ht="47.25" thickTop="1" thickBot="1" x14ac:dyDescent="0.25">
      <c r="A341" s="150" t="s">
        <v>891</v>
      </c>
      <c r="B341" s="150" t="s">
        <v>798</v>
      </c>
      <c r="C341" s="549"/>
      <c r="D341" s="150" t="s">
        <v>845</v>
      </c>
      <c r="E341" s="546">
        <f t="shared" ref="E341:P341" si="394">E342+E344</f>
        <v>0</v>
      </c>
      <c r="F341" s="546">
        <f t="shared" si="394"/>
        <v>0</v>
      </c>
      <c r="G341" s="546">
        <f t="shared" si="394"/>
        <v>0</v>
      </c>
      <c r="H341" s="546">
        <f t="shared" si="394"/>
        <v>0</v>
      </c>
      <c r="I341" s="546">
        <f t="shared" si="394"/>
        <v>0</v>
      </c>
      <c r="J341" s="546">
        <f t="shared" si="394"/>
        <v>450000</v>
      </c>
      <c r="K341" s="546">
        <f t="shared" si="394"/>
        <v>450000</v>
      </c>
      <c r="L341" s="546">
        <f t="shared" si="394"/>
        <v>0</v>
      </c>
      <c r="M341" s="546">
        <f t="shared" si="394"/>
        <v>0</v>
      </c>
      <c r="N341" s="546">
        <f t="shared" si="394"/>
        <v>0</v>
      </c>
      <c r="O341" s="546">
        <f t="shared" si="394"/>
        <v>450000</v>
      </c>
      <c r="P341" s="546">
        <f t="shared" si="394"/>
        <v>450000</v>
      </c>
      <c r="R341" s="296"/>
    </row>
    <row r="342" spans="1:19" ht="91.5" thickTop="1" thickBot="1" x14ac:dyDescent="0.25">
      <c r="A342" s="483" t="s">
        <v>892</v>
      </c>
      <c r="B342" s="483" t="s">
        <v>893</v>
      </c>
      <c r="C342" s="483"/>
      <c r="D342" s="483" t="s">
        <v>894</v>
      </c>
      <c r="E342" s="484">
        <f>SUM(E343)</f>
        <v>0</v>
      </c>
      <c r="F342" s="484">
        <f t="shared" ref="F342:P342" si="395">SUM(F343)</f>
        <v>0</v>
      </c>
      <c r="G342" s="484">
        <f t="shared" si="395"/>
        <v>0</v>
      </c>
      <c r="H342" s="484">
        <f t="shared" si="395"/>
        <v>0</v>
      </c>
      <c r="I342" s="484">
        <f t="shared" si="395"/>
        <v>0</v>
      </c>
      <c r="J342" s="484">
        <f t="shared" si="395"/>
        <v>400000</v>
      </c>
      <c r="K342" s="484">
        <f t="shared" si="395"/>
        <v>400000</v>
      </c>
      <c r="L342" s="484">
        <f t="shared" si="395"/>
        <v>0</v>
      </c>
      <c r="M342" s="484">
        <f t="shared" si="395"/>
        <v>0</v>
      </c>
      <c r="N342" s="484">
        <f t="shared" si="395"/>
        <v>0</v>
      </c>
      <c r="O342" s="484">
        <f t="shared" si="395"/>
        <v>400000</v>
      </c>
      <c r="P342" s="484">
        <f t="shared" si="395"/>
        <v>400000</v>
      </c>
      <c r="R342" s="296"/>
    </row>
    <row r="343" spans="1:19" ht="93" thickTop="1" thickBot="1" x14ac:dyDescent="0.25">
      <c r="A343" s="549" t="s">
        <v>320</v>
      </c>
      <c r="B343" s="549" t="s">
        <v>321</v>
      </c>
      <c r="C343" s="549" t="s">
        <v>322</v>
      </c>
      <c r="D343" s="549" t="s">
        <v>484</v>
      </c>
      <c r="E343" s="546">
        <f>F343</f>
        <v>0</v>
      </c>
      <c r="F343" s="460"/>
      <c r="G343" s="460"/>
      <c r="H343" s="460"/>
      <c r="I343" s="460"/>
      <c r="J343" s="546">
        <f>L343+O343</f>
        <v>400000</v>
      </c>
      <c r="K343" s="460">
        <v>400000</v>
      </c>
      <c r="L343" s="460"/>
      <c r="M343" s="460"/>
      <c r="N343" s="460"/>
      <c r="O343" s="551">
        <f>K343</f>
        <v>400000</v>
      </c>
      <c r="P343" s="546">
        <f>E343+J343</f>
        <v>400000</v>
      </c>
      <c r="R343" s="294"/>
    </row>
    <row r="344" spans="1:19" ht="136.5" thickTop="1" thickBot="1" x14ac:dyDescent="0.25">
      <c r="A344" s="483" t="s">
        <v>895</v>
      </c>
      <c r="B344" s="483" t="s">
        <v>740</v>
      </c>
      <c r="C344" s="549"/>
      <c r="D344" s="483" t="s">
        <v>896</v>
      </c>
      <c r="E344" s="484">
        <f>SUM(E345)</f>
        <v>0</v>
      </c>
      <c r="F344" s="484">
        <f t="shared" ref="F344:P344" si="396">SUM(F345)</f>
        <v>0</v>
      </c>
      <c r="G344" s="484">
        <f t="shared" si="396"/>
        <v>0</v>
      </c>
      <c r="H344" s="484">
        <f t="shared" si="396"/>
        <v>0</v>
      </c>
      <c r="I344" s="484">
        <f t="shared" si="396"/>
        <v>0</v>
      </c>
      <c r="J344" s="484">
        <f t="shared" si="396"/>
        <v>50000</v>
      </c>
      <c r="K344" s="484">
        <f t="shared" si="396"/>
        <v>50000</v>
      </c>
      <c r="L344" s="484">
        <f t="shared" si="396"/>
        <v>0</v>
      </c>
      <c r="M344" s="484">
        <f t="shared" si="396"/>
        <v>0</v>
      </c>
      <c r="N344" s="484">
        <f t="shared" si="396"/>
        <v>0</v>
      </c>
      <c r="O344" s="484">
        <f t="shared" si="396"/>
        <v>50000</v>
      </c>
      <c r="P344" s="484">
        <f t="shared" si="396"/>
        <v>50000</v>
      </c>
    </row>
    <row r="345" spans="1:19" ht="138.75" thickTop="1" thickBot="1" x14ac:dyDescent="0.25">
      <c r="A345" s="549" t="s">
        <v>385</v>
      </c>
      <c r="B345" s="549" t="s">
        <v>386</v>
      </c>
      <c r="C345" s="549" t="s">
        <v>179</v>
      </c>
      <c r="D345" s="549" t="s">
        <v>387</v>
      </c>
      <c r="E345" s="546">
        <f>F345</f>
        <v>0</v>
      </c>
      <c r="F345" s="460"/>
      <c r="G345" s="460"/>
      <c r="H345" s="460"/>
      <c r="I345" s="460"/>
      <c r="J345" s="546">
        <f>L345+O345</f>
        <v>50000</v>
      </c>
      <c r="K345" s="460">
        <v>50000</v>
      </c>
      <c r="L345" s="460"/>
      <c r="M345" s="460"/>
      <c r="N345" s="460"/>
      <c r="O345" s="551">
        <f>K345</f>
        <v>50000</v>
      </c>
      <c r="P345" s="546">
        <f>E345+J345</f>
        <v>50000</v>
      </c>
      <c r="R345" s="294"/>
    </row>
    <row r="346" spans="1:19" ht="136.5" thickTop="1" thickBot="1" x14ac:dyDescent="0.25">
      <c r="A346" s="450" t="s">
        <v>177</v>
      </c>
      <c r="B346" s="450"/>
      <c r="C346" s="450"/>
      <c r="D346" s="451" t="s">
        <v>27</v>
      </c>
      <c r="E346" s="452">
        <f>E347</f>
        <v>116403073</v>
      </c>
      <c r="F346" s="453">
        <f t="shared" ref="F346:G346" si="397">F347</f>
        <v>116403073</v>
      </c>
      <c r="G346" s="453">
        <f t="shared" si="397"/>
        <v>8023550</v>
      </c>
      <c r="H346" s="453">
        <f>H347</f>
        <v>254660</v>
      </c>
      <c r="I346" s="453">
        <f t="shared" ref="I346" si="398">I347</f>
        <v>0</v>
      </c>
      <c r="J346" s="452">
        <f>J347</f>
        <v>0</v>
      </c>
      <c r="K346" s="453">
        <f>K347</f>
        <v>0</v>
      </c>
      <c r="L346" s="453">
        <f>L347</f>
        <v>0</v>
      </c>
      <c r="M346" s="453">
        <f t="shared" ref="M346" si="399">M347</f>
        <v>0</v>
      </c>
      <c r="N346" s="453">
        <f>N347</f>
        <v>0</v>
      </c>
      <c r="O346" s="452">
        <f>O347</f>
        <v>0</v>
      </c>
      <c r="P346" s="453">
        <f t="shared" ref="P346" si="400">P347</f>
        <v>116403073</v>
      </c>
    </row>
    <row r="347" spans="1:19" ht="136.5" thickTop="1" thickBot="1" x14ac:dyDescent="0.25">
      <c r="A347" s="454" t="s">
        <v>178</v>
      </c>
      <c r="B347" s="454"/>
      <c r="C347" s="454"/>
      <c r="D347" s="455" t="s">
        <v>42</v>
      </c>
      <c r="E347" s="456">
        <f>E348+E351+E358</f>
        <v>116403073</v>
      </c>
      <c r="F347" s="456">
        <f t="shared" ref="F347:I347" si="401">F348+F351+F358</f>
        <v>116403073</v>
      </c>
      <c r="G347" s="456">
        <f t="shared" si="401"/>
        <v>8023550</v>
      </c>
      <c r="H347" s="456">
        <f t="shared" si="401"/>
        <v>254660</v>
      </c>
      <c r="I347" s="456">
        <f t="shared" si="401"/>
        <v>0</v>
      </c>
      <c r="J347" s="456">
        <f>L347+O347</f>
        <v>0</v>
      </c>
      <c r="K347" s="456">
        <f t="shared" ref="K347:O347" si="402">K348+K351+K358</f>
        <v>0</v>
      </c>
      <c r="L347" s="456">
        <f t="shared" si="402"/>
        <v>0</v>
      </c>
      <c r="M347" s="456">
        <f t="shared" si="402"/>
        <v>0</v>
      </c>
      <c r="N347" s="456">
        <f t="shared" si="402"/>
        <v>0</v>
      </c>
      <c r="O347" s="456">
        <f t="shared" si="402"/>
        <v>0</v>
      </c>
      <c r="P347" s="456">
        <f>E347+J347</f>
        <v>116403073</v>
      </c>
      <c r="Q347" s="646" t="b">
        <f>P347=P352+P354+P360+P349+P350+P357</f>
        <v>1</v>
      </c>
      <c r="R347" s="294"/>
    </row>
    <row r="348" spans="1:19" ht="47.25" thickTop="1" thickBot="1" x14ac:dyDescent="0.25">
      <c r="A348" s="150" t="s">
        <v>897</v>
      </c>
      <c r="B348" s="150" t="s">
        <v>733</v>
      </c>
      <c r="C348" s="150"/>
      <c r="D348" s="150" t="s">
        <v>734</v>
      </c>
      <c r="E348" s="459">
        <f>SUM(E349:E350)</f>
        <v>10351190</v>
      </c>
      <c r="F348" s="459">
        <f t="shared" ref="F348:P348" si="403">SUM(F349:F350)</f>
        <v>10351190</v>
      </c>
      <c r="G348" s="459">
        <f t="shared" si="403"/>
        <v>8023550</v>
      </c>
      <c r="H348" s="459">
        <f t="shared" si="403"/>
        <v>254660</v>
      </c>
      <c r="I348" s="459">
        <f t="shared" si="403"/>
        <v>0</v>
      </c>
      <c r="J348" s="459">
        <f t="shared" si="403"/>
        <v>0</v>
      </c>
      <c r="K348" s="459">
        <f t="shared" si="403"/>
        <v>0</v>
      </c>
      <c r="L348" s="459">
        <f t="shared" si="403"/>
        <v>0</v>
      </c>
      <c r="M348" s="459">
        <f t="shared" si="403"/>
        <v>0</v>
      </c>
      <c r="N348" s="459">
        <f t="shared" si="403"/>
        <v>0</v>
      </c>
      <c r="O348" s="459">
        <f t="shared" si="403"/>
        <v>0</v>
      </c>
      <c r="P348" s="459">
        <f t="shared" si="403"/>
        <v>10351190</v>
      </c>
      <c r="Q348" s="646"/>
      <c r="R348" s="300"/>
    </row>
    <row r="349" spans="1:19" ht="230.25" thickTop="1" thickBot="1" x14ac:dyDescent="0.25">
      <c r="A349" s="226" t="s">
        <v>439</v>
      </c>
      <c r="B349" s="226" t="s">
        <v>249</v>
      </c>
      <c r="C349" s="226" t="s">
        <v>247</v>
      </c>
      <c r="D349" s="226" t="s">
        <v>248</v>
      </c>
      <c r="E349" s="459">
        <f>F349</f>
        <v>10344190</v>
      </c>
      <c r="F349" s="460">
        <v>10344190</v>
      </c>
      <c r="G349" s="460">
        <v>8023550</v>
      </c>
      <c r="H349" s="460">
        <f>144480+4120+99060+7000</f>
        <v>254660</v>
      </c>
      <c r="I349" s="460"/>
      <c r="J349" s="459">
        <f>L349+O349</f>
        <v>0</v>
      </c>
      <c r="K349" s="460"/>
      <c r="L349" s="460"/>
      <c r="M349" s="460"/>
      <c r="N349" s="460"/>
      <c r="O349" s="461">
        <f>K349</f>
        <v>0</v>
      </c>
      <c r="P349" s="459">
        <f>E349+J349</f>
        <v>10344190</v>
      </c>
      <c r="Q349" s="646" t="b">
        <f>K349='d6'!J98</f>
        <v>1</v>
      </c>
      <c r="R349" s="300"/>
      <c r="S349" s="296">
        <f>'d6'!J98</f>
        <v>0</v>
      </c>
    </row>
    <row r="350" spans="1:19" ht="184.5" thickTop="1" thickBot="1" x14ac:dyDescent="0.25">
      <c r="A350" s="226" t="s">
        <v>682</v>
      </c>
      <c r="B350" s="226" t="s">
        <v>379</v>
      </c>
      <c r="C350" s="226" t="s">
        <v>668</v>
      </c>
      <c r="D350" s="226" t="s">
        <v>669</v>
      </c>
      <c r="E350" s="462">
        <f>F350</f>
        <v>7000</v>
      </c>
      <c r="F350" s="463">
        <v>7000</v>
      </c>
      <c r="G350" s="463"/>
      <c r="H350" s="463"/>
      <c r="I350" s="463"/>
      <c r="J350" s="459">
        <f t="shared" ref="J350" si="404">L350+O350</f>
        <v>0</v>
      </c>
      <c r="K350" s="463"/>
      <c r="L350" s="475"/>
      <c r="M350" s="475"/>
      <c r="N350" s="475"/>
      <c r="O350" s="461">
        <f t="shared" ref="O350" si="405">K350</f>
        <v>0</v>
      </c>
      <c r="P350" s="459">
        <f t="shared" ref="P350" si="406">+J350+E350</f>
        <v>7000</v>
      </c>
      <c r="Q350" s="646"/>
      <c r="R350" s="300"/>
    </row>
    <row r="351" spans="1:19" ht="47.25" thickTop="1" thickBot="1" x14ac:dyDescent="0.25">
      <c r="A351" s="150" t="s">
        <v>898</v>
      </c>
      <c r="B351" s="150" t="s">
        <v>745</v>
      </c>
      <c r="C351" s="150"/>
      <c r="D351" s="150" t="s">
        <v>746</v>
      </c>
      <c r="E351" s="462">
        <f>E352+E353+E355</f>
        <v>14338983</v>
      </c>
      <c r="F351" s="462">
        <f>F352+F353+F355</f>
        <v>14338983</v>
      </c>
      <c r="G351" s="462">
        <f t="shared" ref="G351:P351" si="407">G352+G353+G355</f>
        <v>0</v>
      </c>
      <c r="H351" s="462">
        <f t="shared" si="407"/>
        <v>0</v>
      </c>
      <c r="I351" s="462">
        <f t="shared" si="407"/>
        <v>0</v>
      </c>
      <c r="J351" s="462">
        <f t="shared" si="407"/>
        <v>0</v>
      </c>
      <c r="K351" s="462">
        <f t="shared" si="407"/>
        <v>0</v>
      </c>
      <c r="L351" s="462">
        <f t="shared" si="407"/>
        <v>0</v>
      </c>
      <c r="M351" s="462">
        <f t="shared" si="407"/>
        <v>0</v>
      </c>
      <c r="N351" s="462">
        <f t="shared" si="407"/>
        <v>0</v>
      </c>
      <c r="O351" s="462">
        <f t="shared" si="407"/>
        <v>0</v>
      </c>
      <c r="P351" s="462">
        <f t="shared" si="407"/>
        <v>14338983</v>
      </c>
      <c r="Q351" s="646"/>
      <c r="R351" s="300"/>
    </row>
    <row r="352" spans="1:19" ht="91.5" thickTop="1" thickBot="1" x14ac:dyDescent="0.25">
      <c r="A352" s="609">
        <v>3718600</v>
      </c>
      <c r="B352" s="609">
        <v>8600</v>
      </c>
      <c r="C352" s="483" t="s">
        <v>379</v>
      </c>
      <c r="D352" s="609" t="s">
        <v>475</v>
      </c>
      <c r="E352" s="484">
        <f>F352</f>
        <v>8838983</v>
      </c>
      <c r="F352" s="484">
        <v>8838983</v>
      </c>
      <c r="G352" s="484"/>
      <c r="H352" s="484"/>
      <c r="I352" s="484"/>
      <c r="J352" s="484">
        <f>L352+O352</f>
        <v>0</v>
      </c>
      <c r="K352" s="484"/>
      <c r="L352" s="484"/>
      <c r="M352" s="484"/>
      <c r="N352" s="484"/>
      <c r="O352" s="611">
        <f>K352</f>
        <v>0</v>
      </c>
      <c r="P352" s="484">
        <f>E352+J352</f>
        <v>8838983</v>
      </c>
    </row>
    <row r="353" spans="1:18" ht="47.25" thickTop="1" thickBot="1" x14ac:dyDescent="0.25">
      <c r="A353" s="609">
        <v>3718700</v>
      </c>
      <c r="B353" s="609">
        <v>8700</v>
      </c>
      <c r="C353" s="483"/>
      <c r="D353" s="609" t="s">
        <v>899</v>
      </c>
      <c r="E353" s="484">
        <f>E354</f>
        <v>3000000</v>
      </c>
      <c r="F353" s="484">
        <f>F354</f>
        <v>3000000</v>
      </c>
      <c r="G353" s="484">
        <f t="shared" ref="G353:P356" si="408">G354</f>
        <v>0</v>
      </c>
      <c r="H353" s="484">
        <f t="shared" si="408"/>
        <v>0</v>
      </c>
      <c r="I353" s="484">
        <f t="shared" si="408"/>
        <v>0</v>
      </c>
      <c r="J353" s="484">
        <f t="shared" si="408"/>
        <v>0</v>
      </c>
      <c r="K353" s="484">
        <f t="shared" si="408"/>
        <v>0</v>
      </c>
      <c r="L353" s="484">
        <f t="shared" si="408"/>
        <v>0</v>
      </c>
      <c r="M353" s="484">
        <f t="shared" si="408"/>
        <v>0</v>
      </c>
      <c r="N353" s="484">
        <f t="shared" si="408"/>
        <v>0</v>
      </c>
      <c r="O353" s="484">
        <f t="shared" si="408"/>
        <v>0</v>
      </c>
      <c r="P353" s="484">
        <f t="shared" si="408"/>
        <v>3000000</v>
      </c>
    </row>
    <row r="354" spans="1:18" ht="93" thickTop="1" thickBot="1" x14ac:dyDescent="0.25">
      <c r="A354" s="578">
        <v>3718710</v>
      </c>
      <c r="B354" s="578">
        <v>8710</v>
      </c>
      <c r="C354" s="549" t="s">
        <v>44</v>
      </c>
      <c r="D354" s="515" t="s">
        <v>688</v>
      </c>
      <c r="E354" s="546">
        <f>F354</f>
        <v>3000000</v>
      </c>
      <c r="F354" s="460">
        <v>3000000</v>
      </c>
      <c r="G354" s="460"/>
      <c r="H354" s="460"/>
      <c r="I354" s="460"/>
      <c r="J354" s="546">
        <f>L354+O354</f>
        <v>0</v>
      </c>
      <c r="K354" s="460"/>
      <c r="L354" s="460"/>
      <c r="M354" s="460"/>
      <c r="N354" s="460"/>
      <c r="O354" s="551">
        <f>K354</f>
        <v>0</v>
      </c>
      <c r="P354" s="546">
        <f>E354+J354</f>
        <v>3000000</v>
      </c>
    </row>
    <row r="355" spans="1:18" ht="47.25" thickTop="1" thickBot="1" x14ac:dyDescent="0.25">
      <c r="A355" s="609">
        <v>3718800</v>
      </c>
      <c r="B355" s="609">
        <v>8800</v>
      </c>
      <c r="C355" s="483"/>
      <c r="D355" s="609" t="s">
        <v>907</v>
      </c>
      <c r="E355" s="484">
        <f>E356</f>
        <v>2500000</v>
      </c>
      <c r="F355" s="484">
        <f>F356</f>
        <v>2500000</v>
      </c>
      <c r="G355" s="484">
        <f t="shared" si="408"/>
        <v>0</v>
      </c>
      <c r="H355" s="484">
        <f t="shared" si="408"/>
        <v>0</v>
      </c>
      <c r="I355" s="484">
        <f t="shared" si="408"/>
        <v>0</v>
      </c>
      <c r="J355" s="484">
        <f t="shared" si="408"/>
        <v>0</v>
      </c>
      <c r="K355" s="484">
        <f t="shared" si="408"/>
        <v>0</v>
      </c>
      <c r="L355" s="484">
        <f t="shared" si="408"/>
        <v>0</v>
      </c>
      <c r="M355" s="484">
        <f t="shared" si="408"/>
        <v>0</v>
      </c>
      <c r="N355" s="484">
        <f t="shared" si="408"/>
        <v>0</v>
      </c>
      <c r="O355" s="484">
        <f t="shared" si="408"/>
        <v>0</v>
      </c>
      <c r="P355" s="484">
        <f t="shared" si="408"/>
        <v>2500000</v>
      </c>
    </row>
    <row r="356" spans="1:18" ht="184.5" thickTop="1" thickBot="1" x14ac:dyDescent="0.25">
      <c r="A356" s="610">
        <v>3718880</v>
      </c>
      <c r="B356" s="610">
        <v>8880</v>
      </c>
      <c r="C356" s="505"/>
      <c r="D356" s="498" t="s">
        <v>1324</v>
      </c>
      <c r="E356" s="488">
        <f>E357</f>
        <v>2500000</v>
      </c>
      <c r="F356" s="488">
        <f t="shared" ref="F356" si="409">F357</f>
        <v>2500000</v>
      </c>
      <c r="G356" s="488">
        <f t="shared" si="408"/>
        <v>0</v>
      </c>
      <c r="H356" s="488">
        <f t="shared" si="408"/>
        <v>0</v>
      </c>
      <c r="I356" s="488">
        <f t="shared" si="408"/>
        <v>0</v>
      </c>
      <c r="J356" s="488">
        <f t="shared" si="408"/>
        <v>0</v>
      </c>
      <c r="K356" s="488">
        <f t="shared" si="408"/>
        <v>0</v>
      </c>
      <c r="L356" s="488">
        <f t="shared" si="408"/>
        <v>0</v>
      </c>
      <c r="M356" s="488">
        <f t="shared" si="408"/>
        <v>0</v>
      </c>
      <c r="N356" s="488">
        <f t="shared" si="408"/>
        <v>0</v>
      </c>
      <c r="O356" s="488">
        <f t="shared" si="408"/>
        <v>0</v>
      </c>
      <c r="P356" s="488">
        <f t="shared" si="408"/>
        <v>2500000</v>
      </c>
    </row>
    <row r="357" spans="1:18" ht="230.25" thickTop="1" thickBot="1" x14ac:dyDescent="0.25">
      <c r="A357" s="549">
        <v>3718881</v>
      </c>
      <c r="B357" s="549">
        <v>8881</v>
      </c>
      <c r="C357" s="549" t="s">
        <v>179</v>
      </c>
      <c r="D357" s="549" t="s">
        <v>1325</v>
      </c>
      <c r="E357" s="462">
        <f>F357</f>
        <v>2500000</v>
      </c>
      <c r="F357" s="463">
        <v>2500000</v>
      </c>
      <c r="G357" s="463"/>
      <c r="H357" s="463"/>
      <c r="I357" s="463"/>
      <c r="J357" s="546">
        <f t="shared" ref="J357" si="410">L357+O357</f>
        <v>0</v>
      </c>
      <c r="K357" s="463"/>
      <c r="L357" s="475"/>
      <c r="M357" s="475"/>
      <c r="N357" s="475"/>
      <c r="O357" s="551">
        <f t="shared" ref="O357" si="411">K357</f>
        <v>0</v>
      </c>
      <c r="P357" s="546">
        <f t="shared" ref="P357" si="412">+J357+E357</f>
        <v>2500000</v>
      </c>
    </row>
    <row r="358" spans="1:18" ht="47.25" thickTop="1" thickBot="1" x14ac:dyDescent="0.25">
      <c r="A358" s="150" t="s">
        <v>900</v>
      </c>
      <c r="B358" s="150" t="s">
        <v>751</v>
      </c>
      <c r="C358" s="150"/>
      <c r="D358" s="150" t="s">
        <v>752</v>
      </c>
      <c r="E358" s="546">
        <f>E359</f>
        <v>91712900</v>
      </c>
      <c r="F358" s="546">
        <f t="shared" ref="F358:P359" si="413">F359</f>
        <v>91712900</v>
      </c>
      <c r="G358" s="546">
        <f t="shared" si="413"/>
        <v>0</v>
      </c>
      <c r="H358" s="546">
        <f t="shared" si="413"/>
        <v>0</v>
      </c>
      <c r="I358" s="546">
        <f t="shared" si="413"/>
        <v>0</v>
      </c>
      <c r="J358" s="546">
        <f t="shared" si="413"/>
        <v>0</v>
      </c>
      <c r="K358" s="546">
        <f t="shared" si="413"/>
        <v>0</v>
      </c>
      <c r="L358" s="546">
        <f t="shared" si="413"/>
        <v>0</v>
      </c>
      <c r="M358" s="546">
        <f t="shared" si="413"/>
        <v>0</v>
      </c>
      <c r="N358" s="546">
        <f t="shared" si="413"/>
        <v>0</v>
      </c>
      <c r="O358" s="546">
        <f t="shared" si="413"/>
        <v>0</v>
      </c>
      <c r="P358" s="546">
        <f t="shared" si="413"/>
        <v>91712900</v>
      </c>
    </row>
    <row r="359" spans="1:18" ht="91.5" thickTop="1" thickBot="1" x14ac:dyDescent="0.25">
      <c r="A359" s="609">
        <v>3719100</v>
      </c>
      <c r="B359" s="483" t="s">
        <v>902</v>
      </c>
      <c r="C359" s="483"/>
      <c r="D359" s="483" t="s">
        <v>901</v>
      </c>
      <c r="E359" s="484">
        <f>E360</f>
        <v>91712900</v>
      </c>
      <c r="F359" s="484">
        <f t="shared" si="413"/>
        <v>91712900</v>
      </c>
      <c r="G359" s="484">
        <f t="shared" si="413"/>
        <v>0</v>
      </c>
      <c r="H359" s="484">
        <f t="shared" si="413"/>
        <v>0</v>
      </c>
      <c r="I359" s="484">
        <f t="shared" si="413"/>
        <v>0</v>
      </c>
      <c r="J359" s="484">
        <f t="shared" si="413"/>
        <v>0</v>
      </c>
      <c r="K359" s="484">
        <f t="shared" si="413"/>
        <v>0</v>
      </c>
      <c r="L359" s="484">
        <f t="shared" si="413"/>
        <v>0</v>
      </c>
      <c r="M359" s="484">
        <f t="shared" si="413"/>
        <v>0</v>
      </c>
      <c r="N359" s="484">
        <f t="shared" si="413"/>
        <v>0</v>
      </c>
      <c r="O359" s="484">
        <f t="shared" si="413"/>
        <v>0</v>
      </c>
      <c r="P359" s="484">
        <f t="shared" si="413"/>
        <v>91712900</v>
      </c>
    </row>
    <row r="360" spans="1:18" ht="48" thickTop="1" thickBot="1" x14ac:dyDescent="0.25">
      <c r="A360" s="578">
        <v>3719110</v>
      </c>
      <c r="B360" s="578">
        <v>9110</v>
      </c>
      <c r="C360" s="549" t="s">
        <v>45</v>
      </c>
      <c r="D360" s="515" t="s">
        <v>474</v>
      </c>
      <c r="E360" s="546">
        <f>F360</f>
        <v>91712900</v>
      </c>
      <c r="F360" s="460">
        <v>91712900</v>
      </c>
      <c r="G360" s="460"/>
      <c r="H360" s="460"/>
      <c r="I360" s="460"/>
      <c r="J360" s="546">
        <f>L360+O360</f>
        <v>0</v>
      </c>
      <c r="K360" s="460"/>
      <c r="L360" s="460"/>
      <c r="M360" s="460"/>
      <c r="N360" s="460"/>
      <c r="O360" s="551">
        <f>K360</f>
        <v>0</v>
      </c>
      <c r="P360" s="546">
        <f>E360+J360</f>
        <v>91712900</v>
      </c>
    </row>
    <row r="361" spans="1:18" ht="159.75" customHeight="1" thickTop="1" thickBot="1" x14ac:dyDescent="0.25">
      <c r="A361" s="457" t="s">
        <v>399</v>
      </c>
      <c r="B361" s="457" t="s">
        <v>399</v>
      </c>
      <c r="C361" s="457" t="s">
        <v>399</v>
      </c>
      <c r="D361" s="457" t="s">
        <v>409</v>
      </c>
      <c r="E361" s="458">
        <f t="shared" ref="E361:P361" si="414">E16+E41+E190+E89+E113+E170++E275+E297+E347+E317+E330+E338+E305+E245+E223</f>
        <v>3208079493</v>
      </c>
      <c r="F361" s="458">
        <f t="shared" si="414"/>
        <v>3208079493</v>
      </c>
      <c r="G361" s="458">
        <f t="shared" si="414"/>
        <v>1622858805</v>
      </c>
      <c r="H361" s="458">
        <f t="shared" si="414"/>
        <v>215775055</v>
      </c>
      <c r="I361" s="458">
        <f t="shared" si="414"/>
        <v>0</v>
      </c>
      <c r="J361" s="458">
        <f t="shared" si="414"/>
        <v>489017798</v>
      </c>
      <c r="K361" s="458">
        <f t="shared" si="414"/>
        <v>300545675</v>
      </c>
      <c r="L361" s="458">
        <f t="shared" si="414"/>
        <v>182515595</v>
      </c>
      <c r="M361" s="458">
        <f t="shared" si="414"/>
        <v>55225789</v>
      </c>
      <c r="N361" s="458">
        <f t="shared" si="414"/>
        <v>15495864</v>
      </c>
      <c r="O361" s="458">
        <f t="shared" si="414"/>
        <v>306502203</v>
      </c>
      <c r="P361" s="458">
        <f t="shared" si="414"/>
        <v>3697097291</v>
      </c>
      <c r="Q361" s="630" t="b">
        <f>P361=J361+E361</f>
        <v>1</v>
      </c>
    </row>
    <row r="362" spans="1:18" ht="46.5" thickTop="1" x14ac:dyDescent="0.2">
      <c r="A362" s="784" t="s">
        <v>1252</v>
      </c>
      <c r="B362" s="785"/>
      <c r="C362" s="785"/>
      <c r="D362" s="785"/>
      <c r="E362" s="785"/>
      <c r="F362" s="785"/>
      <c r="G362" s="785"/>
      <c r="H362" s="785"/>
      <c r="I362" s="785"/>
      <c r="J362" s="785"/>
      <c r="K362" s="785"/>
      <c r="L362" s="785"/>
      <c r="M362" s="785"/>
      <c r="N362" s="785"/>
      <c r="O362" s="785"/>
      <c r="P362" s="785"/>
      <c r="Q362" s="652"/>
    </row>
    <row r="363" spans="1:18" ht="60.75" hidden="1" x14ac:dyDescent="0.2">
      <c r="A363" s="184"/>
      <c r="B363" s="185"/>
      <c r="C363" s="185"/>
      <c r="D363" s="185"/>
      <c r="E363" s="449">
        <f>F363</f>
        <v>3208079493</v>
      </c>
      <c r="F363" s="449">
        <f>(3193579493-'d4'!F20)+15000000</f>
        <v>3208079493</v>
      </c>
      <c r="G363" s="449">
        <f>1769990+50998970+103167225+34055950+2551300+1241065255+97388110+91862005</f>
        <v>1622858805</v>
      </c>
      <c r="H363" s="449">
        <f>64305+4537205+7734640+2175525+152010+198230190-5980497+5754505+3107172</f>
        <v>215775055</v>
      </c>
      <c r="I363" s="449">
        <v>0</v>
      </c>
      <c r="J363" s="449">
        <f>(506071198+'d2'!E37)</f>
        <v>489017798</v>
      </c>
      <c r="K363" s="449">
        <f>(506071198-181772123-6000000-700000+'d2'!F37)</f>
        <v>300545675</v>
      </c>
      <c r="L363" s="449">
        <f>(3616000+652000)+(163345550-3275910)+(9712850-109080)+(6580704-60368)+(2133019-79170)</f>
        <v>182515595</v>
      </c>
      <c r="M363" s="449">
        <f>(45127299+7102670+1953040+1042780)</f>
        <v>55225789</v>
      </c>
      <c r="N363" s="449">
        <f>(14370056+306880+465600+353328)</f>
        <v>15495864</v>
      </c>
      <c r="O363" s="449">
        <f>(2384000+48000+3275910+109080+60368+79170)+(506071198+'d2'!F37-181772123-6000000-700000)</f>
        <v>306502203</v>
      </c>
      <c r="P363" s="449">
        <f>(3699650691+'d2'!E37-'d4'!Q20)+15000000</f>
        <v>3697097291</v>
      </c>
      <c r="Q363" s="630" t="b">
        <f>E363+J363=P363</f>
        <v>1</v>
      </c>
      <c r="R363" s="314"/>
    </row>
    <row r="364" spans="1:18" ht="60.75" x14ac:dyDescent="0.2">
      <c r="A364" s="184"/>
      <c r="B364" s="185"/>
      <c r="C364" s="185"/>
      <c r="D364" s="185"/>
      <c r="E364" s="186"/>
      <c r="F364" s="186"/>
      <c r="G364" s="186"/>
      <c r="H364" s="186"/>
      <c r="I364" s="186"/>
      <c r="J364" s="186"/>
      <c r="K364" s="186"/>
      <c r="L364" s="186"/>
      <c r="M364" s="186"/>
      <c r="N364" s="186"/>
      <c r="O364" s="186"/>
      <c r="P364" s="186"/>
      <c r="Q364" s="630"/>
      <c r="R364" s="314"/>
    </row>
    <row r="365" spans="1:18" ht="75.75" customHeight="1" x14ac:dyDescent="0.65">
      <c r="A365" s="184"/>
      <c r="B365" s="185"/>
      <c r="C365" s="185"/>
      <c r="D365" s="444" t="s">
        <v>1335</v>
      </c>
      <c r="E365" s="445"/>
      <c r="F365" s="446"/>
      <c r="G365" s="445"/>
      <c r="H365" s="445"/>
      <c r="I365" s="447"/>
      <c r="J365" s="447"/>
      <c r="K365" s="445" t="s">
        <v>1336</v>
      </c>
      <c r="L365" s="447"/>
      <c r="M365" s="447"/>
      <c r="N365" s="447"/>
      <c r="O365" s="447"/>
      <c r="P365" s="447"/>
      <c r="Q365" s="652"/>
    </row>
    <row r="366" spans="1:18" ht="12.75" customHeight="1" x14ac:dyDescent="0.65">
      <c r="A366" s="184"/>
      <c r="B366" s="185"/>
      <c r="C366" s="185"/>
      <c r="D366" s="829"/>
      <c r="E366" s="829"/>
      <c r="F366" s="829"/>
      <c r="G366" s="829"/>
      <c r="H366" s="829"/>
      <c r="I366" s="829"/>
      <c r="J366" s="829"/>
      <c r="K366" s="829"/>
      <c r="L366" s="829"/>
      <c r="M366" s="829"/>
      <c r="N366" s="829"/>
      <c r="O366" s="829"/>
      <c r="P366" s="829"/>
      <c r="Q366" s="652"/>
    </row>
    <row r="367" spans="1:18" ht="46.5" thickBot="1" x14ac:dyDescent="0.7">
      <c r="A367" s="184"/>
      <c r="B367" s="185"/>
      <c r="C367" s="185"/>
      <c r="D367" s="448"/>
      <c r="E367" s="446"/>
      <c r="F367" s="446"/>
      <c r="G367" s="446"/>
      <c r="H367" s="448"/>
      <c r="I367" s="447"/>
      <c r="J367" s="447"/>
      <c r="K367" s="448"/>
      <c r="L367" s="447"/>
      <c r="M367" s="447"/>
      <c r="N367" s="447"/>
      <c r="O367" s="447"/>
      <c r="P367" s="447"/>
      <c r="Q367" s="652"/>
    </row>
    <row r="368" spans="1:18" ht="47.25" thickTop="1" thickBot="1" x14ac:dyDescent="0.7">
      <c r="A368" s="248"/>
      <c r="B368" s="248"/>
      <c r="C368" s="248"/>
      <c r="D368" s="783"/>
      <c r="E368" s="783"/>
      <c r="F368" s="783"/>
      <c r="G368" s="783"/>
      <c r="H368" s="783"/>
      <c r="I368" s="783"/>
      <c r="J368" s="783"/>
      <c r="K368" s="783"/>
      <c r="L368" s="783"/>
      <c r="M368" s="783"/>
      <c r="N368" s="783"/>
      <c r="O368" s="783"/>
      <c r="P368" s="783"/>
      <c r="Q368" s="653"/>
    </row>
    <row r="369" spans="1:18" ht="150.75" hidden="1" customHeight="1" x14ac:dyDescent="0.65">
      <c r="D369" s="783" t="s">
        <v>553</v>
      </c>
      <c r="E369" s="783"/>
      <c r="F369" s="783"/>
      <c r="G369" s="783"/>
      <c r="H369" s="783"/>
      <c r="I369" s="783"/>
      <c r="J369" s="783"/>
      <c r="K369" s="783"/>
      <c r="L369" s="783"/>
      <c r="M369" s="783"/>
      <c r="N369" s="783"/>
      <c r="O369" s="783"/>
      <c r="P369" s="783"/>
    </row>
    <row r="370" spans="1:18" ht="95.25" customHeight="1" thickTop="1" x14ac:dyDescent="0.55000000000000004">
      <c r="G370" s="316"/>
      <c r="H370" s="316"/>
      <c r="I370" s="675"/>
      <c r="J370" s="676"/>
      <c r="K370" s="676"/>
      <c r="L370" s="675"/>
      <c r="M370" s="675"/>
      <c r="N370" s="675"/>
      <c r="O370" s="675"/>
      <c r="P370" s="676"/>
      <c r="Q370" s="643"/>
    </row>
    <row r="371" spans="1:18" hidden="1" x14ac:dyDescent="0.2">
      <c r="E371" s="317"/>
      <c r="F371" s="318"/>
      <c r="G371" s="316"/>
      <c r="H371" s="316"/>
      <c r="I371" s="675"/>
      <c r="J371" s="677"/>
      <c r="K371" s="677"/>
      <c r="L371" s="675"/>
      <c r="M371" s="675"/>
      <c r="N371" s="675"/>
      <c r="O371" s="675"/>
      <c r="P371" s="676"/>
    </row>
    <row r="372" spans="1:18" hidden="1" x14ac:dyDescent="0.2">
      <c r="E372" s="317"/>
      <c r="F372" s="318"/>
      <c r="G372" s="316"/>
      <c r="H372" s="316"/>
      <c r="I372" s="675"/>
      <c r="J372" s="677"/>
      <c r="K372" s="677"/>
      <c r="L372" s="675"/>
      <c r="M372" s="675"/>
      <c r="N372" s="675"/>
      <c r="O372" s="675"/>
      <c r="P372" s="676"/>
    </row>
    <row r="373" spans="1:18" ht="60.75" x14ac:dyDescent="0.2">
      <c r="E373" s="630" t="b">
        <f>E363=E361</f>
        <v>1</v>
      </c>
      <c r="F373" s="630" t="b">
        <f>F363=F361</f>
        <v>1</v>
      </c>
      <c r="G373" s="630" t="b">
        <f>G363=G361</f>
        <v>1</v>
      </c>
      <c r="H373" s="630" t="b">
        <f t="shared" ref="H373:O373" si="415">H363=H361</f>
        <v>1</v>
      </c>
      <c r="I373" s="630" t="b">
        <f>I363=I361</f>
        <v>1</v>
      </c>
      <c r="J373" s="630" t="b">
        <f>J361=J363</f>
        <v>1</v>
      </c>
      <c r="K373" s="630" t="b">
        <f>K363=K361</f>
        <v>1</v>
      </c>
      <c r="L373" s="630" t="b">
        <f t="shared" si="415"/>
        <v>1</v>
      </c>
      <c r="M373" s="630" t="b">
        <f t="shared" si="415"/>
        <v>1</v>
      </c>
      <c r="N373" s="630" t="b">
        <f>N363=N361</f>
        <v>1</v>
      </c>
      <c r="O373" s="630" t="b">
        <f t="shared" si="415"/>
        <v>1</v>
      </c>
      <c r="P373" s="630" t="b">
        <f>P363=P361</f>
        <v>1</v>
      </c>
    </row>
    <row r="374" spans="1:18" ht="61.5" x14ac:dyDescent="0.2">
      <c r="E374" s="630" t="b">
        <f>E361=F361</f>
        <v>1</v>
      </c>
      <c r="F374" s="668">
        <f>F354/E361*100</f>
        <v>9.3513892238205831E-2</v>
      </c>
      <c r="G374" s="669" t="s">
        <v>334</v>
      </c>
      <c r="H374" s="670"/>
      <c r="I374" s="671"/>
      <c r="J374" s="630" t="b">
        <f>J363=L363+O363</f>
        <v>1</v>
      </c>
      <c r="K374" s="678"/>
      <c r="L374" s="630"/>
      <c r="M374" s="671"/>
      <c r="N374" s="671"/>
      <c r="O374" s="630"/>
      <c r="P374" s="630" t="b">
        <f>E361+J361=P361</f>
        <v>1</v>
      </c>
    </row>
    <row r="375" spans="1:18" ht="60.75" x14ac:dyDescent="0.2">
      <c r="E375" s="672"/>
      <c r="F375" s="673"/>
      <c r="G375" s="672"/>
      <c r="H375" s="674"/>
      <c r="I375" s="672"/>
      <c r="J375" s="317"/>
      <c r="K375" s="317"/>
    </row>
    <row r="376" spans="1:18" ht="61.5" x14ac:dyDescent="0.2">
      <c r="A376" s="250"/>
      <c r="B376" s="250"/>
      <c r="C376" s="250"/>
      <c r="D376" s="251"/>
      <c r="E376" s="250"/>
      <c r="F376" s="320"/>
      <c r="G376" s="320"/>
      <c r="H376" s="319"/>
      <c r="I376" s="251"/>
      <c r="J376" s="283">
        <f>J361-J363</f>
        <v>0</v>
      </c>
      <c r="K376" s="283">
        <f>K361-K363</f>
        <v>0</v>
      </c>
      <c r="L376" s="283"/>
      <c r="M376" s="283"/>
      <c r="N376" s="283"/>
      <c r="O376" s="283">
        <f>O361-O363</f>
        <v>0</v>
      </c>
      <c r="P376" s="283"/>
    </row>
    <row r="377" spans="1:18" ht="61.5" x14ac:dyDescent="0.2">
      <c r="D377" s="251"/>
      <c r="E377" s="283"/>
      <c r="F377" s="321"/>
      <c r="G377" s="313"/>
      <c r="H377" s="319"/>
      <c r="I377" s="251"/>
      <c r="J377" s="283"/>
      <c r="K377" s="283"/>
      <c r="L377" s="322"/>
      <c r="P377" s="313"/>
      <c r="Q377" s="654"/>
      <c r="R377" s="323"/>
    </row>
    <row r="378" spans="1:18" ht="60.75" x14ac:dyDescent="0.2">
      <c r="A378" s="250"/>
      <c r="B378" s="250"/>
      <c r="C378" s="250"/>
      <c r="D378" s="251"/>
      <c r="E378" s="257"/>
      <c r="F378" s="257"/>
      <c r="G378" s="257"/>
      <c r="H378" s="257"/>
      <c r="I378" s="324"/>
      <c r="J378" s="257"/>
      <c r="K378" s="257"/>
      <c r="L378" s="257"/>
      <c r="M378" s="257"/>
      <c r="N378" s="257"/>
      <c r="O378" s="257"/>
      <c r="P378" s="257"/>
      <c r="Q378" s="654"/>
      <c r="R378" s="323"/>
    </row>
    <row r="379" spans="1:18" ht="60.75" x14ac:dyDescent="0.2">
      <c r="D379" s="251"/>
      <c r="E379" s="283"/>
      <c r="F379" s="325"/>
      <c r="G379" s="326"/>
      <c r="O379" s="313"/>
      <c r="P379" s="313"/>
    </row>
    <row r="380" spans="1:18" ht="60.75" x14ac:dyDescent="0.2">
      <c r="A380" s="250"/>
      <c r="B380" s="250"/>
      <c r="C380" s="250"/>
      <c r="D380" s="251"/>
      <c r="E380" s="283"/>
      <c r="F380" s="320"/>
      <c r="G380" s="322"/>
      <c r="I380" s="327"/>
      <c r="J380" s="317"/>
      <c r="K380" s="317"/>
      <c r="L380" s="250"/>
      <c r="M380" s="250"/>
      <c r="N380" s="250"/>
      <c r="O380" s="250"/>
      <c r="P380" s="313"/>
    </row>
    <row r="381" spans="1:18" ht="62.25" x14ac:dyDescent="0.8">
      <c r="A381" s="250"/>
      <c r="B381" s="250"/>
      <c r="C381" s="250"/>
      <c r="D381" s="250"/>
      <c r="E381" s="328"/>
      <c r="F381" s="320"/>
      <c r="J381" s="317"/>
      <c r="K381" s="317"/>
      <c r="L381" s="250"/>
      <c r="M381" s="250"/>
      <c r="N381" s="250"/>
      <c r="O381" s="250"/>
      <c r="P381" s="329"/>
    </row>
    <row r="382" spans="1:18" ht="45.75" x14ac:dyDescent="0.2">
      <c r="E382" s="330"/>
      <c r="F382" s="325"/>
    </row>
    <row r="383" spans="1:18" ht="45.75" x14ac:dyDescent="0.2">
      <c r="A383" s="250"/>
      <c r="B383" s="250"/>
      <c r="C383" s="250"/>
      <c r="D383" s="250"/>
      <c r="E383" s="328"/>
      <c r="F383" s="320"/>
      <c r="L383" s="250"/>
      <c r="M383" s="250"/>
      <c r="N383" s="250"/>
      <c r="O383" s="250"/>
      <c r="P383" s="250"/>
    </row>
    <row r="384" spans="1:18" ht="45.75" x14ac:dyDescent="0.2">
      <c r="E384" s="331"/>
      <c r="F384" s="325"/>
    </row>
    <row r="385" spans="1:16" ht="45.75" x14ac:dyDescent="0.2">
      <c r="E385" s="331"/>
      <c r="F385" s="325"/>
    </row>
    <row r="386" spans="1:16" ht="45.75" x14ac:dyDescent="0.2">
      <c r="E386" s="331"/>
      <c r="F386" s="325"/>
    </row>
    <row r="387" spans="1:16" ht="45.75" x14ac:dyDescent="0.2">
      <c r="A387" s="250"/>
      <c r="B387" s="250"/>
      <c r="C387" s="250"/>
      <c r="D387" s="250"/>
      <c r="E387" s="331"/>
      <c r="F387" s="325"/>
      <c r="G387" s="250"/>
      <c r="H387" s="250"/>
      <c r="I387" s="250"/>
      <c r="J387" s="250"/>
      <c r="K387" s="250"/>
      <c r="L387" s="250"/>
      <c r="M387" s="250"/>
      <c r="N387" s="250"/>
      <c r="O387" s="250"/>
      <c r="P387" s="250"/>
    </row>
    <row r="388" spans="1:16" ht="45.75" x14ac:dyDescent="0.2">
      <c r="A388" s="250"/>
      <c r="B388" s="250"/>
      <c r="C388" s="250"/>
      <c r="D388" s="250"/>
      <c r="E388" s="331"/>
      <c r="F388" s="325"/>
      <c r="G388" s="250"/>
      <c r="H388" s="250"/>
      <c r="I388" s="250"/>
      <c r="J388" s="250"/>
      <c r="K388" s="250"/>
      <c r="L388" s="250"/>
      <c r="M388" s="250"/>
      <c r="N388" s="250"/>
      <c r="O388" s="250"/>
      <c r="P388" s="250"/>
    </row>
    <row r="389" spans="1:16" ht="45.75" x14ac:dyDescent="0.2">
      <c r="A389" s="250"/>
      <c r="B389" s="250"/>
      <c r="C389" s="250"/>
      <c r="D389" s="250"/>
      <c r="E389" s="331"/>
      <c r="F389" s="325"/>
      <c r="G389" s="250"/>
      <c r="H389" s="250"/>
      <c r="I389" s="250"/>
      <c r="J389" s="250"/>
      <c r="K389" s="250"/>
      <c r="L389" s="250"/>
      <c r="M389" s="250"/>
      <c r="N389" s="250"/>
      <c r="O389" s="250"/>
      <c r="P389" s="250"/>
    </row>
    <row r="390" spans="1:16" ht="45.75" x14ac:dyDescent="0.2">
      <c r="A390" s="250"/>
      <c r="B390" s="250"/>
      <c r="C390" s="250"/>
      <c r="D390" s="250"/>
      <c r="E390" s="331"/>
      <c r="F390" s="325"/>
      <c r="G390" s="250"/>
      <c r="H390" s="250"/>
      <c r="I390" s="250"/>
      <c r="J390" s="250"/>
      <c r="K390" s="250"/>
      <c r="L390" s="250"/>
      <c r="M390" s="250"/>
      <c r="N390" s="250"/>
      <c r="O390" s="250"/>
      <c r="P390" s="250"/>
    </row>
  </sheetData>
  <mergeCells count="198">
    <mergeCell ref="M151:M153"/>
    <mergeCell ref="N151:N153"/>
    <mergeCell ref="O151:O153"/>
    <mergeCell ref="P151:P153"/>
    <mergeCell ref="R151:R153"/>
    <mergeCell ref="C151:C153"/>
    <mergeCell ref="E151:E153"/>
    <mergeCell ref="F151:F153"/>
    <mergeCell ref="G151:G153"/>
    <mergeCell ref="H151:H153"/>
    <mergeCell ref="I151:I153"/>
    <mergeCell ref="J151:J153"/>
    <mergeCell ref="K151:K153"/>
    <mergeCell ref="L151:L153"/>
    <mergeCell ref="R141:R143"/>
    <mergeCell ref="R148:R150"/>
    <mergeCell ref="A148:A150"/>
    <mergeCell ref="B148:B150"/>
    <mergeCell ref="C148:C150"/>
    <mergeCell ref="E148:E150"/>
    <mergeCell ref="F148:F150"/>
    <mergeCell ref="G148:G150"/>
    <mergeCell ref="H148:H150"/>
    <mergeCell ref="I148:I150"/>
    <mergeCell ref="J148:J150"/>
    <mergeCell ref="K148:K150"/>
    <mergeCell ref="L148:L150"/>
    <mergeCell ref="M148:M150"/>
    <mergeCell ref="N148:N150"/>
    <mergeCell ref="O148:O150"/>
    <mergeCell ref="P148:P150"/>
    <mergeCell ref="R144:R147"/>
    <mergeCell ref="B144:B147"/>
    <mergeCell ref="C144:C147"/>
    <mergeCell ref="E144:E147"/>
    <mergeCell ref="F144:F147"/>
    <mergeCell ref="G144:G147"/>
    <mergeCell ref="H144:H147"/>
    <mergeCell ref="N144:N147"/>
    <mergeCell ref="O144:O147"/>
    <mergeCell ref="P144:P147"/>
    <mergeCell ref="J141:J143"/>
    <mergeCell ref="K141:K143"/>
    <mergeCell ref="L141:L143"/>
    <mergeCell ref="M141:M143"/>
    <mergeCell ref="N141:N143"/>
    <mergeCell ref="O141:O143"/>
    <mergeCell ref="P141:P143"/>
    <mergeCell ref="Q141:Q143"/>
    <mergeCell ref="A144:A147"/>
    <mergeCell ref="P294:P295"/>
    <mergeCell ref="I70:I71"/>
    <mergeCell ref="J70:J71"/>
    <mergeCell ref="K70:K71"/>
    <mergeCell ref="L70:L71"/>
    <mergeCell ref="A294:A295"/>
    <mergeCell ref="B294:B295"/>
    <mergeCell ref="C294:C295"/>
    <mergeCell ref="E294:E295"/>
    <mergeCell ref="F294:F295"/>
    <mergeCell ref="G294:G295"/>
    <mergeCell ref="H294:H295"/>
    <mergeCell ref="I294:I295"/>
    <mergeCell ref="J294:J295"/>
    <mergeCell ref="F70:F71"/>
    <mergeCell ref="G70:G71"/>
    <mergeCell ref="H70:H71"/>
    <mergeCell ref="M70:M71"/>
    <mergeCell ref="N70:N71"/>
    <mergeCell ref="B267:B268"/>
    <mergeCell ref="C267:C268"/>
    <mergeCell ref="O70:O71"/>
    <mergeCell ref="P70:P71"/>
    <mergeCell ref="A141:A143"/>
    <mergeCell ref="D366:P366"/>
    <mergeCell ref="O51:O52"/>
    <mergeCell ref="P51:P52"/>
    <mergeCell ref="G51:G52"/>
    <mergeCell ref="H51:H52"/>
    <mergeCell ref="I51:I52"/>
    <mergeCell ref="J51:J52"/>
    <mergeCell ref="K51:K52"/>
    <mergeCell ref="O267:O268"/>
    <mergeCell ref="P267:P268"/>
    <mergeCell ref="K267:K268"/>
    <mergeCell ref="L267:L268"/>
    <mergeCell ref="M267:M268"/>
    <mergeCell ref="N267:N268"/>
    <mergeCell ref="K294:K295"/>
    <mergeCell ref="L294:L295"/>
    <mergeCell ref="M294:M295"/>
    <mergeCell ref="N294:N295"/>
    <mergeCell ref="O294:O295"/>
    <mergeCell ref="E267:E268"/>
    <mergeCell ref="F267:F268"/>
    <mergeCell ref="G267:G268"/>
    <mergeCell ref="H267:H268"/>
    <mergeCell ref="I267:I268"/>
    <mergeCell ref="I29:I30"/>
    <mergeCell ref="B29:B30"/>
    <mergeCell ref="C29:C30"/>
    <mergeCell ref="J267:J268"/>
    <mergeCell ref="A242:A243"/>
    <mergeCell ref="B242:B243"/>
    <mergeCell ref="C242:C243"/>
    <mergeCell ref="J167:J168"/>
    <mergeCell ref="A167:A168"/>
    <mergeCell ref="B167:B168"/>
    <mergeCell ref="A70:A71"/>
    <mergeCell ref="B70:B71"/>
    <mergeCell ref="B141:B143"/>
    <mergeCell ref="A151:A153"/>
    <mergeCell ref="B151:B153"/>
    <mergeCell ref="I144:I147"/>
    <mergeCell ref="J144:J147"/>
    <mergeCell ref="P242:P243"/>
    <mergeCell ref="K167:K168"/>
    <mergeCell ref="L167:L168"/>
    <mergeCell ref="M167:M168"/>
    <mergeCell ref="N167:N168"/>
    <mergeCell ref="O167:O168"/>
    <mergeCell ref="P167:P168"/>
    <mergeCell ref="K242:K243"/>
    <mergeCell ref="L242:L243"/>
    <mergeCell ref="M242:M243"/>
    <mergeCell ref="N242:N243"/>
    <mergeCell ref="O242:O243"/>
    <mergeCell ref="L51:L52"/>
    <mergeCell ref="M51:M52"/>
    <mergeCell ref="N51:N52"/>
    <mergeCell ref="G167:G168"/>
    <mergeCell ref="C51:C52"/>
    <mergeCell ref="E51:E52"/>
    <mergeCell ref="F51:F52"/>
    <mergeCell ref="H167:H168"/>
    <mergeCell ref="I167:I168"/>
    <mergeCell ref="C167:C168"/>
    <mergeCell ref="E167:E168"/>
    <mergeCell ref="F167:F168"/>
    <mergeCell ref="C70:C71"/>
    <mergeCell ref="D70:D71"/>
    <mergeCell ref="E70:E71"/>
    <mergeCell ref="C141:C143"/>
    <mergeCell ref="E141:E143"/>
    <mergeCell ref="F141:F143"/>
    <mergeCell ref="G141:G143"/>
    <mergeCell ref="H141:H143"/>
    <mergeCell ref="I141:I143"/>
    <mergeCell ref="K144:K147"/>
    <mergeCell ref="L144:L147"/>
    <mergeCell ref="M144:M147"/>
    <mergeCell ref="N1:Q1"/>
    <mergeCell ref="N2:Q2"/>
    <mergeCell ref="O3:P3"/>
    <mergeCell ref="A5:P5"/>
    <mergeCell ref="A6:P6"/>
    <mergeCell ref="A8:B8"/>
    <mergeCell ref="J11:O11"/>
    <mergeCell ref="P11:P13"/>
    <mergeCell ref="E12:E13"/>
    <mergeCell ref="F12:F13"/>
    <mergeCell ref="G12:H12"/>
    <mergeCell ref="I12:I13"/>
    <mergeCell ref="J12:J13"/>
    <mergeCell ref="K12:K13"/>
    <mergeCell ref="L12:L13"/>
    <mergeCell ref="M12:N12"/>
    <mergeCell ref="O12:O13"/>
    <mergeCell ref="A9:B9"/>
    <mergeCell ref="A11:A13"/>
    <mergeCell ref="B11:B13"/>
    <mergeCell ref="C11:C13"/>
    <mergeCell ref="D11:D13"/>
    <mergeCell ref="E11:I11"/>
    <mergeCell ref="D369:P369"/>
    <mergeCell ref="A362:P362"/>
    <mergeCell ref="D368:P368"/>
    <mergeCell ref="K29:K30"/>
    <mergeCell ref="L29:L30"/>
    <mergeCell ref="M29:M30"/>
    <mergeCell ref="N29:N30"/>
    <mergeCell ref="O29:O30"/>
    <mergeCell ref="P29:P30"/>
    <mergeCell ref="E242:E243"/>
    <mergeCell ref="F242:F243"/>
    <mergeCell ref="G242:G243"/>
    <mergeCell ref="H242:H243"/>
    <mergeCell ref="I242:I243"/>
    <mergeCell ref="J242:J243"/>
    <mergeCell ref="A29:A30"/>
    <mergeCell ref="E29:E30"/>
    <mergeCell ref="F29:F30"/>
    <mergeCell ref="G29:G30"/>
    <mergeCell ref="H29:H30"/>
    <mergeCell ref="J29:J30"/>
    <mergeCell ref="A267:A268"/>
    <mergeCell ref="A51:A52"/>
    <mergeCell ref="B51:B52"/>
  </mergeCells>
  <conditionalFormatting sqref="Q347:Q348 Q350:R351 R349:S349">
    <cfRule type="iconSet" priority="21">
      <iconSet iconSet="3Arrows">
        <cfvo type="percent" val="0"/>
        <cfvo type="percent" val="33"/>
        <cfvo type="percent" val="67"/>
      </iconSet>
    </cfRule>
  </conditionalFormatting>
  <conditionalFormatting sqref="R340:R342 Q338:R339">
    <cfRule type="iconSet" priority="20">
      <iconSet iconSet="3Arrows">
        <cfvo type="percent" val="0"/>
        <cfvo type="percent" val="33"/>
        <cfvo type="percent" val="67"/>
      </iconSet>
    </cfRule>
  </conditionalFormatting>
  <conditionalFormatting sqref="R348">
    <cfRule type="iconSet" priority="19">
      <iconSet iconSet="3Arrows">
        <cfvo type="percent" val="0"/>
        <cfvo type="percent" val="33"/>
        <cfvo type="percent" val="67"/>
      </iconSet>
    </cfRule>
  </conditionalFormatting>
  <conditionalFormatting sqref="Q317:R321">
    <cfRule type="iconSet" priority="23">
      <iconSet iconSet="3Arrows">
        <cfvo type="percent" val="0"/>
        <cfvo type="percent" val="33"/>
        <cfvo type="percent" val="67"/>
      </iconSet>
    </cfRule>
  </conditionalFormatting>
  <conditionalFormatting sqref="Q305:Q306">
    <cfRule type="iconSet" priority="16">
      <iconSet iconSet="3Arrows">
        <cfvo type="percent" val="0"/>
        <cfvo type="percent" val="33"/>
        <cfvo type="percent" val="67"/>
      </iconSet>
    </cfRule>
  </conditionalFormatting>
  <conditionalFormatting sqref="R305:R306">
    <cfRule type="iconSet" priority="15">
      <iconSet iconSet="3Arrows">
        <cfvo type="percent" val="0"/>
        <cfvo type="percent" val="33"/>
        <cfvo type="percent" val="67"/>
      </iconSet>
    </cfRule>
  </conditionalFormatting>
  <conditionalFormatting sqref="R297:R298">
    <cfRule type="iconSet" priority="13">
      <iconSet iconSet="3Arrows">
        <cfvo type="percent" val="0"/>
        <cfvo type="percent" val="33"/>
        <cfvo type="percent" val="67"/>
      </iconSet>
    </cfRule>
  </conditionalFormatting>
  <conditionalFormatting sqref="Q297:Q303">
    <cfRule type="iconSet" priority="28">
      <iconSet iconSet="3Arrows">
        <cfvo type="percent" val="0"/>
        <cfvo type="percent" val="33"/>
        <cfvo type="percent" val="67"/>
      </iconSet>
    </cfRule>
  </conditionalFormatting>
  <conditionalFormatting sqref="R299:R303">
    <cfRule type="iconSet" priority="12">
      <iconSet iconSet="3Arrows">
        <cfvo type="percent" val="0"/>
        <cfvo type="percent" val="33"/>
        <cfvo type="percent" val="67"/>
      </iconSet>
    </cfRule>
  </conditionalFormatting>
  <conditionalFormatting sqref="R330:R331">
    <cfRule type="iconSet" priority="11">
      <iconSet iconSet="3Arrows">
        <cfvo type="percent" val="0"/>
        <cfvo type="percent" val="33"/>
        <cfvo type="percent" val="67"/>
      </iconSet>
    </cfRule>
  </conditionalFormatting>
  <conditionalFormatting sqref="R322:R328">
    <cfRule type="iconSet" priority="38">
      <iconSet iconSet="3Arrows">
        <cfvo type="percent" val="0"/>
        <cfvo type="percent" val="33"/>
        <cfvo type="percent" val="67"/>
      </iconSet>
    </cfRule>
  </conditionalFormatting>
  <conditionalFormatting sqref="Q336">
    <cfRule type="iconSet" priority="7">
      <iconSet iconSet="3Arrows">
        <cfvo type="percent" val="0"/>
        <cfvo type="percent" val="33"/>
        <cfvo type="percent" val="67"/>
      </iconSet>
    </cfRule>
  </conditionalFormatting>
  <conditionalFormatting sqref="Q349">
    <cfRule type="iconSet" priority="4">
      <iconSet iconSet="3Arrows">
        <cfvo type="percent" val="0"/>
        <cfvo type="percent" val="33"/>
        <cfvo type="percent" val="67"/>
      </iconSet>
    </cfRule>
  </conditionalFormatting>
  <conditionalFormatting sqref="R347">
    <cfRule type="iconSet" priority="3">
      <iconSet iconSet="3Arrows">
        <cfvo type="percent" val="0"/>
        <cfvo type="percent" val="33"/>
        <cfvo type="percent" val="67"/>
      </iconSet>
    </cfRule>
  </conditionalFormatting>
  <conditionalFormatting sqref="R343">
    <cfRule type="iconSet" priority="2">
      <iconSet iconSet="3Arrows">
        <cfvo type="percent" val="0"/>
        <cfvo type="percent" val="33"/>
        <cfvo type="percent" val="67"/>
      </iconSet>
    </cfRule>
  </conditionalFormatting>
  <conditionalFormatting sqref="R345">
    <cfRule type="iconSet" priority="1">
      <iconSet iconSet="3Arrows">
        <cfvo type="percent" val="0"/>
        <cfvo type="percent" val="33"/>
        <cfvo type="percent" val="67"/>
      </iconSet>
    </cfRule>
  </conditionalFormatting>
  <conditionalFormatting sqref="R332:R335">
    <cfRule type="iconSet" priority="42">
      <iconSet iconSet="3Arrows">
        <cfvo type="percent" val="0"/>
        <cfvo type="percent" val="33"/>
        <cfvo type="percent" val="67"/>
      </iconSet>
    </cfRule>
  </conditionalFormatting>
  <conditionalFormatting sqref="Q330:Q335">
    <cfRule type="iconSet" priority="43">
      <iconSet iconSet="3Arrows">
        <cfvo type="percent" val="0"/>
        <cfvo type="percent" val="33"/>
        <cfvo type="percent" val="67"/>
      </iconSet>
    </cfRule>
  </conditionalFormatting>
  <conditionalFormatting sqref="Q307:Q315">
    <cfRule type="iconSet" priority="47">
      <iconSet iconSet="3Arrows">
        <cfvo type="percent" val="0"/>
        <cfvo type="percent" val="33"/>
        <cfvo type="percent" val="67"/>
      </iconSet>
    </cfRule>
  </conditionalFormatting>
  <conditionalFormatting sqref="R307:R315">
    <cfRule type="iconSet" priority="49">
      <iconSet iconSet="3Arrows">
        <cfvo type="percent" val="0"/>
        <cfvo type="percent" val="33"/>
        <cfvo type="percent" val="67"/>
      </iconSet>
    </cfRule>
  </conditionalFormatting>
  <pageMargins left="0.23622047244094491" right="0.27559055118110237" top="0.27559055118110237" bottom="0.15748031496062992" header="0.23622047244094491" footer="0.27559055118110237"/>
  <pageSetup paperSize="9" scale="15" orientation="landscape" horizontalDpi="4294967295" verticalDpi="4294967295" r:id="rId1"/>
  <headerFooter alignWithMargins="0">
    <oddFooter>&amp;C&amp;"Times New Roman Cyr,курсив"Сторінка &amp;P з &amp;N</oddFooter>
  </headerFooter>
  <rowBreaks count="2" manualBreakCount="2">
    <brk id="37" max="15" man="1"/>
    <brk id="257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Аркуш4"/>
  <dimension ref="A1:R167"/>
  <sheetViews>
    <sheetView showGridLines="0" view="pageBreakPreview" topLeftCell="B10" zoomScale="85" zoomScaleNormal="85" zoomScaleSheetLayoutView="85" workbookViewId="0">
      <selection activeCell="K23" sqref="K23"/>
    </sheetView>
  </sheetViews>
  <sheetFormatPr defaultColWidth="7.85546875" defaultRowHeight="12.75" x14ac:dyDescent="0.2"/>
  <cols>
    <col min="1" max="1" width="0" style="7" hidden="1" customWidth="1"/>
    <col min="2" max="2" width="13" style="14" customWidth="1"/>
    <col min="3" max="3" width="13.5703125" style="14" customWidth="1"/>
    <col min="4" max="4" width="15.28515625" style="14" customWidth="1"/>
    <col min="5" max="5" width="38.85546875" style="14" customWidth="1"/>
    <col min="6" max="6" width="11.85546875" style="14" bestFit="1" customWidth="1"/>
    <col min="7" max="7" width="11.85546875" style="14" customWidth="1"/>
    <col min="8" max="8" width="13.28515625" style="14" customWidth="1"/>
    <col min="9" max="9" width="12.5703125" style="14" customWidth="1"/>
    <col min="10" max="10" width="12.140625" style="14" customWidth="1"/>
    <col min="11" max="11" width="18.140625" style="14" customWidth="1"/>
    <col min="12" max="12" width="13.5703125" style="14" customWidth="1"/>
    <col min="13" max="13" width="13" style="14" customWidth="1"/>
    <col min="14" max="14" width="11.42578125" style="14" customWidth="1"/>
    <col min="15" max="15" width="12.7109375" style="14" customWidth="1"/>
    <col min="16" max="16" width="12.5703125" style="14" customWidth="1"/>
    <col min="17" max="17" width="12.7109375" style="14" customWidth="1"/>
    <col min="18" max="18" width="10" style="109" bestFit="1" customWidth="1"/>
    <col min="19" max="16384" width="7.85546875" style="14"/>
  </cols>
  <sheetData>
    <row r="1" spans="1:18" x14ac:dyDescent="0.2"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18" ht="64.5" customHeight="1" x14ac:dyDescent="0.2">
      <c r="B2" s="67"/>
      <c r="C2" s="67"/>
      <c r="D2" s="67"/>
      <c r="E2" s="71"/>
      <c r="F2" s="71"/>
      <c r="G2" s="71"/>
      <c r="H2" s="71"/>
      <c r="I2" s="71"/>
      <c r="J2" s="71"/>
      <c r="K2" s="71"/>
      <c r="L2" s="71"/>
      <c r="M2" s="855" t="s">
        <v>1049</v>
      </c>
      <c r="N2" s="855"/>
      <c r="O2" s="855"/>
      <c r="P2" s="855"/>
      <c r="Q2" s="855"/>
    </row>
    <row r="3" spans="1:18" ht="18.75" x14ac:dyDescent="0.2">
      <c r="B3" s="841"/>
      <c r="C3" s="841"/>
      <c r="D3" s="67"/>
      <c r="E3" s="851" t="s">
        <v>604</v>
      </c>
      <c r="F3" s="851"/>
      <c r="G3" s="851"/>
      <c r="H3" s="851"/>
      <c r="I3" s="851"/>
      <c r="J3" s="851"/>
      <c r="K3" s="851"/>
      <c r="L3" s="851"/>
      <c r="M3" s="851"/>
      <c r="N3" s="397"/>
      <c r="O3" s="397"/>
      <c r="P3" s="397"/>
      <c r="Q3" s="397"/>
    </row>
    <row r="4" spans="1:18" s="99" customFormat="1" ht="21" customHeight="1" x14ac:dyDescent="0.2">
      <c r="A4" s="7"/>
      <c r="B4" s="398"/>
      <c r="C4" s="399"/>
      <c r="D4" s="400"/>
      <c r="E4" s="851" t="s">
        <v>1243</v>
      </c>
      <c r="F4" s="852"/>
      <c r="G4" s="852"/>
      <c r="H4" s="852"/>
      <c r="I4" s="852"/>
      <c r="J4" s="852"/>
      <c r="K4" s="852"/>
      <c r="L4" s="852"/>
      <c r="M4" s="852"/>
      <c r="N4" s="67"/>
      <c r="O4" s="67"/>
      <c r="P4" s="67"/>
      <c r="Q4" s="401"/>
      <c r="R4" s="109"/>
    </row>
    <row r="5" spans="1:18" s="60" customFormat="1" ht="12" customHeight="1" x14ac:dyDescent="0.2">
      <c r="A5" s="7"/>
      <c r="B5" s="842">
        <v>22564000000</v>
      </c>
      <c r="C5" s="843"/>
      <c r="D5" s="400"/>
      <c r="E5" s="402"/>
      <c r="F5" s="402"/>
      <c r="G5" s="402"/>
      <c r="H5" s="402"/>
      <c r="I5" s="402"/>
      <c r="J5" s="402"/>
      <c r="K5" s="402"/>
      <c r="L5" s="402"/>
      <c r="M5" s="402"/>
      <c r="N5" s="67"/>
      <c r="O5" s="67"/>
      <c r="P5" s="67"/>
      <c r="Q5" s="401"/>
      <c r="R5" s="109"/>
    </row>
    <row r="6" spans="1:18" s="60" customFormat="1" ht="12" customHeight="1" x14ac:dyDescent="0.2">
      <c r="A6" s="7"/>
      <c r="B6" s="844" t="s">
        <v>515</v>
      </c>
      <c r="C6" s="845"/>
      <c r="D6" s="400"/>
      <c r="E6" s="402"/>
      <c r="F6" s="402"/>
      <c r="G6" s="402"/>
      <c r="H6" s="402"/>
      <c r="I6" s="402"/>
      <c r="J6" s="402"/>
      <c r="K6" s="402"/>
      <c r="L6" s="402"/>
      <c r="M6" s="402"/>
      <c r="N6" s="67"/>
      <c r="O6" s="67"/>
      <c r="P6" s="67"/>
      <c r="Q6" s="401"/>
      <c r="R6" s="109"/>
    </row>
    <row r="7" spans="1:18" ht="21" customHeight="1" thickBot="1" x14ac:dyDescent="0.35">
      <c r="B7" s="403"/>
      <c r="C7" s="403"/>
      <c r="D7" s="400"/>
      <c r="E7" s="402"/>
      <c r="F7" s="402"/>
      <c r="G7" s="402"/>
      <c r="H7" s="402"/>
      <c r="I7" s="402"/>
      <c r="J7" s="402"/>
      <c r="K7" s="402"/>
      <c r="L7" s="402"/>
      <c r="M7" s="402"/>
      <c r="N7" s="67"/>
      <c r="O7" s="67"/>
      <c r="P7" s="67"/>
      <c r="Q7" s="404" t="s">
        <v>422</v>
      </c>
    </row>
    <row r="8" spans="1:18" ht="17.45" customHeight="1" thickTop="1" thickBot="1" x14ac:dyDescent="0.25">
      <c r="A8" s="405"/>
      <c r="B8" s="847" t="s">
        <v>516</v>
      </c>
      <c r="C8" s="848" t="s">
        <v>517</v>
      </c>
      <c r="D8" s="848" t="s">
        <v>408</v>
      </c>
      <c r="E8" s="848" t="s">
        <v>606</v>
      </c>
      <c r="F8" s="847" t="s">
        <v>131</v>
      </c>
      <c r="G8" s="847"/>
      <c r="H8" s="847"/>
      <c r="I8" s="847"/>
      <c r="J8" s="847" t="s">
        <v>132</v>
      </c>
      <c r="K8" s="847"/>
      <c r="L8" s="847"/>
      <c r="M8" s="847"/>
      <c r="N8" s="847" t="s">
        <v>407</v>
      </c>
      <c r="O8" s="847"/>
      <c r="P8" s="847"/>
      <c r="Q8" s="847"/>
    </row>
    <row r="9" spans="1:18" ht="28.5" customHeight="1" thickTop="1" thickBot="1" x14ac:dyDescent="0.25">
      <c r="A9" s="406"/>
      <c r="B9" s="847"/>
      <c r="C9" s="813"/>
      <c r="D9" s="813"/>
      <c r="E9" s="849"/>
      <c r="F9" s="850" t="s">
        <v>404</v>
      </c>
      <c r="G9" s="850" t="s">
        <v>405</v>
      </c>
      <c r="H9" s="853"/>
      <c r="I9" s="850" t="s">
        <v>406</v>
      </c>
      <c r="J9" s="850" t="s">
        <v>404</v>
      </c>
      <c r="K9" s="850" t="s">
        <v>405</v>
      </c>
      <c r="L9" s="853"/>
      <c r="M9" s="850" t="s">
        <v>406</v>
      </c>
      <c r="N9" s="850" t="s">
        <v>404</v>
      </c>
      <c r="O9" s="850" t="s">
        <v>405</v>
      </c>
      <c r="P9" s="853"/>
      <c r="Q9" s="850" t="s">
        <v>406</v>
      </c>
    </row>
    <row r="10" spans="1:18" ht="65.25" customHeight="1" thickTop="1" thickBot="1" x14ac:dyDescent="0.25">
      <c r="A10" s="71"/>
      <c r="B10" s="847"/>
      <c r="C10" s="813"/>
      <c r="D10" s="813"/>
      <c r="E10" s="813"/>
      <c r="F10" s="850"/>
      <c r="G10" s="409" t="s">
        <v>402</v>
      </c>
      <c r="H10" s="409" t="s">
        <v>403</v>
      </c>
      <c r="I10" s="850"/>
      <c r="J10" s="850"/>
      <c r="K10" s="409" t="s">
        <v>402</v>
      </c>
      <c r="L10" s="409" t="s">
        <v>403</v>
      </c>
      <c r="M10" s="850"/>
      <c r="N10" s="850"/>
      <c r="O10" s="409" t="s">
        <v>402</v>
      </c>
      <c r="P10" s="409" t="s">
        <v>403</v>
      </c>
      <c r="Q10" s="850"/>
    </row>
    <row r="11" spans="1:18" ht="15" customHeight="1" thickTop="1" thickBot="1" x14ac:dyDescent="0.25">
      <c r="A11" s="71"/>
      <c r="B11" s="407">
        <v>1</v>
      </c>
      <c r="C11" s="408">
        <v>2</v>
      </c>
      <c r="D11" s="407">
        <v>3</v>
      </c>
      <c r="E11" s="408">
        <v>4</v>
      </c>
      <c r="F11" s="407">
        <v>5</v>
      </c>
      <c r="G11" s="408">
        <v>6</v>
      </c>
      <c r="H11" s="407">
        <v>7</v>
      </c>
      <c r="I11" s="408">
        <v>8</v>
      </c>
      <c r="J11" s="407">
        <v>9</v>
      </c>
      <c r="K11" s="408">
        <v>10</v>
      </c>
      <c r="L11" s="407">
        <v>11</v>
      </c>
      <c r="M11" s="408">
        <v>12</v>
      </c>
      <c r="N11" s="407">
        <v>13</v>
      </c>
      <c r="O11" s="408">
        <v>14</v>
      </c>
      <c r="P11" s="407">
        <v>15</v>
      </c>
      <c r="Q11" s="408">
        <v>16</v>
      </c>
    </row>
    <row r="12" spans="1:18" s="16" customFormat="1" ht="46.5" thickTop="1" thickBot="1" x14ac:dyDescent="0.25">
      <c r="A12" s="15"/>
      <c r="B12" s="509" t="s">
        <v>22</v>
      </c>
      <c r="C12" s="509"/>
      <c r="D12" s="509"/>
      <c r="E12" s="510" t="s">
        <v>23</v>
      </c>
      <c r="F12" s="513">
        <f>F13</f>
        <v>500000</v>
      </c>
      <c r="G12" s="513">
        <f t="shared" ref="G12:Q12" si="0">G13</f>
        <v>150000</v>
      </c>
      <c r="H12" s="513">
        <f t="shared" si="0"/>
        <v>0</v>
      </c>
      <c r="I12" s="607">
        <f>I13</f>
        <v>650000</v>
      </c>
      <c r="J12" s="513">
        <f t="shared" si="0"/>
        <v>0</v>
      </c>
      <c r="K12" s="513">
        <f t="shared" si="0"/>
        <v>-150000</v>
      </c>
      <c r="L12" s="513">
        <f t="shared" si="0"/>
        <v>0</v>
      </c>
      <c r="M12" s="607">
        <f>M13</f>
        <v>-150000</v>
      </c>
      <c r="N12" s="513">
        <f t="shared" si="0"/>
        <v>500000</v>
      </c>
      <c r="O12" s="513">
        <f t="shared" si="0"/>
        <v>0</v>
      </c>
      <c r="P12" s="513">
        <f t="shared" si="0"/>
        <v>0</v>
      </c>
      <c r="Q12" s="607">
        <f t="shared" si="0"/>
        <v>500000</v>
      </c>
      <c r="R12" s="110"/>
    </row>
    <row r="13" spans="1:18" ht="44.25" thickTop="1" thickBot="1" x14ac:dyDescent="0.25">
      <c r="B13" s="511" t="s">
        <v>21</v>
      </c>
      <c r="C13" s="511"/>
      <c r="D13" s="511"/>
      <c r="E13" s="512" t="s">
        <v>37</v>
      </c>
      <c r="F13" s="608">
        <f t="shared" ref="F13:Q13" si="1">F18+F17+F19</f>
        <v>500000</v>
      </c>
      <c r="G13" s="608">
        <f t="shared" si="1"/>
        <v>150000</v>
      </c>
      <c r="H13" s="608">
        <f t="shared" si="1"/>
        <v>0</v>
      </c>
      <c r="I13" s="608">
        <f t="shared" si="1"/>
        <v>650000</v>
      </c>
      <c r="J13" s="608">
        <f t="shared" si="1"/>
        <v>0</v>
      </c>
      <c r="K13" s="608">
        <f t="shared" si="1"/>
        <v>-150000</v>
      </c>
      <c r="L13" s="608">
        <f t="shared" si="1"/>
        <v>0</v>
      </c>
      <c r="M13" s="608">
        <f t="shared" si="1"/>
        <v>-150000</v>
      </c>
      <c r="N13" s="514">
        <f t="shared" si="1"/>
        <v>500000</v>
      </c>
      <c r="O13" s="514">
        <f t="shared" si="1"/>
        <v>0</v>
      </c>
      <c r="P13" s="514">
        <f t="shared" si="1"/>
        <v>0</v>
      </c>
      <c r="Q13" s="608">
        <f t="shared" si="1"/>
        <v>500000</v>
      </c>
    </row>
    <row r="14" spans="1:18" s="149" customFormat="1" ht="15.75" thickTop="1" thickBot="1" x14ac:dyDescent="0.25">
      <c r="A14" s="7"/>
      <c r="B14" s="601" t="s">
        <v>903</v>
      </c>
      <c r="C14" s="601" t="s">
        <v>745</v>
      </c>
      <c r="D14" s="601"/>
      <c r="E14" s="602" t="s">
        <v>904</v>
      </c>
      <c r="F14" s="603">
        <f>F15</f>
        <v>500000</v>
      </c>
      <c r="G14" s="603">
        <f t="shared" ref="G14:Q15" si="2">G15</f>
        <v>150000</v>
      </c>
      <c r="H14" s="603">
        <f t="shared" si="2"/>
        <v>0</v>
      </c>
      <c r="I14" s="603">
        <f t="shared" si="2"/>
        <v>650000</v>
      </c>
      <c r="J14" s="603">
        <f t="shared" si="2"/>
        <v>0</v>
      </c>
      <c r="K14" s="603">
        <f t="shared" si="2"/>
        <v>-150000</v>
      </c>
      <c r="L14" s="603">
        <f t="shared" si="2"/>
        <v>0</v>
      </c>
      <c r="M14" s="603">
        <f t="shared" si="2"/>
        <v>-150000</v>
      </c>
      <c r="N14" s="603">
        <f t="shared" si="2"/>
        <v>500000</v>
      </c>
      <c r="O14" s="603">
        <f t="shared" si="2"/>
        <v>0</v>
      </c>
      <c r="P14" s="603">
        <f t="shared" si="2"/>
        <v>0</v>
      </c>
      <c r="Q14" s="603">
        <f t="shared" si="2"/>
        <v>500000</v>
      </c>
      <c r="R14" s="109"/>
    </row>
    <row r="15" spans="1:18" s="149" customFormat="1" ht="16.5" thickTop="1" thickBot="1" x14ac:dyDescent="0.25">
      <c r="A15" s="7"/>
      <c r="B15" s="598" t="s">
        <v>905</v>
      </c>
      <c r="C15" s="598" t="s">
        <v>906</v>
      </c>
      <c r="D15" s="598"/>
      <c r="E15" s="599" t="s">
        <v>907</v>
      </c>
      <c r="F15" s="600">
        <f>F16</f>
        <v>500000</v>
      </c>
      <c r="G15" s="600">
        <f t="shared" si="2"/>
        <v>150000</v>
      </c>
      <c r="H15" s="600">
        <f t="shared" si="2"/>
        <v>0</v>
      </c>
      <c r="I15" s="600">
        <f t="shared" si="2"/>
        <v>650000</v>
      </c>
      <c r="J15" s="600">
        <f t="shared" si="2"/>
        <v>0</v>
      </c>
      <c r="K15" s="600">
        <f t="shared" si="2"/>
        <v>-150000</v>
      </c>
      <c r="L15" s="600">
        <f t="shared" si="2"/>
        <v>0</v>
      </c>
      <c r="M15" s="600">
        <f t="shared" si="2"/>
        <v>-150000</v>
      </c>
      <c r="N15" s="600">
        <f t="shared" si="2"/>
        <v>500000</v>
      </c>
      <c r="O15" s="600">
        <f t="shared" si="2"/>
        <v>0</v>
      </c>
      <c r="P15" s="600">
        <f t="shared" si="2"/>
        <v>0</v>
      </c>
      <c r="Q15" s="600">
        <f t="shared" si="2"/>
        <v>500000</v>
      </c>
      <c r="R15" s="109"/>
    </row>
    <row r="16" spans="1:18" s="149" customFormat="1" ht="76.5" thickTop="1" thickBot="1" x14ac:dyDescent="0.25">
      <c r="A16" s="7"/>
      <c r="B16" s="596" t="s">
        <v>908</v>
      </c>
      <c r="C16" s="604" t="s">
        <v>909</v>
      </c>
      <c r="D16" s="604"/>
      <c r="E16" s="605" t="s">
        <v>935</v>
      </c>
      <c r="F16" s="606">
        <f>SUM(F17:F18)</f>
        <v>500000</v>
      </c>
      <c r="G16" s="606">
        <f t="shared" ref="G16:Q16" si="3">SUM(G17:G18)</f>
        <v>150000</v>
      </c>
      <c r="H16" s="606">
        <f t="shared" si="3"/>
        <v>0</v>
      </c>
      <c r="I16" s="606">
        <f t="shared" si="3"/>
        <v>650000</v>
      </c>
      <c r="J16" s="606">
        <f t="shared" si="3"/>
        <v>0</v>
      </c>
      <c r="K16" s="606">
        <f t="shared" si="3"/>
        <v>-150000</v>
      </c>
      <c r="L16" s="606">
        <f t="shared" si="3"/>
        <v>0</v>
      </c>
      <c r="M16" s="606">
        <f t="shared" si="3"/>
        <v>-150000</v>
      </c>
      <c r="N16" s="606">
        <f t="shared" si="3"/>
        <v>500000</v>
      </c>
      <c r="O16" s="606">
        <f t="shared" si="3"/>
        <v>0</v>
      </c>
      <c r="P16" s="606">
        <f t="shared" si="3"/>
        <v>0</v>
      </c>
      <c r="Q16" s="606">
        <f t="shared" si="3"/>
        <v>500000</v>
      </c>
      <c r="R16" s="109"/>
    </row>
    <row r="17" spans="1:18" ht="76.5" thickTop="1" thickBot="1" x14ac:dyDescent="0.25">
      <c r="B17" s="596" t="s">
        <v>480</v>
      </c>
      <c r="C17" s="596" t="s">
        <v>482</v>
      </c>
      <c r="D17" s="596" t="s">
        <v>52</v>
      </c>
      <c r="E17" s="130" t="s">
        <v>937</v>
      </c>
      <c r="F17" s="597">
        <v>500000</v>
      </c>
      <c r="G17" s="597">
        <v>150000</v>
      </c>
      <c r="H17" s="597">
        <v>0</v>
      </c>
      <c r="I17" s="597">
        <f>F17+G17</f>
        <v>650000</v>
      </c>
      <c r="J17" s="597">
        <v>0</v>
      </c>
      <c r="K17" s="597">
        <v>0</v>
      </c>
      <c r="L17" s="597"/>
      <c r="M17" s="597">
        <f>J17+K17</f>
        <v>0</v>
      </c>
      <c r="N17" s="597">
        <f>F17+J17</f>
        <v>500000</v>
      </c>
      <c r="O17" s="597">
        <f>G17+K17</f>
        <v>150000</v>
      </c>
      <c r="P17" s="597"/>
      <c r="Q17" s="597">
        <f>I17+M17</f>
        <v>650000</v>
      </c>
    </row>
    <row r="18" spans="1:18" ht="76.5" thickTop="1" thickBot="1" x14ac:dyDescent="0.25">
      <c r="B18" s="596" t="s">
        <v>481</v>
      </c>
      <c r="C18" s="596" t="s">
        <v>483</v>
      </c>
      <c r="D18" s="596" t="s">
        <v>52</v>
      </c>
      <c r="E18" s="130" t="s">
        <v>936</v>
      </c>
      <c r="F18" s="597"/>
      <c r="G18" s="597">
        <f>H18+I18</f>
        <v>0</v>
      </c>
      <c r="H18" s="597"/>
      <c r="I18" s="597"/>
      <c r="J18" s="597"/>
      <c r="K18" s="597">
        <v>-150000</v>
      </c>
      <c r="L18" s="597"/>
      <c r="M18" s="597">
        <f>J18+K18</f>
        <v>-150000</v>
      </c>
      <c r="N18" s="597">
        <f>F18+J18</f>
        <v>0</v>
      </c>
      <c r="O18" s="597">
        <f>G18+K18</f>
        <v>-150000</v>
      </c>
      <c r="P18" s="597"/>
      <c r="Q18" s="597">
        <f>I18+M18</f>
        <v>-150000</v>
      </c>
    </row>
    <row r="19" spans="1:18" s="65" customFormat="1" ht="61.5" hidden="1" thickTop="1" thickBot="1" x14ac:dyDescent="0.25">
      <c r="A19" s="7"/>
      <c r="B19" s="596" t="s">
        <v>528</v>
      </c>
      <c r="C19" s="596" t="s">
        <v>529</v>
      </c>
      <c r="D19" s="596" t="s">
        <v>52</v>
      </c>
      <c r="E19" s="130" t="s">
        <v>527</v>
      </c>
      <c r="F19" s="597"/>
      <c r="G19" s="597"/>
      <c r="H19" s="597"/>
      <c r="I19" s="597"/>
      <c r="J19" s="597"/>
      <c r="K19" s="597"/>
      <c r="L19" s="597"/>
      <c r="M19" s="597">
        <f>J19+K19</f>
        <v>0</v>
      </c>
      <c r="N19" s="597"/>
      <c r="O19" s="597">
        <f>G19+K19</f>
        <v>0</v>
      </c>
      <c r="P19" s="597"/>
      <c r="Q19" s="597">
        <f>I19+M19</f>
        <v>0</v>
      </c>
      <c r="R19" s="109"/>
    </row>
    <row r="20" spans="1:18" ht="27.75" customHeight="1" thickTop="1" thickBot="1" x14ac:dyDescent="0.25">
      <c r="B20" s="679" t="s">
        <v>399</v>
      </c>
      <c r="C20" s="679" t="s">
        <v>399</v>
      </c>
      <c r="D20" s="679" t="s">
        <v>399</v>
      </c>
      <c r="E20" s="679" t="s">
        <v>409</v>
      </c>
      <c r="F20" s="680">
        <f t="shared" ref="F20:M20" si="4">F12</f>
        <v>500000</v>
      </c>
      <c r="G20" s="680">
        <f t="shared" si="4"/>
        <v>150000</v>
      </c>
      <c r="H20" s="680">
        <f t="shared" si="4"/>
        <v>0</v>
      </c>
      <c r="I20" s="680">
        <f>I12</f>
        <v>650000</v>
      </c>
      <c r="J20" s="680">
        <f t="shared" si="4"/>
        <v>0</v>
      </c>
      <c r="K20" s="680">
        <f t="shared" si="4"/>
        <v>-150000</v>
      </c>
      <c r="L20" s="680">
        <f t="shared" si="4"/>
        <v>0</v>
      </c>
      <c r="M20" s="680">
        <f t="shared" si="4"/>
        <v>-150000</v>
      </c>
      <c r="N20" s="680">
        <f>N17+N18</f>
        <v>500000</v>
      </c>
      <c r="O20" s="680">
        <f>O17+O18</f>
        <v>0</v>
      </c>
      <c r="P20" s="680">
        <f>P17+P18</f>
        <v>0</v>
      </c>
      <c r="Q20" s="680">
        <f>Q17+Q18</f>
        <v>500000</v>
      </c>
    </row>
    <row r="21" spans="1:18" s="71" customFormat="1" ht="27.75" customHeight="1" thickTop="1" x14ac:dyDescent="0.2">
      <c r="A21" s="67"/>
      <c r="B21" s="69"/>
      <c r="C21" s="69"/>
      <c r="D21" s="69"/>
      <c r="E21" s="196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111"/>
    </row>
    <row r="22" spans="1:18" s="71" customFormat="1" ht="27.75" customHeight="1" x14ac:dyDescent="0.25">
      <c r="A22" s="67"/>
      <c r="B22" s="69"/>
      <c r="C22" s="69"/>
      <c r="D22" s="856" t="s">
        <v>1338</v>
      </c>
      <c r="E22" s="857"/>
      <c r="F22" s="206"/>
      <c r="G22" s="195"/>
      <c r="H22" s="195"/>
      <c r="I22" s="87"/>
      <c r="J22" s="87"/>
      <c r="K22" s="195" t="s">
        <v>1336</v>
      </c>
      <c r="L22" s="88"/>
      <c r="M22" s="88"/>
      <c r="N22" s="70"/>
      <c r="O22" s="70"/>
      <c r="P22" s="70"/>
      <c r="Q22" s="70"/>
      <c r="R22" s="111"/>
    </row>
    <row r="23" spans="1:18" s="71" customFormat="1" ht="27.75" customHeight="1" x14ac:dyDescent="0.25">
      <c r="A23" s="67"/>
      <c r="B23" s="69"/>
      <c r="C23" s="78"/>
      <c r="D23" s="91"/>
      <c r="E23" s="92"/>
      <c r="F23" s="92"/>
      <c r="G23" s="92"/>
      <c r="H23" s="91"/>
      <c r="I23" s="87"/>
      <c r="J23" s="87"/>
      <c r="K23" s="91"/>
      <c r="L23" s="88"/>
      <c r="M23" s="88"/>
      <c r="N23" s="79"/>
      <c r="O23" s="79"/>
      <c r="P23" s="79"/>
      <c r="Q23" s="70"/>
      <c r="R23" s="111"/>
    </row>
    <row r="24" spans="1:18" ht="39.75" hidden="1" customHeight="1" x14ac:dyDescent="0.25">
      <c r="B24" s="35"/>
      <c r="C24" s="77"/>
      <c r="D24" s="854" t="s">
        <v>554</v>
      </c>
      <c r="E24" s="854"/>
      <c r="F24" s="854"/>
      <c r="G24" s="854"/>
      <c r="H24" s="854"/>
      <c r="I24" s="854"/>
      <c r="J24" s="854"/>
      <c r="K24" s="854"/>
      <c r="L24" s="854"/>
      <c r="M24" s="854"/>
      <c r="N24" s="854"/>
      <c r="O24" s="854"/>
      <c r="P24" s="854"/>
      <c r="Q24" s="36"/>
    </row>
    <row r="25" spans="1:18" ht="15.75" customHeight="1" x14ac:dyDescent="0.25">
      <c r="B25" s="35"/>
      <c r="C25" s="35"/>
      <c r="D25" s="854"/>
      <c r="E25" s="854"/>
      <c r="F25" s="854"/>
      <c r="G25" s="854"/>
      <c r="H25" s="854"/>
      <c r="I25" s="854"/>
      <c r="J25" s="854"/>
      <c r="K25" s="854"/>
      <c r="L25" s="854"/>
      <c r="M25" s="854"/>
      <c r="N25" s="854"/>
      <c r="O25" s="854"/>
      <c r="P25" s="854"/>
      <c r="Q25" s="36"/>
    </row>
    <row r="26" spans="1:18" ht="15" x14ac:dyDescent="0.25">
      <c r="D26" s="854"/>
      <c r="E26" s="854"/>
      <c r="F26" s="854"/>
      <c r="G26" s="854"/>
      <c r="H26" s="854"/>
      <c r="I26" s="854"/>
      <c r="J26" s="854"/>
      <c r="K26" s="854"/>
      <c r="L26" s="854"/>
      <c r="M26" s="854"/>
      <c r="N26" s="854"/>
      <c r="O26" s="854"/>
      <c r="P26" s="854"/>
    </row>
    <row r="27" spans="1:18" ht="15" x14ac:dyDescent="0.25">
      <c r="D27" s="854"/>
      <c r="E27" s="854"/>
      <c r="F27" s="854"/>
      <c r="G27" s="854"/>
      <c r="H27" s="854"/>
      <c r="I27" s="854"/>
      <c r="J27" s="854"/>
      <c r="K27" s="854"/>
      <c r="L27" s="854"/>
      <c r="M27" s="854"/>
      <c r="N27" s="854"/>
      <c r="O27" s="854"/>
      <c r="P27" s="854"/>
    </row>
    <row r="28" spans="1:18" ht="15" x14ac:dyDescent="0.2">
      <c r="D28" s="37"/>
      <c r="E28" s="38"/>
      <c r="F28" s="39"/>
      <c r="G28" s="37"/>
      <c r="H28" s="37"/>
      <c r="I28" s="40"/>
      <c r="J28" s="38"/>
      <c r="K28" s="40"/>
      <c r="L28" s="37"/>
      <c r="M28" s="37"/>
      <c r="N28" s="40"/>
      <c r="O28" s="41"/>
      <c r="P28" s="42"/>
    </row>
    <row r="29" spans="1:18" ht="15" x14ac:dyDescent="0.25"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</row>
    <row r="54" spans="7:7" x14ac:dyDescent="0.2">
      <c r="G54" s="14">
        <f>H54+I54</f>
        <v>0</v>
      </c>
    </row>
    <row r="56" spans="7:7" x14ac:dyDescent="0.2">
      <c r="G56" s="14">
        <f t="shared" ref="G56:G74" si="5">H56+I56</f>
        <v>0</v>
      </c>
    </row>
    <row r="57" spans="7:7" x14ac:dyDescent="0.2">
      <c r="G57" s="14">
        <f t="shared" si="5"/>
        <v>0</v>
      </c>
    </row>
    <row r="58" spans="7:7" x14ac:dyDescent="0.2">
      <c r="G58" s="14">
        <f t="shared" si="5"/>
        <v>0</v>
      </c>
    </row>
    <row r="59" spans="7:7" x14ac:dyDescent="0.2">
      <c r="G59" s="14">
        <f t="shared" si="5"/>
        <v>0</v>
      </c>
    </row>
    <row r="60" spans="7:7" x14ac:dyDescent="0.2">
      <c r="G60" s="14">
        <f t="shared" si="5"/>
        <v>0</v>
      </c>
    </row>
    <row r="61" spans="7:7" x14ac:dyDescent="0.2">
      <c r="G61" s="14">
        <f t="shared" si="5"/>
        <v>0</v>
      </c>
    </row>
    <row r="62" spans="7:7" x14ac:dyDescent="0.2">
      <c r="G62" s="14">
        <f t="shared" si="5"/>
        <v>0</v>
      </c>
    </row>
    <row r="63" spans="7:7" x14ac:dyDescent="0.2">
      <c r="G63" s="14">
        <f t="shared" si="5"/>
        <v>0</v>
      </c>
    </row>
    <row r="64" spans="7:7" x14ac:dyDescent="0.2">
      <c r="G64" s="14">
        <f t="shared" si="5"/>
        <v>0</v>
      </c>
    </row>
    <row r="65" spans="7:7" x14ac:dyDescent="0.2">
      <c r="G65" s="14">
        <f t="shared" si="5"/>
        <v>0</v>
      </c>
    </row>
    <row r="66" spans="7:7" x14ac:dyDescent="0.2">
      <c r="G66" s="14">
        <f t="shared" si="5"/>
        <v>0</v>
      </c>
    </row>
    <row r="67" spans="7:7" x14ac:dyDescent="0.2">
      <c r="G67" s="14">
        <f t="shared" si="5"/>
        <v>0</v>
      </c>
    </row>
    <row r="68" spans="7:7" x14ac:dyDescent="0.2">
      <c r="G68" s="14">
        <f t="shared" si="5"/>
        <v>0</v>
      </c>
    </row>
    <row r="69" spans="7:7" x14ac:dyDescent="0.2">
      <c r="G69" s="14">
        <f t="shared" si="5"/>
        <v>0</v>
      </c>
    </row>
    <row r="70" spans="7:7" x14ac:dyDescent="0.2">
      <c r="G70" s="14">
        <f t="shared" si="5"/>
        <v>0</v>
      </c>
    </row>
    <row r="71" spans="7:7" x14ac:dyDescent="0.2">
      <c r="G71" s="14">
        <f t="shared" si="5"/>
        <v>0</v>
      </c>
    </row>
    <row r="72" spans="7:7" x14ac:dyDescent="0.2">
      <c r="G72" s="14">
        <f t="shared" si="5"/>
        <v>0</v>
      </c>
    </row>
    <row r="73" spans="7:7" x14ac:dyDescent="0.2">
      <c r="G73" s="14">
        <f t="shared" si="5"/>
        <v>0</v>
      </c>
    </row>
    <row r="74" spans="7:7" x14ac:dyDescent="0.2">
      <c r="G74" s="14">
        <f t="shared" si="5"/>
        <v>0</v>
      </c>
    </row>
    <row r="76" spans="7:7" x14ac:dyDescent="0.2">
      <c r="G76" s="14">
        <f>H76+I76</f>
        <v>0</v>
      </c>
    </row>
    <row r="77" spans="7:7" x14ac:dyDescent="0.2">
      <c r="G77" s="14">
        <f>H77+I77</f>
        <v>0</v>
      </c>
    </row>
    <row r="78" spans="7:7" x14ac:dyDescent="0.2">
      <c r="G78" s="14">
        <f>H78+I78</f>
        <v>0</v>
      </c>
    </row>
    <row r="79" spans="7:7" x14ac:dyDescent="0.2">
      <c r="G79" s="14">
        <f>H79+I79</f>
        <v>0</v>
      </c>
    </row>
    <row r="81" spans="7:7" x14ac:dyDescent="0.2">
      <c r="G81" s="14">
        <f>H81+I81</f>
        <v>0</v>
      </c>
    </row>
    <row r="84" spans="7:7" x14ac:dyDescent="0.2">
      <c r="G84" s="846"/>
    </row>
    <row r="85" spans="7:7" x14ac:dyDescent="0.2">
      <c r="G85" s="773"/>
    </row>
    <row r="121" spans="7:7" x14ac:dyDescent="0.2">
      <c r="G121" s="14">
        <f>H121+I121</f>
        <v>0</v>
      </c>
    </row>
    <row r="123" spans="7:7" x14ac:dyDescent="0.2">
      <c r="G123" s="14">
        <f t="shared" ref="G123:G133" si="6">H123+I123</f>
        <v>0</v>
      </c>
    </row>
    <row r="124" spans="7:7" x14ac:dyDescent="0.2">
      <c r="G124" s="14">
        <f t="shared" si="6"/>
        <v>0</v>
      </c>
    </row>
    <row r="125" spans="7:7" x14ac:dyDescent="0.2">
      <c r="G125" s="14">
        <f t="shared" si="6"/>
        <v>0</v>
      </c>
    </row>
    <row r="126" spans="7:7" x14ac:dyDescent="0.2">
      <c r="G126" s="14">
        <f t="shared" si="6"/>
        <v>0</v>
      </c>
    </row>
    <row r="127" spans="7:7" x14ac:dyDescent="0.2">
      <c r="G127" s="14">
        <f t="shared" si="6"/>
        <v>0</v>
      </c>
    </row>
    <row r="128" spans="7:7" x14ac:dyDescent="0.2">
      <c r="G128" s="14">
        <f t="shared" si="6"/>
        <v>0</v>
      </c>
    </row>
    <row r="129" spans="7:7" x14ac:dyDescent="0.2">
      <c r="G129" s="14">
        <f t="shared" si="6"/>
        <v>0</v>
      </c>
    </row>
    <row r="130" spans="7:7" x14ac:dyDescent="0.2">
      <c r="G130" s="14">
        <f t="shared" si="6"/>
        <v>0</v>
      </c>
    </row>
    <row r="131" spans="7:7" x14ac:dyDescent="0.2">
      <c r="G131" s="14">
        <f t="shared" si="6"/>
        <v>0</v>
      </c>
    </row>
    <row r="132" spans="7:7" x14ac:dyDescent="0.2">
      <c r="G132" s="14">
        <f t="shared" si="6"/>
        <v>0</v>
      </c>
    </row>
    <row r="133" spans="7:7" x14ac:dyDescent="0.2">
      <c r="G133" s="14">
        <f t="shared" si="6"/>
        <v>0</v>
      </c>
    </row>
    <row r="135" spans="7:7" x14ac:dyDescent="0.2">
      <c r="G135" s="14">
        <f>H136+I136</f>
        <v>0</v>
      </c>
    </row>
    <row r="136" spans="7:7" x14ac:dyDescent="0.2">
      <c r="G136" s="14">
        <f t="shared" ref="G136" si="7">H136+I136</f>
        <v>0</v>
      </c>
    </row>
    <row r="137" spans="7:7" x14ac:dyDescent="0.2">
      <c r="G137" s="14">
        <f>H137+I137</f>
        <v>0</v>
      </c>
    </row>
    <row r="138" spans="7:7" x14ac:dyDescent="0.2">
      <c r="G138" s="14">
        <f>H138+I138</f>
        <v>0</v>
      </c>
    </row>
    <row r="139" spans="7:7" x14ac:dyDescent="0.2">
      <c r="G139" s="14">
        <f>H139+I139</f>
        <v>0</v>
      </c>
    </row>
    <row r="140" spans="7:7" x14ac:dyDescent="0.2">
      <c r="G140" s="14">
        <f>H140+I140</f>
        <v>0</v>
      </c>
    </row>
    <row r="145" spans="7:10" ht="46.5" x14ac:dyDescent="0.65">
      <c r="J145" s="57"/>
    </row>
    <row r="148" spans="7:10" ht="46.5" x14ac:dyDescent="0.65">
      <c r="G148" s="57">
        <f>H148+I148</f>
        <v>0</v>
      </c>
      <c r="J148" s="57"/>
    </row>
    <row r="167" spans="11:11" ht="90" x14ac:dyDescent="1.1499999999999999">
      <c r="K167" s="55" t="b">
        <f>G167=H167+I167</f>
        <v>1</v>
      </c>
    </row>
  </sheetData>
  <mergeCells count="28">
    <mergeCell ref="O9:P9"/>
    <mergeCell ref="D27:P27"/>
    <mergeCell ref="D24:P24"/>
    <mergeCell ref="D26:P26"/>
    <mergeCell ref="M2:Q2"/>
    <mergeCell ref="E3:M3"/>
    <mergeCell ref="J8:M8"/>
    <mergeCell ref="N8:Q8"/>
    <mergeCell ref="Q9:Q10"/>
    <mergeCell ref="M9:M10"/>
    <mergeCell ref="N9:N10"/>
    <mergeCell ref="J9:J10"/>
    <mergeCell ref="D25:P25"/>
    <mergeCell ref="G9:H9"/>
    <mergeCell ref="K9:L9"/>
    <mergeCell ref="D22:E22"/>
    <mergeCell ref="B3:C3"/>
    <mergeCell ref="B5:C5"/>
    <mergeCell ref="B6:C6"/>
    <mergeCell ref="G84:G85"/>
    <mergeCell ref="B8:B10"/>
    <mergeCell ref="C8:C10"/>
    <mergeCell ref="D8:D10"/>
    <mergeCell ref="E8:E10"/>
    <mergeCell ref="F8:I8"/>
    <mergeCell ref="F9:F10"/>
    <mergeCell ref="I9:I10"/>
    <mergeCell ref="E4:M4"/>
  </mergeCells>
  <printOptions horizontalCentered="1"/>
  <pageMargins left="0.19685039370078741" right="0" top="0.59055118110236227" bottom="0.39370078740157483" header="0.31496062992125984" footer="0.31496062992125984"/>
  <pageSetup paperSize="9" scale="55" fitToHeight="0" orientation="landscape" r:id="rId1"/>
  <headerFooter alignWithMargins="0">
    <oddFooter>&amp;R&amp;P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9"/>
  <sheetViews>
    <sheetView view="pageBreakPreview" topLeftCell="A78" zoomScale="40" zoomScaleNormal="25" zoomScaleSheetLayoutView="40" zoomScalePageLayoutView="10" workbookViewId="0">
      <selection activeCell="C127" sqref="C127"/>
    </sheetView>
  </sheetViews>
  <sheetFormatPr defaultColWidth="9.140625" defaultRowHeight="12.75" x14ac:dyDescent="0.2"/>
  <cols>
    <col min="1" max="1" width="62.28515625" style="410" customWidth="1"/>
    <col min="2" max="2" width="49.140625" style="410" customWidth="1"/>
    <col min="3" max="3" width="131.5703125" style="410" customWidth="1"/>
    <col min="4" max="4" width="69.7109375" style="410" customWidth="1"/>
    <col min="5" max="5" width="32.42578125" style="412" customWidth="1"/>
    <col min="6" max="6" width="34.85546875" style="412" customWidth="1"/>
    <col min="7" max="16384" width="9.140625" style="412"/>
  </cols>
  <sheetData>
    <row r="1" spans="1:15" ht="48.75" customHeight="1" x14ac:dyDescent="0.35">
      <c r="A1" s="391"/>
      <c r="B1" s="428"/>
      <c r="C1" s="428"/>
      <c r="D1" s="429" t="s">
        <v>631</v>
      </c>
      <c r="E1" s="411"/>
      <c r="F1" s="411"/>
      <c r="G1" s="411"/>
      <c r="H1" s="411"/>
    </row>
    <row r="2" spans="1:15" ht="84.75" customHeight="1" x14ac:dyDescent="0.35">
      <c r="A2" s="392"/>
      <c r="B2" s="428"/>
      <c r="C2" s="428"/>
      <c r="D2" s="429" t="s">
        <v>1050</v>
      </c>
      <c r="E2" s="411"/>
      <c r="F2" s="411"/>
      <c r="G2" s="411"/>
      <c r="H2" s="411"/>
    </row>
    <row r="3" spans="1:15" ht="40.700000000000003" customHeight="1" x14ac:dyDescent="0.2">
      <c r="A3" s="392"/>
      <c r="B3" s="392"/>
      <c r="C3" s="392"/>
      <c r="D3" s="393"/>
      <c r="N3" s="888"/>
      <c r="O3" s="888"/>
    </row>
    <row r="4" spans="1:15" ht="45.75" hidden="1" x14ac:dyDescent="0.2">
      <c r="A4" s="392"/>
      <c r="B4" s="392"/>
      <c r="C4" s="392"/>
      <c r="D4" s="393"/>
      <c r="N4" s="888"/>
      <c r="O4" s="889"/>
    </row>
    <row r="5" spans="1:15" ht="45.75" x14ac:dyDescent="0.2">
      <c r="A5" s="805" t="s">
        <v>1245</v>
      </c>
      <c r="B5" s="805"/>
      <c r="C5" s="805"/>
      <c r="D5" s="805"/>
      <c r="N5" s="888"/>
      <c r="O5" s="889"/>
    </row>
    <row r="6" spans="1:15" ht="45.75" x14ac:dyDescent="0.65">
      <c r="A6" s="806">
        <v>22564000000</v>
      </c>
      <c r="B6" s="765"/>
      <c r="C6" s="765"/>
      <c r="D6" s="765"/>
    </row>
    <row r="7" spans="1:15" ht="45.75" x14ac:dyDescent="0.2">
      <c r="A7" s="811" t="s">
        <v>515</v>
      </c>
      <c r="B7" s="765"/>
      <c r="C7" s="765"/>
      <c r="D7" s="765"/>
    </row>
    <row r="8" spans="1:15" ht="45.75" x14ac:dyDescent="0.2">
      <c r="A8" s="430"/>
      <c r="B8" s="379"/>
      <c r="C8" s="379"/>
      <c r="D8" s="379"/>
    </row>
    <row r="9" spans="1:15" ht="53.45" customHeight="1" x14ac:dyDescent="0.2">
      <c r="A9" s="877" t="s">
        <v>1246</v>
      </c>
      <c r="B9" s="878"/>
      <c r="C9" s="878"/>
      <c r="D9" s="878"/>
    </row>
    <row r="10" spans="1:15" ht="53.45" customHeight="1" thickBot="1" x14ac:dyDescent="0.25">
      <c r="A10" s="393"/>
      <c r="B10" s="393"/>
      <c r="C10" s="393"/>
      <c r="D10" s="395" t="s">
        <v>422</v>
      </c>
    </row>
    <row r="11" spans="1:15" ht="140.25" customHeight="1" thickTop="1" thickBot="1" x14ac:dyDescent="0.25">
      <c r="A11" s="396" t="s">
        <v>636</v>
      </c>
      <c r="B11" s="879" t="s">
        <v>635</v>
      </c>
      <c r="C11" s="880"/>
      <c r="D11" s="396" t="s">
        <v>401</v>
      </c>
    </row>
    <row r="12" spans="1:15" s="413" customFormat="1" ht="47.25" thickTop="1" thickBot="1" x14ac:dyDescent="0.25">
      <c r="A12" s="226" t="s">
        <v>2</v>
      </c>
      <c r="B12" s="881" t="s">
        <v>3</v>
      </c>
      <c r="C12" s="882"/>
      <c r="D12" s="226" t="s">
        <v>14</v>
      </c>
    </row>
    <row r="13" spans="1:15" s="413" customFormat="1" ht="66.75" customHeight="1" thickTop="1" thickBot="1" x14ac:dyDescent="0.25">
      <c r="A13" s="864" t="s">
        <v>637</v>
      </c>
      <c r="B13" s="865"/>
      <c r="C13" s="865"/>
      <c r="D13" s="866"/>
    </row>
    <row r="14" spans="1:15" s="413" customFormat="1" ht="46.5" thickTop="1" thickBot="1" x14ac:dyDescent="0.25">
      <c r="A14" s="733" t="s">
        <v>647</v>
      </c>
      <c r="B14" s="883" t="s">
        <v>459</v>
      </c>
      <c r="C14" s="885"/>
      <c r="D14" s="734">
        <f>SUM(D15:D21)</f>
        <v>718166900</v>
      </c>
    </row>
    <row r="15" spans="1:15" s="413" customFormat="1" ht="158.25" hidden="1" customHeight="1" thickTop="1" thickBot="1" x14ac:dyDescent="0.25">
      <c r="A15" s="493" t="s">
        <v>1079</v>
      </c>
      <c r="B15" s="860" t="s">
        <v>1078</v>
      </c>
      <c r="C15" s="861"/>
      <c r="D15" s="735">
        <v>0</v>
      </c>
    </row>
    <row r="16" spans="1:15" s="413" customFormat="1" ht="158.25" hidden="1" customHeight="1" thickTop="1" thickBot="1" x14ac:dyDescent="0.25">
      <c r="A16" s="493" t="s">
        <v>1202</v>
      </c>
      <c r="B16" s="860" t="s">
        <v>1151</v>
      </c>
      <c r="C16" s="861"/>
      <c r="D16" s="735">
        <v>0</v>
      </c>
    </row>
    <row r="17" spans="1:5" s="413" customFormat="1" ht="47.25" thickTop="1" thickBot="1" x14ac:dyDescent="0.25">
      <c r="A17" s="493" t="s">
        <v>646</v>
      </c>
      <c r="B17" s="860" t="s">
        <v>660</v>
      </c>
      <c r="C17" s="861"/>
      <c r="D17" s="495">
        <v>718166900</v>
      </c>
    </row>
    <row r="18" spans="1:5" s="413" customFormat="1" ht="149.25" hidden="1" customHeight="1" thickTop="1" thickBot="1" x14ac:dyDescent="0.25">
      <c r="A18" s="493" t="s">
        <v>1196</v>
      </c>
      <c r="B18" s="860" t="s">
        <v>1152</v>
      </c>
      <c r="C18" s="887"/>
      <c r="D18" s="495">
        <v>0</v>
      </c>
    </row>
    <row r="19" spans="1:5" s="413" customFormat="1" ht="194.25" hidden="1" customHeight="1" thickTop="1" thickBot="1" x14ac:dyDescent="0.25">
      <c r="A19" s="493" t="s">
        <v>1081</v>
      </c>
      <c r="B19" s="860" t="s">
        <v>1080</v>
      </c>
      <c r="C19" s="861"/>
      <c r="D19" s="495">
        <v>0</v>
      </c>
    </row>
    <row r="20" spans="1:5" s="413" customFormat="1" ht="194.25" hidden="1" customHeight="1" thickTop="1" thickBot="1" x14ac:dyDescent="0.25">
      <c r="A20" s="493" t="s">
        <v>1091</v>
      </c>
      <c r="B20" s="860" t="s">
        <v>1092</v>
      </c>
      <c r="C20" s="861"/>
      <c r="D20" s="495">
        <v>0</v>
      </c>
    </row>
    <row r="21" spans="1:5" s="413" customFormat="1" ht="104.25" hidden="1" customHeight="1" thickTop="1" thickBot="1" x14ac:dyDescent="0.25">
      <c r="A21" s="493" t="s">
        <v>1070</v>
      </c>
      <c r="B21" s="860" t="s">
        <v>1069</v>
      </c>
      <c r="C21" s="861"/>
      <c r="D21" s="495">
        <v>0</v>
      </c>
    </row>
    <row r="22" spans="1:5" s="413" customFormat="1" ht="47.25" thickTop="1" thickBot="1" x14ac:dyDescent="0.25">
      <c r="A22" s="713" t="s">
        <v>938</v>
      </c>
      <c r="B22" s="867" t="s">
        <v>608</v>
      </c>
      <c r="C22" s="868"/>
      <c r="D22" s="479">
        <f>D14</f>
        <v>718166900</v>
      </c>
    </row>
    <row r="23" spans="1:5" s="413" customFormat="1" ht="197.25" hidden="1" customHeight="1" thickTop="1" thickBot="1" x14ac:dyDescent="0.25">
      <c r="A23" s="414" t="s">
        <v>652</v>
      </c>
      <c r="B23" s="869" t="s">
        <v>361</v>
      </c>
      <c r="C23" s="886"/>
      <c r="D23" s="415">
        <f>D24</f>
        <v>0</v>
      </c>
    </row>
    <row r="24" spans="1:5" s="413" customFormat="1" ht="197.25" hidden="1" customHeight="1" thickTop="1" thickBot="1" x14ac:dyDescent="0.25">
      <c r="A24" s="416" t="s">
        <v>653</v>
      </c>
      <c r="B24" s="862" t="s">
        <v>661</v>
      </c>
      <c r="C24" s="863"/>
      <c r="D24" s="417">
        <v>0</v>
      </c>
    </row>
    <row r="25" spans="1:5" s="413" customFormat="1" ht="47.25" hidden="1" thickTop="1" thickBot="1" x14ac:dyDescent="0.25">
      <c r="A25" s="419" t="s">
        <v>650</v>
      </c>
      <c r="B25" s="858" t="s">
        <v>651</v>
      </c>
      <c r="C25" s="859"/>
      <c r="D25" s="421">
        <f>D24</f>
        <v>0</v>
      </c>
    </row>
    <row r="26" spans="1:5" s="413" customFormat="1" ht="123.75" customHeight="1" thickTop="1" thickBot="1" x14ac:dyDescent="0.25">
      <c r="A26" s="733" t="s">
        <v>654</v>
      </c>
      <c r="B26" s="883" t="s">
        <v>655</v>
      </c>
      <c r="C26" s="884"/>
      <c r="D26" s="734">
        <f>D43+D45</f>
        <v>10263156</v>
      </c>
      <c r="E26" s="661" t="b">
        <f>D26=D43+D45</f>
        <v>1</v>
      </c>
    </row>
    <row r="27" spans="1:5" s="413" customFormat="1" ht="312.75" hidden="1" customHeight="1" thickTop="1" x14ac:dyDescent="0.65">
      <c r="A27" s="871" t="s">
        <v>1205</v>
      </c>
      <c r="B27" s="873" t="s">
        <v>1203</v>
      </c>
      <c r="C27" s="874"/>
      <c r="D27" s="872">
        <v>0</v>
      </c>
    </row>
    <row r="28" spans="1:5" s="413" customFormat="1" ht="376.5" hidden="1" customHeight="1" thickBot="1" x14ac:dyDescent="0.25">
      <c r="A28" s="835"/>
      <c r="B28" s="875" t="s">
        <v>1204</v>
      </c>
      <c r="C28" s="876"/>
      <c r="D28" s="835"/>
    </row>
    <row r="29" spans="1:5" s="413" customFormat="1" ht="408.75" hidden="1" customHeight="1" thickTop="1" x14ac:dyDescent="0.65">
      <c r="A29" s="871" t="s">
        <v>1197</v>
      </c>
      <c r="B29" s="873" t="s">
        <v>1198</v>
      </c>
      <c r="C29" s="874"/>
      <c r="D29" s="872">
        <v>0</v>
      </c>
    </row>
    <row r="30" spans="1:5" s="413" customFormat="1" ht="197.25" hidden="1" customHeight="1" thickBot="1" x14ac:dyDescent="0.25">
      <c r="A30" s="835"/>
      <c r="B30" s="875" t="s">
        <v>1199</v>
      </c>
      <c r="C30" s="876"/>
      <c r="D30" s="835"/>
    </row>
    <row r="31" spans="1:5" s="413" customFormat="1" ht="408" hidden="1" customHeight="1" thickTop="1" x14ac:dyDescent="0.65">
      <c r="A31" s="871">
        <v>41050600</v>
      </c>
      <c r="B31" s="873" t="s">
        <v>1200</v>
      </c>
      <c r="C31" s="874"/>
      <c r="D31" s="872">
        <v>0</v>
      </c>
    </row>
    <row r="32" spans="1:5" s="413" customFormat="1" ht="409.5" hidden="1" customHeight="1" thickBot="1" x14ac:dyDescent="0.25">
      <c r="A32" s="835"/>
      <c r="B32" s="875" t="s">
        <v>1201</v>
      </c>
      <c r="C32" s="876"/>
      <c r="D32" s="835"/>
    </row>
    <row r="33" spans="1:5" s="413" customFormat="1" ht="347.25" hidden="1" customHeight="1" thickTop="1" thickBot="1" x14ac:dyDescent="0.25">
      <c r="A33" s="493">
        <v>41050900</v>
      </c>
      <c r="B33" s="860" t="s">
        <v>1206</v>
      </c>
      <c r="C33" s="861"/>
      <c r="D33" s="495">
        <v>0</v>
      </c>
    </row>
    <row r="34" spans="1:5" s="413" customFormat="1" ht="142.5" customHeight="1" thickTop="1" thickBot="1" x14ac:dyDescent="0.25">
      <c r="A34" s="493" t="s">
        <v>656</v>
      </c>
      <c r="B34" s="860" t="s">
        <v>657</v>
      </c>
      <c r="C34" s="861"/>
      <c r="D34" s="495">
        <v>4189832</v>
      </c>
    </row>
    <row r="35" spans="1:5" s="413" customFormat="1" ht="136.5" customHeight="1" thickTop="1" thickBot="1" x14ac:dyDescent="0.25">
      <c r="A35" s="493" t="s">
        <v>658</v>
      </c>
      <c r="B35" s="860" t="s">
        <v>1329</v>
      </c>
      <c r="C35" s="861"/>
      <c r="D35" s="735">
        <v>5189600</v>
      </c>
    </row>
    <row r="36" spans="1:5" s="413" customFormat="1" ht="202.5" hidden="1" customHeight="1" thickTop="1" thickBot="1" x14ac:dyDescent="0.25">
      <c r="A36" s="493" t="s">
        <v>1082</v>
      </c>
      <c r="B36" s="860" t="s">
        <v>1083</v>
      </c>
      <c r="C36" s="861"/>
      <c r="D36" s="735">
        <v>0</v>
      </c>
    </row>
    <row r="37" spans="1:5" s="413" customFormat="1" ht="196.5" hidden="1" customHeight="1" thickTop="1" thickBot="1" x14ac:dyDescent="0.25">
      <c r="A37" s="493" t="s">
        <v>1018</v>
      </c>
      <c r="B37" s="860" t="s">
        <v>1019</v>
      </c>
      <c r="C37" s="861"/>
      <c r="D37" s="735">
        <v>0</v>
      </c>
    </row>
    <row r="38" spans="1:5" s="413" customFormat="1" ht="47.25" thickTop="1" thickBot="1" x14ac:dyDescent="0.25">
      <c r="A38" s="493">
        <v>41053900</v>
      </c>
      <c r="B38" s="860" t="s">
        <v>381</v>
      </c>
      <c r="C38" s="861"/>
      <c r="D38" s="735">
        <v>883724</v>
      </c>
    </row>
    <row r="39" spans="1:5" s="413" customFormat="1" ht="409.5" hidden="1" customHeight="1" thickTop="1" x14ac:dyDescent="0.65">
      <c r="A39" s="871" t="s">
        <v>1207</v>
      </c>
      <c r="B39" s="873" t="s">
        <v>1208</v>
      </c>
      <c r="C39" s="874"/>
      <c r="D39" s="872">
        <v>0</v>
      </c>
    </row>
    <row r="40" spans="1:5" s="413" customFormat="1" ht="150.75" hidden="1" customHeight="1" thickBot="1" x14ac:dyDescent="0.25">
      <c r="A40" s="835"/>
      <c r="B40" s="875" t="s">
        <v>1209</v>
      </c>
      <c r="C40" s="876"/>
      <c r="D40" s="835"/>
    </row>
    <row r="41" spans="1:5" s="413" customFormat="1" ht="149.25" hidden="1" customHeight="1" thickTop="1" thickBot="1" x14ac:dyDescent="0.25">
      <c r="A41" s="493" t="s">
        <v>659</v>
      </c>
      <c r="B41" s="860" t="s">
        <v>662</v>
      </c>
      <c r="C41" s="861"/>
      <c r="D41" s="735">
        <v>0</v>
      </c>
    </row>
    <row r="42" spans="1:5" s="413" customFormat="1" ht="296.25" hidden="1" customHeight="1" thickTop="1" thickBot="1" x14ac:dyDescent="0.25">
      <c r="A42" s="493" t="s">
        <v>1125</v>
      </c>
      <c r="B42" s="860" t="s">
        <v>1126</v>
      </c>
      <c r="C42" s="861"/>
      <c r="D42" s="711">
        <f>10623233.82-10623233.82</f>
        <v>0</v>
      </c>
    </row>
    <row r="43" spans="1:5" s="413" customFormat="1" ht="66.75" customHeight="1" thickTop="1" thickBot="1" x14ac:dyDescent="0.55000000000000004">
      <c r="A43" s="713" t="s">
        <v>650</v>
      </c>
      <c r="B43" s="867" t="s">
        <v>651</v>
      </c>
      <c r="C43" s="868"/>
      <c r="D43" s="711">
        <f>SUM(D27:D41)</f>
        <v>10263156</v>
      </c>
      <c r="E43" s="423"/>
    </row>
    <row r="44" spans="1:5" s="413" customFormat="1" ht="246.75" hidden="1" customHeight="1" thickTop="1" thickBot="1" x14ac:dyDescent="0.25">
      <c r="A44" s="416" t="s">
        <v>1231</v>
      </c>
      <c r="B44" s="862" t="s">
        <v>1232</v>
      </c>
      <c r="C44" s="863"/>
      <c r="D44" s="417">
        <v>0</v>
      </c>
    </row>
    <row r="45" spans="1:5" s="413" customFormat="1" ht="66.75" hidden="1" customHeight="1" thickTop="1" thickBot="1" x14ac:dyDescent="0.25">
      <c r="A45" s="419" t="s">
        <v>610</v>
      </c>
      <c r="B45" s="858" t="s">
        <v>611</v>
      </c>
      <c r="C45" s="859"/>
      <c r="D45" s="421">
        <f>D44</f>
        <v>0</v>
      </c>
    </row>
    <row r="46" spans="1:5" ht="61.5" customHeight="1" thickTop="1" thickBot="1" x14ac:dyDescent="0.25">
      <c r="A46" s="864" t="s">
        <v>638</v>
      </c>
      <c r="B46" s="865"/>
      <c r="C46" s="865"/>
      <c r="D46" s="866"/>
    </row>
    <row r="47" spans="1:5" ht="61.5" hidden="1" customHeight="1" thickTop="1" thickBot="1" x14ac:dyDescent="0.25">
      <c r="A47" s="414" t="s">
        <v>647</v>
      </c>
      <c r="B47" s="869" t="s">
        <v>459</v>
      </c>
      <c r="C47" s="870"/>
      <c r="D47" s="415">
        <f>D48</f>
        <v>0</v>
      </c>
    </row>
    <row r="48" spans="1:5" ht="153.75" hidden="1" customHeight="1" thickTop="1" thickBot="1" x14ac:dyDescent="0.25">
      <c r="A48" s="416" t="s">
        <v>1196</v>
      </c>
      <c r="B48" s="862" t="s">
        <v>1152</v>
      </c>
      <c r="C48" s="863"/>
      <c r="D48" s="417">
        <v>0</v>
      </c>
    </row>
    <row r="49" spans="1:5" ht="47.25" hidden="1" thickTop="1" thickBot="1" x14ac:dyDescent="0.25">
      <c r="A49" s="419" t="s">
        <v>938</v>
      </c>
      <c r="B49" s="858" t="s">
        <v>608</v>
      </c>
      <c r="C49" s="859"/>
      <c r="D49" s="420">
        <f>D47</f>
        <v>0</v>
      </c>
    </row>
    <row r="50" spans="1:5" ht="121.5" hidden="1" customHeight="1" thickTop="1" thickBot="1" x14ac:dyDescent="0.25">
      <c r="A50" s="414" t="s">
        <v>654</v>
      </c>
      <c r="B50" s="869" t="s">
        <v>655</v>
      </c>
      <c r="C50" s="886"/>
      <c r="D50" s="415">
        <f>D53+D55</f>
        <v>0</v>
      </c>
      <c r="E50" s="422" t="b">
        <f>D50=D51+D52+D54</f>
        <v>1</v>
      </c>
    </row>
    <row r="51" spans="1:5" ht="165.75" hidden="1" customHeight="1" thickTop="1" thickBot="1" x14ac:dyDescent="0.25">
      <c r="A51" s="416" t="s">
        <v>1020</v>
      </c>
      <c r="B51" s="862" t="s">
        <v>1023</v>
      </c>
      <c r="C51" s="863"/>
      <c r="D51" s="417">
        <v>0</v>
      </c>
    </row>
    <row r="52" spans="1:5" ht="147.75" hidden="1" customHeight="1" thickTop="1" thickBot="1" x14ac:dyDescent="0.25">
      <c r="A52" s="416">
        <v>41053900</v>
      </c>
      <c r="B52" s="862" t="s">
        <v>1024</v>
      </c>
      <c r="C52" s="863"/>
      <c r="D52" s="417">
        <v>0</v>
      </c>
    </row>
    <row r="53" spans="1:5" ht="47.25" hidden="1" thickTop="1" thickBot="1" x14ac:dyDescent="0.25">
      <c r="A53" s="419" t="s">
        <v>650</v>
      </c>
      <c r="B53" s="858" t="s">
        <v>651</v>
      </c>
      <c r="C53" s="859"/>
      <c r="D53" s="421">
        <f>D52+D51</f>
        <v>0</v>
      </c>
    </row>
    <row r="54" spans="1:5" ht="131.25" hidden="1" customHeight="1" thickTop="1" thickBot="1" x14ac:dyDescent="0.25">
      <c r="A54" s="416">
        <v>41053900</v>
      </c>
      <c r="B54" s="862" t="s">
        <v>1230</v>
      </c>
      <c r="C54" s="863"/>
      <c r="D54" s="417">
        <v>0</v>
      </c>
    </row>
    <row r="55" spans="1:5" ht="47.25" hidden="1" thickTop="1" thickBot="1" x14ac:dyDescent="0.25">
      <c r="A55" s="419" t="s">
        <v>610</v>
      </c>
      <c r="B55" s="858" t="s">
        <v>611</v>
      </c>
      <c r="C55" s="859"/>
      <c r="D55" s="421">
        <f>D54</f>
        <v>0</v>
      </c>
    </row>
    <row r="56" spans="1:5" ht="81" customHeight="1" thickTop="1" thickBot="1" x14ac:dyDescent="0.25">
      <c r="A56" s="736" t="s">
        <v>399</v>
      </c>
      <c r="B56" s="893" t="s">
        <v>639</v>
      </c>
      <c r="C56" s="894"/>
      <c r="D56" s="737">
        <f>D57+D58</f>
        <v>728430056</v>
      </c>
      <c r="E56" s="661" t="b">
        <f>D56='d1'!C103</f>
        <v>1</v>
      </c>
    </row>
    <row r="57" spans="1:5" ht="47.25" thickTop="1" thickBot="1" x14ac:dyDescent="0.25">
      <c r="A57" s="226" t="s">
        <v>399</v>
      </c>
      <c r="B57" s="867" t="s">
        <v>404</v>
      </c>
      <c r="C57" s="868"/>
      <c r="D57" s="711">
        <f>D43+D22+D25+D45</f>
        <v>728430056</v>
      </c>
      <c r="E57" s="661" t="b">
        <f>D57='d1'!D103</f>
        <v>1</v>
      </c>
    </row>
    <row r="58" spans="1:5" ht="47.25" thickTop="1" thickBot="1" x14ac:dyDescent="0.25">
      <c r="A58" s="226" t="s">
        <v>399</v>
      </c>
      <c r="B58" s="867" t="s">
        <v>405</v>
      </c>
      <c r="C58" s="868"/>
      <c r="D58" s="711">
        <f>D53+D49+D55</f>
        <v>0</v>
      </c>
      <c r="E58" s="661" t="b">
        <f>D58='d1'!E103</f>
        <v>1</v>
      </c>
    </row>
    <row r="59" spans="1:5" ht="31.7" customHeight="1" thickTop="1" x14ac:dyDescent="0.2">
      <c r="A59" s="184"/>
      <c r="B59" s="185"/>
      <c r="C59" s="185"/>
      <c r="D59" s="185"/>
    </row>
    <row r="60" spans="1:5" ht="31.7" customHeight="1" x14ac:dyDescent="0.2">
      <c r="A60" s="184"/>
      <c r="B60" s="185"/>
      <c r="C60" s="185"/>
      <c r="D60" s="185"/>
    </row>
    <row r="61" spans="1:5" ht="60" customHeight="1" x14ac:dyDescent="0.2">
      <c r="A61" s="877" t="s">
        <v>1247</v>
      </c>
      <c r="B61" s="878"/>
      <c r="C61" s="878"/>
      <c r="D61" s="878"/>
    </row>
    <row r="62" spans="1:5" ht="54" customHeight="1" thickBot="1" x14ac:dyDescent="0.25">
      <c r="A62" s="184"/>
      <c r="B62" s="185"/>
      <c r="C62" s="185"/>
      <c r="D62" s="395" t="s">
        <v>422</v>
      </c>
    </row>
    <row r="63" spans="1:5" ht="325.5" customHeight="1" thickTop="1" thickBot="1" x14ac:dyDescent="0.25">
      <c r="A63" s="396" t="s">
        <v>640</v>
      </c>
      <c r="B63" s="432" t="s">
        <v>517</v>
      </c>
      <c r="C63" s="396" t="s">
        <v>641</v>
      </c>
      <c r="D63" s="396" t="s">
        <v>401</v>
      </c>
    </row>
    <row r="64" spans="1:5" ht="50.25" customHeight="1" thickTop="1" thickBot="1" x14ac:dyDescent="0.25">
      <c r="A64" s="226" t="s">
        <v>2</v>
      </c>
      <c r="B64" s="226" t="s">
        <v>3</v>
      </c>
      <c r="C64" s="226" t="s">
        <v>14</v>
      </c>
      <c r="D64" s="226" t="s">
        <v>5</v>
      </c>
    </row>
    <row r="65" spans="1:9" ht="65.25" customHeight="1" thickTop="1" thickBot="1" x14ac:dyDescent="0.25">
      <c r="A65" s="890" t="s">
        <v>642</v>
      </c>
      <c r="B65" s="891"/>
      <c r="C65" s="891"/>
      <c r="D65" s="892"/>
    </row>
    <row r="66" spans="1:9" ht="230.25" thickTop="1" thickBot="1" x14ac:dyDescent="0.25">
      <c r="A66" s="493" t="s">
        <v>258</v>
      </c>
      <c r="B66" s="493" t="s">
        <v>259</v>
      </c>
      <c r="C66" s="494" t="s">
        <v>465</v>
      </c>
      <c r="D66" s="495">
        <f>SUM(D67:D68)</f>
        <v>600600</v>
      </c>
      <c r="E66" s="661" t="b">
        <f>D66='d3'!E37</f>
        <v>1</v>
      </c>
      <c r="F66" s="662"/>
      <c r="G66" s="663"/>
      <c r="H66" s="663"/>
      <c r="I66" s="663"/>
    </row>
    <row r="67" spans="1:9" ht="93" thickTop="1" thickBot="1" x14ac:dyDescent="0.25">
      <c r="A67" s="464" t="s">
        <v>607</v>
      </c>
      <c r="B67" s="464"/>
      <c r="C67" s="496" t="s">
        <v>612</v>
      </c>
      <c r="D67" s="479">
        <v>300300</v>
      </c>
      <c r="E67" s="662"/>
      <c r="F67" s="662"/>
      <c r="G67" s="663"/>
      <c r="H67" s="663"/>
      <c r="I67" s="663"/>
    </row>
    <row r="68" spans="1:9" ht="93" thickTop="1" thickBot="1" x14ac:dyDescent="0.25">
      <c r="A68" s="464" t="s">
        <v>613</v>
      </c>
      <c r="B68" s="464"/>
      <c r="C68" s="496" t="s">
        <v>614</v>
      </c>
      <c r="D68" s="479">
        <v>300300</v>
      </c>
      <c r="E68" s="662"/>
      <c r="F68" s="662"/>
      <c r="G68" s="663"/>
      <c r="H68" s="663"/>
      <c r="I68" s="663"/>
    </row>
    <row r="69" spans="1:9" ht="47.25" thickTop="1" thickBot="1" x14ac:dyDescent="0.25">
      <c r="A69" s="493" t="s">
        <v>609</v>
      </c>
      <c r="B69" s="493" t="s">
        <v>380</v>
      </c>
      <c r="C69" s="494" t="s">
        <v>381</v>
      </c>
      <c r="D69" s="495">
        <f>SUM(D70)</f>
        <v>132100</v>
      </c>
      <c r="E69" s="661" t="b">
        <f>D69='d3'!E38</f>
        <v>1</v>
      </c>
      <c r="F69" s="662"/>
      <c r="G69" s="663"/>
      <c r="H69" s="663"/>
      <c r="I69" s="663"/>
    </row>
    <row r="70" spans="1:9" ht="93" thickTop="1" thickBot="1" x14ac:dyDescent="0.25">
      <c r="A70" s="464" t="s">
        <v>610</v>
      </c>
      <c r="B70" s="464"/>
      <c r="C70" s="496" t="s">
        <v>611</v>
      </c>
      <c r="D70" s="479">
        <v>132100</v>
      </c>
      <c r="E70" s="662"/>
      <c r="F70" s="662"/>
      <c r="G70" s="663"/>
      <c r="H70" s="663"/>
      <c r="I70" s="663"/>
    </row>
    <row r="71" spans="1:9" ht="184.5" hidden="1" thickTop="1" thickBot="1" x14ac:dyDescent="0.25">
      <c r="A71" s="416" t="s">
        <v>538</v>
      </c>
      <c r="B71" s="416" t="s">
        <v>539</v>
      </c>
      <c r="C71" s="424" t="s">
        <v>540</v>
      </c>
      <c r="D71" s="418">
        <f>D72</f>
        <v>0</v>
      </c>
      <c r="E71" s="661" t="b">
        <f>D71='d3'!E39</f>
        <v>1</v>
      </c>
      <c r="F71" s="662"/>
      <c r="G71" s="663"/>
      <c r="H71" s="663"/>
      <c r="I71" s="663"/>
    </row>
    <row r="72" spans="1:9" ht="47.25" hidden="1" thickTop="1" thickBot="1" x14ac:dyDescent="0.25">
      <c r="A72" s="419" t="s">
        <v>938</v>
      </c>
      <c r="B72" s="419"/>
      <c r="C72" s="425" t="s">
        <v>608</v>
      </c>
      <c r="D72" s="420">
        <v>0</v>
      </c>
      <c r="E72" s="662"/>
      <c r="F72" s="662"/>
      <c r="G72" s="663"/>
      <c r="H72" s="663"/>
      <c r="I72" s="663"/>
    </row>
    <row r="73" spans="1:9" ht="47.25" hidden="1" thickTop="1" thickBot="1" x14ac:dyDescent="0.25">
      <c r="A73" s="416" t="s">
        <v>624</v>
      </c>
      <c r="B73" s="416" t="s">
        <v>380</v>
      </c>
      <c r="C73" s="424" t="s">
        <v>381</v>
      </c>
      <c r="D73" s="418">
        <f>SUM(D74)</f>
        <v>0</v>
      </c>
      <c r="E73" s="661" t="b">
        <f>D73='d3'!E188</f>
        <v>1</v>
      </c>
      <c r="F73" s="662"/>
      <c r="G73" s="663"/>
      <c r="H73" s="663"/>
      <c r="I73" s="663"/>
    </row>
    <row r="74" spans="1:9" ht="93" hidden="1" thickTop="1" thickBot="1" x14ac:dyDescent="0.25">
      <c r="A74" s="419" t="s">
        <v>615</v>
      </c>
      <c r="B74" s="419"/>
      <c r="C74" s="425" t="s">
        <v>616</v>
      </c>
      <c r="D74" s="420">
        <v>0</v>
      </c>
      <c r="E74" s="662"/>
      <c r="F74" s="662"/>
      <c r="G74" s="663"/>
      <c r="H74" s="663"/>
      <c r="I74" s="663"/>
    </row>
    <row r="75" spans="1:9" ht="47.25" hidden="1" thickTop="1" thickBot="1" x14ac:dyDescent="0.25">
      <c r="A75" s="416" t="s">
        <v>1237</v>
      </c>
      <c r="B75" s="416" t="s">
        <v>380</v>
      </c>
      <c r="C75" s="424" t="s">
        <v>381</v>
      </c>
      <c r="D75" s="418">
        <v>0</v>
      </c>
      <c r="E75" s="661" t="b">
        <f>D75='d3'!E221</f>
        <v>1</v>
      </c>
      <c r="F75" s="662"/>
      <c r="G75" s="663"/>
      <c r="H75" s="663"/>
      <c r="I75" s="663"/>
    </row>
    <row r="76" spans="1:9" ht="47.25" hidden="1" thickTop="1" thickBot="1" x14ac:dyDescent="0.25">
      <c r="A76" s="416" t="s">
        <v>970</v>
      </c>
      <c r="B76" s="416" t="s">
        <v>380</v>
      </c>
      <c r="C76" s="424" t="s">
        <v>381</v>
      </c>
      <c r="D76" s="418">
        <v>0</v>
      </c>
      <c r="E76" s="661" t="b">
        <f>D76='d3'!E328</f>
        <v>1</v>
      </c>
      <c r="F76" s="662"/>
      <c r="G76" s="663"/>
      <c r="H76" s="663"/>
      <c r="I76" s="663"/>
    </row>
    <row r="77" spans="1:9" ht="47.25" hidden="1" thickTop="1" thickBot="1" x14ac:dyDescent="0.25">
      <c r="A77" s="419" t="s">
        <v>650</v>
      </c>
      <c r="B77" s="419"/>
      <c r="C77" s="425" t="s">
        <v>651</v>
      </c>
      <c r="D77" s="420">
        <f>SUM(D75:D76)</f>
        <v>0</v>
      </c>
      <c r="E77" s="662"/>
      <c r="F77" s="662"/>
      <c r="G77" s="663"/>
      <c r="H77" s="663"/>
      <c r="I77" s="663"/>
    </row>
    <row r="78" spans="1:9" ht="47.25" thickTop="1" thickBot="1" x14ac:dyDescent="0.25">
      <c r="A78" s="493" t="s">
        <v>644</v>
      </c>
      <c r="B78" s="493" t="s">
        <v>645</v>
      </c>
      <c r="C78" s="494" t="s">
        <v>474</v>
      </c>
      <c r="D78" s="495">
        <f>SUM(D79)</f>
        <v>91712900</v>
      </c>
      <c r="E78" s="661" t="b">
        <f>D78='d3'!E360</f>
        <v>1</v>
      </c>
      <c r="F78" s="662"/>
      <c r="G78" s="663"/>
      <c r="H78" s="663"/>
      <c r="I78" s="663"/>
    </row>
    <row r="79" spans="1:9" ht="47.25" thickTop="1" thickBot="1" x14ac:dyDescent="0.25">
      <c r="A79" s="548" t="s">
        <v>938</v>
      </c>
      <c r="B79" s="548"/>
      <c r="C79" s="496" t="s">
        <v>608</v>
      </c>
      <c r="D79" s="479">
        <v>91712900</v>
      </c>
      <c r="E79" s="662"/>
      <c r="F79" s="662"/>
      <c r="G79" s="663"/>
      <c r="H79" s="663"/>
      <c r="I79" s="663"/>
    </row>
    <row r="80" spans="1:9" ht="77.25" customHeight="1" thickTop="1" thickBot="1" x14ac:dyDescent="0.25">
      <c r="A80" s="890" t="s">
        <v>643</v>
      </c>
      <c r="B80" s="891"/>
      <c r="C80" s="891"/>
      <c r="D80" s="892"/>
      <c r="E80" s="662"/>
      <c r="F80" s="662"/>
      <c r="G80" s="663"/>
      <c r="H80" s="663"/>
      <c r="I80" s="663"/>
    </row>
    <row r="81" spans="1:9" ht="184.5" hidden="1" customHeight="1" thickTop="1" thickBot="1" x14ac:dyDescent="0.25">
      <c r="A81" s="416" t="s">
        <v>538</v>
      </c>
      <c r="B81" s="416" t="s">
        <v>539</v>
      </c>
      <c r="C81" s="424" t="s">
        <v>540</v>
      </c>
      <c r="D81" s="418">
        <v>0</v>
      </c>
      <c r="E81" s="661" t="b">
        <f>D81='d3'!J39</f>
        <v>1</v>
      </c>
      <c r="F81" s="662"/>
      <c r="G81" s="663"/>
      <c r="H81" s="663"/>
      <c r="I81" s="663"/>
    </row>
    <row r="82" spans="1:9" ht="47.25" hidden="1" customHeight="1" thickTop="1" thickBot="1" x14ac:dyDescent="0.25">
      <c r="A82" s="419" t="s">
        <v>938</v>
      </c>
      <c r="B82" s="419"/>
      <c r="C82" s="425" t="s">
        <v>608</v>
      </c>
      <c r="D82" s="420">
        <f>D81</f>
        <v>0</v>
      </c>
      <c r="E82" s="662"/>
      <c r="F82" s="662"/>
      <c r="G82" s="663"/>
      <c r="H82" s="663"/>
      <c r="I82" s="663"/>
    </row>
    <row r="83" spans="1:9" ht="47.25" hidden="1" customHeight="1" thickTop="1" thickBot="1" x14ac:dyDescent="0.25">
      <c r="A83" s="416" t="s">
        <v>1133</v>
      </c>
      <c r="B83" s="416" t="s">
        <v>380</v>
      </c>
      <c r="C83" s="424" t="s">
        <v>381</v>
      </c>
      <c r="D83" s="418">
        <v>0</v>
      </c>
      <c r="E83" s="661" t="b">
        <f>D83='d3'!J87</f>
        <v>1</v>
      </c>
      <c r="F83" s="662"/>
      <c r="G83" s="663"/>
      <c r="H83" s="663"/>
      <c r="I83" s="663"/>
    </row>
    <row r="84" spans="1:9" ht="47.25" hidden="1" thickTop="1" thickBot="1" x14ac:dyDescent="0.25">
      <c r="A84" s="416" t="s">
        <v>1237</v>
      </c>
      <c r="B84" s="416" t="s">
        <v>380</v>
      </c>
      <c r="C84" s="424" t="s">
        <v>381</v>
      </c>
      <c r="D84" s="418">
        <v>0</v>
      </c>
      <c r="E84" s="661" t="b">
        <f>D84='d3'!J221</f>
        <v>1</v>
      </c>
      <c r="F84" s="662"/>
      <c r="G84" s="663"/>
      <c r="H84" s="663"/>
      <c r="I84" s="663"/>
    </row>
    <row r="85" spans="1:9" ht="47.25" hidden="1" thickTop="1" thickBot="1" x14ac:dyDescent="0.25">
      <c r="A85" s="416" t="s">
        <v>970</v>
      </c>
      <c r="B85" s="416" t="s">
        <v>380</v>
      </c>
      <c r="C85" s="424" t="s">
        <v>381</v>
      </c>
      <c r="D85" s="418">
        <v>0</v>
      </c>
      <c r="E85" s="661" t="b">
        <f>D85='d3'!J328</f>
        <v>1</v>
      </c>
      <c r="F85" s="662"/>
      <c r="G85" s="663"/>
      <c r="H85" s="663"/>
      <c r="I85" s="663"/>
    </row>
    <row r="86" spans="1:9" ht="47.25" hidden="1" thickTop="1" thickBot="1" x14ac:dyDescent="0.25">
      <c r="A86" s="419" t="s">
        <v>650</v>
      </c>
      <c r="B86" s="419"/>
      <c r="C86" s="425" t="s">
        <v>651</v>
      </c>
      <c r="D86" s="420">
        <f>SUM(D83:D85)</f>
        <v>0</v>
      </c>
      <c r="E86" s="662"/>
      <c r="F86" s="662"/>
      <c r="G86" s="663"/>
      <c r="H86" s="663"/>
      <c r="I86" s="663"/>
    </row>
    <row r="87" spans="1:9" ht="47.25" thickTop="1" thickBot="1" x14ac:dyDescent="0.25">
      <c r="A87" s="666"/>
      <c r="B87" s="666"/>
      <c r="C87" s="552"/>
      <c r="D87" s="667"/>
      <c r="E87" s="662"/>
      <c r="F87" s="662"/>
      <c r="G87" s="663"/>
      <c r="H87" s="663"/>
      <c r="I87" s="663"/>
    </row>
    <row r="88" spans="1:9" ht="84.75" customHeight="1" thickTop="1" thickBot="1" x14ac:dyDescent="0.25">
      <c r="A88" s="736" t="s">
        <v>399</v>
      </c>
      <c r="B88" s="736" t="s">
        <v>399</v>
      </c>
      <c r="C88" s="738" t="s">
        <v>639</v>
      </c>
      <c r="D88" s="737">
        <f>D67+D68+D70+D72+D74+D77+D79+D82+D86</f>
        <v>92445600</v>
      </c>
      <c r="E88" s="664" t="b">
        <f>D88=D89+D90</f>
        <v>1</v>
      </c>
      <c r="F88" s="664" t="b">
        <f>D88='d7'!G31+'d7'!G32+'d7'!G33+'d7'!G34+'d7'!G35+'d7'!G36+'d7'!G37+'d7'!G38+'d7'!G39+'d7'!G40+'d7'!G75+'d7'!G143+'d7'!G162+'d7'!G242+'d5'!D78</f>
        <v>1</v>
      </c>
      <c r="G88" s="663"/>
      <c r="H88" s="663"/>
      <c r="I88" s="663"/>
    </row>
    <row r="89" spans="1:9" ht="47.25" thickTop="1" thickBot="1" x14ac:dyDescent="0.25">
      <c r="A89" s="549" t="s">
        <v>399</v>
      </c>
      <c r="B89" s="549" t="s">
        <v>399</v>
      </c>
      <c r="C89" s="433" t="s">
        <v>404</v>
      </c>
      <c r="D89" s="547">
        <f>'d3'!E358+'d3'!E326+'d3'!E186+'d3'!E35+'d3'!E87+'d3'!E221</f>
        <v>92445600</v>
      </c>
      <c r="E89" s="664" t="b">
        <f>D89=D66+D69+D73+D76+D78+D71+D75</f>
        <v>1</v>
      </c>
      <c r="F89" s="665"/>
      <c r="G89" s="663"/>
      <c r="H89" s="663"/>
      <c r="I89" s="663"/>
    </row>
    <row r="90" spans="1:9" ht="47.25" thickTop="1" thickBot="1" x14ac:dyDescent="0.25">
      <c r="A90" s="549" t="s">
        <v>399</v>
      </c>
      <c r="B90" s="549" t="s">
        <v>399</v>
      </c>
      <c r="C90" s="433" t="s">
        <v>405</v>
      </c>
      <c r="D90" s="547">
        <f>'d3'!J35+'d3'!J186+'d3'!J326+'d3'!J358+'d3'!J87+'d3'!J221</f>
        <v>0</v>
      </c>
      <c r="E90" s="664" t="b">
        <f>D90=D86+D82</f>
        <v>1</v>
      </c>
      <c r="F90" s="665"/>
      <c r="G90" s="663"/>
      <c r="H90" s="663"/>
      <c r="I90" s="663"/>
    </row>
    <row r="91" spans="1:9" ht="31.7" customHeight="1" thickTop="1" x14ac:dyDescent="0.2">
      <c r="A91" s="544"/>
      <c r="B91" s="545"/>
      <c r="C91" s="545"/>
      <c r="D91" s="545"/>
      <c r="E91" s="631"/>
      <c r="F91" s="631"/>
      <c r="G91" s="663"/>
      <c r="H91" s="663"/>
      <c r="I91" s="663"/>
    </row>
    <row r="92" spans="1:9" ht="31.7" customHeight="1" x14ac:dyDescent="0.2">
      <c r="A92" s="544"/>
      <c r="B92" s="545"/>
      <c r="C92" s="545"/>
      <c r="D92" s="545"/>
      <c r="E92" s="631"/>
      <c r="F92" s="631"/>
      <c r="G92" s="663"/>
      <c r="H92" s="663"/>
      <c r="I92" s="663"/>
    </row>
    <row r="93" spans="1:9" ht="31.7" customHeight="1" x14ac:dyDescent="0.2">
      <c r="A93" s="544"/>
      <c r="B93" s="545"/>
      <c r="C93" s="545"/>
      <c r="D93" s="545"/>
      <c r="E93" s="658"/>
      <c r="F93" s="658"/>
    </row>
    <row r="94" spans="1:9" ht="45" customHeight="1" x14ac:dyDescent="0.65">
      <c r="A94" s="544"/>
      <c r="B94" s="895" t="s">
        <v>1335</v>
      </c>
      <c r="C94" s="803"/>
      <c r="D94" s="829" t="s">
        <v>1336</v>
      </c>
      <c r="E94" s="829"/>
      <c r="F94" s="829"/>
      <c r="G94" s="426"/>
      <c r="H94" s="426"/>
      <c r="I94" s="427"/>
    </row>
    <row r="95" spans="1:9" ht="61.5" customHeight="1" x14ac:dyDescent="0.65">
      <c r="A95" s="550"/>
      <c r="B95" s="829"/>
      <c r="C95" s="829"/>
      <c r="D95" s="829"/>
      <c r="E95" s="658"/>
      <c r="F95" s="658"/>
    </row>
    <row r="96" spans="1:9" ht="45.75" x14ac:dyDescent="0.65">
      <c r="A96" s="391"/>
      <c r="B96" s="448"/>
      <c r="C96" s="448"/>
      <c r="D96" s="448"/>
      <c r="E96" s="658"/>
      <c r="F96" s="658"/>
    </row>
    <row r="97" spans="1:6" ht="45.75" x14ac:dyDescent="0.65">
      <c r="A97" s="391"/>
      <c r="B97" s="829"/>
      <c r="C97" s="829"/>
      <c r="D97" s="829"/>
      <c r="E97" s="658"/>
      <c r="F97" s="658"/>
    </row>
    <row r="100" spans="1:6" x14ac:dyDescent="0.2">
      <c r="A100" s="412"/>
      <c r="B100" s="412"/>
      <c r="C100" s="412"/>
    </row>
    <row r="102" spans="1:6" x14ac:dyDescent="0.2">
      <c r="A102" s="412"/>
      <c r="B102" s="412"/>
      <c r="C102" s="412"/>
    </row>
    <row r="106" spans="1:6" x14ac:dyDescent="0.2">
      <c r="A106" s="412"/>
      <c r="B106" s="412"/>
      <c r="C106" s="412"/>
      <c r="D106" s="412"/>
    </row>
    <row r="107" spans="1:6" x14ac:dyDescent="0.2">
      <c r="A107" s="412"/>
      <c r="B107" s="412"/>
      <c r="C107" s="412"/>
      <c r="D107" s="412"/>
    </row>
    <row r="108" spans="1:6" x14ac:dyDescent="0.2">
      <c r="A108" s="412"/>
      <c r="B108" s="412"/>
      <c r="C108" s="412"/>
      <c r="D108" s="412"/>
    </row>
    <row r="109" spans="1:6" x14ac:dyDescent="0.2">
      <c r="A109" s="412"/>
      <c r="B109" s="412"/>
      <c r="C109" s="412"/>
      <c r="D109" s="412"/>
    </row>
  </sheetData>
  <mergeCells count="70">
    <mergeCell ref="B97:D97"/>
    <mergeCell ref="A65:D65"/>
    <mergeCell ref="A80:D80"/>
    <mergeCell ref="B50:C50"/>
    <mergeCell ref="B57:C57"/>
    <mergeCell ref="B58:C58"/>
    <mergeCell ref="B56:C56"/>
    <mergeCell ref="B51:C51"/>
    <mergeCell ref="B53:C53"/>
    <mergeCell ref="B94:C94"/>
    <mergeCell ref="A61:D61"/>
    <mergeCell ref="D94:F94"/>
    <mergeCell ref="B54:C54"/>
    <mergeCell ref="B55:C55"/>
    <mergeCell ref="B95:D95"/>
    <mergeCell ref="B22:C22"/>
    <mergeCell ref="B29:C29"/>
    <mergeCell ref="B30:C30"/>
    <mergeCell ref="B42:C42"/>
    <mergeCell ref="B34:C34"/>
    <mergeCell ref="B36:C36"/>
    <mergeCell ref="B38:C38"/>
    <mergeCell ref="B27:C27"/>
    <mergeCell ref="B28:C28"/>
    <mergeCell ref="B31:C31"/>
    <mergeCell ref="B32:C32"/>
    <mergeCell ref="N3:O3"/>
    <mergeCell ref="N4:O4"/>
    <mergeCell ref="N5:O5"/>
    <mergeCell ref="A6:D6"/>
    <mergeCell ref="A7:D7"/>
    <mergeCell ref="A5:D5"/>
    <mergeCell ref="A9:D9"/>
    <mergeCell ref="A13:D13"/>
    <mergeCell ref="B11:C11"/>
    <mergeCell ref="B12:C12"/>
    <mergeCell ref="B26:C26"/>
    <mergeCell ref="B16:C16"/>
    <mergeCell ref="B14:C14"/>
    <mergeCell ref="B23:C23"/>
    <mergeCell ref="B24:C24"/>
    <mergeCell ref="B17:C17"/>
    <mergeCell ref="B21:C21"/>
    <mergeCell ref="B25:C25"/>
    <mergeCell ref="B15:C15"/>
    <mergeCell ref="B19:C19"/>
    <mergeCell ref="B20:C20"/>
    <mergeCell ref="B18:C18"/>
    <mergeCell ref="A27:A28"/>
    <mergeCell ref="D27:D28"/>
    <mergeCell ref="B33:C33"/>
    <mergeCell ref="B39:C39"/>
    <mergeCell ref="A39:A40"/>
    <mergeCell ref="D39:D40"/>
    <mergeCell ref="B40:C40"/>
    <mergeCell ref="A29:A30"/>
    <mergeCell ref="D29:D30"/>
    <mergeCell ref="A31:A32"/>
    <mergeCell ref="D31:D32"/>
    <mergeCell ref="B35:C35"/>
    <mergeCell ref="B37:C37"/>
    <mergeCell ref="B49:C49"/>
    <mergeCell ref="B41:C41"/>
    <mergeCell ref="B52:C52"/>
    <mergeCell ref="A46:D46"/>
    <mergeCell ref="B43:C43"/>
    <mergeCell ref="B44:C44"/>
    <mergeCell ref="B45:C45"/>
    <mergeCell ref="B47:C47"/>
    <mergeCell ref="B48:C48"/>
  </mergeCells>
  <pageMargins left="0.23622047244094491" right="0.27559055118110237" top="0.27559055118110237" bottom="0.15748031496062992" header="0.23622047244094491" footer="0.27559055118110237"/>
  <pageSetup paperSize="9" scale="30" fitToHeight="0" orientation="portrait" horizontalDpi="4294967295" verticalDpi="4294967295" r:id="rId1"/>
  <headerFooter alignWithMargins="0">
    <oddFooter>&amp;C&amp;"Times New Roman Cyr,курсив"Сторінка &amp;P з &amp;N</oddFooter>
  </headerFooter>
  <rowBreaks count="1" manualBreakCount="1">
    <brk id="96" max="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R139"/>
  <sheetViews>
    <sheetView view="pageBreakPreview" topLeftCell="B1" zoomScale="80" zoomScaleNormal="40" zoomScaleSheetLayoutView="80" workbookViewId="0">
      <pane ySplit="10" topLeftCell="A70" activePane="bottomLeft" state="frozen"/>
      <selection activeCell="F175" sqref="F175"/>
      <selection pane="bottomLeft" activeCell="H62" sqref="H62"/>
    </sheetView>
  </sheetViews>
  <sheetFormatPr defaultColWidth="7.85546875" defaultRowHeight="12.75" x14ac:dyDescent="0.2"/>
  <cols>
    <col min="1" max="1" width="3.28515625" style="124" hidden="1" customWidth="1"/>
    <col min="2" max="3" width="15.42578125" style="174" customWidth="1"/>
    <col min="4" max="4" width="16.85546875" style="174" customWidth="1"/>
    <col min="5" max="5" width="41.5703125" style="174" customWidth="1"/>
    <col min="6" max="6" width="38.5703125" style="174" customWidth="1"/>
    <col min="7" max="8" width="18.140625" style="178" customWidth="1"/>
    <col min="9" max="9" width="20.28515625" style="178" customWidth="1"/>
    <col min="10" max="10" width="23" style="178" customWidth="1"/>
    <col min="11" max="11" width="18.140625" style="178" customWidth="1"/>
    <col min="12" max="14" width="15.42578125" style="124" bestFit="1" customWidth="1"/>
    <col min="15" max="15" width="12.7109375" style="124" customWidth="1"/>
    <col min="16" max="16384" width="7.85546875" style="124"/>
  </cols>
  <sheetData>
    <row r="1" spans="1:18" s="6" customFormat="1" ht="22.7" customHeight="1" x14ac:dyDescent="0.25">
      <c r="B1" s="903"/>
      <c r="C1" s="903"/>
      <c r="D1" s="903"/>
      <c r="E1" s="903"/>
      <c r="F1" s="903"/>
      <c r="G1" s="903"/>
      <c r="H1" s="903"/>
      <c r="I1" s="903"/>
      <c r="J1" s="903"/>
      <c r="K1" s="903"/>
    </row>
    <row r="2" spans="1:18" ht="41.25" customHeight="1" x14ac:dyDescent="0.2">
      <c r="G2" s="904" t="s">
        <v>1051</v>
      </c>
      <c r="H2" s="904"/>
      <c r="I2" s="904"/>
      <c r="J2" s="904"/>
      <c r="K2" s="904"/>
    </row>
    <row r="3" spans="1:18" ht="29.25" customHeight="1" x14ac:dyDescent="0.2">
      <c r="G3" s="193"/>
      <c r="H3" s="193"/>
      <c r="I3" s="193"/>
      <c r="J3" s="193"/>
      <c r="K3" s="193"/>
    </row>
    <row r="4" spans="1:18" ht="31.5" customHeight="1" x14ac:dyDescent="0.2">
      <c r="B4" s="905" t="s">
        <v>1248</v>
      </c>
      <c r="C4" s="906"/>
      <c r="D4" s="906"/>
      <c r="E4" s="906"/>
      <c r="F4" s="906"/>
      <c r="G4" s="906"/>
      <c r="H4" s="906"/>
      <c r="I4" s="906"/>
      <c r="J4" s="906"/>
      <c r="K4" s="906"/>
    </row>
    <row r="5" spans="1:18" ht="31.5" customHeight="1" x14ac:dyDescent="0.2">
      <c r="B5" s="905" t="s">
        <v>1249</v>
      </c>
      <c r="C5" s="906"/>
      <c r="D5" s="906"/>
      <c r="E5" s="906"/>
      <c r="F5" s="906"/>
      <c r="G5" s="906"/>
      <c r="H5" s="906"/>
      <c r="I5" s="906"/>
      <c r="J5" s="906"/>
      <c r="K5" s="906"/>
    </row>
    <row r="6" spans="1:18" ht="24.75" customHeight="1" x14ac:dyDescent="0.2">
      <c r="B6" s="905" t="s">
        <v>1250</v>
      </c>
      <c r="C6" s="906"/>
      <c r="D6" s="906"/>
      <c r="E6" s="906"/>
      <c r="F6" s="906"/>
      <c r="G6" s="906"/>
      <c r="H6" s="906"/>
      <c r="I6" s="906"/>
      <c r="J6" s="906"/>
      <c r="K6" s="906"/>
    </row>
    <row r="7" spans="1:18" ht="18.75" x14ac:dyDescent="0.2">
      <c r="B7" s="907">
        <v>22564000000</v>
      </c>
      <c r="C7" s="908"/>
      <c r="D7" s="192"/>
      <c r="E7" s="192"/>
      <c r="F7" s="192"/>
      <c r="G7" s="192"/>
      <c r="H7" s="192"/>
      <c r="I7" s="192"/>
      <c r="J7" s="192"/>
      <c r="K7" s="192"/>
    </row>
    <row r="8" spans="1:18" ht="19.5" thickBot="1" x14ac:dyDescent="0.25">
      <c r="B8" s="901" t="s">
        <v>515</v>
      </c>
      <c r="C8" s="902"/>
      <c r="D8" s="192"/>
      <c r="E8" s="192"/>
      <c r="F8" s="192"/>
      <c r="G8" s="192"/>
      <c r="H8" s="192"/>
      <c r="I8" s="192"/>
      <c r="J8" s="192"/>
      <c r="K8" s="192"/>
    </row>
    <row r="9" spans="1:18" ht="120" customHeight="1" thickTop="1" thickBot="1" x14ac:dyDescent="0.25">
      <c r="A9" s="434"/>
      <c r="B9" s="435" t="s">
        <v>516</v>
      </c>
      <c r="C9" s="435" t="s">
        <v>517</v>
      </c>
      <c r="D9" s="435" t="s">
        <v>408</v>
      </c>
      <c r="E9" s="435" t="s">
        <v>606</v>
      </c>
      <c r="F9" s="130" t="s">
        <v>1251</v>
      </c>
      <c r="G9" s="130" t="s">
        <v>1254</v>
      </c>
      <c r="H9" s="130" t="s">
        <v>1255</v>
      </c>
      <c r="I9" s="130" t="s">
        <v>1256</v>
      </c>
      <c r="J9" s="130" t="s">
        <v>1257</v>
      </c>
      <c r="K9" s="130" t="s">
        <v>1258</v>
      </c>
      <c r="L9" s="334"/>
      <c r="M9" s="334"/>
      <c r="N9" s="334"/>
      <c r="O9" s="334"/>
      <c r="P9" s="334"/>
      <c r="Q9" s="334"/>
      <c r="R9" s="334"/>
    </row>
    <row r="10" spans="1:18" ht="16.5" thickTop="1" thickBot="1" x14ac:dyDescent="0.25">
      <c r="A10" s="434"/>
      <c r="B10" s="435">
        <v>1</v>
      </c>
      <c r="C10" s="435">
        <v>2</v>
      </c>
      <c r="D10" s="435">
        <v>3</v>
      </c>
      <c r="E10" s="435">
        <v>4</v>
      </c>
      <c r="F10" s="435">
        <v>5</v>
      </c>
      <c r="G10" s="435">
        <v>6</v>
      </c>
      <c r="H10" s="435">
        <v>7</v>
      </c>
      <c r="I10" s="435">
        <v>8</v>
      </c>
      <c r="J10" s="435">
        <v>9</v>
      </c>
      <c r="K10" s="435">
        <v>10</v>
      </c>
      <c r="L10" s="334"/>
      <c r="M10" s="334"/>
      <c r="N10" s="334"/>
      <c r="O10" s="334"/>
      <c r="P10" s="334"/>
      <c r="Q10" s="334"/>
      <c r="R10" s="334"/>
    </row>
    <row r="11" spans="1:18" ht="31.5" hidden="1" thickTop="1" thickBot="1" x14ac:dyDescent="0.25">
      <c r="B11" s="509" t="s">
        <v>157</v>
      </c>
      <c r="C11" s="509"/>
      <c r="D11" s="509"/>
      <c r="E11" s="510" t="s">
        <v>159</v>
      </c>
      <c r="F11" s="509"/>
      <c r="G11" s="509"/>
      <c r="H11" s="509"/>
      <c r="I11" s="510"/>
      <c r="J11" s="513">
        <f>J12</f>
        <v>0</v>
      </c>
      <c r="K11" s="509"/>
      <c r="L11" s="334"/>
      <c r="M11" s="334"/>
      <c r="N11" s="334"/>
      <c r="O11" s="334"/>
      <c r="P11" s="334"/>
      <c r="Q11" s="334"/>
      <c r="R11" s="334"/>
    </row>
    <row r="12" spans="1:18" ht="44.25" hidden="1" thickTop="1" thickBot="1" x14ac:dyDescent="0.25">
      <c r="B12" s="511" t="s">
        <v>158</v>
      </c>
      <c r="C12" s="511"/>
      <c r="D12" s="511"/>
      <c r="E12" s="512" t="s">
        <v>160</v>
      </c>
      <c r="F12" s="511"/>
      <c r="G12" s="511"/>
      <c r="H12" s="511"/>
      <c r="I12" s="512"/>
      <c r="J12" s="514">
        <f>SUM(J13:J18)</f>
        <v>0</v>
      </c>
      <c r="K12" s="511"/>
      <c r="L12" s="334"/>
      <c r="M12" s="334"/>
      <c r="N12" s="334"/>
      <c r="O12" s="334"/>
      <c r="P12" s="334"/>
      <c r="Q12" s="334"/>
      <c r="R12" s="334"/>
    </row>
    <row r="13" spans="1:18" ht="76.5" hidden="1" thickTop="1" thickBot="1" x14ac:dyDescent="0.25">
      <c r="B13" s="335" t="s">
        <v>245</v>
      </c>
      <c r="C13" s="335" t="s">
        <v>246</v>
      </c>
      <c r="D13" s="335" t="s">
        <v>247</v>
      </c>
      <c r="E13" s="335" t="s">
        <v>244</v>
      </c>
      <c r="F13" s="336" t="s">
        <v>545</v>
      </c>
      <c r="G13" s="337"/>
      <c r="H13" s="338"/>
      <c r="I13" s="337"/>
      <c r="J13" s="339"/>
      <c r="K13" s="339"/>
      <c r="L13" s="334"/>
      <c r="M13" s="334"/>
      <c r="N13" s="334"/>
      <c r="O13" s="334"/>
      <c r="P13" s="334"/>
      <c r="Q13" s="334"/>
      <c r="R13" s="334"/>
    </row>
    <row r="14" spans="1:18" ht="91.5" hidden="1" thickTop="1" thickBot="1" x14ac:dyDescent="0.25">
      <c r="B14" s="335" t="s">
        <v>245</v>
      </c>
      <c r="C14" s="335" t="s">
        <v>246</v>
      </c>
      <c r="D14" s="335" t="s">
        <v>247</v>
      </c>
      <c r="E14" s="335" t="s">
        <v>244</v>
      </c>
      <c r="F14" s="336" t="s">
        <v>1219</v>
      </c>
      <c r="G14" s="340" t="s">
        <v>590</v>
      </c>
      <c r="H14" s="341"/>
      <c r="I14" s="342"/>
      <c r="J14" s="339"/>
      <c r="K14" s="342"/>
      <c r="L14" s="334"/>
      <c r="M14" s="334"/>
      <c r="N14" s="334"/>
      <c r="O14" s="334"/>
      <c r="P14" s="334"/>
      <c r="Q14" s="334"/>
      <c r="R14" s="334"/>
    </row>
    <row r="15" spans="1:18" ht="31.5" hidden="1" thickTop="1" thickBot="1" x14ac:dyDescent="0.25">
      <c r="B15" s="335" t="s">
        <v>251</v>
      </c>
      <c r="C15" s="335" t="s">
        <v>252</v>
      </c>
      <c r="D15" s="335" t="s">
        <v>253</v>
      </c>
      <c r="E15" s="335" t="s">
        <v>250</v>
      </c>
      <c r="F15" s="336" t="s">
        <v>545</v>
      </c>
      <c r="G15" s="337"/>
      <c r="H15" s="338"/>
      <c r="I15" s="337"/>
      <c r="J15" s="339"/>
      <c r="K15" s="339"/>
      <c r="L15" s="334"/>
      <c r="M15" s="334"/>
      <c r="N15" s="334"/>
      <c r="O15" s="334"/>
      <c r="P15" s="334"/>
      <c r="Q15" s="334"/>
      <c r="R15" s="334"/>
    </row>
    <row r="16" spans="1:18" ht="61.5" hidden="1" thickTop="1" thickBot="1" x14ac:dyDescent="0.25">
      <c r="B16" s="335" t="s">
        <v>538</v>
      </c>
      <c r="C16" s="335" t="s">
        <v>539</v>
      </c>
      <c r="D16" s="335" t="s">
        <v>45</v>
      </c>
      <c r="E16" s="335" t="s">
        <v>540</v>
      </c>
      <c r="F16" s="336" t="s">
        <v>545</v>
      </c>
      <c r="G16" s="337"/>
      <c r="H16" s="338"/>
      <c r="I16" s="337"/>
      <c r="J16" s="339"/>
      <c r="K16" s="339"/>
      <c r="L16" s="334"/>
      <c r="M16" s="334"/>
      <c r="N16" s="334"/>
      <c r="O16" s="334"/>
      <c r="P16" s="334"/>
      <c r="Q16" s="334"/>
      <c r="R16" s="334"/>
    </row>
    <row r="17" spans="1:18" ht="181.5" hidden="1" thickTop="1" thickBot="1" x14ac:dyDescent="0.25">
      <c r="B17" s="335" t="s">
        <v>538</v>
      </c>
      <c r="C17" s="335" t="s">
        <v>539</v>
      </c>
      <c r="D17" s="335" t="s">
        <v>45</v>
      </c>
      <c r="E17" s="335" t="s">
        <v>540</v>
      </c>
      <c r="F17" s="336" t="s">
        <v>1234</v>
      </c>
      <c r="G17" s="337"/>
      <c r="H17" s="338"/>
      <c r="I17" s="337"/>
      <c r="J17" s="339"/>
      <c r="K17" s="339"/>
      <c r="L17" s="334"/>
      <c r="M17" s="334"/>
      <c r="N17" s="334"/>
      <c r="O17" s="334"/>
      <c r="P17" s="334"/>
      <c r="Q17" s="334"/>
      <c r="R17" s="334"/>
    </row>
    <row r="18" spans="1:18" ht="61.5" hidden="1" thickTop="1" thickBot="1" x14ac:dyDescent="0.25">
      <c r="B18" s="335" t="s">
        <v>538</v>
      </c>
      <c r="C18" s="335" t="s">
        <v>539</v>
      </c>
      <c r="D18" s="335" t="s">
        <v>45</v>
      </c>
      <c r="E18" s="335" t="s">
        <v>540</v>
      </c>
      <c r="F18" s="336" t="s">
        <v>1003</v>
      </c>
      <c r="G18" s="337"/>
      <c r="H18" s="338"/>
      <c r="I18" s="337"/>
      <c r="J18" s="339"/>
      <c r="K18" s="339"/>
      <c r="L18" s="334"/>
      <c r="M18" s="334"/>
      <c r="N18" s="334"/>
      <c r="O18" s="334"/>
      <c r="P18" s="334"/>
      <c r="Q18" s="334"/>
      <c r="R18" s="334"/>
    </row>
    <row r="19" spans="1:18" ht="46.5" thickTop="1" thickBot="1" x14ac:dyDescent="0.25">
      <c r="A19" s="175"/>
      <c r="B19" s="509" t="s">
        <v>161</v>
      </c>
      <c r="C19" s="509"/>
      <c r="D19" s="509"/>
      <c r="E19" s="510" t="s">
        <v>0</v>
      </c>
      <c r="F19" s="509"/>
      <c r="G19" s="509"/>
      <c r="H19" s="513">
        <f>H20</f>
        <v>7667780</v>
      </c>
      <c r="I19" s="513">
        <f>I20</f>
        <v>3275405.21</v>
      </c>
      <c r="J19" s="513">
        <f>J20</f>
        <v>950161</v>
      </c>
      <c r="K19" s="559"/>
      <c r="L19" s="334"/>
      <c r="M19" s="334"/>
      <c r="N19" s="334"/>
      <c r="O19" s="334"/>
      <c r="P19" s="334"/>
      <c r="Q19" s="334"/>
      <c r="R19" s="334"/>
    </row>
    <row r="20" spans="1:18" ht="44.25" thickTop="1" thickBot="1" x14ac:dyDescent="0.25">
      <c r="A20" s="175"/>
      <c r="B20" s="511" t="s">
        <v>162</v>
      </c>
      <c r="C20" s="511"/>
      <c r="D20" s="511"/>
      <c r="E20" s="512" t="s">
        <v>1</v>
      </c>
      <c r="F20" s="511"/>
      <c r="G20" s="511"/>
      <c r="H20" s="514">
        <f>SUM(H21:H22)</f>
        <v>7667780</v>
      </c>
      <c r="I20" s="514">
        <f>SUM(I21:I22)</f>
        <v>3275405.21</v>
      </c>
      <c r="J20" s="514">
        <f>SUM(J21:J22)</f>
        <v>950161</v>
      </c>
      <c r="K20" s="560"/>
      <c r="L20" s="334"/>
      <c r="M20" s="334"/>
      <c r="N20" s="334"/>
      <c r="O20" s="334"/>
      <c r="P20" s="334"/>
      <c r="Q20" s="334"/>
      <c r="R20" s="334"/>
    </row>
    <row r="21" spans="1:18" ht="76.5" thickTop="1" thickBot="1" x14ac:dyDescent="0.25">
      <c r="B21" s="516" t="s">
        <v>689</v>
      </c>
      <c r="C21" s="516" t="s">
        <v>690</v>
      </c>
      <c r="D21" s="516" t="s">
        <v>217</v>
      </c>
      <c r="E21" s="516" t="s">
        <v>691</v>
      </c>
      <c r="F21" s="554" t="s">
        <v>1233</v>
      </c>
      <c r="G21" s="555" t="s">
        <v>1288</v>
      </c>
      <c r="H21" s="519">
        <v>3488348</v>
      </c>
      <c r="I21" s="519">
        <f>1950923.21+1261682</f>
        <v>3212605.21</v>
      </c>
      <c r="J21" s="556">
        <v>250161</v>
      </c>
      <c r="K21" s="557">
        <v>1</v>
      </c>
      <c r="L21" s="345"/>
      <c r="M21" s="346"/>
      <c r="N21" s="334"/>
      <c r="O21" s="334"/>
      <c r="P21" s="334"/>
      <c r="Q21" s="334"/>
      <c r="R21" s="334"/>
    </row>
    <row r="22" spans="1:18" ht="61.5" thickTop="1" thickBot="1" x14ac:dyDescent="0.25">
      <c r="B22" s="516" t="s">
        <v>1228</v>
      </c>
      <c r="C22" s="516" t="s">
        <v>325</v>
      </c>
      <c r="D22" s="516" t="s">
        <v>318</v>
      </c>
      <c r="E22" s="516" t="s">
        <v>1229</v>
      </c>
      <c r="F22" s="554" t="s">
        <v>1289</v>
      </c>
      <c r="G22" s="555" t="s">
        <v>1090</v>
      </c>
      <c r="H22" s="558">
        <v>4179432</v>
      </c>
      <c r="I22" s="556">
        <f>(49000)+13800</f>
        <v>62800</v>
      </c>
      <c r="J22" s="556">
        <v>700000</v>
      </c>
      <c r="K22" s="557">
        <f>(J22+I22)/H22</f>
        <v>0.18251283906521268</v>
      </c>
      <c r="L22" s="344"/>
      <c r="M22" s="346"/>
      <c r="N22" s="334"/>
      <c r="O22" s="334"/>
      <c r="P22" s="334"/>
      <c r="Q22" s="334"/>
      <c r="R22" s="334"/>
    </row>
    <row r="23" spans="1:18" ht="46.5" thickTop="1" thickBot="1" x14ac:dyDescent="0.25">
      <c r="B23" s="509" t="s">
        <v>163</v>
      </c>
      <c r="C23" s="509"/>
      <c r="D23" s="509"/>
      <c r="E23" s="510" t="s">
        <v>18</v>
      </c>
      <c r="F23" s="509"/>
      <c r="G23" s="509"/>
      <c r="H23" s="513">
        <f>H24</f>
        <v>24579593</v>
      </c>
      <c r="I23" s="513">
        <f>I24</f>
        <v>6100000</v>
      </c>
      <c r="J23" s="513">
        <f>J24</f>
        <v>5000000</v>
      </c>
      <c r="K23" s="559"/>
      <c r="L23" s="334"/>
      <c r="M23" s="334"/>
      <c r="N23" s="334"/>
      <c r="O23" s="334"/>
      <c r="P23" s="334"/>
      <c r="Q23" s="334"/>
      <c r="R23" s="334"/>
    </row>
    <row r="24" spans="1:18" ht="44.25" thickTop="1" thickBot="1" x14ac:dyDescent="0.25">
      <c r="B24" s="511" t="s">
        <v>164</v>
      </c>
      <c r="C24" s="511"/>
      <c r="D24" s="511"/>
      <c r="E24" s="512" t="s">
        <v>38</v>
      </c>
      <c r="F24" s="511"/>
      <c r="G24" s="511"/>
      <c r="H24" s="514">
        <f>SUM(H25:H26)</f>
        <v>24579593</v>
      </c>
      <c r="I24" s="514">
        <f>SUM(I25:I26)</f>
        <v>6100000</v>
      </c>
      <c r="J24" s="514">
        <f>SUM(J25:J26)</f>
        <v>5000000</v>
      </c>
      <c r="K24" s="560"/>
      <c r="L24" s="334"/>
      <c r="M24" s="334"/>
      <c r="N24" s="334"/>
      <c r="O24" s="334"/>
      <c r="P24" s="334"/>
      <c r="Q24" s="334"/>
      <c r="R24" s="334"/>
    </row>
    <row r="25" spans="1:18" ht="91.5" hidden="1" thickTop="1" thickBot="1" x14ac:dyDescent="0.25">
      <c r="B25" s="335" t="s">
        <v>435</v>
      </c>
      <c r="C25" s="335" t="s">
        <v>249</v>
      </c>
      <c r="D25" s="335" t="s">
        <v>247</v>
      </c>
      <c r="E25" s="335" t="s">
        <v>248</v>
      </c>
      <c r="F25" s="336" t="s">
        <v>1220</v>
      </c>
      <c r="G25" s="340" t="s">
        <v>1221</v>
      </c>
      <c r="H25" s="341"/>
      <c r="I25" s="342"/>
      <c r="J25" s="339"/>
      <c r="K25" s="342"/>
      <c r="L25" s="334"/>
      <c r="M25" s="334"/>
      <c r="N25" s="334"/>
      <c r="O25" s="334"/>
      <c r="P25" s="334"/>
      <c r="Q25" s="334"/>
      <c r="R25" s="334"/>
    </row>
    <row r="26" spans="1:18" ht="91.5" thickTop="1" thickBot="1" x14ac:dyDescent="0.25">
      <c r="B26" s="516" t="s">
        <v>227</v>
      </c>
      <c r="C26" s="516" t="s">
        <v>224</v>
      </c>
      <c r="D26" s="516" t="s">
        <v>228</v>
      </c>
      <c r="E26" s="516" t="s">
        <v>19</v>
      </c>
      <c r="F26" s="517" t="s">
        <v>1263</v>
      </c>
      <c r="G26" s="518" t="s">
        <v>649</v>
      </c>
      <c r="H26" s="519">
        <v>24579593</v>
      </c>
      <c r="I26" s="519">
        <f>600000+5500000</f>
        <v>6100000</v>
      </c>
      <c r="J26" s="521">
        <v>5000000</v>
      </c>
      <c r="K26" s="520">
        <f>(J26+I26)/H26</f>
        <v>0.45159413339350246</v>
      </c>
      <c r="L26" s="334"/>
      <c r="M26" s="334"/>
      <c r="N26" s="334"/>
      <c r="O26" s="334"/>
      <c r="P26" s="334"/>
      <c r="Q26" s="334"/>
      <c r="R26" s="334"/>
    </row>
    <row r="27" spans="1:18" ht="46.5" hidden="1" thickTop="1" thickBot="1" x14ac:dyDescent="0.25">
      <c r="B27" s="509" t="s">
        <v>165</v>
      </c>
      <c r="C27" s="509"/>
      <c r="D27" s="509"/>
      <c r="E27" s="510" t="s">
        <v>39</v>
      </c>
      <c r="F27" s="509"/>
      <c r="G27" s="509"/>
      <c r="H27" s="513">
        <f>H28</f>
        <v>0</v>
      </c>
      <c r="I27" s="513">
        <f>I28</f>
        <v>0</v>
      </c>
      <c r="J27" s="513">
        <f>J28</f>
        <v>0</v>
      </c>
      <c r="K27" s="559"/>
      <c r="L27" s="334"/>
      <c r="M27" s="334"/>
      <c r="N27" s="334"/>
      <c r="O27" s="334"/>
      <c r="P27" s="334"/>
      <c r="Q27" s="334"/>
      <c r="R27" s="334"/>
    </row>
    <row r="28" spans="1:18" ht="58.5" hidden="1" thickTop="1" thickBot="1" x14ac:dyDescent="0.25">
      <c r="B28" s="511" t="s">
        <v>166</v>
      </c>
      <c r="C28" s="511"/>
      <c r="D28" s="511"/>
      <c r="E28" s="512" t="s">
        <v>40</v>
      </c>
      <c r="F28" s="511"/>
      <c r="G28" s="511"/>
      <c r="H28" s="514">
        <f>SUM(H29:H29)</f>
        <v>0</v>
      </c>
      <c r="I28" s="514">
        <f>SUM(I29:I29)</f>
        <v>0</v>
      </c>
      <c r="J28" s="514">
        <f>SUM(J29:J29)</f>
        <v>0</v>
      </c>
      <c r="K28" s="560"/>
      <c r="L28" s="334"/>
      <c r="M28" s="334"/>
      <c r="N28" s="334"/>
      <c r="O28" s="334"/>
      <c r="P28" s="334"/>
      <c r="Q28" s="334"/>
      <c r="R28" s="334"/>
    </row>
    <row r="29" spans="1:18" ht="46.5" hidden="1" thickTop="1" thickBot="1" x14ac:dyDescent="0.25">
      <c r="B29" s="335" t="s">
        <v>434</v>
      </c>
      <c r="C29" s="335" t="s">
        <v>249</v>
      </c>
      <c r="D29" s="335" t="s">
        <v>247</v>
      </c>
      <c r="E29" s="335" t="s">
        <v>248</v>
      </c>
      <c r="F29" s="348"/>
      <c r="G29" s="340"/>
      <c r="H29" s="341"/>
      <c r="I29" s="340"/>
      <c r="J29" s="341"/>
      <c r="K29" s="341"/>
      <c r="L29" s="334"/>
      <c r="M29" s="334"/>
      <c r="N29" s="334"/>
      <c r="O29" s="334"/>
      <c r="P29" s="334"/>
      <c r="Q29" s="334"/>
      <c r="R29" s="334"/>
    </row>
    <row r="30" spans="1:18" ht="46.5" thickTop="1" thickBot="1" x14ac:dyDescent="0.25">
      <c r="A30" s="129"/>
      <c r="B30" s="509">
        <v>1000000</v>
      </c>
      <c r="C30" s="509"/>
      <c r="D30" s="509"/>
      <c r="E30" s="510" t="s">
        <v>24</v>
      </c>
      <c r="F30" s="509"/>
      <c r="G30" s="509"/>
      <c r="H30" s="513">
        <f>H31</f>
        <v>27064985</v>
      </c>
      <c r="I30" s="513">
        <f>I31</f>
        <v>19955037.289999999</v>
      </c>
      <c r="J30" s="513">
        <f>J31</f>
        <v>4652920</v>
      </c>
      <c r="K30" s="559"/>
      <c r="L30" s="334"/>
      <c r="M30" s="334"/>
      <c r="N30" s="334"/>
      <c r="O30" s="334"/>
      <c r="P30" s="334"/>
      <c r="Q30" s="334"/>
      <c r="R30" s="334"/>
    </row>
    <row r="31" spans="1:18" ht="44.25" thickTop="1" thickBot="1" x14ac:dyDescent="0.25">
      <c r="A31" s="129"/>
      <c r="B31" s="511">
        <v>1010000</v>
      </c>
      <c r="C31" s="511"/>
      <c r="D31" s="511"/>
      <c r="E31" s="512" t="s">
        <v>41</v>
      </c>
      <c r="F31" s="511"/>
      <c r="G31" s="511"/>
      <c r="H31" s="514">
        <f>SUM(H32:H33)</f>
        <v>27064985</v>
      </c>
      <c r="I31" s="514">
        <f>SUM(I32:I33)</f>
        <v>19955037.289999999</v>
      </c>
      <c r="J31" s="514">
        <f>SUM(J32:J33)</f>
        <v>4652920</v>
      </c>
      <c r="K31" s="560"/>
      <c r="L31" s="334"/>
      <c r="M31" s="334"/>
      <c r="N31" s="334"/>
      <c r="O31" s="334"/>
      <c r="P31" s="334"/>
      <c r="Q31" s="334"/>
      <c r="R31" s="334"/>
    </row>
    <row r="32" spans="1:18" ht="61.5" thickTop="1" thickBot="1" x14ac:dyDescent="0.25">
      <c r="A32" s="434"/>
      <c r="B32" s="516" t="s">
        <v>189</v>
      </c>
      <c r="C32" s="516" t="s">
        <v>190</v>
      </c>
      <c r="D32" s="516" t="s">
        <v>187</v>
      </c>
      <c r="E32" s="516" t="s">
        <v>486</v>
      </c>
      <c r="F32" s="554" t="s">
        <v>1009</v>
      </c>
      <c r="G32" s="558" t="s">
        <v>546</v>
      </c>
      <c r="H32" s="558">
        <v>27064985</v>
      </c>
      <c r="I32" s="558">
        <f>1430336+2994769.5+4929931.79+5600000+(3000000)+2000000</f>
        <v>19955037.289999999</v>
      </c>
      <c r="J32" s="558">
        <v>4652920</v>
      </c>
      <c r="K32" s="571">
        <f>(J32+I32)/H32</f>
        <v>0.90921747379501594</v>
      </c>
      <c r="L32" s="334"/>
      <c r="M32" s="334"/>
      <c r="N32" s="334"/>
      <c r="O32" s="334"/>
      <c r="P32" s="334"/>
      <c r="Q32" s="334"/>
      <c r="R32" s="334"/>
    </row>
    <row r="33" spans="1:18" ht="121.5" hidden="1" thickTop="1" thickBot="1" x14ac:dyDescent="0.25">
      <c r="A33" s="129"/>
      <c r="B33" s="335" t="s">
        <v>982</v>
      </c>
      <c r="C33" s="335" t="s">
        <v>210</v>
      </c>
      <c r="D33" s="335" t="s">
        <v>179</v>
      </c>
      <c r="E33" s="335" t="s">
        <v>36</v>
      </c>
      <c r="F33" s="348" t="s">
        <v>1017</v>
      </c>
      <c r="G33" s="340" t="s">
        <v>590</v>
      </c>
      <c r="H33" s="341"/>
      <c r="I33" s="342"/>
      <c r="J33" s="341"/>
      <c r="K33" s="342"/>
      <c r="L33" s="334"/>
      <c r="M33" s="334"/>
      <c r="N33" s="334"/>
      <c r="O33" s="334"/>
      <c r="P33" s="334"/>
      <c r="Q33" s="334"/>
      <c r="R33" s="334"/>
    </row>
    <row r="34" spans="1:18" ht="46.5" thickTop="1" thickBot="1" x14ac:dyDescent="0.25">
      <c r="B34" s="509" t="s">
        <v>22</v>
      </c>
      <c r="C34" s="509"/>
      <c r="D34" s="509"/>
      <c r="E34" s="510" t="s">
        <v>23</v>
      </c>
      <c r="F34" s="509"/>
      <c r="G34" s="509"/>
      <c r="H34" s="513">
        <f>H35</f>
        <v>22187664</v>
      </c>
      <c r="I34" s="513">
        <f>I35</f>
        <v>6649999</v>
      </c>
      <c r="J34" s="513">
        <f>J35</f>
        <v>5000000</v>
      </c>
      <c r="K34" s="559"/>
      <c r="L34" s="334"/>
      <c r="M34" s="334"/>
      <c r="N34" s="334"/>
      <c r="O34" s="334"/>
      <c r="P34" s="334"/>
      <c r="Q34" s="334"/>
      <c r="R34" s="334"/>
    </row>
    <row r="35" spans="1:18" ht="44.25" thickTop="1" thickBot="1" x14ac:dyDescent="0.25">
      <c r="B35" s="511" t="s">
        <v>21</v>
      </c>
      <c r="C35" s="511"/>
      <c r="D35" s="511"/>
      <c r="E35" s="512" t="s">
        <v>37</v>
      </c>
      <c r="F35" s="511"/>
      <c r="G35" s="511"/>
      <c r="H35" s="514">
        <f>SUM(H36:H36)</f>
        <v>22187664</v>
      </c>
      <c r="I35" s="514">
        <f>SUM(I36:I36)</f>
        <v>6649999</v>
      </c>
      <c r="J35" s="514">
        <f>SUM(J36:J36)</f>
        <v>5000000</v>
      </c>
      <c r="K35" s="560"/>
      <c r="L35" s="334"/>
      <c r="M35" s="334"/>
      <c r="N35" s="334"/>
      <c r="O35" s="334"/>
      <c r="P35" s="334"/>
      <c r="Q35" s="334"/>
      <c r="R35" s="334"/>
    </row>
    <row r="36" spans="1:18" s="32" customFormat="1" ht="76.5" thickTop="1" thickBot="1" x14ac:dyDescent="0.25">
      <c r="B36" s="516" t="s">
        <v>28</v>
      </c>
      <c r="C36" s="516" t="s">
        <v>205</v>
      </c>
      <c r="D36" s="516" t="s">
        <v>208</v>
      </c>
      <c r="E36" s="516" t="s">
        <v>50</v>
      </c>
      <c r="F36" s="590" t="s">
        <v>1322</v>
      </c>
      <c r="G36" s="555" t="s">
        <v>1090</v>
      </c>
      <c r="H36" s="558">
        <v>22187664</v>
      </c>
      <c r="I36" s="556">
        <f>3000000+(((405800-255801)+500000)+3000000)</f>
        <v>6649999</v>
      </c>
      <c r="J36" s="556">
        <v>5000000</v>
      </c>
      <c r="K36" s="557">
        <f>(J36+I36)/H36</f>
        <v>0.525066496409897</v>
      </c>
      <c r="L36" s="350"/>
      <c r="M36" s="350"/>
      <c r="N36" s="350"/>
      <c r="O36" s="350"/>
      <c r="P36" s="350"/>
      <c r="Q36" s="350"/>
      <c r="R36" s="350"/>
    </row>
    <row r="37" spans="1:18" s="32" customFormat="1" ht="46.5" thickTop="1" thickBot="1" x14ac:dyDescent="0.25">
      <c r="B37" s="509" t="s">
        <v>167</v>
      </c>
      <c r="C37" s="509"/>
      <c r="D37" s="509"/>
      <c r="E37" s="510" t="s">
        <v>593</v>
      </c>
      <c r="F37" s="509"/>
      <c r="G37" s="509"/>
      <c r="H37" s="513">
        <f t="shared" ref="H37:J38" si="0">H38</f>
        <v>4177606</v>
      </c>
      <c r="I37" s="513">
        <f t="shared" si="0"/>
        <v>0</v>
      </c>
      <c r="J37" s="513">
        <f t="shared" si="0"/>
        <v>1968726</v>
      </c>
      <c r="K37" s="559"/>
      <c r="L37" s="351"/>
      <c r="M37" s="350"/>
      <c r="N37" s="350"/>
      <c r="O37" s="350"/>
      <c r="P37" s="350"/>
      <c r="Q37" s="350"/>
      <c r="R37" s="350"/>
    </row>
    <row r="38" spans="1:18" s="32" customFormat="1" ht="44.25" thickTop="1" thickBot="1" x14ac:dyDescent="0.25">
      <c r="B38" s="511" t="s">
        <v>168</v>
      </c>
      <c r="C38" s="511"/>
      <c r="D38" s="511"/>
      <c r="E38" s="512" t="s">
        <v>594</v>
      </c>
      <c r="F38" s="511"/>
      <c r="G38" s="511"/>
      <c r="H38" s="514">
        <f>H39</f>
        <v>4177606</v>
      </c>
      <c r="I38" s="514">
        <f t="shared" si="0"/>
        <v>0</v>
      </c>
      <c r="J38" s="514">
        <f t="shared" si="0"/>
        <v>1968726</v>
      </c>
      <c r="K38" s="560"/>
      <c r="L38" s="351"/>
      <c r="M38" s="350"/>
      <c r="N38" s="350"/>
      <c r="O38" s="350"/>
      <c r="P38" s="350"/>
      <c r="Q38" s="350"/>
      <c r="R38" s="350"/>
    </row>
    <row r="39" spans="1:18" s="32" customFormat="1" ht="46.5" thickTop="1" thickBot="1" x14ac:dyDescent="0.25">
      <c r="B39" s="516" t="s">
        <v>1310</v>
      </c>
      <c r="C39" s="516" t="s">
        <v>319</v>
      </c>
      <c r="D39" s="516" t="s">
        <v>318</v>
      </c>
      <c r="E39" s="516" t="s">
        <v>1318</v>
      </c>
      <c r="F39" s="590" t="s">
        <v>1319</v>
      </c>
      <c r="G39" s="558" t="s">
        <v>1293</v>
      </c>
      <c r="H39" s="558">
        <v>4177606</v>
      </c>
      <c r="I39" s="558">
        <v>0</v>
      </c>
      <c r="J39" s="556">
        <v>1968726</v>
      </c>
      <c r="K39" s="526">
        <f>(I39+J39)/H39</f>
        <v>0.4712569830663782</v>
      </c>
      <c r="L39" s="351"/>
      <c r="M39" s="350"/>
      <c r="N39" s="350"/>
      <c r="O39" s="350"/>
      <c r="P39" s="350"/>
      <c r="Q39" s="350"/>
      <c r="R39" s="350"/>
    </row>
    <row r="40" spans="1:18" s="32" customFormat="1" ht="46.5" thickTop="1" thickBot="1" x14ac:dyDescent="0.25">
      <c r="B40" s="509" t="s">
        <v>572</v>
      </c>
      <c r="C40" s="509"/>
      <c r="D40" s="509"/>
      <c r="E40" s="510" t="s">
        <v>591</v>
      </c>
      <c r="F40" s="509"/>
      <c r="G40" s="509"/>
      <c r="H40" s="513">
        <f>H41</f>
        <v>174542180</v>
      </c>
      <c r="I40" s="513">
        <f>I41</f>
        <v>89617383</v>
      </c>
      <c r="J40" s="513">
        <f>J41</f>
        <v>22960000</v>
      </c>
      <c r="K40" s="559"/>
      <c r="L40" s="351"/>
      <c r="M40" s="350"/>
      <c r="N40" s="350"/>
      <c r="O40" s="350"/>
      <c r="P40" s="350"/>
      <c r="Q40" s="350"/>
      <c r="R40" s="350"/>
    </row>
    <row r="41" spans="1:18" s="32" customFormat="1" ht="44.25" thickTop="1" thickBot="1" x14ac:dyDescent="0.25">
      <c r="B41" s="511" t="s">
        <v>573</v>
      </c>
      <c r="C41" s="511"/>
      <c r="D41" s="511"/>
      <c r="E41" s="512" t="s">
        <v>592</v>
      </c>
      <c r="F41" s="511"/>
      <c r="G41" s="511"/>
      <c r="H41" s="514">
        <f>SUM(H42:H55)</f>
        <v>174542180</v>
      </c>
      <c r="I41" s="514">
        <f>SUM(I42:I55)</f>
        <v>89617383</v>
      </c>
      <c r="J41" s="514">
        <f>SUM(J42:J55)</f>
        <v>22960000</v>
      </c>
      <c r="K41" s="560"/>
      <c r="L41" s="351"/>
      <c r="M41" s="350"/>
      <c r="N41" s="350"/>
      <c r="O41" s="350"/>
      <c r="P41" s="350"/>
      <c r="Q41" s="350"/>
      <c r="R41" s="350"/>
    </row>
    <row r="42" spans="1:18" s="32" customFormat="1" ht="61.5" thickTop="1" thickBot="1" x14ac:dyDescent="0.25">
      <c r="A42" s="124"/>
      <c r="B42" s="572" t="s">
        <v>580</v>
      </c>
      <c r="C42" s="572" t="s">
        <v>319</v>
      </c>
      <c r="D42" s="572" t="s">
        <v>318</v>
      </c>
      <c r="E42" s="572" t="s">
        <v>492</v>
      </c>
      <c r="F42" s="574" t="s">
        <v>1290</v>
      </c>
      <c r="G42" s="519" t="s">
        <v>1090</v>
      </c>
      <c r="H42" s="519">
        <v>10423167</v>
      </c>
      <c r="I42" s="519">
        <v>2000000</v>
      </c>
      <c r="J42" s="519">
        <v>2000000</v>
      </c>
      <c r="K42" s="526">
        <f t="shared" ref="K42:K55" si="1">(I42+J42)/H42</f>
        <v>0.38376052115446296</v>
      </c>
      <c r="L42" s="351"/>
      <c r="M42" s="350"/>
      <c r="N42" s="350"/>
      <c r="O42" s="350"/>
      <c r="P42" s="350"/>
      <c r="Q42" s="350"/>
      <c r="R42" s="350"/>
    </row>
    <row r="43" spans="1:18" s="32" customFormat="1" ht="46.5" thickTop="1" thickBot="1" x14ac:dyDescent="0.25">
      <c r="A43" s="124"/>
      <c r="B43" s="572" t="s">
        <v>580</v>
      </c>
      <c r="C43" s="572" t="s">
        <v>319</v>
      </c>
      <c r="D43" s="572" t="s">
        <v>318</v>
      </c>
      <c r="E43" s="572" t="s">
        <v>492</v>
      </c>
      <c r="F43" s="574" t="s">
        <v>1291</v>
      </c>
      <c r="G43" s="519" t="s">
        <v>547</v>
      </c>
      <c r="H43" s="519">
        <v>19973126</v>
      </c>
      <c r="I43" s="519">
        <v>3000000</v>
      </c>
      <c r="J43" s="519">
        <f>2000000</f>
        <v>2000000</v>
      </c>
      <c r="K43" s="526">
        <f t="shared" si="1"/>
        <v>0.25033637698976113</v>
      </c>
      <c r="L43" s="351"/>
      <c r="M43" s="350"/>
      <c r="N43" s="350"/>
      <c r="O43" s="350"/>
      <c r="P43" s="350"/>
      <c r="Q43" s="350"/>
      <c r="R43" s="350"/>
    </row>
    <row r="44" spans="1:18" s="32" customFormat="1" ht="61.5" thickTop="1" thickBot="1" x14ac:dyDescent="0.25">
      <c r="A44" s="124"/>
      <c r="B44" s="572" t="s">
        <v>580</v>
      </c>
      <c r="C44" s="572" t="s">
        <v>319</v>
      </c>
      <c r="D44" s="572" t="s">
        <v>318</v>
      </c>
      <c r="E44" s="572" t="s">
        <v>492</v>
      </c>
      <c r="F44" s="574" t="s">
        <v>1292</v>
      </c>
      <c r="G44" s="519" t="s">
        <v>1293</v>
      </c>
      <c r="H44" s="519">
        <v>7326277</v>
      </c>
      <c r="I44" s="519">
        <v>0</v>
      </c>
      <c r="J44" s="519">
        <v>500000</v>
      </c>
      <c r="K44" s="526">
        <f t="shared" si="1"/>
        <v>6.8247487775851226E-2</v>
      </c>
      <c r="L44" s="351"/>
      <c r="M44" s="350"/>
      <c r="N44" s="350"/>
      <c r="O44" s="350"/>
      <c r="P44" s="350"/>
      <c r="Q44" s="350"/>
      <c r="R44" s="350"/>
    </row>
    <row r="45" spans="1:18" s="32" customFormat="1" ht="46.5" thickTop="1" thickBot="1" x14ac:dyDescent="0.25">
      <c r="A45" s="124"/>
      <c r="B45" s="572" t="s">
        <v>580</v>
      </c>
      <c r="C45" s="572" t="s">
        <v>319</v>
      </c>
      <c r="D45" s="572" t="s">
        <v>318</v>
      </c>
      <c r="E45" s="572" t="s">
        <v>492</v>
      </c>
      <c r="F45" s="574" t="s">
        <v>1301</v>
      </c>
      <c r="G45" s="519" t="s">
        <v>1293</v>
      </c>
      <c r="H45" s="519">
        <v>8650378</v>
      </c>
      <c r="I45" s="519">
        <v>0</v>
      </c>
      <c r="J45" s="519">
        <v>100000</v>
      </c>
      <c r="K45" s="526">
        <f t="shared" si="1"/>
        <v>1.1560188468064633E-2</v>
      </c>
      <c r="L45" s="351"/>
      <c r="M45" s="350"/>
      <c r="N45" s="350"/>
      <c r="O45" s="350"/>
      <c r="P45" s="350"/>
      <c r="Q45" s="350"/>
      <c r="R45" s="350"/>
    </row>
    <row r="46" spans="1:18" s="32" customFormat="1" ht="46.5" thickTop="1" thickBot="1" x14ac:dyDescent="0.25">
      <c r="A46" s="124"/>
      <c r="B46" s="572" t="s">
        <v>580</v>
      </c>
      <c r="C46" s="572" t="s">
        <v>319</v>
      </c>
      <c r="D46" s="572" t="s">
        <v>318</v>
      </c>
      <c r="E46" s="572" t="s">
        <v>492</v>
      </c>
      <c r="F46" s="574" t="s">
        <v>1302</v>
      </c>
      <c r="G46" s="519" t="s">
        <v>546</v>
      </c>
      <c r="H46" s="519">
        <v>68621716</v>
      </c>
      <c r="I46" s="519">
        <v>65923472</v>
      </c>
      <c r="J46" s="519">
        <v>100000</v>
      </c>
      <c r="K46" s="526">
        <f t="shared" si="1"/>
        <v>0.9621367090266294</v>
      </c>
      <c r="L46" s="351"/>
      <c r="M46" s="350"/>
      <c r="N46" s="350"/>
      <c r="O46" s="350"/>
      <c r="P46" s="350"/>
      <c r="Q46" s="350"/>
      <c r="R46" s="350"/>
    </row>
    <row r="47" spans="1:18" s="32" customFormat="1" ht="76.5" thickTop="1" thickBot="1" x14ac:dyDescent="0.25">
      <c r="A47" s="124"/>
      <c r="B47" s="572" t="s">
        <v>582</v>
      </c>
      <c r="C47" s="572" t="s">
        <v>225</v>
      </c>
      <c r="D47" s="572" t="s">
        <v>226</v>
      </c>
      <c r="E47" s="572" t="s">
        <v>43</v>
      </c>
      <c r="F47" s="575" t="s">
        <v>1294</v>
      </c>
      <c r="G47" s="518" t="s">
        <v>1300</v>
      </c>
      <c r="H47" s="573">
        <v>30859243</v>
      </c>
      <c r="I47" s="519">
        <v>16538911</v>
      </c>
      <c r="J47" s="519">
        <v>12560000</v>
      </c>
      <c r="K47" s="526">
        <f t="shared" si="1"/>
        <v>0.94295608612304582</v>
      </c>
      <c r="L47" s="351"/>
      <c r="M47" s="350"/>
      <c r="N47" s="350"/>
      <c r="O47" s="350"/>
      <c r="P47" s="350"/>
      <c r="Q47" s="350"/>
      <c r="R47" s="350"/>
    </row>
    <row r="48" spans="1:18" s="32" customFormat="1" ht="76.5" thickTop="1" thickBot="1" x14ac:dyDescent="0.25">
      <c r="A48" s="124"/>
      <c r="B48" s="572" t="s">
        <v>583</v>
      </c>
      <c r="C48" s="572" t="s">
        <v>210</v>
      </c>
      <c r="D48" s="572" t="s">
        <v>179</v>
      </c>
      <c r="E48" s="572" t="s">
        <v>36</v>
      </c>
      <c r="F48" s="575" t="s">
        <v>1295</v>
      </c>
      <c r="G48" s="518" t="s">
        <v>1288</v>
      </c>
      <c r="H48" s="519">
        <v>4730960</v>
      </c>
      <c r="I48" s="519">
        <f>5000</f>
        <v>5000</v>
      </c>
      <c r="J48" s="519">
        <v>100000</v>
      </c>
      <c r="K48" s="526">
        <f t="shared" si="1"/>
        <v>2.2194226964506146E-2</v>
      </c>
      <c r="L48" s="351"/>
      <c r="M48" s="350"/>
      <c r="N48" s="350"/>
      <c r="O48" s="350"/>
      <c r="P48" s="350"/>
      <c r="Q48" s="350"/>
      <c r="R48" s="350"/>
    </row>
    <row r="49" spans="1:18" s="32" customFormat="1" ht="61.5" thickTop="1" thickBot="1" x14ac:dyDescent="0.25">
      <c r="A49" s="124"/>
      <c r="B49" s="572" t="s">
        <v>583</v>
      </c>
      <c r="C49" s="572" t="s">
        <v>210</v>
      </c>
      <c r="D49" s="572" t="s">
        <v>179</v>
      </c>
      <c r="E49" s="572" t="s">
        <v>36</v>
      </c>
      <c r="F49" s="517" t="s">
        <v>1303</v>
      </c>
      <c r="G49" s="518" t="s">
        <v>1090</v>
      </c>
      <c r="H49" s="519">
        <v>3936902</v>
      </c>
      <c r="I49" s="519">
        <v>2000000</v>
      </c>
      <c r="J49" s="519">
        <v>1600000</v>
      </c>
      <c r="K49" s="526">
        <f t="shared" si="1"/>
        <v>0.91442459070609328</v>
      </c>
      <c r="L49" s="351"/>
      <c r="M49" s="350"/>
      <c r="N49" s="350"/>
      <c r="O49" s="350"/>
      <c r="P49" s="350"/>
      <c r="Q49" s="350"/>
      <c r="R49" s="350"/>
    </row>
    <row r="50" spans="1:18" s="32" customFormat="1" ht="61.5" thickTop="1" thickBot="1" x14ac:dyDescent="0.25">
      <c r="A50" s="124"/>
      <c r="B50" s="572" t="s">
        <v>583</v>
      </c>
      <c r="C50" s="572" t="s">
        <v>210</v>
      </c>
      <c r="D50" s="572" t="s">
        <v>179</v>
      </c>
      <c r="E50" s="572" t="s">
        <v>36</v>
      </c>
      <c r="F50" s="575" t="s">
        <v>1296</v>
      </c>
      <c r="G50" s="518" t="s">
        <v>1293</v>
      </c>
      <c r="H50" s="519">
        <v>4607893</v>
      </c>
      <c r="I50" s="519">
        <v>0</v>
      </c>
      <c r="J50" s="519">
        <v>500000</v>
      </c>
      <c r="K50" s="526">
        <f t="shared" si="1"/>
        <v>0.1085094640869482</v>
      </c>
      <c r="L50" s="351"/>
      <c r="M50" s="350"/>
      <c r="N50" s="350"/>
      <c r="O50" s="350"/>
      <c r="P50" s="350"/>
      <c r="Q50" s="350"/>
      <c r="R50" s="350"/>
    </row>
    <row r="51" spans="1:18" s="32" customFormat="1" ht="76.5" thickTop="1" thickBot="1" x14ac:dyDescent="0.25">
      <c r="A51" s="124"/>
      <c r="B51" s="572" t="s">
        <v>583</v>
      </c>
      <c r="C51" s="572" t="s">
        <v>210</v>
      </c>
      <c r="D51" s="572" t="s">
        <v>179</v>
      </c>
      <c r="E51" s="572" t="s">
        <v>36</v>
      </c>
      <c r="F51" s="517" t="s">
        <v>1297</v>
      </c>
      <c r="G51" s="519" t="s">
        <v>1090</v>
      </c>
      <c r="H51" s="519">
        <v>2163176</v>
      </c>
      <c r="I51" s="519">
        <v>50000</v>
      </c>
      <c r="J51" s="519">
        <v>1000000</v>
      </c>
      <c r="K51" s="526">
        <f t="shared" si="1"/>
        <v>0.48539739716047148</v>
      </c>
      <c r="L51" s="351"/>
      <c r="M51" s="350"/>
      <c r="N51" s="350"/>
      <c r="O51" s="350"/>
      <c r="P51" s="350"/>
      <c r="Q51" s="350"/>
      <c r="R51" s="350"/>
    </row>
    <row r="52" spans="1:18" s="32" customFormat="1" ht="91.5" thickTop="1" thickBot="1" x14ac:dyDescent="0.25">
      <c r="A52" s="124"/>
      <c r="B52" s="572" t="s">
        <v>583</v>
      </c>
      <c r="C52" s="572" t="s">
        <v>210</v>
      </c>
      <c r="D52" s="572" t="s">
        <v>179</v>
      </c>
      <c r="E52" s="572" t="s">
        <v>36</v>
      </c>
      <c r="F52" s="517" t="s">
        <v>1304</v>
      </c>
      <c r="G52" s="519" t="s">
        <v>1293</v>
      </c>
      <c r="H52" s="519">
        <v>3387286</v>
      </c>
      <c r="I52" s="519">
        <v>0</v>
      </c>
      <c r="J52" s="519">
        <v>500000</v>
      </c>
      <c r="K52" s="526">
        <f t="shared" si="1"/>
        <v>0.14761080109562641</v>
      </c>
      <c r="L52" s="351"/>
      <c r="M52" s="350"/>
      <c r="N52" s="350"/>
      <c r="O52" s="350"/>
      <c r="P52" s="350"/>
      <c r="Q52" s="350"/>
      <c r="R52" s="350"/>
    </row>
    <row r="53" spans="1:18" s="32" customFormat="1" ht="91.5" thickTop="1" thickBot="1" x14ac:dyDescent="0.25">
      <c r="A53" s="124"/>
      <c r="B53" s="572" t="s">
        <v>583</v>
      </c>
      <c r="C53" s="572" t="s">
        <v>210</v>
      </c>
      <c r="D53" s="572" t="s">
        <v>179</v>
      </c>
      <c r="E53" s="572" t="s">
        <v>36</v>
      </c>
      <c r="F53" s="517" t="s">
        <v>1298</v>
      </c>
      <c r="G53" s="519" t="s">
        <v>1293</v>
      </c>
      <c r="H53" s="519">
        <v>5891152</v>
      </c>
      <c r="I53" s="519">
        <v>0</v>
      </c>
      <c r="J53" s="519">
        <v>1000000</v>
      </c>
      <c r="K53" s="526">
        <f t="shared" si="1"/>
        <v>0.16974608701320218</v>
      </c>
      <c r="L53" s="351"/>
      <c r="M53" s="350"/>
      <c r="N53" s="350"/>
      <c r="O53" s="350"/>
      <c r="P53" s="350"/>
      <c r="Q53" s="350"/>
      <c r="R53" s="350"/>
    </row>
    <row r="54" spans="1:18" s="32" customFormat="1" ht="74.25" customHeight="1" thickTop="1" thickBot="1" x14ac:dyDescent="0.25">
      <c r="A54" s="124"/>
      <c r="B54" s="572" t="s">
        <v>583</v>
      </c>
      <c r="C54" s="572" t="s">
        <v>210</v>
      </c>
      <c r="D54" s="572" t="s">
        <v>179</v>
      </c>
      <c r="E54" s="572" t="s">
        <v>36</v>
      </c>
      <c r="F54" s="517" t="s">
        <v>1299</v>
      </c>
      <c r="G54" s="519" t="s">
        <v>1293</v>
      </c>
      <c r="H54" s="519">
        <v>1046827</v>
      </c>
      <c r="I54" s="519">
        <v>0</v>
      </c>
      <c r="J54" s="519">
        <v>500000</v>
      </c>
      <c r="K54" s="526">
        <f t="shared" si="1"/>
        <v>0.47763384016652227</v>
      </c>
      <c r="L54" s="351"/>
      <c r="M54" s="350"/>
      <c r="N54" s="350"/>
      <c r="O54" s="350"/>
      <c r="P54" s="350"/>
      <c r="Q54" s="350"/>
      <c r="R54" s="350"/>
    </row>
    <row r="55" spans="1:18" s="32" customFormat="1" ht="76.5" thickTop="1" thickBot="1" x14ac:dyDescent="0.25">
      <c r="A55" s="124"/>
      <c r="B55" s="572" t="s">
        <v>583</v>
      </c>
      <c r="C55" s="572" t="s">
        <v>210</v>
      </c>
      <c r="D55" s="572" t="s">
        <v>179</v>
      </c>
      <c r="E55" s="572" t="s">
        <v>36</v>
      </c>
      <c r="F55" s="517" t="s">
        <v>967</v>
      </c>
      <c r="G55" s="518" t="s">
        <v>1090</v>
      </c>
      <c r="H55" s="519">
        <v>2924077</v>
      </c>
      <c r="I55" s="519">
        <v>100000</v>
      </c>
      <c r="J55" s="519">
        <v>500000</v>
      </c>
      <c r="K55" s="526">
        <f t="shared" si="1"/>
        <v>0.20519295490508629</v>
      </c>
      <c r="L55" s="351"/>
      <c r="M55" s="350"/>
      <c r="N55" s="350"/>
      <c r="O55" s="350"/>
      <c r="P55" s="350"/>
      <c r="Q55" s="350"/>
      <c r="R55" s="350"/>
    </row>
    <row r="56" spans="1:18" ht="63" customHeight="1" thickTop="1" thickBot="1" x14ac:dyDescent="0.25">
      <c r="B56" s="509" t="s">
        <v>25</v>
      </c>
      <c r="C56" s="509"/>
      <c r="D56" s="509"/>
      <c r="E56" s="510" t="s">
        <v>951</v>
      </c>
      <c r="F56" s="509"/>
      <c r="G56" s="509"/>
      <c r="H56" s="513">
        <f>H57</f>
        <v>1246806307</v>
      </c>
      <c r="I56" s="513">
        <f>I57</f>
        <v>407127048</v>
      </c>
      <c r="J56" s="513">
        <f>J57</f>
        <v>30266464</v>
      </c>
      <c r="K56" s="559"/>
      <c r="L56" s="352"/>
      <c r="M56" s="334"/>
      <c r="N56" s="334"/>
      <c r="O56" s="334"/>
      <c r="P56" s="334"/>
      <c r="Q56" s="334"/>
      <c r="R56" s="334"/>
    </row>
    <row r="57" spans="1:18" ht="63" customHeight="1" thickTop="1" thickBot="1" x14ac:dyDescent="0.25">
      <c r="B57" s="511" t="s">
        <v>26</v>
      </c>
      <c r="C57" s="511"/>
      <c r="D57" s="511"/>
      <c r="E57" s="512" t="s">
        <v>952</v>
      </c>
      <c r="F57" s="511"/>
      <c r="G57" s="511"/>
      <c r="H57" s="514">
        <f>SUM(H58:H73)</f>
        <v>1246806307</v>
      </c>
      <c r="I57" s="514">
        <f>SUM(I58:I73)</f>
        <v>407127048</v>
      </c>
      <c r="J57" s="514">
        <f>SUM(J58:J73)</f>
        <v>30266464</v>
      </c>
      <c r="K57" s="560"/>
      <c r="L57" s="352"/>
      <c r="M57" s="334"/>
      <c r="N57" s="334"/>
      <c r="O57" s="334"/>
      <c r="P57" s="334"/>
      <c r="Q57" s="334"/>
      <c r="R57" s="334"/>
    </row>
    <row r="58" spans="1:18" ht="76.5" thickTop="1" thickBot="1" x14ac:dyDescent="0.25">
      <c r="B58" s="524" t="s">
        <v>452</v>
      </c>
      <c r="C58" s="524" t="s">
        <v>454</v>
      </c>
      <c r="D58" s="524" t="s">
        <v>208</v>
      </c>
      <c r="E58" s="524" t="s">
        <v>453</v>
      </c>
      <c r="F58" s="525" t="s">
        <v>1264</v>
      </c>
      <c r="G58" s="519" t="s">
        <v>457</v>
      </c>
      <c r="H58" s="519">
        <v>448128773</v>
      </c>
      <c r="I58" s="519">
        <f>122740174+164955840</f>
        <v>287696014</v>
      </c>
      <c r="J58" s="519">
        <v>20000000</v>
      </c>
      <c r="K58" s="526">
        <f>(I58+J58)/H58</f>
        <v>0.68662409677496872</v>
      </c>
      <c r="L58" s="352"/>
      <c r="M58" s="334"/>
      <c r="N58" s="334"/>
      <c r="O58" s="334"/>
      <c r="P58" s="334"/>
      <c r="Q58" s="334"/>
      <c r="R58" s="334"/>
    </row>
    <row r="59" spans="1:18" ht="61.5" thickTop="1" thickBot="1" x14ac:dyDescent="0.25">
      <c r="B59" s="524" t="s">
        <v>994</v>
      </c>
      <c r="C59" s="524" t="s">
        <v>319</v>
      </c>
      <c r="D59" s="524" t="s">
        <v>318</v>
      </c>
      <c r="E59" s="524" t="s">
        <v>492</v>
      </c>
      <c r="F59" s="527" t="s">
        <v>1265</v>
      </c>
      <c r="G59" s="519" t="s">
        <v>1130</v>
      </c>
      <c r="H59" s="519">
        <v>2388852</v>
      </c>
      <c r="I59" s="519">
        <f>1602164+80575</f>
        <v>1682739</v>
      </c>
      <c r="J59" s="519">
        <v>706113</v>
      </c>
      <c r="K59" s="526">
        <f t="shared" ref="K59:K73" si="2">(I59+J59)/H59</f>
        <v>1</v>
      </c>
      <c r="L59" s="352"/>
      <c r="M59" s="334"/>
      <c r="N59" s="334"/>
      <c r="O59" s="334"/>
      <c r="P59" s="334"/>
      <c r="Q59" s="334"/>
      <c r="R59" s="334"/>
    </row>
    <row r="60" spans="1:18" ht="55.5" customHeight="1" thickTop="1" thickBot="1" x14ac:dyDescent="0.25">
      <c r="B60" s="524" t="s">
        <v>324</v>
      </c>
      <c r="C60" s="524" t="s">
        <v>325</v>
      </c>
      <c r="D60" s="524" t="s">
        <v>318</v>
      </c>
      <c r="E60" s="524" t="s">
        <v>323</v>
      </c>
      <c r="F60" s="527" t="s">
        <v>1044</v>
      </c>
      <c r="G60" s="519" t="s">
        <v>988</v>
      </c>
      <c r="H60" s="519">
        <v>56437448</v>
      </c>
      <c r="I60" s="519">
        <f>28071676+15122869+2857360+1500000+1458181</f>
        <v>49010086</v>
      </c>
      <c r="J60" s="519">
        <v>341819</v>
      </c>
      <c r="K60" s="526">
        <f t="shared" si="2"/>
        <v>0.87445316450169752</v>
      </c>
      <c r="L60" s="352"/>
      <c r="M60" s="334"/>
      <c r="N60" s="334"/>
      <c r="O60" s="334"/>
      <c r="P60" s="334"/>
      <c r="Q60" s="334"/>
      <c r="R60" s="334"/>
    </row>
    <row r="61" spans="1:18" ht="76.5" thickTop="1" thickBot="1" x14ac:dyDescent="0.25">
      <c r="B61" s="524" t="s">
        <v>324</v>
      </c>
      <c r="C61" s="524" t="s">
        <v>325</v>
      </c>
      <c r="D61" s="524" t="s">
        <v>318</v>
      </c>
      <c r="E61" s="524" t="s">
        <v>323</v>
      </c>
      <c r="F61" s="527" t="s">
        <v>1010</v>
      </c>
      <c r="G61" s="519" t="s">
        <v>457</v>
      </c>
      <c r="H61" s="519">
        <f>9300000+10829899</f>
        <v>20129899</v>
      </c>
      <c r="I61" s="519">
        <f>6879598+693307</f>
        <v>7572905</v>
      </c>
      <c r="J61" s="519">
        <v>300000</v>
      </c>
      <c r="K61" s="526">
        <f t="shared" si="2"/>
        <v>0.39110504230547805</v>
      </c>
      <c r="L61" s="352"/>
      <c r="M61" s="334"/>
      <c r="N61" s="334"/>
      <c r="O61" s="334"/>
      <c r="P61" s="334"/>
      <c r="Q61" s="334"/>
      <c r="R61" s="334"/>
    </row>
    <row r="62" spans="1:18" ht="82.5" customHeight="1" thickTop="1" thickBot="1" x14ac:dyDescent="0.25">
      <c r="B62" s="524" t="s">
        <v>324</v>
      </c>
      <c r="C62" s="524" t="s">
        <v>325</v>
      </c>
      <c r="D62" s="524" t="s">
        <v>318</v>
      </c>
      <c r="E62" s="524" t="s">
        <v>323</v>
      </c>
      <c r="F62" s="527" t="s">
        <v>1266</v>
      </c>
      <c r="G62" s="519" t="s">
        <v>457</v>
      </c>
      <c r="H62" s="519">
        <v>34056704</v>
      </c>
      <c r="I62" s="519">
        <f>13051785+7748088+1427600+2095030-176100</f>
        <v>24146403</v>
      </c>
      <c r="J62" s="519">
        <v>575500</v>
      </c>
      <c r="K62" s="526">
        <f t="shared" si="2"/>
        <v>0.72590415678510756</v>
      </c>
      <c r="L62" s="352"/>
      <c r="M62" s="334"/>
      <c r="N62" s="334"/>
      <c r="O62" s="334"/>
      <c r="P62" s="334"/>
      <c r="Q62" s="334"/>
      <c r="R62" s="334"/>
    </row>
    <row r="63" spans="1:18" ht="61.5" thickTop="1" thickBot="1" x14ac:dyDescent="0.25">
      <c r="B63" s="524" t="s">
        <v>324</v>
      </c>
      <c r="C63" s="524" t="s">
        <v>325</v>
      </c>
      <c r="D63" s="524" t="s">
        <v>318</v>
      </c>
      <c r="E63" s="524" t="s">
        <v>323</v>
      </c>
      <c r="F63" s="527" t="s">
        <v>1267</v>
      </c>
      <c r="G63" s="558" t="s">
        <v>1012</v>
      </c>
      <c r="H63" s="519">
        <v>10648092</v>
      </c>
      <c r="I63" s="519">
        <f>438941+50000</f>
        <v>488941</v>
      </c>
      <c r="J63" s="519">
        <v>200000</v>
      </c>
      <c r="K63" s="526">
        <f t="shared" si="2"/>
        <v>6.4700887257548106E-2</v>
      </c>
      <c r="L63" s="352"/>
      <c r="M63" s="334"/>
      <c r="N63" s="334"/>
      <c r="O63" s="334"/>
      <c r="P63" s="334"/>
      <c r="Q63" s="334"/>
      <c r="R63" s="334"/>
    </row>
    <row r="64" spans="1:18" ht="46.5" thickTop="1" thickBot="1" x14ac:dyDescent="0.25">
      <c r="B64" s="524" t="s">
        <v>541</v>
      </c>
      <c r="C64" s="524" t="s">
        <v>542</v>
      </c>
      <c r="D64" s="524" t="s">
        <v>318</v>
      </c>
      <c r="E64" s="524" t="s">
        <v>776</v>
      </c>
      <c r="F64" s="527" t="s">
        <v>548</v>
      </c>
      <c r="G64" s="519" t="s">
        <v>1012</v>
      </c>
      <c r="H64" s="519">
        <v>21098584</v>
      </c>
      <c r="I64" s="519">
        <f>529041+200000</f>
        <v>729041</v>
      </c>
      <c r="J64" s="519">
        <v>1248491</v>
      </c>
      <c r="K64" s="526">
        <f t="shared" si="2"/>
        <v>9.372818573985818E-2</v>
      </c>
      <c r="L64" s="352"/>
      <c r="M64" s="334"/>
      <c r="N64" s="334"/>
      <c r="O64" s="334"/>
      <c r="P64" s="334"/>
      <c r="Q64" s="334"/>
      <c r="R64" s="334"/>
    </row>
    <row r="65" spans="2:18" ht="76.5" thickTop="1" thickBot="1" x14ac:dyDescent="0.25">
      <c r="B65" s="524" t="s">
        <v>326</v>
      </c>
      <c r="C65" s="524" t="s">
        <v>327</v>
      </c>
      <c r="D65" s="524" t="s">
        <v>318</v>
      </c>
      <c r="E65" s="524" t="s">
        <v>1268</v>
      </c>
      <c r="F65" s="527" t="s">
        <v>1269</v>
      </c>
      <c r="G65" s="519" t="s">
        <v>1270</v>
      </c>
      <c r="H65" s="519">
        <v>114917587</v>
      </c>
      <c r="I65" s="519">
        <f>778735</f>
        <v>778735</v>
      </c>
      <c r="J65" s="519">
        <v>1000000</v>
      </c>
      <c r="K65" s="526">
        <f t="shared" si="2"/>
        <v>1.5478353195842861E-2</v>
      </c>
      <c r="L65" s="352"/>
      <c r="M65" s="334"/>
      <c r="N65" s="334"/>
      <c r="O65" s="334"/>
      <c r="P65" s="334"/>
      <c r="Q65" s="334"/>
      <c r="R65" s="334"/>
    </row>
    <row r="66" spans="2:18" ht="46.5" thickTop="1" thickBot="1" x14ac:dyDescent="0.25">
      <c r="B66" s="524" t="s">
        <v>326</v>
      </c>
      <c r="C66" s="524" t="s">
        <v>327</v>
      </c>
      <c r="D66" s="524" t="s">
        <v>318</v>
      </c>
      <c r="E66" s="524" t="s">
        <v>1268</v>
      </c>
      <c r="F66" s="527" t="s">
        <v>1271</v>
      </c>
      <c r="G66" s="519" t="s">
        <v>1272</v>
      </c>
      <c r="H66" s="519">
        <v>291782434</v>
      </c>
      <c r="I66" s="519">
        <f>921939</f>
        <v>921939</v>
      </c>
      <c r="J66" s="519">
        <v>300000</v>
      </c>
      <c r="K66" s="526">
        <f t="shared" si="2"/>
        <v>4.187842918604209E-3</v>
      </c>
      <c r="L66" s="352"/>
      <c r="M66" s="334"/>
      <c r="N66" s="334"/>
      <c r="O66" s="334"/>
      <c r="P66" s="334"/>
      <c r="Q66" s="334"/>
      <c r="R66" s="334"/>
    </row>
    <row r="67" spans="2:18" ht="61.5" thickTop="1" thickBot="1" x14ac:dyDescent="0.25">
      <c r="B67" s="524" t="s">
        <v>328</v>
      </c>
      <c r="C67" s="524" t="s">
        <v>329</v>
      </c>
      <c r="D67" s="524" t="s">
        <v>318</v>
      </c>
      <c r="E67" s="524" t="s">
        <v>485</v>
      </c>
      <c r="F67" s="528" t="s">
        <v>1273</v>
      </c>
      <c r="G67" s="519" t="s">
        <v>1013</v>
      </c>
      <c r="H67" s="519">
        <v>15423995</v>
      </c>
      <c r="I67" s="519">
        <f>111262+100000</f>
        <v>211262</v>
      </c>
      <c r="J67" s="519">
        <v>450782</v>
      </c>
      <c r="K67" s="526">
        <f t="shared" si="2"/>
        <v>4.2922991092774601E-2</v>
      </c>
      <c r="L67" s="352"/>
      <c r="M67" s="334"/>
      <c r="N67" s="334"/>
      <c r="O67" s="334"/>
      <c r="P67" s="334"/>
      <c r="Q67" s="334"/>
      <c r="R67" s="334"/>
    </row>
    <row r="68" spans="2:18" ht="104.25" customHeight="1" thickTop="1" thickBot="1" x14ac:dyDescent="0.25">
      <c r="B68" s="524" t="s">
        <v>328</v>
      </c>
      <c r="C68" s="524" t="s">
        <v>329</v>
      </c>
      <c r="D68" s="524" t="s">
        <v>318</v>
      </c>
      <c r="E68" s="524" t="s">
        <v>485</v>
      </c>
      <c r="F68" s="528" t="s">
        <v>1274</v>
      </c>
      <c r="G68" s="519" t="s">
        <v>457</v>
      </c>
      <c r="H68" s="519">
        <v>10111121</v>
      </c>
      <c r="I68" s="519">
        <f>7825155+425816</f>
        <v>8250971</v>
      </c>
      <c r="J68" s="519">
        <v>1724087</v>
      </c>
      <c r="K68" s="526">
        <f t="shared" si="2"/>
        <v>0.98654323294123369</v>
      </c>
      <c r="L68" s="352"/>
      <c r="M68" s="334"/>
      <c r="N68" s="334"/>
      <c r="O68" s="334"/>
      <c r="P68" s="334"/>
      <c r="Q68" s="334"/>
      <c r="R68" s="334"/>
    </row>
    <row r="69" spans="2:18" ht="46.5" thickTop="1" thickBot="1" x14ac:dyDescent="0.25">
      <c r="B69" s="524" t="s">
        <v>328</v>
      </c>
      <c r="C69" s="524" t="s">
        <v>329</v>
      </c>
      <c r="D69" s="524" t="s">
        <v>318</v>
      </c>
      <c r="E69" s="524" t="s">
        <v>485</v>
      </c>
      <c r="F69" s="528" t="s">
        <v>1275</v>
      </c>
      <c r="G69" s="519" t="s">
        <v>1011</v>
      </c>
      <c r="H69" s="519">
        <v>53314687</v>
      </c>
      <c r="I69" s="519">
        <f>1368674+50000+200000</f>
        <v>1618674</v>
      </c>
      <c r="J69" s="519">
        <v>319672</v>
      </c>
      <c r="K69" s="526">
        <f t="shared" si="2"/>
        <v>3.6356698483477917E-2</v>
      </c>
      <c r="L69" s="352"/>
      <c r="M69" s="334"/>
      <c r="N69" s="334"/>
      <c r="O69" s="334"/>
      <c r="P69" s="334"/>
      <c r="Q69" s="334"/>
      <c r="R69" s="334"/>
    </row>
    <row r="70" spans="2:18" ht="46.5" thickTop="1" thickBot="1" x14ac:dyDescent="0.25">
      <c r="B70" s="524" t="s">
        <v>328</v>
      </c>
      <c r="C70" s="524" t="s">
        <v>329</v>
      </c>
      <c r="D70" s="524" t="s">
        <v>318</v>
      </c>
      <c r="E70" s="524" t="s">
        <v>485</v>
      </c>
      <c r="F70" s="529" t="s">
        <v>1276</v>
      </c>
      <c r="G70" s="519" t="s">
        <v>549</v>
      </c>
      <c r="H70" s="519">
        <v>65017720</v>
      </c>
      <c r="I70" s="519">
        <f>4855726+17628058</f>
        <v>22483784</v>
      </c>
      <c r="J70" s="519">
        <v>1000000</v>
      </c>
      <c r="K70" s="526">
        <f t="shared" si="2"/>
        <v>0.36119051852325795</v>
      </c>
      <c r="L70" s="352"/>
      <c r="M70" s="334"/>
      <c r="N70" s="334"/>
      <c r="O70" s="334"/>
      <c r="P70" s="334"/>
      <c r="Q70" s="334"/>
      <c r="R70" s="334"/>
    </row>
    <row r="71" spans="2:18" ht="61.5" thickTop="1" thickBot="1" x14ac:dyDescent="0.25">
      <c r="B71" s="524" t="s">
        <v>328</v>
      </c>
      <c r="C71" s="524" t="s">
        <v>329</v>
      </c>
      <c r="D71" s="524" t="s">
        <v>318</v>
      </c>
      <c r="E71" s="524" t="s">
        <v>485</v>
      </c>
      <c r="F71" s="529" t="s">
        <v>1277</v>
      </c>
      <c r="G71" s="519" t="s">
        <v>1089</v>
      </c>
      <c r="H71" s="519">
        <v>25748963</v>
      </c>
      <c r="I71" s="519">
        <f>551682+120000</f>
        <v>671682</v>
      </c>
      <c r="J71" s="519">
        <v>100000</v>
      </c>
      <c r="K71" s="526">
        <f t="shared" si="2"/>
        <v>2.9969439934338326E-2</v>
      </c>
      <c r="L71" s="352"/>
      <c r="M71" s="334"/>
      <c r="N71" s="334"/>
      <c r="O71" s="334"/>
      <c r="P71" s="334"/>
      <c r="Q71" s="334"/>
      <c r="R71" s="334"/>
    </row>
    <row r="72" spans="2:18" ht="102" customHeight="1" thickTop="1" thickBot="1" x14ac:dyDescent="0.25">
      <c r="B72" s="524" t="s">
        <v>328</v>
      </c>
      <c r="C72" s="524" t="s">
        <v>329</v>
      </c>
      <c r="D72" s="524" t="s">
        <v>318</v>
      </c>
      <c r="E72" s="524" t="s">
        <v>485</v>
      </c>
      <c r="F72" s="529" t="s">
        <v>1278</v>
      </c>
      <c r="G72" s="558" t="s">
        <v>1317</v>
      </c>
      <c r="H72" s="519">
        <v>1739798</v>
      </c>
      <c r="I72" s="519">
        <f>89803+12991</f>
        <v>102794</v>
      </c>
      <c r="J72" s="519">
        <v>1000000</v>
      </c>
      <c r="K72" s="526">
        <f t="shared" si="2"/>
        <v>0.63386324159471386</v>
      </c>
      <c r="L72" s="352"/>
      <c r="M72" s="334"/>
      <c r="N72" s="334"/>
      <c r="O72" s="334"/>
      <c r="P72" s="334"/>
      <c r="Q72" s="334"/>
      <c r="R72" s="334"/>
    </row>
    <row r="73" spans="2:18" ht="76.5" thickTop="1" thickBot="1" x14ac:dyDescent="0.25">
      <c r="B73" s="524" t="s">
        <v>328</v>
      </c>
      <c r="C73" s="524" t="s">
        <v>329</v>
      </c>
      <c r="D73" s="524" t="s">
        <v>318</v>
      </c>
      <c r="E73" s="524" t="s">
        <v>485</v>
      </c>
      <c r="F73" s="529" t="s">
        <v>1279</v>
      </c>
      <c r="G73" s="558" t="s">
        <v>1012</v>
      </c>
      <c r="H73" s="519">
        <v>75861650</v>
      </c>
      <c r="I73" s="519">
        <f>4088+756990</f>
        <v>761078</v>
      </c>
      <c r="J73" s="519">
        <v>1000000</v>
      </c>
      <c r="K73" s="526">
        <f t="shared" si="2"/>
        <v>2.321433820645873E-2</v>
      </c>
      <c r="L73" s="352"/>
      <c r="M73" s="334"/>
      <c r="N73" s="334"/>
      <c r="O73" s="334"/>
      <c r="P73" s="334"/>
      <c r="Q73" s="334"/>
      <c r="R73" s="334"/>
    </row>
    <row r="74" spans="2:18" ht="46.5" hidden="1" thickTop="1" thickBot="1" x14ac:dyDescent="0.25">
      <c r="B74" s="509" t="s">
        <v>169</v>
      </c>
      <c r="C74" s="509"/>
      <c r="D74" s="509"/>
      <c r="E74" s="510" t="s">
        <v>953</v>
      </c>
      <c r="F74" s="509"/>
      <c r="G74" s="509"/>
      <c r="H74" s="509"/>
      <c r="I74" s="510"/>
      <c r="J74" s="513">
        <f>J75</f>
        <v>0</v>
      </c>
      <c r="K74" s="509"/>
      <c r="L74" s="343"/>
      <c r="M74" s="334"/>
      <c r="N74" s="334"/>
      <c r="O74" s="334"/>
      <c r="P74" s="334"/>
      <c r="Q74" s="334"/>
      <c r="R74" s="334"/>
    </row>
    <row r="75" spans="2:18" ht="44.25" hidden="1" thickTop="1" thickBot="1" x14ac:dyDescent="0.25">
      <c r="B75" s="511" t="s">
        <v>170</v>
      </c>
      <c r="C75" s="511"/>
      <c r="D75" s="511"/>
      <c r="E75" s="512" t="s">
        <v>959</v>
      </c>
      <c r="F75" s="511"/>
      <c r="G75" s="511"/>
      <c r="H75" s="511"/>
      <c r="I75" s="512"/>
      <c r="J75" s="514">
        <f>SUM(J76:J79)</f>
        <v>0</v>
      </c>
      <c r="K75" s="511"/>
      <c r="L75" s="343"/>
      <c r="M75" s="334"/>
      <c r="N75" s="334"/>
      <c r="O75" s="334"/>
      <c r="P75" s="334"/>
      <c r="Q75" s="334"/>
      <c r="R75" s="334"/>
    </row>
    <row r="76" spans="2:18" ht="46.5" hidden="1" thickTop="1" thickBot="1" x14ac:dyDescent="0.25">
      <c r="B76" s="335" t="s">
        <v>438</v>
      </c>
      <c r="C76" s="335" t="s">
        <v>249</v>
      </c>
      <c r="D76" s="335" t="s">
        <v>247</v>
      </c>
      <c r="E76" s="335" t="s">
        <v>248</v>
      </c>
      <c r="F76" s="336" t="s">
        <v>545</v>
      </c>
      <c r="G76" s="341"/>
      <c r="H76" s="341"/>
      <c r="I76" s="349"/>
      <c r="J76" s="341"/>
      <c r="K76" s="349"/>
      <c r="L76" s="343"/>
      <c r="M76" s="334"/>
      <c r="N76" s="334"/>
      <c r="O76" s="334"/>
      <c r="P76" s="334"/>
      <c r="Q76" s="334"/>
      <c r="R76" s="334"/>
    </row>
    <row r="77" spans="2:18" ht="76.5" hidden="1" thickTop="1" thickBot="1" x14ac:dyDescent="0.25">
      <c r="B77" s="335" t="s">
        <v>974</v>
      </c>
      <c r="C77" s="335" t="s">
        <v>975</v>
      </c>
      <c r="D77" s="335" t="s">
        <v>318</v>
      </c>
      <c r="E77" s="335" t="s">
        <v>976</v>
      </c>
      <c r="F77" s="336" t="s">
        <v>977</v>
      </c>
      <c r="G77" s="341" t="s">
        <v>590</v>
      </c>
      <c r="H77" s="341"/>
      <c r="I77" s="349"/>
      <c r="J77" s="341"/>
      <c r="K77" s="349">
        <v>1</v>
      </c>
      <c r="L77" s="343"/>
      <c r="M77" s="334"/>
      <c r="N77" s="334"/>
      <c r="O77" s="334"/>
      <c r="P77" s="334"/>
      <c r="Q77" s="334"/>
      <c r="R77" s="334"/>
    </row>
    <row r="78" spans="2:18" ht="61.5" hidden="1" thickTop="1" thickBot="1" x14ac:dyDescent="0.25">
      <c r="B78" s="335" t="s">
        <v>974</v>
      </c>
      <c r="C78" s="335" t="s">
        <v>975</v>
      </c>
      <c r="D78" s="335" t="s">
        <v>318</v>
      </c>
      <c r="E78" s="335" t="s">
        <v>976</v>
      </c>
      <c r="F78" s="354" t="s">
        <v>978</v>
      </c>
      <c r="G78" s="341" t="s">
        <v>590</v>
      </c>
      <c r="H78" s="341"/>
      <c r="I78" s="349"/>
      <c r="J78" s="355"/>
      <c r="K78" s="349">
        <v>1</v>
      </c>
      <c r="L78" s="343"/>
      <c r="M78" s="334"/>
      <c r="N78" s="334"/>
      <c r="O78" s="334"/>
      <c r="P78" s="334"/>
      <c r="Q78" s="334"/>
      <c r="R78" s="334"/>
    </row>
    <row r="79" spans="2:18" ht="61.5" hidden="1" thickTop="1" thickBot="1" x14ac:dyDescent="0.25">
      <c r="B79" s="335" t="s">
        <v>974</v>
      </c>
      <c r="C79" s="335" t="s">
        <v>975</v>
      </c>
      <c r="D79" s="335" t="s">
        <v>318</v>
      </c>
      <c r="E79" s="335" t="s">
        <v>976</v>
      </c>
      <c r="F79" s="356" t="s">
        <v>1071</v>
      </c>
      <c r="G79" s="341" t="s">
        <v>590</v>
      </c>
      <c r="H79" s="341"/>
      <c r="I79" s="349"/>
      <c r="J79" s="347"/>
      <c r="K79" s="349">
        <v>1</v>
      </c>
      <c r="L79" s="343"/>
      <c r="M79" s="334"/>
      <c r="N79" s="334"/>
      <c r="O79" s="334"/>
      <c r="P79" s="334"/>
      <c r="Q79" s="334"/>
      <c r="R79" s="334"/>
    </row>
    <row r="80" spans="2:18" ht="46.5" hidden="1" thickTop="1" thickBot="1" x14ac:dyDescent="0.25">
      <c r="B80" s="509" t="s">
        <v>466</v>
      </c>
      <c r="C80" s="509"/>
      <c r="D80" s="509"/>
      <c r="E80" s="510" t="s">
        <v>468</v>
      </c>
      <c r="F80" s="509"/>
      <c r="G80" s="509"/>
      <c r="H80" s="509"/>
      <c r="I80" s="510"/>
      <c r="J80" s="513">
        <f>J81</f>
        <v>0</v>
      </c>
      <c r="K80" s="509"/>
      <c r="L80" s="334"/>
      <c r="M80" s="334"/>
      <c r="N80" s="334"/>
      <c r="O80" s="334"/>
      <c r="P80" s="334"/>
      <c r="Q80" s="334"/>
      <c r="R80" s="334"/>
    </row>
    <row r="81" spans="1:18" ht="44.25" hidden="1" thickTop="1" thickBot="1" x14ac:dyDescent="0.25">
      <c r="B81" s="511" t="s">
        <v>467</v>
      </c>
      <c r="C81" s="511"/>
      <c r="D81" s="511"/>
      <c r="E81" s="512" t="s">
        <v>469</v>
      </c>
      <c r="F81" s="511"/>
      <c r="G81" s="511"/>
      <c r="H81" s="511"/>
      <c r="I81" s="512"/>
      <c r="J81" s="514">
        <f>J82</f>
        <v>0</v>
      </c>
      <c r="K81" s="511"/>
      <c r="L81" s="334"/>
      <c r="M81" s="334"/>
      <c r="N81" s="334"/>
      <c r="O81" s="334"/>
      <c r="P81" s="334"/>
      <c r="Q81" s="334"/>
      <c r="R81" s="334"/>
    </row>
    <row r="82" spans="1:18" ht="46.5" hidden="1" thickTop="1" thickBot="1" x14ac:dyDescent="0.25">
      <c r="B82" s="335" t="s">
        <v>470</v>
      </c>
      <c r="C82" s="335" t="s">
        <v>249</v>
      </c>
      <c r="D82" s="335" t="s">
        <v>247</v>
      </c>
      <c r="E82" s="335" t="s">
        <v>248</v>
      </c>
      <c r="F82" s="336" t="s">
        <v>545</v>
      </c>
      <c r="G82" s="337"/>
      <c r="H82" s="338"/>
      <c r="I82" s="337"/>
      <c r="J82" s="339"/>
      <c r="K82" s="339"/>
      <c r="L82" s="334"/>
      <c r="M82" s="334"/>
      <c r="N82" s="334"/>
      <c r="O82" s="334"/>
      <c r="P82" s="334"/>
      <c r="Q82" s="334"/>
      <c r="R82" s="334"/>
    </row>
    <row r="83" spans="1:18" ht="31.5" hidden="1" thickTop="1" thickBot="1" x14ac:dyDescent="0.25">
      <c r="A83" s="176"/>
      <c r="B83" s="509" t="s">
        <v>175</v>
      </c>
      <c r="C83" s="509"/>
      <c r="D83" s="509"/>
      <c r="E83" s="510" t="s">
        <v>371</v>
      </c>
      <c r="F83" s="509"/>
      <c r="G83" s="509"/>
      <c r="H83" s="509"/>
      <c r="I83" s="510"/>
      <c r="J83" s="513">
        <f>J84</f>
        <v>0</v>
      </c>
      <c r="K83" s="509"/>
      <c r="L83" s="334"/>
      <c r="M83" s="334"/>
      <c r="N83" s="334"/>
      <c r="O83" s="334"/>
      <c r="P83" s="334"/>
      <c r="Q83" s="334"/>
      <c r="R83" s="334"/>
    </row>
    <row r="84" spans="1:18" ht="44.25" hidden="1" thickTop="1" thickBot="1" x14ac:dyDescent="0.25">
      <c r="A84" s="176"/>
      <c r="B84" s="511" t="s">
        <v>176</v>
      </c>
      <c r="C84" s="511"/>
      <c r="D84" s="511"/>
      <c r="E84" s="512" t="s">
        <v>372</v>
      </c>
      <c r="F84" s="511"/>
      <c r="G84" s="511"/>
      <c r="H84" s="511"/>
      <c r="I84" s="512"/>
      <c r="J84" s="514">
        <f>SUM(J85:J86)</f>
        <v>0</v>
      </c>
      <c r="K84" s="511"/>
      <c r="L84" s="334"/>
      <c r="M84" s="334"/>
      <c r="N84" s="334"/>
      <c r="O84" s="334"/>
      <c r="P84" s="334"/>
      <c r="Q84" s="334"/>
      <c r="R84" s="334"/>
    </row>
    <row r="85" spans="1:18" ht="31.5" hidden="1" thickTop="1" thickBot="1" x14ac:dyDescent="0.25">
      <c r="B85" s="335" t="s">
        <v>269</v>
      </c>
      <c r="C85" s="335" t="s">
        <v>270</v>
      </c>
      <c r="D85" s="335" t="s">
        <v>179</v>
      </c>
      <c r="E85" s="335" t="s">
        <v>268</v>
      </c>
      <c r="F85" s="340" t="s">
        <v>58</v>
      </c>
      <c r="G85" s="340"/>
      <c r="H85" s="341"/>
      <c r="I85" s="340"/>
      <c r="J85" s="341"/>
      <c r="K85" s="341"/>
      <c r="L85" s="334"/>
      <c r="M85" s="334"/>
      <c r="N85" s="334"/>
      <c r="O85" s="334"/>
      <c r="P85" s="334"/>
      <c r="Q85" s="334"/>
      <c r="R85" s="334"/>
    </row>
    <row r="86" spans="1:18" ht="76.5" hidden="1" thickTop="1" thickBot="1" x14ac:dyDescent="0.25">
      <c r="B86" s="335" t="s">
        <v>970</v>
      </c>
      <c r="C86" s="335" t="s">
        <v>380</v>
      </c>
      <c r="D86" s="335" t="s">
        <v>45</v>
      </c>
      <c r="E86" s="335" t="s">
        <v>381</v>
      </c>
      <c r="F86" s="336" t="s">
        <v>971</v>
      </c>
      <c r="G86" s="340"/>
      <c r="H86" s="341"/>
      <c r="I86" s="340"/>
      <c r="J86" s="341"/>
      <c r="K86" s="341"/>
      <c r="L86" s="334"/>
      <c r="M86" s="334"/>
      <c r="N86" s="334"/>
      <c r="O86" s="334"/>
      <c r="P86" s="334"/>
      <c r="Q86" s="334"/>
      <c r="R86" s="334"/>
    </row>
    <row r="87" spans="1:18" ht="61.5" hidden="1" thickTop="1" thickBot="1" x14ac:dyDescent="0.25">
      <c r="B87" s="509" t="s">
        <v>173</v>
      </c>
      <c r="C87" s="509"/>
      <c r="D87" s="509"/>
      <c r="E87" s="510" t="s">
        <v>946</v>
      </c>
      <c r="F87" s="509"/>
      <c r="G87" s="509"/>
      <c r="H87" s="509"/>
      <c r="I87" s="510"/>
      <c r="J87" s="513">
        <f>J88</f>
        <v>0</v>
      </c>
      <c r="K87" s="509"/>
      <c r="L87" s="334"/>
      <c r="M87" s="334"/>
      <c r="N87" s="334"/>
      <c r="O87" s="334"/>
      <c r="P87" s="334"/>
      <c r="Q87" s="334"/>
      <c r="R87" s="334"/>
    </row>
    <row r="88" spans="1:18" ht="58.5" hidden="1" thickTop="1" thickBot="1" x14ac:dyDescent="0.25">
      <c r="B88" s="511" t="s">
        <v>174</v>
      </c>
      <c r="C88" s="511"/>
      <c r="D88" s="511"/>
      <c r="E88" s="512" t="s">
        <v>947</v>
      </c>
      <c r="F88" s="511"/>
      <c r="G88" s="511"/>
      <c r="H88" s="511"/>
      <c r="I88" s="512"/>
      <c r="J88" s="514">
        <f>J89</f>
        <v>0</v>
      </c>
      <c r="K88" s="511"/>
      <c r="L88" s="334"/>
      <c r="M88" s="334"/>
      <c r="N88" s="334"/>
      <c r="O88" s="334"/>
      <c r="P88" s="334"/>
      <c r="Q88" s="334"/>
      <c r="R88" s="334"/>
    </row>
    <row r="89" spans="1:18" ht="46.5" hidden="1" thickTop="1" thickBot="1" x14ac:dyDescent="0.25">
      <c r="B89" s="335" t="s">
        <v>441</v>
      </c>
      <c r="C89" s="335" t="s">
        <v>249</v>
      </c>
      <c r="D89" s="335" t="s">
        <v>247</v>
      </c>
      <c r="E89" s="335" t="s">
        <v>248</v>
      </c>
      <c r="F89" s="336" t="s">
        <v>545</v>
      </c>
      <c r="G89" s="340"/>
      <c r="H89" s="341"/>
      <c r="I89" s="340"/>
      <c r="J89" s="339"/>
      <c r="K89" s="341"/>
      <c r="L89" s="334"/>
      <c r="M89" s="334"/>
      <c r="N89" s="334"/>
      <c r="O89" s="334"/>
      <c r="P89" s="334"/>
      <c r="Q89" s="334"/>
      <c r="R89" s="334"/>
    </row>
    <row r="90" spans="1:18" ht="46.5" hidden="1" thickTop="1" thickBot="1" x14ac:dyDescent="0.25">
      <c r="B90" s="509" t="s">
        <v>171</v>
      </c>
      <c r="C90" s="509"/>
      <c r="D90" s="509"/>
      <c r="E90" s="510" t="s">
        <v>955</v>
      </c>
      <c r="F90" s="509"/>
      <c r="G90" s="509"/>
      <c r="H90" s="509"/>
      <c r="I90" s="510"/>
      <c r="J90" s="513">
        <f>J91</f>
        <v>0</v>
      </c>
      <c r="K90" s="509"/>
      <c r="L90" s="334"/>
      <c r="M90" s="334"/>
      <c r="N90" s="334"/>
      <c r="O90" s="334"/>
      <c r="P90" s="334"/>
      <c r="Q90" s="334"/>
      <c r="R90" s="334"/>
    </row>
    <row r="91" spans="1:18" ht="44.25" hidden="1" thickTop="1" thickBot="1" x14ac:dyDescent="0.25">
      <c r="B91" s="511" t="s">
        <v>172</v>
      </c>
      <c r="C91" s="511"/>
      <c r="D91" s="511"/>
      <c r="E91" s="512" t="s">
        <v>956</v>
      </c>
      <c r="F91" s="511"/>
      <c r="G91" s="511"/>
      <c r="H91" s="511"/>
      <c r="I91" s="512"/>
      <c r="J91" s="514">
        <f>SUM(J92:J95)</f>
        <v>0</v>
      </c>
      <c r="K91" s="511"/>
      <c r="L91" s="334"/>
      <c r="M91" s="334"/>
      <c r="N91" s="334"/>
      <c r="O91" s="334"/>
      <c r="P91" s="334"/>
      <c r="Q91" s="334"/>
      <c r="R91" s="334"/>
    </row>
    <row r="92" spans="1:18" ht="46.5" hidden="1" thickTop="1" thickBot="1" x14ac:dyDescent="0.25">
      <c r="B92" s="335" t="s">
        <v>437</v>
      </c>
      <c r="C92" s="335" t="s">
        <v>249</v>
      </c>
      <c r="D92" s="335" t="s">
        <v>247</v>
      </c>
      <c r="E92" s="335" t="s">
        <v>248</v>
      </c>
      <c r="F92" s="336" t="s">
        <v>545</v>
      </c>
      <c r="G92" s="340"/>
      <c r="H92" s="341"/>
      <c r="I92" s="340"/>
      <c r="J92" s="339"/>
      <c r="K92" s="341"/>
      <c r="L92" s="334"/>
      <c r="M92" s="334"/>
      <c r="N92" s="334"/>
      <c r="O92" s="334"/>
      <c r="P92" s="334"/>
      <c r="Q92" s="334"/>
      <c r="R92" s="334"/>
    </row>
    <row r="93" spans="1:18" ht="31.5" hidden="1" thickTop="1" thickBot="1" x14ac:dyDescent="0.25">
      <c r="B93" s="335" t="s">
        <v>320</v>
      </c>
      <c r="C93" s="335" t="s">
        <v>321</v>
      </c>
      <c r="D93" s="335" t="s">
        <v>322</v>
      </c>
      <c r="E93" s="335" t="s">
        <v>484</v>
      </c>
      <c r="F93" s="353" t="s">
        <v>34</v>
      </c>
      <c r="G93" s="340"/>
      <c r="H93" s="341"/>
      <c r="I93" s="340"/>
      <c r="J93" s="339"/>
      <c r="K93" s="341"/>
      <c r="L93" s="334"/>
      <c r="M93" s="334"/>
      <c r="N93" s="334"/>
      <c r="O93" s="334"/>
      <c r="P93" s="334"/>
      <c r="Q93" s="334"/>
      <c r="R93" s="334"/>
    </row>
    <row r="94" spans="1:18" ht="31.5" hidden="1" thickTop="1" thickBot="1" x14ac:dyDescent="0.25">
      <c r="B94" s="335" t="s">
        <v>320</v>
      </c>
      <c r="C94" s="335" t="s">
        <v>321</v>
      </c>
      <c r="D94" s="335" t="s">
        <v>322</v>
      </c>
      <c r="E94" s="335" t="s">
        <v>484</v>
      </c>
      <c r="F94" s="353" t="s">
        <v>35</v>
      </c>
      <c r="G94" s="340"/>
      <c r="H94" s="341"/>
      <c r="I94" s="340"/>
      <c r="J94" s="339"/>
      <c r="K94" s="341"/>
      <c r="L94" s="334"/>
      <c r="M94" s="334"/>
      <c r="N94" s="334"/>
      <c r="O94" s="334"/>
      <c r="P94" s="334"/>
      <c r="Q94" s="334"/>
      <c r="R94" s="334"/>
    </row>
    <row r="95" spans="1:18" ht="46.5" hidden="1" thickTop="1" thickBot="1" x14ac:dyDescent="0.25">
      <c r="B95" s="335" t="s">
        <v>385</v>
      </c>
      <c r="C95" s="335" t="s">
        <v>386</v>
      </c>
      <c r="D95" s="335" t="s">
        <v>179</v>
      </c>
      <c r="E95" s="335" t="s">
        <v>387</v>
      </c>
      <c r="F95" s="353" t="s">
        <v>333</v>
      </c>
      <c r="G95" s="340"/>
      <c r="H95" s="341"/>
      <c r="I95" s="340"/>
      <c r="J95" s="339"/>
      <c r="K95" s="341"/>
      <c r="L95" s="334"/>
      <c r="M95" s="334"/>
      <c r="N95" s="334"/>
      <c r="O95" s="334"/>
      <c r="P95" s="334"/>
      <c r="Q95" s="334"/>
      <c r="R95" s="334"/>
    </row>
    <row r="96" spans="1:18" ht="31.5" hidden="1" thickTop="1" thickBot="1" x14ac:dyDescent="0.25">
      <c r="B96" s="509" t="s">
        <v>177</v>
      </c>
      <c r="C96" s="509"/>
      <c r="D96" s="509"/>
      <c r="E96" s="510" t="s">
        <v>27</v>
      </c>
      <c r="F96" s="509"/>
      <c r="G96" s="509"/>
      <c r="H96" s="509"/>
      <c r="I96" s="510"/>
      <c r="J96" s="513">
        <f>J97</f>
        <v>0</v>
      </c>
      <c r="K96" s="509"/>
      <c r="L96" s="334"/>
      <c r="M96" s="334"/>
      <c r="N96" s="334"/>
      <c r="O96" s="334"/>
      <c r="P96" s="334"/>
      <c r="Q96" s="334"/>
      <c r="R96" s="334"/>
    </row>
    <row r="97" spans="1:18" ht="44.25" hidden="1" thickTop="1" thickBot="1" x14ac:dyDescent="0.25">
      <c r="B97" s="511" t="s">
        <v>178</v>
      </c>
      <c r="C97" s="511"/>
      <c r="D97" s="511"/>
      <c r="E97" s="512" t="s">
        <v>42</v>
      </c>
      <c r="F97" s="511"/>
      <c r="G97" s="511"/>
      <c r="H97" s="511"/>
      <c r="I97" s="512"/>
      <c r="J97" s="514">
        <f>J98</f>
        <v>0</v>
      </c>
      <c r="K97" s="511"/>
      <c r="L97" s="334"/>
      <c r="M97" s="334"/>
      <c r="N97" s="334"/>
      <c r="O97" s="334"/>
      <c r="P97" s="334"/>
      <c r="Q97" s="334"/>
      <c r="R97" s="334"/>
    </row>
    <row r="98" spans="1:18" ht="46.5" hidden="1" thickTop="1" thickBot="1" x14ac:dyDescent="0.25">
      <c r="B98" s="335" t="s">
        <v>439</v>
      </c>
      <c r="C98" s="335" t="s">
        <v>249</v>
      </c>
      <c r="D98" s="335" t="s">
        <v>247</v>
      </c>
      <c r="E98" s="335" t="s">
        <v>248</v>
      </c>
      <c r="F98" s="336" t="s">
        <v>545</v>
      </c>
      <c r="G98" s="340"/>
      <c r="H98" s="341"/>
      <c r="I98" s="340"/>
      <c r="J98" s="339"/>
      <c r="K98" s="341"/>
      <c r="L98" s="334"/>
      <c r="M98" s="334"/>
      <c r="N98" s="334"/>
      <c r="O98" s="334"/>
      <c r="P98" s="334"/>
      <c r="Q98" s="334"/>
      <c r="R98" s="334"/>
    </row>
    <row r="99" spans="1:18" ht="21.75" thickTop="1" thickBot="1" x14ac:dyDescent="0.25">
      <c r="A99" s="175"/>
      <c r="B99" s="629" t="s">
        <v>399</v>
      </c>
      <c r="C99" s="629" t="s">
        <v>399</v>
      </c>
      <c r="D99" s="629" t="s">
        <v>399</v>
      </c>
      <c r="E99" s="629" t="s">
        <v>401</v>
      </c>
      <c r="F99" s="629" t="s">
        <v>399</v>
      </c>
      <c r="G99" s="629" t="s">
        <v>399</v>
      </c>
      <c r="H99" s="629">
        <f>H56+H40+H37+H34+H30+H23+H19</f>
        <v>1507026115</v>
      </c>
      <c r="I99" s="629">
        <f>I56+I40+I37+I34+I30+I23+I19</f>
        <v>532724872.5</v>
      </c>
      <c r="J99" s="629">
        <f>J56+J40+J37+J34+J30+J23+J19</f>
        <v>70798271</v>
      </c>
      <c r="K99" s="629" t="s">
        <v>399</v>
      </c>
      <c r="L99" s="660" t="b">
        <f>H99=H73+H72+H71+H70+H69+H68+H67+H66+H65+H64+H63+H62+H61+H60+H59+H58+H55+H54+H53+H52+H51+H50+H49+H48+H47+H46+H45+H44+H43+H42+H39+H36+H32+H26+H22+H21</f>
        <v>1</v>
      </c>
      <c r="M99" s="660" t="b">
        <f>I99=I73+I72+I71+I70+I69+I68+I67+I66+I65+I64+I63+I62+I61+I60+I59+I58+I55+I54+I53+I52+I51+I50+I49+I48+I47+I46+I45+I44+I43+I42+I39+I36+I32+I26+I22+I21</f>
        <v>1</v>
      </c>
      <c r="N99" s="659" t="b">
        <f>J99=J73+J72+J71+J70+J69+J68+J67+J66+J65+J64+J63+J62+J61+J60+J59+J58+J55+J54+J53+J52+J51+J50+J49+J48+J47+J46+J45+J44+J43+J42+J39+J36+J32+J26+J22+J21</f>
        <v>1</v>
      </c>
      <c r="O99" s="334"/>
      <c r="P99" s="334"/>
      <c r="Q99" s="334"/>
      <c r="R99" s="334"/>
    </row>
    <row r="100" spans="1:18" ht="16.5" thickTop="1" x14ac:dyDescent="0.2">
      <c r="B100" s="897" t="s">
        <v>1253</v>
      </c>
      <c r="C100" s="898"/>
      <c r="D100" s="898"/>
      <c r="E100" s="898"/>
      <c r="F100" s="898"/>
      <c r="G100" s="898"/>
      <c r="H100" s="898"/>
      <c r="I100" s="898"/>
      <c r="J100" s="898"/>
      <c r="K100" s="898"/>
      <c r="L100" s="899"/>
      <c r="M100" s="899"/>
      <c r="N100" s="899"/>
      <c r="O100" s="899"/>
      <c r="P100" s="899"/>
      <c r="Q100" s="899"/>
      <c r="R100" s="899"/>
    </row>
    <row r="101" spans="1:18" ht="12" customHeight="1" x14ac:dyDescent="0.2">
      <c r="B101" s="900"/>
      <c r="C101" s="900"/>
      <c r="D101" s="900"/>
      <c r="E101" s="900"/>
      <c r="F101" s="900"/>
      <c r="G101" s="900"/>
      <c r="H101" s="900"/>
      <c r="I101" s="900"/>
      <c r="J101" s="900"/>
      <c r="K101" s="900"/>
    </row>
    <row r="102" spans="1:18" ht="26.45" hidden="1" customHeight="1" x14ac:dyDescent="0.2">
      <c r="B102" s="194"/>
      <c r="C102" s="194"/>
      <c r="D102" s="194" t="s">
        <v>555</v>
      </c>
      <c r="E102" s="194"/>
      <c r="F102" s="194"/>
      <c r="G102" s="194"/>
      <c r="H102" s="194"/>
      <c r="I102" s="194"/>
      <c r="J102" s="194" t="s">
        <v>550</v>
      </c>
      <c r="K102" s="194"/>
    </row>
    <row r="103" spans="1:18" ht="15" x14ac:dyDescent="0.25">
      <c r="D103" s="856" t="s">
        <v>1338</v>
      </c>
      <c r="E103" s="896"/>
      <c r="F103" s="206"/>
      <c r="G103" s="206" t="s">
        <v>1336</v>
      </c>
      <c r="H103" s="206"/>
      <c r="I103" s="94"/>
      <c r="J103" s="94"/>
      <c r="K103" s="93"/>
    </row>
    <row r="104" spans="1:18" ht="15" x14ac:dyDescent="0.25">
      <c r="D104" s="91"/>
      <c r="E104" s="206"/>
      <c r="F104" s="187"/>
      <c r="G104" s="206"/>
      <c r="H104" s="206"/>
      <c r="I104" s="206"/>
      <c r="J104" s="177"/>
      <c r="K104" s="177"/>
    </row>
    <row r="105" spans="1:18" ht="15" x14ac:dyDescent="0.25">
      <c r="D105" s="91"/>
      <c r="E105" s="206"/>
      <c r="F105" s="187"/>
      <c r="G105" s="93"/>
      <c r="H105" s="93"/>
      <c r="I105" s="94"/>
      <c r="J105" s="94"/>
      <c r="K105" s="93"/>
    </row>
    <row r="117" spans="7:11" ht="46.5" x14ac:dyDescent="0.2">
      <c r="K117" s="66"/>
    </row>
    <row r="120" spans="7:11" ht="46.5" x14ac:dyDescent="0.2">
      <c r="G120" s="66"/>
      <c r="K120" s="66"/>
    </row>
    <row r="139" spans="12:12" ht="90" x14ac:dyDescent="1.1499999999999999">
      <c r="L139" s="55"/>
    </row>
  </sheetData>
  <mergeCells count="10">
    <mergeCell ref="D103:E103"/>
    <mergeCell ref="B100:R100"/>
    <mergeCell ref="B101:K101"/>
    <mergeCell ref="B8:C8"/>
    <mergeCell ref="B1:K1"/>
    <mergeCell ref="G2:K2"/>
    <mergeCell ref="B4:K4"/>
    <mergeCell ref="B5:K5"/>
    <mergeCell ref="B7:C7"/>
    <mergeCell ref="B6:K6"/>
  </mergeCells>
  <printOptions horizontalCentered="1"/>
  <pageMargins left="0.82677165354330717" right="0" top="0.31496062992125984" bottom="0.31496062992125984" header="0.23622047244094491" footer="0.19685039370078741"/>
  <pageSetup paperSize="9" scale="61" fitToHeight="0" orientation="landscape" r:id="rId1"/>
  <headerFooter alignWithMargins="0">
    <oddFooter>&amp;R&amp;P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275"/>
  <sheetViews>
    <sheetView view="pageBreakPreview" zoomScale="25" zoomScaleNormal="25" zoomScaleSheetLayoutView="25" zoomScalePageLayoutView="10" workbookViewId="0">
      <pane ySplit="14" topLeftCell="A256" activePane="bottomLeft" state="frozen"/>
      <selection activeCell="F175" sqref="F175"/>
      <selection pane="bottomLeft" activeCell="E164" sqref="E164"/>
    </sheetView>
  </sheetViews>
  <sheetFormatPr defaultColWidth="9.140625" defaultRowHeight="12.75" x14ac:dyDescent="0.2"/>
  <cols>
    <col min="1" max="1" width="48" style="1" customWidth="1"/>
    <col min="2" max="2" width="52.5703125" style="1" customWidth="1"/>
    <col min="3" max="3" width="65.7109375" style="1" customWidth="1"/>
    <col min="4" max="4" width="106.28515625" style="1" customWidth="1"/>
    <col min="5" max="5" width="113.85546875" style="5" customWidth="1"/>
    <col min="6" max="6" width="114" style="1" customWidth="1"/>
    <col min="7" max="7" width="55.42578125" style="1" customWidth="1"/>
    <col min="8" max="8" width="63.5703125" style="1" customWidth="1"/>
    <col min="9" max="9" width="62.140625" style="1" customWidth="1"/>
    <col min="10" max="10" width="70.28515625" style="5" customWidth="1"/>
    <col min="11" max="11" width="70.28515625" style="752" customWidth="1"/>
    <col min="12" max="13" width="71.5703125" style="752" bestFit="1" customWidth="1"/>
    <col min="14" max="14" width="71.5703125" style="105" bestFit="1" customWidth="1"/>
    <col min="15" max="15" width="52.140625" style="105" bestFit="1" customWidth="1"/>
    <col min="16" max="16" width="9.140625" style="105"/>
    <col min="17" max="17" width="70.28515625" style="105" customWidth="1"/>
    <col min="18" max="16384" width="9.140625" style="81"/>
  </cols>
  <sheetData>
    <row r="1" spans="1:17" ht="45.75" x14ac:dyDescent="0.2">
      <c r="D1" s="83"/>
      <c r="E1" s="84"/>
      <c r="F1" s="82"/>
      <c r="G1" s="84"/>
      <c r="H1" s="84"/>
      <c r="I1" s="920" t="s">
        <v>632</v>
      </c>
      <c r="J1" s="920"/>
    </row>
    <row r="2" spans="1:17" ht="45.75" x14ac:dyDescent="0.2">
      <c r="A2" s="83"/>
      <c r="B2" s="83"/>
      <c r="C2" s="83"/>
      <c r="D2" s="83"/>
      <c r="E2" s="84"/>
      <c r="F2" s="82"/>
      <c r="G2" s="84"/>
      <c r="H2" s="84"/>
      <c r="I2" s="920" t="s">
        <v>1052</v>
      </c>
      <c r="J2" s="921"/>
    </row>
    <row r="3" spans="1:17" ht="40.700000000000003" customHeight="1" x14ac:dyDescent="0.2">
      <c r="A3" s="83"/>
      <c r="B3" s="83"/>
      <c r="C3" s="83"/>
      <c r="D3" s="83"/>
      <c r="E3" s="84"/>
      <c r="F3" s="82"/>
      <c r="G3" s="84"/>
      <c r="H3" s="84"/>
      <c r="I3" s="920"/>
      <c r="J3" s="921"/>
    </row>
    <row r="4" spans="1:17" ht="45.75" hidden="1" x14ac:dyDescent="0.2">
      <c r="A4" s="83"/>
      <c r="B4" s="83"/>
      <c r="C4" s="83"/>
      <c r="D4" s="83"/>
      <c r="E4" s="84"/>
      <c r="F4" s="82"/>
      <c r="G4" s="84"/>
      <c r="H4" s="84"/>
      <c r="I4" s="83"/>
      <c r="J4" s="82"/>
    </row>
    <row r="5" spans="1:17" ht="45" x14ac:dyDescent="0.2">
      <c r="A5" s="805" t="s">
        <v>598</v>
      </c>
      <c r="B5" s="805"/>
      <c r="C5" s="805"/>
      <c r="D5" s="805"/>
      <c r="E5" s="805"/>
      <c r="F5" s="805"/>
      <c r="G5" s="805"/>
      <c r="H5" s="805"/>
      <c r="I5" s="805"/>
      <c r="J5" s="805"/>
    </row>
    <row r="6" spans="1:17" s="98" customFormat="1" ht="45" x14ac:dyDescent="0.2">
      <c r="A6" s="805" t="s">
        <v>1259</v>
      </c>
      <c r="B6" s="805"/>
      <c r="C6" s="805"/>
      <c r="D6" s="805"/>
      <c r="E6" s="805"/>
      <c r="F6" s="805"/>
      <c r="G6" s="805"/>
      <c r="H6" s="805"/>
      <c r="I6" s="805"/>
      <c r="J6" s="805"/>
      <c r="K6" s="752"/>
      <c r="L6" s="752"/>
      <c r="M6" s="752"/>
      <c r="N6" s="105"/>
      <c r="O6" s="105"/>
      <c r="P6" s="105"/>
      <c r="Q6" s="105"/>
    </row>
    <row r="7" spans="1:17" ht="45" x14ac:dyDescent="0.2">
      <c r="A7" s="805" t="s">
        <v>1260</v>
      </c>
      <c r="B7" s="805"/>
      <c r="C7" s="805"/>
      <c r="D7" s="805"/>
      <c r="E7" s="805"/>
      <c r="F7" s="805"/>
      <c r="G7" s="805"/>
      <c r="H7" s="805"/>
      <c r="I7" s="805"/>
      <c r="J7" s="805"/>
    </row>
    <row r="8" spans="1:17" ht="45" x14ac:dyDescent="0.2">
      <c r="A8" s="805"/>
      <c r="B8" s="805"/>
      <c r="C8" s="805"/>
      <c r="D8" s="805"/>
      <c r="E8" s="805"/>
      <c r="F8" s="805"/>
      <c r="G8" s="805"/>
      <c r="H8" s="805"/>
      <c r="I8" s="805"/>
      <c r="J8" s="805"/>
    </row>
    <row r="9" spans="1:17" ht="45.75" x14ac:dyDescent="0.65">
      <c r="A9" s="806">
        <v>22564000000</v>
      </c>
      <c r="B9" s="807"/>
      <c r="C9" s="765"/>
      <c r="D9" s="765"/>
      <c r="E9" s="765"/>
      <c r="F9" s="765"/>
      <c r="G9" s="765"/>
      <c r="H9" s="765"/>
      <c r="I9" s="765"/>
      <c r="J9" s="765"/>
      <c r="K9" s="640"/>
      <c r="L9" s="640"/>
      <c r="M9" s="640"/>
    </row>
    <row r="10" spans="1:17" ht="45.75" x14ac:dyDescent="0.2">
      <c r="A10" s="811" t="s">
        <v>515</v>
      </c>
      <c r="B10" s="812"/>
      <c r="C10" s="765"/>
      <c r="D10" s="765"/>
      <c r="E10" s="765"/>
      <c r="F10" s="765"/>
      <c r="G10" s="765"/>
      <c r="H10" s="765"/>
      <c r="I10" s="765"/>
      <c r="J10" s="765"/>
      <c r="K10" s="640"/>
      <c r="L10" s="640"/>
      <c r="M10" s="640"/>
    </row>
    <row r="11" spans="1:17" ht="53.45" customHeight="1" thickBot="1" x14ac:dyDescent="0.25">
      <c r="A11" s="393"/>
      <c r="B11" s="393"/>
      <c r="C11" s="393"/>
      <c r="D11" s="393"/>
      <c r="E11" s="393"/>
      <c r="F11" s="394"/>
      <c r="G11" s="393"/>
      <c r="H11" s="393"/>
      <c r="I11" s="393"/>
      <c r="J11" s="395" t="s">
        <v>422</v>
      </c>
      <c r="K11" s="640"/>
      <c r="L11" s="640"/>
      <c r="M11" s="640"/>
    </row>
    <row r="12" spans="1:17" ht="104.25" customHeight="1" thickTop="1" thickBot="1" x14ac:dyDescent="0.25">
      <c r="A12" s="928" t="s">
        <v>516</v>
      </c>
      <c r="B12" s="928" t="s">
        <v>517</v>
      </c>
      <c r="C12" s="928" t="s">
        <v>408</v>
      </c>
      <c r="D12" s="928" t="s">
        <v>599</v>
      </c>
      <c r="E12" s="928" t="s">
        <v>520</v>
      </c>
      <c r="F12" s="928" t="s">
        <v>521</v>
      </c>
      <c r="G12" s="928" t="s">
        <v>401</v>
      </c>
      <c r="H12" s="928" t="s">
        <v>12</v>
      </c>
      <c r="I12" s="929" t="s">
        <v>54</v>
      </c>
      <c r="J12" s="809"/>
      <c r="K12" s="640"/>
      <c r="L12" s="640"/>
      <c r="M12" s="640"/>
    </row>
    <row r="13" spans="1:17" ht="406.5" customHeight="1" thickTop="1" thickBot="1" x14ac:dyDescent="0.25">
      <c r="A13" s="929"/>
      <c r="B13" s="809"/>
      <c r="C13" s="809"/>
      <c r="D13" s="929"/>
      <c r="E13" s="929"/>
      <c r="F13" s="929"/>
      <c r="G13" s="929"/>
      <c r="H13" s="929"/>
      <c r="I13" s="431" t="s">
        <v>402</v>
      </c>
      <c r="J13" s="431" t="s">
        <v>403</v>
      </c>
      <c r="K13" s="640"/>
      <c r="L13" s="640"/>
      <c r="M13" s="640"/>
    </row>
    <row r="14" spans="1:17" s="2" customFormat="1" ht="47.25" thickTop="1" thickBot="1" x14ac:dyDescent="0.25">
      <c r="A14" s="226" t="s">
        <v>2</v>
      </c>
      <c r="B14" s="226" t="s">
        <v>3</v>
      </c>
      <c r="C14" s="226" t="s">
        <v>14</v>
      </c>
      <c r="D14" s="226" t="s">
        <v>5</v>
      </c>
      <c r="E14" s="226" t="s">
        <v>410</v>
      </c>
      <c r="F14" s="226" t="s">
        <v>411</v>
      </c>
      <c r="G14" s="226" t="s">
        <v>412</v>
      </c>
      <c r="H14" s="226" t="s">
        <v>413</v>
      </c>
      <c r="I14" s="226" t="s">
        <v>414</v>
      </c>
      <c r="J14" s="226" t="s">
        <v>415</v>
      </c>
      <c r="K14" s="637"/>
      <c r="L14" s="637"/>
      <c r="M14" s="637"/>
      <c r="N14" s="106"/>
      <c r="O14" s="106"/>
      <c r="P14" s="106"/>
      <c r="Q14" s="106"/>
    </row>
    <row r="15" spans="1:17" s="2" customFormat="1" ht="148.69999999999999" customHeight="1" thickTop="1" thickBot="1" x14ac:dyDescent="0.25">
      <c r="A15" s="450" t="s">
        <v>157</v>
      </c>
      <c r="B15" s="450"/>
      <c r="C15" s="450"/>
      <c r="D15" s="451" t="s">
        <v>159</v>
      </c>
      <c r="E15" s="450"/>
      <c r="F15" s="450"/>
      <c r="G15" s="453">
        <f>G16</f>
        <v>23589365</v>
      </c>
      <c r="H15" s="453">
        <f t="shared" ref="H15:J15" si="0">H16</f>
        <v>18738365</v>
      </c>
      <c r="I15" s="453">
        <f>I16</f>
        <v>4851000</v>
      </c>
      <c r="J15" s="453">
        <f t="shared" si="0"/>
        <v>1500000</v>
      </c>
      <c r="K15" s="739" t="b">
        <f>H16='d3'!F16-'d3'!F18-'d3'!F19+'d7'!H17+'d7'!H19</f>
        <v>1</v>
      </c>
      <c r="L15" s="739" t="b">
        <f>I16='d3'!J16-'d3'!J18-'d3'!J19+'d7'!I17+'d7'!I19+I18+I20</f>
        <v>1</v>
      </c>
      <c r="M15" s="739" t="b">
        <f>J16='d3'!K16-'d3'!K18-'d3'!K19+'d7'!J17+'d7'!J19+J18+J20</f>
        <v>1</v>
      </c>
      <c r="N15" s="106"/>
      <c r="O15" s="106"/>
      <c r="P15" s="106"/>
      <c r="Q15" s="106"/>
    </row>
    <row r="16" spans="1:17" s="2" customFormat="1" ht="157.69999999999999" customHeight="1" thickTop="1" thickBot="1" x14ac:dyDescent="0.25">
      <c r="A16" s="454" t="s">
        <v>158</v>
      </c>
      <c r="B16" s="454"/>
      <c r="C16" s="454"/>
      <c r="D16" s="455" t="s">
        <v>160</v>
      </c>
      <c r="E16" s="456"/>
      <c r="F16" s="456"/>
      <c r="G16" s="456">
        <f>SUM(G17:G40)</f>
        <v>23589365</v>
      </c>
      <c r="H16" s="456">
        <f>SUM(H17:H40)</f>
        <v>18738365</v>
      </c>
      <c r="I16" s="456">
        <f>SUM(I17:I40)</f>
        <v>4851000</v>
      </c>
      <c r="J16" s="456">
        <f>SUM(J17:J40)</f>
        <v>1500000</v>
      </c>
      <c r="K16" s="637"/>
      <c r="L16" s="637"/>
      <c r="M16" s="637"/>
      <c r="N16" s="106"/>
      <c r="O16" s="106"/>
      <c r="P16" s="106"/>
      <c r="Q16" s="106"/>
    </row>
    <row r="17" spans="1:17" ht="321.75" thickTop="1" thickBot="1" x14ac:dyDescent="0.25">
      <c r="A17" s="464" t="s">
        <v>245</v>
      </c>
      <c r="B17" s="464" t="s">
        <v>246</v>
      </c>
      <c r="C17" s="464" t="s">
        <v>247</v>
      </c>
      <c r="D17" s="464" t="s">
        <v>244</v>
      </c>
      <c r="E17" s="467" t="s">
        <v>1143</v>
      </c>
      <c r="F17" s="468" t="s">
        <v>910</v>
      </c>
      <c r="G17" s="479">
        <f t="shared" ref="G17:G27" si="1">H17+I17</f>
        <v>373000</v>
      </c>
      <c r="H17" s="480">
        <v>173000</v>
      </c>
      <c r="I17" s="479">
        <v>200000</v>
      </c>
      <c r="J17" s="479">
        <v>200000</v>
      </c>
      <c r="K17" s="739"/>
      <c r="L17" s="739" t="b">
        <f>I17+I19+I18+I20='d3'!J18</f>
        <v>1</v>
      </c>
      <c r="M17" s="739" t="b">
        <f>J17+J19+J18+J20='d3'!K18</f>
        <v>1</v>
      </c>
    </row>
    <row r="18" spans="1:17" s="220" customFormat="1" ht="409.6" hidden="1" thickTop="1" thickBot="1" x14ac:dyDescent="0.25">
      <c r="A18" s="266" t="s">
        <v>245</v>
      </c>
      <c r="B18" s="266" t="s">
        <v>246</v>
      </c>
      <c r="C18" s="266" t="s">
        <v>247</v>
      </c>
      <c r="D18" s="266" t="s">
        <v>244</v>
      </c>
      <c r="E18" s="333" t="s">
        <v>1005</v>
      </c>
      <c r="F18" s="333" t="s">
        <v>912</v>
      </c>
      <c r="G18" s="332">
        <f t="shared" si="1"/>
        <v>0</v>
      </c>
      <c r="H18" s="358"/>
      <c r="I18" s="332"/>
      <c r="J18" s="332"/>
      <c r="K18" s="740"/>
      <c r="L18" s="740"/>
      <c r="M18" s="740"/>
      <c r="N18" s="221"/>
      <c r="O18" s="221"/>
      <c r="P18" s="221"/>
      <c r="Q18" s="221"/>
    </row>
    <row r="19" spans="1:17" s="103" customFormat="1" ht="367.5" hidden="1" thickTop="1" thickBot="1" x14ac:dyDescent="0.25">
      <c r="A19" s="266" t="s">
        <v>245</v>
      </c>
      <c r="B19" s="266" t="s">
        <v>246</v>
      </c>
      <c r="C19" s="266" t="s">
        <v>247</v>
      </c>
      <c r="D19" s="266" t="s">
        <v>244</v>
      </c>
      <c r="E19" s="357" t="s">
        <v>929</v>
      </c>
      <c r="F19" s="333" t="s">
        <v>930</v>
      </c>
      <c r="G19" s="332">
        <f t="shared" si="1"/>
        <v>0</v>
      </c>
      <c r="H19" s="358"/>
      <c r="I19" s="332"/>
      <c r="J19" s="332"/>
      <c r="K19" s="741"/>
      <c r="L19" s="647"/>
      <c r="M19" s="640"/>
      <c r="N19" s="105"/>
      <c r="O19" s="105"/>
      <c r="P19" s="105"/>
      <c r="Q19" s="105"/>
    </row>
    <row r="20" spans="1:17" s="436" customFormat="1" ht="321.75" thickTop="1" thickBot="1" x14ac:dyDescent="0.25">
      <c r="A20" s="489" t="s">
        <v>245</v>
      </c>
      <c r="B20" s="489" t="s">
        <v>246</v>
      </c>
      <c r="C20" s="489" t="s">
        <v>247</v>
      </c>
      <c r="D20" s="489" t="s">
        <v>244</v>
      </c>
      <c r="E20" s="467" t="s">
        <v>1316</v>
      </c>
      <c r="F20" s="502" t="s">
        <v>1315</v>
      </c>
      <c r="G20" s="479">
        <f t="shared" si="1"/>
        <v>300000</v>
      </c>
      <c r="H20" s="480"/>
      <c r="I20" s="479">
        <v>300000</v>
      </c>
      <c r="J20" s="479">
        <v>300000</v>
      </c>
      <c r="K20" s="741"/>
      <c r="L20" s="647"/>
      <c r="M20" s="640"/>
      <c r="N20" s="443"/>
      <c r="O20" s="443"/>
      <c r="P20" s="443"/>
      <c r="Q20" s="443"/>
    </row>
    <row r="21" spans="1:17" s="136" customFormat="1" ht="409.6" thickTop="1" thickBot="1" x14ac:dyDescent="0.25">
      <c r="A21" s="464" t="s">
        <v>667</v>
      </c>
      <c r="B21" s="464" t="s">
        <v>379</v>
      </c>
      <c r="C21" s="464" t="s">
        <v>668</v>
      </c>
      <c r="D21" s="464" t="s">
        <v>669</v>
      </c>
      <c r="E21" s="467" t="s">
        <v>1330</v>
      </c>
      <c r="F21" s="711"/>
      <c r="G21" s="479">
        <f t="shared" si="1"/>
        <v>49000</v>
      </c>
      <c r="H21" s="480">
        <f>'d3'!E20</f>
        <v>49000</v>
      </c>
      <c r="I21" s="479"/>
      <c r="J21" s="479"/>
      <c r="K21" s="741"/>
      <c r="L21" s="647"/>
      <c r="M21" s="640"/>
      <c r="N21" s="137"/>
      <c r="O21" s="137"/>
      <c r="P21" s="137"/>
      <c r="Q21" s="137"/>
    </row>
    <row r="22" spans="1:17" ht="230.25" thickTop="1" thickBot="1" x14ac:dyDescent="0.25">
      <c r="A22" s="464" t="s">
        <v>260</v>
      </c>
      <c r="B22" s="464" t="s">
        <v>45</v>
      </c>
      <c r="C22" s="464" t="s">
        <v>44</v>
      </c>
      <c r="D22" s="464" t="s">
        <v>261</v>
      </c>
      <c r="E22" s="467" t="s">
        <v>1332</v>
      </c>
      <c r="F22" s="711"/>
      <c r="G22" s="479">
        <f t="shared" si="1"/>
        <v>1380600</v>
      </c>
      <c r="H22" s="480">
        <v>1380600</v>
      </c>
      <c r="I22" s="479"/>
      <c r="J22" s="479"/>
      <c r="K22" s="926" t="b">
        <f>H22+H23='d3'!E21</f>
        <v>1</v>
      </c>
      <c r="L22" s="926"/>
      <c r="M22" s="926"/>
    </row>
    <row r="23" spans="1:17" ht="184.5" customHeight="1" thickTop="1" thickBot="1" x14ac:dyDescent="0.25">
      <c r="A23" s="464" t="s">
        <v>260</v>
      </c>
      <c r="B23" s="464" t="s">
        <v>45</v>
      </c>
      <c r="C23" s="464" t="s">
        <v>44</v>
      </c>
      <c r="D23" s="464" t="s">
        <v>261</v>
      </c>
      <c r="E23" s="467" t="s">
        <v>1306</v>
      </c>
      <c r="F23" s="502"/>
      <c r="G23" s="479">
        <f t="shared" si="1"/>
        <v>1918680</v>
      </c>
      <c r="H23" s="480">
        <f>90000+1828680</f>
        <v>1918680</v>
      </c>
      <c r="I23" s="479"/>
      <c r="J23" s="479"/>
      <c r="K23" s="927"/>
      <c r="L23" s="927"/>
      <c r="M23" s="927"/>
    </row>
    <row r="24" spans="1:17" ht="138.75" thickTop="1" thickBot="1" x14ac:dyDescent="0.25">
      <c r="A24" s="464" t="s">
        <v>251</v>
      </c>
      <c r="B24" s="464" t="s">
        <v>252</v>
      </c>
      <c r="C24" s="464" t="s">
        <v>253</v>
      </c>
      <c r="D24" s="464" t="s">
        <v>250</v>
      </c>
      <c r="E24" s="467" t="s">
        <v>1143</v>
      </c>
      <c r="F24" s="468" t="s">
        <v>910</v>
      </c>
      <c r="G24" s="479">
        <f t="shared" si="1"/>
        <v>5612300</v>
      </c>
      <c r="H24" s="479">
        <f>'d3'!E24</f>
        <v>4612300</v>
      </c>
      <c r="I24" s="479">
        <f>'d3'!J24</f>
        <v>1000000</v>
      </c>
      <c r="J24" s="479">
        <f>'d3'!K24</f>
        <v>1000000</v>
      </c>
      <c r="K24" s="739" t="b">
        <f>H24='d3'!E24</f>
        <v>1</v>
      </c>
      <c r="L24" s="742" t="b">
        <f>I24='d3'!J24</f>
        <v>1</v>
      </c>
      <c r="M24" s="753" t="b">
        <f>J24='d3'!K24</f>
        <v>1</v>
      </c>
    </row>
    <row r="25" spans="1:17" s="197" customFormat="1" ht="230.25" hidden="1" thickTop="1" thickBot="1" x14ac:dyDescent="0.25">
      <c r="A25" s="266" t="s">
        <v>1072</v>
      </c>
      <c r="B25" s="266" t="s">
        <v>1073</v>
      </c>
      <c r="C25" s="266" t="s">
        <v>253</v>
      </c>
      <c r="D25" s="266" t="s">
        <v>1074</v>
      </c>
      <c r="E25" s="357" t="s">
        <v>1143</v>
      </c>
      <c r="F25" s="333" t="s">
        <v>910</v>
      </c>
      <c r="G25" s="332">
        <f t="shared" si="1"/>
        <v>0</v>
      </c>
      <c r="H25" s="332">
        <f>'d3'!E25</f>
        <v>0</v>
      </c>
      <c r="I25" s="332">
        <f>'d3'!J25</f>
        <v>0</v>
      </c>
      <c r="J25" s="332">
        <f>'d3'!K25</f>
        <v>0</v>
      </c>
      <c r="K25" s="739" t="b">
        <f>H25='d3'!E25</f>
        <v>1</v>
      </c>
      <c r="L25" s="742" t="b">
        <f>I25='d3'!J25</f>
        <v>1</v>
      </c>
      <c r="M25" s="753" t="b">
        <f>J25='d3'!K25</f>
        <v>1</v>
      </c>
      <c r="N25" s="198"/>
      <c r="O25" s="198"/>
      <c r="P25" s="198"/>
      <c r="Q25" s="198"/>
    </row>
    <row r="26" spans="1:17" ht="230.25" thickTop="1" thickBot="1" x14ac:dyDescent="0.25">
      <c r="A26" s="464" t="s">
        <v>313</v>
      </c>
      <c r="B26" s="464" t="s">
        <v>314</v>
      </c>
      <c r="C26" s="464" t="s">
        <v>179</v>
      </c>
      <c r="D26" s="464" t="s">
        <v>464</v>
      </c>
      <c r="E26" s="467" t="s">
        <v>1306</v>
      </c>
      <c r="F26" s="502"/>
      <c r="G26" s="479">
        <f t="shared" si="1"/>
        <v>380000</v>
      </c>
      <c r="H26" s="479">
        <f>'d3'!E27</f>
        <v>380000</v>
      </c>
      <c r="I26" s="479">
        <f>'d3'!J27</f>
        <v>0</v>
      </c>
      <c r="J26" s="479">
        <f>'d3'!K27</f>
        <v>0</v>
      </c>
      <c r="K26" s="739" t="b">
        <f>H26='d3'!E27</f>
        <v>1</v>
      </c>
      <c r="L26" s="742" t="b">
        <f>I26='d3'!J27</f>
        <v>1</v>
      </c>
      <c r="M26" s="753" t="b">
        <f>J26='d3'!K27</f>
        <v>1</v>
      </c>
    </row>
    <row r="27" spans="1:17" ht="364.5" customHeight="1" thickTop="1" thickBot="1" x14ac:dyDescent="0.7">
      <c r="A27" s="794" t="s">
        <v>355</v>
      </c>
      <c r="B27" s="794" t="s">
        <v>354</v>
      </c>
      <c r="C27" s="794" t="s">
        <v>179</v>
      </c>
      <c r="D27" s="490" t="s">
        <v>462</v>
      </c>
      <c r="E27" s="922" t="s">
        <v>1306</v>
      </c>
      <c r="F27" s="922"/>
      <c r="G27" s="786">
        <f t="shared" si="1"/>
        <v>3351000</v>
      </c>
      <c r="H27" s="786">
        <f>'d3'!E29</f>
        <v>0</v>
      </c>
      <c r="I27" s="786">
        <f>'d3'!J29</f>
        <v>3351000</v>
      </c>
      <c r="J27" s="786">
        <f>'d3'!K29</f>
        <v>0</v>
      </c>
      <c r="K27" s="739" t="b">
        <f>H27='d3'!E29</f>
        <v>1</v>
      </c>
      <c r="L27" s="742" t="b">
        <f>I27='d3'!J29</f>
        <v>1</v>
      </c>
      <c r="M27" s="753" t="b">
        <f>J27='d3'!K29</f>
        <v>1</v>
      </c>
    </row>
    <row r="28" spans="1:17" ht="184.5" thickTop="1" thickBot="1" x14ac:dyDescent="0.25">
      <c r="A28" s="827"/>
      <c r="B28" s="827"/>
      <c r="C28" s="827"/>
      <c r="D28" s="492" t="s">
        <v>463</v>
      </c>
      <c r="E28" s="923"/>
      <c r="F28" s="923"/>
      <c r="G28" s="924"/>
      <c r="H28" s="924"/>
      <c r="I28" s="924"/>
      <c r="J28" s="924"/>
      <c r="K28" s="640"/>
      <c r="L28" s="640"/>
      <c r="M28" s="640"/>
    </row>
    <row r="29" spans="1:17" s="160" customFormat="1" ht="276" thickTop="1" thickBot="1" x14ac:dyDescent="0.25">
      <c r="A29" s="226" t="s">
        <v>979</v>
      </c>
      <c r="B29" s="226" t="s">
        <v>270</v>
      </c>
      <c r="C29" s="226" t="s">
        <v>179</v>
      </c>
      <c r="D29" s="226" t="s">
        <v>268</v>
      </c>
      <c r="E29" s="711" t="s">
        <v>1331</v>
      </c>
      <c r="F29" s="578"/>
      <c r="G29" s="479">
        <f>H29+I29</f>
        <v>2178890</v>
      </c>
      <c r="H29" s="479">
        <f>'d3'!E31</f>
        <v>2178890</v>
      </c>
      <c r="I29" s="479">
        <f>'d3'!J31</f>
        <v>0</v>
      </c>
      <c r="J29" s="479">
        <f>'d3'!K31</f>
        <v>0</v>
      </c>
      <c r="K29" s="640"/>
      <c r="L29" s="640"/>
      <c r="M29" s="640"/>
      <c r="N29" s="161"/>
      <c r="O29" s="161"/>
      <c r="P29" s="161"/>
      <c r="Q29" s="161"/>
    </row>
    <row r="30" spans="1:17" ht="255.75" customHeight="1" thickTop="1" thickBot="1" x14ac:dyDescent="0.25">
      <c r="A30" s="464" t="s">
        <v>254</v>
      </c>
      <c r="B30" s="464" t="s">
        <v>255</v>
      </c>
      <c r="C30" s="464" t="s">
        <v>256</v>
      </c>
      <c r="D30" s="464" t="s">
        <v>257</v>
      </c>
      <c r="E30" s="479" t="s">
        <v>948</v>
      </c>
      <c r="F30" s="468" t="s">
        <v>949</v>
      </c>
      <c r="G30" s="479">
        <f>H30+I30</f>
        <v>7313195</v>
      </c>
      <c r="H30" s="479">
        <f>'d3'!E34</f>
        <v>7313195</v>
      </c>
      <c r="I30" s="479">
        <f>'d3'!J34</f>
        <v>0</v>
      </c>
      <c r="J30" s="479">
        <f>'d3'!K34</f>
        <v>0</v>
      </c>
      <c r="K30" s="739" t="b">
        <f>H30='d3'!E34</f>
        <v>1</v>
      </c>
      <c r="L30" s="742" t="b">
        <f>I30='d3'!J34</f>
        <v>1</v>
      </c>
      <c r="M30" s="753" t="b">
        <f>J30='d3'!K34</f>
        <v>1</v>
      </c>
    </row>
    <row r="31" spans="1:17" ht="276" thickTop="1" thickBot="1" x14ac:dyDescent="0.25">
      <c r="A31" s="226" t="s">
        <v>258</v>
      </c>
      <c r="B31" s="226" t="s">
        <v>259</v>
      </c>
      <c r="C31" s="226" t="s">
        <v>45</v>
      </c>
      <c r="D31" s="226" t="s">
        <v>465</v>
      </c>
      <c r="E31" s="467" t="s">
        <v>1306</v>
      </c>
      <c r="F31" s="502"/>
      <c r="G31" s="468">
        <f>H31+I31</f>
        <v>600600</v>
      </c>
      <c r="H31" s="473">
        <f>'d3'!E37</f>
        <v>600600</v>
      </c>
      <c r="I31" s="468">
        <f>'d3'!J37</f>
        <v>0</v>
      </c>
      <c r="J31" s="468">
        <f>'d3'!K37</f>
        <v>0</v>
      </c>
      <c r="K31" s="739" t="b">
        <f>H31='d3'!E37</f>
        <v>1</v>
      </c>
      <c r="L31" s="742" t="b">
        <f>I31='d3'!J37</f>
        <v>1</v>
      </c>
      <c r="M31" s="742" t="b">
        <f>J31='d3'!K37</f>
        <v>1</v>
      </c>
    </row>
    <row r="32" spans="1:17" s="104" customFormat="1" ht="230.25" thickTop="1" thickBot="1" x14ac:dyDescent="0.25">
      <c r="A32" s="226" t="s">
        <v>609</v>
      </c>
      <c r="B32" s="226" t="s">
        <v>380</v>
      </c>
      <c r="C32" s="226" t="s">
        <v>45</v>
      </c>
      <c r="D32" s="226" t="s">
        <v>381</v>
      </c>
      <c r="E32" s="467" t="s">
        <v>1306</v>
      </c>
      <c r="F32" s="502"/>
      <c r="G32" s="468">
        <f>H32+I32</f>
        <v>132100</v>
      </c>
      <c r="H32" s="473">
        <f>'d3'!E38</f>
        <v>132100</v>
      </c>
      <c r="I32" s="468">
        <f>'d3'!J38</f>
        <v>0</v>
      </c>
      <c r="J32" s="468">
        <f>'d3'!K38</f>
        <v>0</v>
      </c>
      <c r="K32" s="739" t="b">
        <f>H32='d3'!E38</f>
        <v>1</v>
      </c>
      <c r="L32" s="742" t="b">
        <f>I32='d3'!J38</f>
        <v>1</v>
      </c>
      <c r="M32" s="742" t="b">
        <f>J32='d3'!K38</f>
        <v>1</v>
      </c>
      <c r="N32" s="112"/>
      <c r="O32" s="112"/>
      <c r="P32" s="112"/>
      <c r="Q32" s="112"/>
    </row>
    <row r="33" spans="1:17" ht="276" hidden="1" thickTop="1" thickBot="1" x14ac:dyDescent="0.25">
      <c r="A33" s="261" t="s">
        <v>538</v>
      </c>
      <c r="B33" s="261" t="s">
        <v>539</v>
      </c>
      <c r="C33" s="261" t="s">
        <v>45</v>
      </c>
      <c r="D33" s="261" t="s">
        <v>540</v>
      </c>
      <c r="E33" s="333" t="s">
        <v>1032</v>
      </c>
      <c r="F33" s="299" t="s">
        <v>1004</v>
      </c>
      <c r="G33" s="333">
        <f t="shared" ref="G33:G40" si="2">H33+I33</f>
        <v>0</v>
      </c>
      <c r="H33" s="333"/>
      <c r="I33" s="333"/>
      <c r="J33" s="333"/>
      <c r="K33" s="739" t="b">
        <f>H33+H34+H35+H36+H37+H38+H40+H39='d3'!E39</f>
        <v>1</v>
      </c>
      <c r="L33" s="742" t="b">
        <f>I33+I34+I35+I36+I37+I38+I40='d3'!J39</f>
        <v>1</v>
      </c>
      <c r="M33" s="742" t="b">
        <f>J33+J34+J35+J36+J37+J38+J40='d3'!K39</f>
        <v>1</v>
      </c>
    </row>
    <row r="34" spans="1:17" s="170" customFormat="1" ht="409.6" hidden="1" thickTop="1" thickBot="1" x14ac:dyDescent="0.25">
      <c r="A34" s="261" t="s">
        <v>538</v>
      </c>
      <c r="B34" s="261" t="s">
        <v>539</v>
      </c>
      <c r="C34" s="261" t="s">
        <v>45</v>
      </c>
      <c r="D34" s="261" t="s">
        <v>540</v>
      </c>
      <c r="E34" s="333" t="s">
        <v>1005</v>
      </c>
      <c r="F34" s="333" t="s">
        <v>912</v>
      </c>
      <c r="G34" s="333">
        <f t="shared" si="2"/>
        <v>0</v>
      </c>
      <c r="H34" s="333"/>
      <c r="I34" s="333"/>
      <c r="J34" s="333"/>
      <c r="K34" s="739"/>
      <c r="L34" s="742"/>
      <c r="M34" s="753"/>
      <c r="N34" s="171"/>
      <c r="O34" s="171"/>
      <c r="P34" s="171"/>
      <c r="Q34" s="171"/>
    </row>
    <row r="35" spans="1:17" s="170" customFormat="1" ht="367.5" hidden="1" thickTop="1" thickBot="1" x14ac:dyDescent="0.25">
      <c r="A35" s="261" t="s">
        <v>538</v>
      </c>
      <c r="B35" s="261" t="s">
        <v>539</v>
      </c>
      <c r="C35" s="261" t="s">
        <v>45</v>
      </c>
      <c r="D35" s="261" t="s">
        <v>540</v>
      </c>
      <c r="E35" s="333" t="s">
        <v>1150</v>
      </c>
      <c r="F35" s="333" t="s">
        <v>1006</v>
      </c>
      <c r="G35" s="333">
        <f t="shared" si="2"/>
        <v>0</v>
      </c>
      <c r="H35" s="333"/>
      <c r="I35" s="333"/>
      <c r="J35" s="333"/>
      <c r="K35" s="739"/>
      <c r="L35" s="742"/>
      <c r="M35" s="753"/>
      <c r="N35" s="171"/>
      <c r="O35" s="171"/>
      <c r="P35" s="171"/>
      <c r="Q35" s="171"/>
    </row>
    <row r="36" spans="1:17" s="170" customFormat="1" ht="230.25" hidden="1" thickTop="1" thickBot="1" x14ac:dyDescent="0.25">
      <c r="A36" s="261" t="s">
        <v>538</v>
      </c>
      <c r="B36" s="261" t="s">
        <v>539</v>
      </c>
      <c r="C36" s="261" t="s">
        <v>45</v>
      </c>
      <c r="D36" s="261" t="s">
        <v>540</v>
      </c>
      <c r="E36" s="333" t="s">
        <v>1025</v>
      </c>
      <c r="F36" s="333" t="s">
        <v>1026</v>
      </c>
      <c r="G36" s="333">
        <f t="shared" si="2"/>
        <v>0</v>
      </c>
      <c r="H36" s="333"/>
      <c r="I36" s="333"/>
      <c r="J36" s="333"/>
      <c r="K36" s="739"/>
      <c r="L36" s="742"/>
      <c r="M36" s="753"/>
      <c r="N36" s="171"/>
      <c r="O36" s="171"/>
      <c r="P36" s="171"/>
      <c r="Q36" s="171"/>
    </row>
    <row r="37" spans="1:17" s="170" customFormat="1" ht="409.6" hidden="1" thickTop="1" thickBot="1" x14ac:dyDescent="0.25">
      <c r="A37" s="261" t="s">
        <v>538</v>
      </c>
      <c r="B37" s="261" t="s">
        <v>539</v>
      </c>
      <c r="C37" s="261" t="s">
        <v>45</v>
      </c>
      <c r="D37" s="261" t="s">
        <v>540</v>
      </c>
      <c r="E37" s="333" t="s">
        <v>1027</v>
      </c>
      <c r="F37" s="333" t="s">
        <v>1028</v>
      </c>
      <c r="G37" s="333">
        <f t="shared" si="2"/>
        <v>0</v>
      </c>
      <c r="H37" s="333"/>
      <c r="I37" s="333"/>
      <c r="J37" s="333"/>
      <c r="K37" s="739"/>
      <c r="L37" s="742"/>
      <c r="M37" s="753"/>
      <c r="N37" s="171"/>
      <c r="O37" s="171"/>
      <c r="P37" s="171"/>
      <c r="Q37" s="171"/>
    </row>
    <row r="38" spans="1:17" s="170" customFormat="1" ht="321.75" hidden="1" thickTop="1" thickBot="1" x14ac:dyDescent="0.25">
      <c r="A38" s="261" t="s">
        <v>538</v>
      </c>
      <c r="B38" s="261" t="s">
        <v>539</v>
      </c>
      <c r="C38" s="261" t="s">
        <v>45</v>
      </c>
      <c r="D38" s="261" t="s">
        <v>540</v>
      </c>
      <c r="E38" s="333" t="s">
        <v>1039</v>
      </c>
      <c r="F38" s="333" t="s">
        <v>1029</v>
      </c>
      <c r="G38" s="333">
        <f t="shared" si="2"/>
        <v>0</v>
      </c>
      <c r="H38" s="333"/>
      <c r="I38" s="333"/>
      <c r="J38" s="333"/>
      <c r="K38" s="739"/>
      <c r="L38" s="742"/>
      <c r="M38" s="753"/>
      <c r="N38" s="171"/>
      <c r="O38" s="171"/>
      <c r="P38" s="171"/>
      <c r="Q38" s="171"/>
    </row>
    <row r="39" spans="1:17" s="201" customFormat="1" ht="409.6" hidden="1" thickTop="1" thickBot="1" x14ac:dyDescent="0.25">
      <c r="A39" s="261" t="s">
        <v>538</v>
      </c>
      <c r="B39" s="261" t="s">
        <v>539</v>
      </c>
      <c r="C39" s="261" t="s">
        <v>45</v>
      </c>
      <c r="D39" s="261" t="s">
        <v>540</v>
      </c>
      <c r="E39" s="333" t="s">
        <v>1142</v>
      </c>
      <c r="F39" s="333" t="s">
        <v>1144</v>
      </c>
      <c r="G39" s="333">
        <f t="shared" si="2"/>
        <v>0</v>
      </c>
      <c r="H39" s="333"/>
      <c r="I39" s="333"/>
      <c r="J39" s="333"/>
      <c r="K39" s="739"/>
      <c r="L39" s="742"/>
      <c r="M39" s="753"/>
      <c r="N39" s="202"/>
      <c r="O39" s="202"/>
      <c r="P39" s="202"/>
      <c r="Q39" s="202"/>
    </row>
    <row r="40" spans="1:17" s="170" customFormat="1" ht="230.25" hidden="1" thickTop="1" thickBot="1" x14ac:dyDescent="0.25">
      <c r="A40" s="261" t="s">
        <v>538</v>
      </c>
      <c r="B40" s="261" t="s">
        <v>539</v>
      </c>
      <c r="C40" s="261" t="s">
        <v>45</v>
      </c>
      <c r="D40" s="261" t="s">
        <v>540</v>
      </c>
      <c r="E40" s="333" t="s">
        <v>1030</v>
      </c>
      <c r="F40" s="333" t="s">
        <v>1031</v>
      </c>
      <c r="G40" s="333">
        <f t="shared" si="2"/>
        <v>0</v>
      </c>
      <c r="H40" s="333"/>
      <c r="I40" s="333"/>
      <c r="J40" s="333"/>
      <c r="K40" s="739"/>
      <c r="L40" s="742"/>
      <c r="M40" s="753"/>
      <c r="N40" s="171"/>
      <c r="O40" s="171"/>
      <c r="P40" s="171"/>
      <c r="Q40" s="171"/>
    </row>
    <row r="41" spans="1:17" ht="136.5" thickTop="1" thickBot="1" x14ac:dyDescent="0.25">
      <c r="A41" s="450" t="s">
        <v>161</v>
      </c>
      <c r="B41" s="450"/>
      <c r="C41" s="450"/>
      <c r="D41" s="451" t="s">
        <v>0</v>
      </c>
      <c r="E41" s="450"/>
      <c r="F41" s="450"/>
      <c r="G41" s="453">
        <f>G42</f>
        <v>2097847064</v>
      </c>
      <c r="H41" s="453">
        <f t="shared" ref="H41:J41" si="3">H42</f>
        <v>1863754110</v>
      </c>
      <c r="I41" s="453">
        <f t="shared" si="3"/>
        <v>234092954</v>
      </c>
      <c r="J41" s="453">
        <f t="shared" si="3"/>
        <v>70747404</v>
      </c>
      <c r="K41" s="739" t="b">
        <f>H41='d3'!E41</f>
        <v>1</v>
      </c>
      <c r="L41" s="742" t="b">
        <f>I41='d3'!J41</f>
        <v>1</v>
      </c>
      <c r="M41" s="753" t="b">
        <f>J41='d3'!K40</f>
        <v>1</v>
      </c>
    </row>
    <row r="42" spans="1:17" ht="172.5" customHeight="1" thickTop="1" thickBot="1" x14ac:dyDescent="0.25">
      <c r="A42" s="454" t="s">
        <v>162</v>
      </c>
      <c r="B42" s="454"/>
      <c r="C42" s="454"/>
      <c r="D42" s="455" t="s">
        <v>1</v>
      </c>
      <c r="E42" s="456"/>
      <c r="F42" s="456"/>
      <c r="G42" s="456">
        <f>SUM(G43:G75)</f>
        <v>2097847064</v>
      </c>
      <c r="H42" s="456">
        <f>SUM(H43:H75)</f>
        <v>1863754110</v>
      </c>
      <c r="I42" s="456">
        <f>SUM(I43:I75)</f>
        <v>234092954</v>
      </c>
      <c r="J42" s="456">
        <f>SUM(J43:J75)</f>
        <v>70747404</v>
      </c>
      <c r="K42" s="640"/>
      <c r="L42" s="640"/>
      <c r="M42" s="640"/>
    </row>
    <row r="43" spans="1:17" ht="184.5" thickTop="1" thickBot="1" x14ac:dyDescent="0.25">
      <c r="A43" s="499" t="s">
        <v>211</v>
      </c>
      <c r="B43" s="499" t="s">
        <v>212</v>
      </c>
      <c r="C43" s="499" t="s">
        <v>214</v>
      </c>
      <c r="D43" s="499" t="s">
        <v>215</v>
      </c>
      <c r="E43" s="469" t="s">
        <v>1333</v>
      </c>
      <c r="F43" s="711"/>
      <c r="G43" s="502">
        <f t="shared" ref="G43:G56" si="4">H43+I43</f>
        <v>608147969</v>
      </c>
      <c r="H43" s="502">
        <f>'d3'!E43-H44</f>
        <v>535792955</v>
      </c>
      <c r="I43" s="502">
        <f>'d3'!J43-I44</f>
        <v>72355014</v>
      </c>
      <c r="J43" s="502">
        <f>'d3'!K43-J44</f>
        <v>1517164</v>
      </c>
      <c r="K43" s="739" t="b">
        <f>H43+H44='d3'!E43</f>
        <v>1</v>
      </c>
      <c r="L43" s="742" t="b">
        <f>I43+I44='d3'!J43</f>
        <v>1</v>
      </c>
      <c r="M43" s="742" t="b">
        <f>J43+J44='d3'!K43</f>
        <v>1</v>
      </c>
    </row>
    <row r="44" spans="1:17" s="122" customFormat="1" ht="230.25" hidden="1" thickTop="1" thickBot="1" x14ac:dyDescent="0.25">
      <c r="A44" s="261" t="s">
        <v>211</v>
      </c>
      <c r="B44" s="261" t="s">
        <v>212</v>
      </c>
      <c r="C44" s="261" t="s">
        <v>214</v>
      </c>
      <c r="D44" s="261" t="s">
        <v>215</v>
      </c>
      <c r="E44" s="360" t="s">
        <v>472</v>
      </c>
      <c r="F44" s="299" t="s">
        <v>473</v>
      </c>
      <c r="G44" s="333">
        <f>H44+I44</f>
        <v>0</v>
      </c>
      <c r="H44" s="333">
        <v>0</v>
      </c>
      <c r="I44" s="333">
        <f>(30333+15000)-45333</f>
        <v>0</v>
      </c>
      <c r="J44" s="333">
        <f>(30333+15000)-45333</f>
        <v>0</v>
      </c>
      <c r="K44" s="640"/>
      <c r="L44" s="640"/>
      <c r="M44" s="640"/>
      <c r="N44" s="123"/>
      <c r="O44" s="123"/>
      <c r="P44" s="123"/>
      <c r="Q44" s="123"/>
    </row>
    <row r="45" spans="1:17" ht="184.5" thickTop="1" thickBot="1" x14ac:dyDescent="0.25">
      <c r="A45" s="499" t="s">
        <v>689</v>
      </c>
      <c r="B45" s="499" t="s">
        <v>690</v>
      </c>
      <c r="C45" s="499" t="s">
        <v>217</v>
      </c>
      <c r="D45" s="499" t="s">
        <v>691</v>
      </c>
      <c r="E45" s="469" t="s">
        <v>1333</v>
      </c>
      <c r="F45" s="711"/>
      <c r="G45" s="502">
        <f t="shared" si="4"/>
        <v>426403353</v>
      </c>
      <c r="H45" s="502">
        <f>'d3'!E45-H46-H47</f>
        <v>351551738</v>
      </c>
      <c r="I45" s="502">
        <f>'d3'!J45-I46-I47</f>
        <v>74851615</v>
      </c>
      <c r="J45" s="502">
        <f>'d3'!K45-J46-J47</f>
        <v>11189615</v>
      </c>
      <c r="K45" s="739" t="b">
        <f>H45+H46+H47='d3'!E45</f>
        <v>1</v>
      </c>
      <c r="L45" s="742" t="b">
        <f>I45+I46+I47='d3'!J45</f>
        <v>1</v>
      </c>
      <c r="M45" s="742" t="b">
        <f>J45+J46+J47='d3'!K45</f>
        <v>1</v>
      </c>
    </row>
    <row r="46" spans="1:17" ht="230.25" hidden="1" thickTop="1" thickBot="1" x14ac:dyDescent="0.25">
      <c r="A46" s="261" t="s">
        <v>689</v>
      </c>
      <c r="B46" s="261" t="s">
        <v>690</v>
      </c>
      <c r="C46" s="261" t="s">
        <v>217</v>
      </c>
      <c r="D46" s="261" t="s">
        <v>691</v>
      </c>
      <c r="E46" s="360" t="s">
        <v>618</v>
      </c>
      <c r="F46" s="333" t="s">
        <v>426</v>
      </c>
      <c r="G46" s="333">
        <f t="shared" si="4"/>
        <v>0</v>
      </c>
      <c r="H46" s="333"/>
      <c r="I46" s="333">
        <v>0</v>
      </c>
      <c r="J46" s="333">
        <v>0</v>
      </c>
      <c r="K46" s="743" t="s">
        <v>595</v>
      </c>
      <c r="L46" s="640"/>
      <c r="M46" s="640"/>
    </row>
    <row r="47" spans="1:17" ht="230.25" hidden="1" thickTop="1" thickBot="1" x14ac:dyDescent="0.25">
      <c r="A47" s="261" t="s">
        <v>689</v>
      </c>
      <c r="B47" s="261" t="s">
        <v>690</v>
      </c>
      <c r="C47" s="261" t="s">
        <v>217</v>
      </c>
      <c r="D47" s="261" t="s">
        <v>691</v>
      </c>
      <c r="E47" s="360" t="s">
        <v>472</v>
      </c>
      <c r="F47" s="299" t="s">
        <v>473</v>
      </c>
      <c r="G47" s="333">
        <f>H47+I47</f>
        <v>0</v>
      </c>
      <c r="H47" s="333">
        <v>0</v>
      </c>
      <c r="I47" s="333">
        <v>0</v>
      </c>
      <c r="J47" s="333">
        <v>0</v>
      </c>
      <c r="K47" s="640"/>
      <c r="L47" s="640"/>
      <c r="M47" s="640"/>
    </row>
    <row r="48" spans="1:17" ht="276" thickTop="1" thickBot="1" x14ac:dyDescent="0.25">
      <c r="A48" s="499" t="s">
        <v>699</v>
      </c>
      <c r="B48" s="499" t="s">
        <v>700</v>
      </c>
      <c r="C48" s="499" t="s">
        <v>220</v>
      </c>
      <c r="D48" s="499" t="s">
        <v>522</v>
      </c>
      <c r="E48" s="469" t="s">
        <v>1333</v>
      </c>
      <c r="F48" s="711"/>
      <c r="G48" s="502">
        <f t="shared" si="4"/>
        <v>24863105</v>
      </c>
      <c r="H48" s="502">
        <f>'d3'!E46-H49</f>
        <v>24772605</v>
      </c>
      <c r="I48" s="502">
        <f>'d3'!J46-I49</f>
        <v>90500</v>
      </c>
      <c r="J48" s="502">
        <f>'d3'!K46-J49</f>
        <v>0</v>
      </c>
      <c r="K48" s="739" t="b">
        <f>H48+H49='d3'!E46</f>
        <v>1</v>
      </c>
      <c r="L48" s="739" t="b">
        <f>I48+I49='d3'!J46</f>
        <v>1</v>
      </c>
      <c r="M48" s="739" t="b">
        <f>J48+J49='d3'!K46</f>
        <v>1</v>
      </c>
    </row>
    <row r="49" spans="1:17" ht="276" hidden="1" thickTop="1" thickBot="1" x14ac:dyDescent="0.25">
      <c r="A49" s="261" t="s">
        <v>699</v>
      </c>
      <c r="B49" s="261" t="s">
        <v>700</v>
      </c>
      <c r="C49" s="261" t="s">
        <v>220</v>
      </c>
      <c r="D49" s="261" t="s">
        <v>522</v>
      </c>
      <c r="E49" s="360" t="s">
        <v>618</v>
      </c>
      <c r="F49" s="333" t="s">
        <v>426</v>
      </c>
      <c r="G49" s="333">
        <f t="shared" si="4"/>
        <v>0</v>
      </c>
      <c r="H49" s="333">
        <v>0</v>
      </c>
      <c r="I49" s="333"/>
      <c r="J49" s="333"/>
      <c r="K49" s="743" t="s">
        <v>596</v>
      </c>
      <c r="L49" s="640"/>
      <c r="M49" s="640"/>
    </row>
    <row r="50" spans="1:17" s="199" customFormat="1" ht="184.5" thickTop="1" thickBot="1" x14ac:dyDescent="0.25">
      <c r="A50" s="499" t="s">
        <v>1093</v>
      </c>
      <c r="B50" s="499" t="s">
        <v>1094</v>
      </c>
      <c r="C50" s="499" t="s">
        <v>220</v>
      </c>
      <c r="D50" s="499" t="s">
        <v>1095</v>
      </c>
      <c r="E50" s="469" t="s">
        <v>1333</v>
      </c>
      <c r="F50" s="711"/>
      <c r="G50" s="502">
        <f t="shared" si="4"/>
        <v>18543450</v>
      </c>
      <c r="H50" s="502">
        <f>'d3'!E47</f>
        <v>18543450</v>
      </c>
      <c r="I50" s="502">
        <f>'d3'!J47</f>
        <v>0</v>
      </c>
      <c r="J50" s="502">
        <f>'d3'!K47</f>
        <v>0</v>
      </c>
      <c r="K50" s="744"/>
      <c r="L50" s="640"/>
      <c r="M50" s="640"/>
      <c r="N50" s="200"/>
      <c r="O50" s="200"/>
      <c r="P50" s="200"/>
      <c r="Q50" s="200"/>
    </row>
    <row r="51" spans="1:17" s="144" customFormat="1" ht="184.5" thickTop="1" thickBot="1" x14ac:dyDescent="0.25">
      <c r="A51" s="499" t="s">
        <v>708</v>
      </c>
      <c r="B51" s="499" t="s">
        <v>709</v>
      </c>
      <c r="C51" s="499" t="s">
        <v>217</v>
      </c>
      <c r="D51" s="499" t="s">
        <v>691</v>
      </c>
      <c r="E51" s="469" t="s">
        <v>1333</v>
      </c>
      <c r="F51" s="711"/>
      <c r="G51" s="502">
        <f t="shared" si="4"/>
        <v>699178202</v>
      </c>
      <c r="H51" s="502">
        <f>'d3'!E49</f>
        <v>699178202</v>
      </c>
      <c r="I51" s="502">
        <f>'d3'!J49</f>
        <v>0</v>
      </c>
      <c r="J51" s="502">
        <f>'d3'!K49</f>
        <v>0</v>
      </c>
      <c r="K51" s="744"/>
      <c r="L51" s="640"/>
      <c r="M51" s="640"/>
      <c r="N51" s="145"/>
      <c r="O51" s="145"/>
      <c r="P51" s="145"/>
      <c r="Q51" s="145"/>
    </row>
    <row r="52" spans="1:17" s="436" customFormat="1" ht="184.5" thickTop="1" thickBot="1" x14ac:dyDescent="0.25">
      <c r="A52" s="499" t="s">
        <v>1285</v>
      </c>
      <c r="B52" s="499" t="s">
        <v>1286</v>
      </c>
      <c r="C52" s="499" t="s">
        <v>220</v>
      </c>
      <c r="D52" s="499" t="s">
        <v>1287</v>
      </c>
      <c r="E52" s="469" t="s">
        <v>1333</v>
      </c>
      <c r="F52" s="711"/>
      <c r="G52" s="502">
        <f t="shared" ref="G52" si="5">H52+I52</f>
        <v>3835000</v>
      </c>
      <c r="H52" s="502">
        <f>'d3'!E50</f>
        <v>3835000</v>
      </c>
      <c r="I52" s="502">
        <f>'d3'!J50</f>
        <v>0</v>
      </c>
      <c r="J52" s="502">
        <f>'d3'!K50</f>
        <v>0</v>
      </c>
      <c r="K52" s="744"/>
      <c r="L52" s="640"/>
      <c r="M52" s="640"/>
      <c r="N52" s="443"/>
      <c r="O52" s="443"/>
      <c r="P52" s="443"/>
      <c r="Q52" s="443"/>
    </row>
    <row r="53" spans="1:17" s="168" customFormat="1" ht="184.5" hidden="1" thickTop="1" thickBot="1" x14ac:dyDescent="0.25">
      <c r="A53" s="499" t="s">
        <v>998</v>
      </c>
      <c r="B53" s="499" t="s">
        <v>999</v>
      </c>
      <c r="C53" s="499" t="s">
        <v>217</v>
      </c>
      <c r="D53" s="499" t="s">
        <v>1002</v>
      </c>
      <c r="E53" s="470" t="s">
        <v>1333</v>
      </c>
      <c r="F53" s="471"/>
      <c r="G53" s="502">
        <f t="shared" si="4"/>
        <v>0</v>
      </c>
      <c r="H53" s="502">
        <f>'d3'!E53</f>
        <v>0</v>
      </c>
      <c r="I53" s="502">
        <f>'d3'!J53</f>
        <v>0</v>
      </c>
      <c r="J53" s="502">
        <f>'d3'!K53</f>
        <v>0</v>
      </c>
      <c r="K53" s="745"/>
      <c r="L53" s="640"/>
      <c r="M53" s="640"/>
      <c r="N53" s="169"/>
      <c r="O53" s="169"/>
      <c r="P53" s="169"/>
      <c r="Q53" s="169"/>
    </row>
    <row r="54" spans="1:17" ht="184.5" thickTop="1" thickBot="1" x14ac:dyDescent="0.25">
      <c r="A54" s="499" t="s">
        <v>710</v>
      </c>
      <c r="B54" s="499" t="s">
        <v>219</v>
      </c>
      <c r="C54" s="499" t="s">
        <v>194</v>
      </c>
      <c r="D54" s="499" t="s">
        <v>524</v>
      </c>
      <c r="E54" s="469" t="s">
        <v>1333</v>
      </c>
      <c r="F54" s="711"/>
      <c r="G54" s="502">
        <f t="shared" si="4"/>
        <v>35257950</v>
      </c>
      <c r="H54" s="502">
        <f>'d3'!E54</f>
        <v>33399580</v>
      </c>
      <c r="I54" s="502">
        <f>'d3'!J54</f>
        <v>1858370</v>
      </c>
      <c r="J54" s="502">
        <f>'d3'!K54</f>
        <v>1000000</v>
      </c>
      <c r="K54" s="640"/>
      <c r="L54" s="640"/>
      <c r="M54" s="640"/>
    </row>
    <row r="55" spans="1:17" s="146" customFormat="1" ht="230.25" thickTop="1" thickBot="1" x14ac:dyDescent="0.25">
      <c r="A55" s="499" t="s">
        <v>711</v>
      </c>
      <c r="B55" s="499" t="s">
        <v>712</v>
      </c>
      <c r="C55" s="499" t="s">
        <v>222</v>
      </c>
      <c r="D55" s="499" t="s">
        <v>713</v>
      </c>
      <c r="E55" s="469" t="s">
        <v>1333</v>
      </c>
      <c r="F55" s="711"/>
      <c r="G55" s="502">
        <f t="shared" si="4"/>
        <v>167171460</v>
      </c>
      <c r="H55" s="502">
        <f>'d3'!E56</f>
        <v>137467895</v>
      </c>
      <c r="I55" s="502">
        <f>'d3'!J56</f>
        <v>29703565</v>
      </c>
      <c r="J55" s="502">
        <f>'d3'!K56</f>
        <v>2182625</v>
      </c>
      <c r="K55" s="640"/>
      <c r="L55" s="640"/>
      <c r="M55" s="640"/>
      <c r="N55" s="147"/>
      <c r="O55" s="147"/>
      <c r="P55" s="147"/>
      <c r="Q55" s="147"/>
    </row>
    <row r="56" spans="1:17" s="146" customFormat="1" ht="230.25" thickTop="1" thickBot="1" x14ac:dyDescent="0.25">
      <c r="A56" s="499" t="s">
        <v>715</v>
      </c>
      <c r="B56" s="499" t="s">
        <v>714</v>
      </c>
      <c r="C56" s="499" t="s">
        <v>222</v>
      </c>
      <c r="D56" s="499" t="s">
        <v>716</v>
      </c>
      <c r="E56" s="469" t="s">
        <v>1333</v>
      </c>
      <c r="F56" s="711"/>
      <c r="G56" s="502">
        <f t="shared" si="4"/>
        <v>19343530</v>
      </c>
      <c r="H56" s="502">
        <f>'d3'!E57</f>
        <v>19343530</v>
      </c>
      <c r="I56" s="502">
        <f>'d3'!J57</f>
        <v>0</v>
      </c>
      <c r="J56" s="502">
        <f>'d3'!K57</f>
        <v>0</v>
      </c>
      <c r="K56" s="640"/>
      <c r="L56" s="640"/>
      <c r="M56" s="640"/>
      <c r="N56" s="147"/>
      <c r="O56" s="147"/>
      <c r="P56" s="147"/>
      <c r="Q56" s="147"/>
    </row>
    <row r="57" spans="1:17" s="146" customFormat="1" ht="184.5" thickTop="1" thickBot="1" x14ac:dyDescent="0.25">
      <c r="A57" s="499" t="s">
        <v>720</v>
      </c>
      <c r="B57" s="499" t="s">
        <v>721</v>
      </c>
      <c r="C57" s="499" t="s">
        <v>223</v>
      </c>
      <c r="D57" s="499" t="s">
        <v>526</v>
      </c>
      <c r="E57" s="469" t="s">
        <v>1333</v>
      </c>
      <c r="F57" s="711"/>
      <c r="G57" s="502">
        <f t="shared" ref="G57" si="6">H57+I57</f>
        <v>31620765</v>
      </c>
      <c r="H57" s="502">
        <f>'d3'!E59</f>
        <v>30284875</v>
      </c>
      <c r="I57" s="502">
        <f>'d3'!J59</f>
        <v>1335890</v>
      </c>
      <c r="J57" s="502">
        <f>'d3'!K59</f>
        <v>960000</v>
      </c>
      <c r="K57" s="640"/>
      <c r="L57" s="640"/>
      <c r="M57" s="640"/>
      <c r="N57" s="147"/>
      <c r="O57" s="147"/>
      <c r="P57" s="147"/>
      <c r="Q57" s="147"/>
    </row>
    <row r="58" spans="1:17" s="146" customFormat="1" ht="184.5" thickTop="1" thickBot="1" x14ac:dyDescent="0.25">
      <c r="A58" s="499" t="s">
        <v>722</v>
      </c>
      <c r="B58" s="499" t="s">
        <v>723</v>
      </c>
      <c r="C58" s="499" t="s">
        <v>223</v>
      </c>
      <c r="D58" s="499" t="s">
        <v>353</v>
      </c>
      <c r="E58" s="469" t="s">
        <v>1333</v>
      </c>
      <c r="F58" s="711"/>
      <c r="G58" s="502">
        <f>H58+I58</f>
        <v>218010</v>
      </c>
      <c r="H58" s="502">
        <f>'d3'!E60-H59</f>
        <v>218010</v>
      </c>
      <c r="I58" s="502">
        <f>'d3'!J60-I59</f>
        <v>0</v>
      </c>
      <c r="J58" s="502">
        <f>'d3'!K60-J59</f>
        <v>0</v>
      </c>
      <c r="K58" s="746" t="b">
        <f>H58+H59='d3'!E60</f>
        <v>1</v>
      </c>
      <c r="L58" s="747" t="b">
        <f>I58+I59='d3'!J60</f>
        <v>1</v>
      </c>
      <c r="M58" s="747" t="b">
        <f>J58+J59='d3'!K60</f>
        <v>1</v>
      </c>
      <c r="N58" s="147"/>
      <c r="O58" s="147"/>
      <c r="P58" s="147"/>
      <c r="Q58" s="147"/>
    </row>
    <row r="59" spans="1:17" s="146" customFormat="1" ht="230.25" hidden="1" thickTop="1" thickBot="1" x14ac:dyDescent="0.25">
      <c r="A59" s="261" t="s">
        <v>722</v>
      </c>
      <c r="B59" s="261" t="s">
        <v>723</v>
      </c>
      <c r="C59" s="261" t="s">
        <v>223</v>
      </c>
      <c r="D59" s="261" t="s">
        <v>353</v>
      </c>
      <c r="E59" s="360" t="s">
        <v>618</v>
      </c>
      <c r="F59" s="333" t="s">
        <v>426</v>
      </c>
      <c r="G59" s="333">
        <f>H59+I59</f>
        <v>0</v>
      </c>
      <c r="H59" s="333"/>
      <c r="I59" s="333"/>
      <c r="J59" s="333"/>
      <c r="K59" s="743" t="s">
        <v>597</v>
      </c>
      <c r="L59" s="640"/>
      <c r="M59" s="640"/>
      <c r="N59" s="147"/>
      <c r="O59" s="147"/>
      <c r="P59" s="147"/>
      <c r="Q59" s="147"/>
    </row>
    <row r="60" spans="1:17" s="146" customFormat="1" ht="184.5" thickTop="1" thickBot="1" x14ac:dyDescent="0.25">
      <c r="A60" s="499" t="s">
        <v>726</v>
      </c>
      <c r="B60" s="499" t="s">
        <v>727</v>
      </c>
      <c r="C60" s="499" t="s">
        <v>223</v>
      </c>
      <c r="D60" s="499" t="s">
        <v>728</v>
      </c>
      <c r="E60" s="469" t="s">
        <v>1333</v>
      </c>
      <c r="F60" s="711"/>
      <c r="G60" s="502">
        <f t="shared" ref="G60:G61" si="7">H60+I60</f>
        <v>1120505</v>
      </c>
      <c r="H60" s="502">
        <f>'d3'!E62</f>
        <v>1120505</v>
      </c>
      <c r="I60" s="502">
        <f>'d3'!J62</f>
        <v>0</v>
      </c>
      <c r="J60" s="502">
        <f>'d3'!K62</f>
        <v>0</v>
      </c>
      <c r="K60" s="640"/>
      <c r="L60" s="640"/>
      <c r="M60" s="640"/>
      <c r="N60" s="147"/>
      <c r="O60" s="147"/>
      <c r="P60" s="147"/>
      <c r="Q60" s="147"/>
    </row>
    <row r="61" spans="1:17" s="146" customFormat="1" ht="184.5" thickTop="1" thickBot="1" x14ac:dyDescent="0.25">
      <c r="A61" s="709" t="s">
        <v>729</v>
      </c>
      <c r="B61" s="709" t="s">
        <v>730</v>
      </c>
      <c r="C61" s="709" t="s">
        <v>223</v>
      </c>
      <c r="D61" s="709" t="s">
        <v>731</v>
      </c>
      <c r="E61" s="469" t="s">
        <v>1333</v>
      </c>
      <c r="F61" s="711"/>
      <c r="G61" s="711">
        <f t="shared" si="7"/>
        <v>5189600</v>
      </c>
      <c r="H61" s="711">
        <f>'d3'!E63</f>
        <v>5189600</v>
      </c>
      <c r="I61" s="711">
        <f>'d3'!J63</f>
        <v>0</v>
      </c>
      <c r="J61" s="711">
        <f>'d3'!K63</f>
        <v>0</v>
      </c>
      <c r="K61" s="640"/>
      <c r="L61" s="640"/>
      <c r="M61" s="640"/>
      <c r="N61" s="147"/>
      <c r="O61" s="147"/>
      <c r="P61" s="147"/>
      <c r="Q61" s="147"/>
    </row>
    <row r="62" spans="1:17" s="142" customFormat="1" ht="184.5" thickTop="1" thickBot="1" x14ac:dyDescent="0.25">
      <c r="A62" s="499" t="s">
        <v>696</v>
      </c>
      <c r="B62" s="499" t="s">
        <v>697</v>
      </c>
      <c r="C62" s="499" t="s">
        <v>223</v>
      </c>
      <c r="D62" s="499" t="s">
        <v>698</v>
      </c>
      <c r="E62" s="469" t="s">
        <v>1333</v>
      </c>
      <c r="F62" s="711"/>
      <c r="G62" s="502">
        <f t="shared" ref="G62:G63" si="8">H62+I62</f>
        <v>3056165</v>
      </c>
      <c r="H62" s="502">
        <f>'d3'!E64</f>
        <v>3056165</v>
      </c>
      <c r="I62" s="502">
        <f>'d3'!J64</f>
        <v>0</v>
      </c>
      <c r="J62" s="502">
        <f>'d3'!K64</f>
        <v>0</v>
      </c>
      <c r="K62" s="640"/>
      <c r="L62" s="640"/>
      <c r="M62" s="640"/>
      <c r="N62" s="143"/>
      <c r="O62" s="143"/>
      <c r="P62" s="143"/>
      <c r="Q62" s="143"/>
    </row>
    <row r="63" spans="1:17" s="58" customFormat="1" ht="367.5" hidden="1" thickTop="1" thickBot="1" x14ac:dyDescent="0.25">
      <c r="A63" s="261" t="s">
        <v>704</v>
      </c>
      <c r="B63" s="261" t="s">
        <v>705</v>
      </c>
      <c r="C63" s="261" t="s">
        <v>223</v>
      </c>
      <c r="D63" s="261" t="s">
        <v>706</v>
      </c>
      <c r="E63" s="360" t="s">
        <v>617</v>
      </c>
      <c r="F63" s="333" t="s">
        <v>430</v>
      </c>
      <c r="G63" s="333">
        <f t="shared" si="8"/>
        <v>0</v>
      </c>
      <c r="H63" s="333">
        <f>'d3'!E66</f>
        <v>0</v>
      </c>
      <c r="I63" s="333">
        <f>'d3'!J66</f>
        <v>0</v>
      </c>
      <c r="J63" s="333">
        <f>'d3'!K66</f>
        <v>0</v>
      </c>
      <c r="K63" s="640"/>
      <c r="L63" s="640"/>
      <c r="M63" s="640"/>
      <c r="N63" s="148"/>
      <c r="O63" s="148"/>
      <c r="P63" s="148"/>
      <c r="Q63" s="148"/>
    </row>
    <row r="64" spans="1:17" s="58" customFormat="1" ht="321.75" hidden="1" thickTop="1" thickBot="1" x14ac:dyDescent="0.25">
      <c r="A64" s="261" t="s">
        <v>1075</v>
      </c>
      <c r="B64" s="261" t="s">
        <v>1076</v>
      </c>
      <c r="C64" s="261" t="s">
        <v>223</v>
      </c>
      <c r="D64" s="261" t="s">
        <v>1077</v>
      </c>
      <c r="E64" s="360" t="s">
        <v>617</v>
      </c>
      <c r="F64" s="333" t="s">
        <v>430</v>
      </c>
      <c r="G64" s="333">
        <f t="shared" ref="G64" si="9">H64+I64</f>
        <v>0</v>
      </c>
      <c r="H64" s="333">
        <f>'d3'!E67</f>
        <v>0</v>
      </c>
      <c r="I64" s="333">
        <f>'d3'!J67</f>
        <v>0</v>
      </c>
      <c r="J64" s="333">
        <f>'d3'!K67</f>
        <v>0</v>
      </c>
      <c r="K64" s="640"/>
      <c r="L64" s="640"/>
      <c r="M64" s="640"/>
      <c r="N64" s="198"/>
      <c r="O64" s="198"/>
      <c r="P64" s="198"/>
      <c r="Q64" s="198"/>
    </row>
    <row r="65" spans="1:17" s="58" customFormat="1" ht="409.6" hidden="1" thickTop="1" thickBot="1" x14ac:dyDescent="0.25">
      <c r="A65" s="261" t="s">
        <v>1097</v>
      </c>
      <c r="B65" s="261" t="s">
        <v>1099</v>
      </c>
      <c r="C65" s="261" t="s">
        <v>223</v>
      </c>
      <c r="D65" s="261" t="s">
        <v>1101</v>
      </c>
      <c r="E65" s="360" t="s">
        <v>617</v>
      </c>
      <c r="F65" s="333" t="s">
        <v>430</v>
      </c>
      <c r="G65" s="333">
        <f>H65+I65</f>
        <v>0</v>
      </c>
      <c r="H65" s="333">
        <f>'d3'!E69</f>
        <v>0</v>
      </c>
      <c r="I65" s="333">
        <f>'d3'!J69</f>
        <v>0</v>
      </c>
      <c r="J65" s="333">
        <f>'d3'!K69</f>
        <v>0</v>
      </c>
      <c r="K65" s="640"/>
      <c r="L65" s="640"/>
      <c r="M65" s="640"/>
      <c r="N65" s="200"/>
      <c r="O65" s="200"/>
      <c r="P65" s="200"/>
      <c r="Q65" s="200"/>
    </row>
    <row r="66" spans="1:17" s="58" customFormat="1" ht="409.6" hidden="1" customHeight="1" thickTop="1" x14ac:dyDescent="0.2">
      <c r="A66" s="817" t="s">
        <v>1117</v>
      </c>
      <c r="B66" s="817" t="s">
        <v>1118</v>
      </c>
      <c r="C66" s="817" t="s">
        <v>223</v>
      </c>
      <c r="D66" s="817" t="s">
        <v>1119</v>
      </c>
      <c r="E66" s="817" t="s">
        <v>617</v>
      </c>
      <c r="F66" s="817" t="s">
        <v>430</v>
      </c>
      <c r="G66" s="911">
        <f>H66+I66</f>
        <v>0</v>
      </c>
      <c r="H66" s="911">
        <f>'d3'!E70</f>
        <v>0</v>
      </c>
      <c r="I66" s="911">
        <f>'d3'!J70</f>
        <v>0</v>
      </c>
      <c r="J66" s="911">
        <f>'d3'!K70</f>
        <v>0</v>
      </c>
      <c r="K66" s="640"/>
      <c r="L66" s="640"/>
      <c r="M66" s="640"/>
      <c r="N66" s="202"/>
      <c r="O66" s="202"/>
      <c r="P66" s="202"/>
      <c r="Q66" s="202"/>
    </row>
    <row r="67" spans="1:17" s="58" customFormat="1" ht="122.25" hidden="1" customHeight="1" thickBot="1" x14ac:dyDescent="0.25">
      <c r="A67" s="801"/>
      <c r="B67" s="801"/>
      <c r="C67" s="801"/>
      <c r="D67" s="801"/>
      <c r="E67" s="801"/>
      <c r="F67" s="801"/>
      <c r="G67" s="801"/>
      <c r="H67" s="801"/>
      <c r="I67" s="801">
        <f>'d3'!J71</f>
        <v>0</v>
      </c>
      <c r="J67" s="801">
        <f>'d3'!K71</f>
        <v>0</v>
      </c>
      <c r="K67" s="640"/>
      <c r="L67" s="640"/>
      <c r="M67" s="640"/>
      <c r="N67" s="202"/>
      <c r="O67" s="202"/>
      <c r="P67" s="202"/>
      <c r="Q67" s="202"/>
    </row>
    <row r="68" spans="1:17" s="142" customFormat="1" ht="321.75" hidden="1" thickTop="1" thickBot="1" x14ac:dyDescent="0.25">
      <c r="A68" s="261" t="s">
        <v>693</v>
      </c>
      <c r="B68" s="261" t="s">
        <v>694</v>
      </c>
      <c r="C68" s="261" t="s">
        <v>223</v>
      </c>
      <c r="D68" s="261" t="s">
        <v>695</v>
      </c>
      <c r="E68" s="360" t="s">
        <v>617</v>
      </c>
      <c r="F68" s="333" t="s">
        <v>430</v>
      </c>
      <c r="G68" s="333">
        <f t="shared" ref="G68:G75" si="10">H68+I68</f>
        <v>0</v>
      </c>
      <c r="H68" s="333">
        <f>'d3'!E72</f>
        <v>0</v>
      </c>
      <c r="I68" s="333">
        <f>'d3'!J72</f>
        <v>0</v>
      </c>
      <c r="J68" s="333">
        <f>'d3'!K72</f>
        <v>0</v>
      </c>
      <c r="K68" s="640"/>
      <c r="L68" s="640"/>
      <c r="M68" s="640"/>
      <c r="N68" s="143"/>
      <c r="O68" s="143"/>
      <c r="P68" s="143"/>
      <c r="Q68" s="143"/>
    </row>
    <row r="69" spans="1:17" s="180" customFormat="1" ht="321.75" hidden="1" thickTop="1" thickBot="1" x14ac:dyDescent="0.25">
      <c r="A69" s="261" t="s">
        <v>1014</v>
      </c>
      <c r="B69" s="261" t="s">
        <v>1015</v>
      </c>
      <c r="C69" s="261" t="s">
        <v>223</v>
      </c>
      <c r="D69" s="261" t="s">
        <v>1016</v>
      </c>
      <c r="E69" s="360" t="s">
        <v>617</v>
      </c>
      <c r="F69" s="333" t="s">
        <v>430</v>
      </c>
      <c r="G69" s="333">
        <f t="shared" si="10"/>
        <v>0</v>
      </c>
      <c r="H69" s="333">
        <f>'d3'!E73</f>
        <v>0</v>
      </c>
      <c r="I69" s="333">
        <f>'d3'!J73</f>
        <v>0</v>
      </c>
      <c r="J69" s="333">
        <f>'d3'!K73</f>
        <v>0</v>
      </c>
      <c r="K69" s="640"/>
      <c r="L69" s="640"/>
      <c r="M69" s="640"/>
      <c r="N69" s="181"/>
      <c r="O69" s="181"/>
      <c r="P69" s="181"/>
      <c r="Q69" s="181"/>
    </row>
    <row r="70" spans="1:17" s="199" customFormat="1" ht="367.5" hidden="1" thickTop="1" thickBot="1" x14ac:dyDescent="0.25">
      <c r="A70" s="261" t="s">
        <v>1103</v>
      </c>
      <c r="B70" s="261" t="s">
        <v>1105</v>
      </c>
      <c r="C70" s="261" t="s">
        <v>223</v>
      </c>
      <c r="D70" s="261" t="s">
        <v>1107</v>
      </c>
      <c r="E70" s="360" t="s">
        <v>617</v>
      </c>
      <c r="F70" s="333" t="s">
        <v>430</v>
      </c>
      <c r="G70" s="333">
        <f t="shared" si="10"/>
        <v>0</v>
      </c>
      <c r="H70" s="333">
        <f>'d3'!E77</f>
        <v>0</v>
      </c>
      <c r="I70" s="333">
        <f>'d3'!J77</f>
        <v>0</v>
      </c>
      <c r="J70" s="333">
        <f>'d3'!K77</f>
        <v>0</v>
      </c>
      <c r="K70" s="640"/>
      <c r="L70" s="640"/>
      <c r="M70" s="640"/>
      <c r="N70" s="200"/>
      <c r="O70" s="200"/>
      <c r="P70" s="200"/>
      <c r="Q70" s="200"/>
    </row>
    <row r="71" spans="1:17" s="216" customFormat="1" ht="321.75" hidden="1" thickTop="1" thickBot="1" x14ac:dyDescent="0.25">
      <c r="A71" s="261" t="s">
        <v>1160</v>
      </c>
      <c r="B71" s="261" t="s">
        <v>1161</v>
      </c>
      <c r="C71" s="261" t="s">
        <v>223</v>
      </c>
      <c r="D71" s="261" t="s">
        <v>1159</v>
      </c>
      <c r="E71" s="360" t="s">
        <v>617</v>
      </c>
      <c r="F71" s="333" t="s">
        <v>430</v>
      </c>
      <c r="G71" s="333">
        <f t="shared" si="10"/>
        <v>0</v>
      </c>
      <c r="H71" s="333">
        <f>'d3'!E78</f>
        <v>0</v>
      </c>
      <c r="I71" s="333">
        <f>'d3'!J78</f>
        <v>0</v>
      </c>
      <c r="J71" s="333">
        <f>'d3'!K78</f>
        <v>0</v>
      </c>
      <c r="K71" s="640"/>
      <c r="L71" s="640"/>
      <c r="M71" s="640"/>
      <c r="N71" s="217"/>
      <c r="O71" s="217"/>
      <c r="P71" s="217"/>
      <c r="Q71" s="217"/>
    </row>
    <row r="72" spans="1:17" ht="367.5" hidden="1" thickTop="1" thickBot="1" x14ac:dyDescent="0.25">
      <c r="A72" s="261" t="s">
        <v>450</v>
      </c>
      <c r="B72" s="261" t="s">
        <v>451</v>
      </c>
      <c r="C72" s="261" t="s">
        <v>198</v>
      </c>
      <c r="D72" s="261" t="s">
        <v>449</v>
      </c>
      <c r="E72" s="360" t="s">
        <v>618</v>
      </c>
      <c r="F72" s="333" t="s">
        <v>426</v>
      </c>
      <c r="G72" s="333">
        <f t="shared" si="10"/>
        <v>0</v>
      </c>
      <c r="H72" s="333">
        <f>'d3'!E75</f>
        <v>0</v>
      </c>
      <c r="I72" s="333">
        <f>'d3'!J75</f>
        <v>0</v>
      </c>
      <c r="J72" s="333">
        <f>'d3'!K75</f>
        <v>0</v>
      </c>
      <c r="K72" s="640"/>
      <c r="L72" s="640"/>
      <c r="M72" s="640"/>
    </row>
    <row r="73" spans="1:17" s="220" customFormat="1" ht="184.5" thickTop="1" thickBot="1" x14ac:dyDescent="0.25">
      <c r="A73" s="499" t="s">
        <v>1228</v>
      </c>
      <c r="B73" s="499" t="s">
        <v>325</v>
      </c>
      <c r="C73" s="499" t="s">
        <v>318</v>
      </c>
      <c r="D73" s="499" t="s">
        <v>671</v>
      </c>
      <c r="E73" s="469" t="s">
        <v>1333</v>
      </c>
      <c r="F73" s="711"/>
      <c r="G73" s="502">
        <f t="shared" si="10"/>
        <v>3068000</v>
      </c>
      <c r="H73" s="502">
        <f>'d3'!E82</f>
        <v>0</v>
      </c>
      <c r="I73" s="502">
        <f>'d3'!J82</f>
        <v>3068000</v>
      </c>
      <c r="J73" s="502">
        <f>'d3'!K82</f>
        <v>3068000</v>
      </c>
      <c r="K73" s="640"/>
      <c r="L73" s="640"/>
      <c r="M73" s="640"/>
      <c r="N73" s="221"/>
      <c r="O73" s="221"/>
      <c r="P73" s="221"/>
      <c r="Q73" s="221"/>
    </row>
    <row r="74" spans="1:17" s="220" customFormat="1" ht="184.5" thickTop="1" thickBot="1" x14ac:dyDescent="0.25">
      <c r="A74" s="499" t="s">
        <v>1218</v>
      </c>
      <c r="B74" s="499" t="s">
        <v>225</v>
      </c>
      <c r="C74" s="499" t="s">
        <v>226</v>
      </c>
      <c r="D74" s="499" t="s">
        <v>43</v>
      </c>
      <c r="E74" s="469" t="s">
        <v>1333</v>
      </c>
      <c r="F74" s="711"/>
      <c r="G74" s="502">
        <f t="shared" si="10"/>
        <v>50830000</v>
      </c>
      <c r="H74" s="502">
        <f>'d3'!E84</f>
        <v>0</v>
      </c>
      <c r="I74" s="502">
        <f>'d3'!J84</f>
        <v>50830000</v>
      </c>
      <c r="J74" s="502">
        <f>'d3'!K84</f>
        <v>50830000</v>
      </c>
      <c r="K74" s="640"/>
      <c r="L74" s="640"/>
      <c r="M74" s="640"/>
      <c r="N74" s="221"/>
      <c r="O74" s="221"/>
      <c r="P74" s="221"/>
      <c r="Q74" s="221"/>
    </row>
    <row r="75" spans="1:17" s="211" customFormat="1" ht="230.25" hidden="1" thickTop="1" thickBot="1" x14ac:dyDescent="0.25">
      <c r="A75" s="261" t="s">
        <v>1133</v>
      </c>
      <c r="B75" s="261" t="s">
        <v>380</v>
      </c>
      <c r="C75" s="261" t="s">
        <v>45</v>
      </c>
      <c r="D75" s="261" t="s">
        <v>381</v>
      </c>
      <c r="E75" s="360" t="s">
        <v>617</v>
      </c>
      <c r="F75" s="333" t="s">
        <v>430</v>
      </c>
      <c r="G75" s="333">
        <f t="shared" si="10"/>
        <v>0</v>
      </c>
      <c r="H75" s="333">
        <f>'d3'!E87</f>
        <v>0</v>
      </c>
      <c r="I75" s="333">
        <f>'d3'!J87</f>
        <v>0</v>
      </c>
      <c r="J75" s="333">
        <f>'d3'!K87</f>
        <v>0</v>
      </c>
      <c r="K75" s="640"/>
      <c r="L75" s="640"/>
      <c r="M75" s="640"/>
      <c r="N75" s="212"/>
      <c r="O75" s="212"/>
      <c r="P75" s="212"/>
      <c r="Q75" s="212"/>
    </row>
    <row r="76" spans="1:17" ht="136.5" thickTop="1" thickBot="1" x14ac:dyDescent="0.25">
      <c r="A76" s="450" t="s">
        <v>163</v>
      </c>
      <c r="B76" s="450"/>
      <c r="C76" s="450"/>
      <c r="D76" s="451" t="s">
        <v>18</v>
      </c>
      <c r="E76" s="450"/>
      <c r="F76" s="450"/>
      <c r="G76" s="453">
        <f>G77</f>
        <v>90977170</v>
      </c>
      <c r="H76" s="453">
        <f t="shared" ref="H76:J76" si="11">H77</f>
        <v>83138470</v>
      </c>
      <c r="I76" s="453">
        <f t="shared" si="11"/>
        <v>7838700</v>
      </c>
      <c r="J76" s="453">
        <f t="shared" si="11"/>
        <v>7838700</v>
      </c>
      <c r="K76" s="739" t="b">
        <f>H76='d3'!E88-'d3'!F91</f>
        <v>1</v>
      </c>
      <c r="L76" s="742" t="b">
        <f>I76='d3'!J88-'d3'!J91</f>
        <v>1</v>
      </c>
      <c r="M76" s="742" t="b">
        <f>J76='d3'!K88-'d3'!K91</f>
        <v>1</v>
      </c>
    </row>
    <row r="77" spans="1:17" ht="172.5" customHeight="1" thickTop="1" thickBot="1" x14ac:dyDescent="0.25">
      <c r="A77" s="454" t="s">
        <v>164</v>
      </c>
      <c r="B77" s="454"/>
      <c r="C77" s="454"/>
      <c r="D77" s="455" t="s">
        <v>38</v>
      </c>
      <c r="E77" s="456"/>
      <c r="F77" s="456"/>
      <c r="G77" s="456">
        <f>SUM(G78:G92)</f>
        <v>90977170</v>
      </c>
      <c r="H77" s="456">
        <f>SUM(H78:H92)</f>
        <v>83138470</v>
      </c>
      <c r="I77" s="456">
        <f>SUM(I78:I92)</f>
        <v>7838700</v>
      </c>
      <c r="J77" s="456">
        <f>SUM(J78:J92)</f>
        <v>7838700</v>
      </c>
      <c r="K77" s="640"/>
      <c r="L77" s="640"/>
      <c r="M77" s="640"/>
    </row>
    <row r="78" spans="1:17" ht="409.6" thickTop="1" thickBot="1" x14ac:dyDescent="0.25">
      <c r="A78" s="226" t="s">
        <v>227</v>
      </c>
      <c r="B78" s="226" t="s">
        <v>224</v>
      </c>
      <c r="C78" s="226" t="s">
        <v>228</v>
      </c>
      <c r="D78" s="226" t="s">
        <v>19</v>
      </c>
      <c r="E78" s="522" t="s">
        <v>927</v>
      </c>
      <c r="F78" s="468" t="s">
        <v>928</v>
      </c>
      <c r="G78" s="523">
        <f>H78+I78</f>
        <v>31791305</v>
      </c>
      <c r="H78" s="523">
        <f>'d3'!E93</f>
        <v>25352605</v>
      </c>
      <c r="I78" s="523">
        <f>'d3'!J93</f>
        <v>6438700</v>
      </c>
      <c r="J78" s="523">
        <f>'d3'!K93</f>
        <v>6438700</v>
      </c>
      <c r="K78" s="640"/>
      <c r="L78" s="640"/>
      <c r="M78" s="640"/>
    </row>
    <row r="79" spans="1:17" ht="409.6" thickTop="1" thickBot="1" x14ac:dyDescent="0.25">
      <c r="A79" s="226" t="s">
        <v>530</v>
      </c>
      <c r="B79" s="226" t="s">
        <v>533</v>
      </c>
      <c r="C79" s="226" t="s">
        <v>532</v>
      </c>
      <c r="D79" s="226" t="s">
        <v>531</v>
      </c>
      <c r="E79" s="522" t="s">
        <v>927</v>
      </c>
      <c r="F79" s="468" t="s">
        <v>928</v>
      </c>
      <c r="G79" s="523">
        <f>H79+I79</f>
        <v>9691450</v>
      </c>
      <c r="H79" s="523">
        <f>'d3'!E94</f>
        <v>8991450</v>
      </c>
      <c r="I79" s="523">
        <f>'d3'!J94</f>
        <v>700000</v>
      </c>
      <c r="J79" s="523">
        <f>'d3'!K94</f>
        <v>700000</v>
      </c>
      <c r="K79" s="640"/>
      <c r="L79" s="640"/>
      <c r="M79" s="640"/>
    </row>
    <row r="80" spans="1:17" ht="409.6" thickTop="1" thickBot="1" x14ac:dyDescent="0.25">
      <c r="A80" s="226" t="s">
        <v>229</v>
      </c>
      <c r="B80" s="226" t="s">
        <v>230</v>
      </c>
      <c r="C80" s="226" t="s">
        <v>231</v>
      </c>
      <c r="D80" s="226" t="s">
        <v>232</v>
      </c>
      <c r="E80" s="522" t="s">
        <v>927</v>
      </c>
      <c r="F80" s="468" t="s">
        <v>928</v>
      </c>
      <c r="G80" s="523">
        <f t="shared" ref="G80:G86" si="12">H80+I80</f>
        <v>8854950</v>
      </c>
      <c r="H80" s="523">
        <f>'d3'!E95</f>
        <v>8354950</v>
      </c>
      <c r="I80" s="523">
        <f>'d3'!J95</f>
        <v>500000</v>
      </c>
      <c r="J80" s="523">
        <f>'d3'!K95</f>
        <v>500000</v>
      </c>
      <c r="K80" s="640"/>
      <c r="L80" s="640"/>
      <c r="M80" s="640"/>
    </row>
    <row r="81" spans="1:17" ht="409.6" thickTop="1" thickBot="1" x14ac:dyDescent="0.25">
      <c r="A81" s="226" t="s">
        <v>233</v>
      </c>
      <c r="B81" s="226" t="s">
        <v>234</v>
      </c>
      <c r="C81" s="226" t="s">
        <v>235</v>
      </c>
      <c r="D81" s="226" t="s">
        <v>362</v>
      </c>
      <c r="E81" s="522" t="s">
        <v>927</v>
      </c>
      <c r="F81" s="468" t="s">
        <v>928</v>
      </c>
      <c r="G81" s="523">
        <f t="shared" si="12"/>
        <v>11569670</v>
      </c>
      <c r="H81" s="523">
        <f>'d3'!E96</f>
        <v>11569670</v>
      </c>
      <c r="I81" s="523">
        <f>'d3'!J96</f>
        <v>0</v>
      </c>
      <c r="J81" s="523">
        <f>'d3'!K96</f>
        <v>0</v>
      </c>
      <c r="K81" s="640"/>
      <c r="L81" s="640"/>
      <c r="M81" s="640"/>
    </row>
    <row r="82" spans="1:17" ht="409.6" customHeight="1" thickTop="1" thickBot="1" x14ac:dyDescent="0.25">
      <c r="A82" s="226" t="s">
        <v>236</v>
      </c>
      <c r="B82" s="226" t="s">
        <v>237</v>
      </c>
      <c r="C82" s="226" t="s">
        <v>238</v>
      </c>
      <c r="D82" s="226" t="s">
        <v>239</v>
      </c>
      <c r="E82" s="522" t="s">
        <v>927</v>
      </c>
      <c r="F82" s="468" t="s">
        <v>928</v>
      </c>
      <c r="G82" s="523">
        <f t="shared" si="12"/>
        <v>6468700</v>
      </c>
      <c r="H82" s="523">
        <f>'d3'!E97-H83</f>
        <v>6268700</v>
      </c>
      <c r="I82" s="523">
        <f>'d3'!J97-I83</f>
        <v>200000</v>
      </c>
      <c r="J82" s="523">
        <f>'d3'!K97-J83</f>
        <v>200000</v>
      </c>
      <c r="K82" s="640"/>
      <c r="L82" s="640"/>
      <c r="M82" s="640"/>
    </row>
    <row r="83" spans="1:17" ht="184.5" thickTop="1" thickBot="1" x14ac:dyDescent="0.25">
      <c r="A83" s="226" t="s">
        <v>236</v>
      </c>
      <c r="B83" s="226" t="s">
        <v>237</v>
      </c>
      <c r="C83" s="226" t="s">
        <v>238</v>
      </c>
      <c r="D83" s="226" t="s">
        <v>239</v>
      </c>
      <c r="E83" s="469" t="s">
        <v>923</v>
      </c>
      <c r="F83" s="468" t="s">
        <v>924</v>
      </c>
      <c r="G83" s="468">
        <f t="shared" si="12"/>
        <v>1287600</v>
      </c>
      <c r="H83" s="468">
        <v>1287600</v>
      </c>
      <c r="I83" s="468"/>
      <c r="J83" s="468"/>
      <c r="K83" s="640"/>
      <c r="L83" s="640"/>
      <c r="M83" s="640"/>
    </row>
    <row r="84" spans="1:17" ht="409.6" thickTop="1" thickBot="1" x14ac:dyDescent="0.25">
      <c r="A84" s="226" t="s">
        <v>240</v>
      </c>
      <c r="B84" s="226" t="s">
        <v>241</v>
      </c>
      <c r="C84" s="226" t="s">
        <v>363</v>
      </c>
      <c r="D84" s="226" t="s">
        <v>242</v>
      </c>
      <c r="E84" s="522" t="s">
        <v>927</v>
      </c>
      <c r="F84" s="468" t="s">
        <v>928</v>
      </c>
      <c r="G84" s="523">
        <f t="shared" si="12"/>
        <v>14204885</v>
      </c>
      <c r="H84" s="523">
        <f>'d3'!E99</f>
        <v>14204885</v>
      </c>
      <c r="I84" s="523">
        <f>'d3'!J99</f>
        <v>0</v>
      </c>
      <c r="J84" s="523">
        <f>'d3'!K99</f>
        <v>0</v>
      </c>
      <c r="K84" s="640"/>
      <c r="L84" s="640"/>
      <c r="M84" s="640"/>
    </row>
    <row r="85" spans="1:17" ht="409.6" hidden="1" thickTop="1" thickBot="1" x14ac:dyDescent="0.25">
      <c r="A85" s="261" t="s">
        <v>500</v>
      </c>
      <c r="B85" s="261" t="s">
        <v>501</v>
      </c>
      <c r="C85" s="261" t="s">
        <v>243</v>
      </c>
      <c r="D85" s="261" t="s">
        <v>502</v>
      </c>
      <c r="E85" s="361" t="s">
        <v>927</v>
      </c>
      <c r="F85" s="333" t="s">
        <v>928</v>
      </c>
      <c r="G85" s="364">
        <f t="shared" si="12"/>
        <v>0</v>
      </c>
      <c r="H85" s="364">
        <f>'d3'!E101</f>
        <v>0</v>
      </c>
      <c r="I85" s="364">
        <f>'d3'!J101</f>
        <v>0</v>
      </c>
      <c r="J85" s="364">
        <f>'d3'!K101</f>
        <v>0</v>
      </c>
      <c r="K85" s="640"/>
      <c r="L85" s="640"/>
      <c r="M85" s="640"/>
    </row>
    <row r="86" spans="1:17" s="24" customFormat="1" ht="409.5" customHeight="1" thickTop="1" thickBot="1" x14ac:dyDescent="0.25">
      <c r="A86" s="226" t="s">
        <v>337</v>
      </c>
      <c r="B86" s="226" t="s">
        <v>339</v>
      </c>
      <c r="C86" s="226" t="s">
        <v>243</v>
      </c>
      <c r="D86" s="515" t="s">
        <v>335</v>
      </c>
      <c r="E86" s="522" t="s">
        <v>927</v>
      </c>
      <c r="F86" s="468" t="s">
        <v>928</v>
      </c>
      <c r="G86" s="523">
        <f t="shared" si="12"/>
        <v>3474610</v>
      </c>
      <c r="H86" s="523">
        <f>'d3'!E103</f>
        <v>3474610</v>
      </c>
      <c r="I86" s="523">
        <f>'d3'!J103</f>
        <v>0</v>
      </c>
      <c r="J86" s="523">
        <f>'d3'!K103</f>
        <v>0</v>
      </c>
      <c r="K86" s="639"/>
      <c r="L86" s="639"/>
      <c r="M86" s="639"/>
      <c r="N86" s="107"/>
      <c r="O86" s="107"/>
      <c r="P86" s="107"/>
      <c r="Q86" s="107"/>
    </row>
    <row r="87" spans="1:17" s="24" customFormat="1" ht="409.6" customHeight="1" thickTop="1" thickBot="1" x14ac:dyDescent="0.25">
      <c r="A87" s="226" t="s">
        <v>338</v>
      </c>
      <c r="B87" s="226" t="s">
        <v>340</v>
      </c>
      <c r="C87" s="226" t="s">
        <v>243</v>
      </c>
      <c r="D87" s="515" t="s">
        <v>336</v>
      </c>
      <c r="E87" s="522" t="s">
        <v>927</v>
      </c>
      <c r="F87" s="468" t="s">
        <v>928</v>
      </c>
      <c r="G87" s="523">
        <f>H87+I87</f>
        <v>3634000</v>
      </c>
      <c r="H87" s="523">
        <f>'d3'!E104</f>
        <v>3634000</v>
      </c>
      <c r="I87" s="523">
        <f>'d3'!J104</f>
        <v>0</v>
      </c>
      <c r="J87" s="523">
        <f>'d3'!K104</f>
        <v>0</v>
      </c>
      <c r="K87" s="639"/>
      <c r="L87" s="639"/>
      <c r="M87" s="639"/>
      <c r="N87" s="107"/>
      <c r="O87" s="107"/>
      <c r="P87" s="107"/>
      <c r="Q87" s="107"/>
    </row>
    <row r="88" spans="1:17" s="24" customFormat="1" ht="409.6" hidden="1" thickTop="1" thickBot="1" x14ac:dyDescent="0.25">
      <c r="A88" s="261" t="s">
        <v>1166</v>
      </c>
      <c r="B88" s="261" t="s">
        <v>1167</v>
      </c>
      <c r="C88" s="261" t="s">
        <v>179</v>
      </c>
      <c r="D88" s="261" t="s">
        <v>1168</v>
      </c>
      <c r="E88" s="361" t="s">
        <v>927</v>
      </c>
      <c r="F88" s="333" t="s">
        <v>928</v>
      </c>
      <c r="G88" s="362">
        <f>H88+I88</f>
        <v>0</v>
      </c>
      <c r="H88" s="362">
        <f>'d3'!E108</f>
        <v>0</v>
      </c>
      <c r="I88" s="362">
        <f>'d3'!J108</f>
        <v>0</v>
      </c>
      <c r="J88" s="362">
        <f>'d3'!K108</f>
        <v>0</v>
      </c>
      <c r="K88" s="639"/>
      <c r="L88" s="639"/>
      <c r="M88" s="639"/>
      <c r="N88" s="107"/>
      <c r="O88" s="107"/>
      <c r="P88" s="107"/>
      <c r="Q88" s="107"/>
    </row>
    <row r="89" spans="1:17" s="24" customFormat="1" ht="138.75" hidden="1" thickTop="1" thickBot="1" x14ac:dyDescent="0.25">
      <c r="A89" s="261" t="s">
        <v>455</v>
      </c>
      <c r="B89" s="261" t="s">
        <v>210</v>
      </c>
      <c r="C89" s="261" t="s">
        <v>179</v>
      </c>
      <c r="D89" s="261" t="s">
        <v>36</v>
      </c>
      <c r="E89" s="333" t="s">
        <v>456</v>
      </c>
      <c r="F89" s="333" t="s">
        <v>429</v>
      </c>
      <c r="G89" s="911">
        <f>H89+I89</f>
        <v>0</v>
      </c>
      <c r="H89" s="911">
        <v>0</v>
      </c>
      <c r="I89" s="911">
        <f>'d3'!J110-I91</f>
        <v>0</v>
      </c>
      <c r="J89" s="911">
        <f>'d3'!K110-J91</f>
        <v>0</v>
      </c>
      <c r="K89" s="639"/>
      <c r="L89" s="639"/>
      <c r="M89" s="639"/>
      <c r="N89" s="107"/>
      <c r="O89" s="107"/>
      <c r="P89" s="107"/>
      <c r="Q89" s="107"/>
    </row>
    <row r="90" spans="1:17" s="24" customFormat="1" ht="409.6" hidden="1" thickTop="1" thickBot="1" x14ac:dyDescent="0.25">
      <c r="A90" s="261" t="s">
        <v>455</v>
      </c>
      <c r="B90" s="261" t="s">
        <v>210</v>
      </c>
      <c r="C90" s="261" t="s">
        <v>179</v>
      </c>
      <c r="D90" s="261" t="s">
        <v>36</v>
      </c>
      <c r="E90" s="361" t="s">
        <v>927</v>
      </c>
      <c r="F90" s="333" t="s">
        <v>928</v>
      </c>
      <c r="G90" s="915"/>
      <c r="H90" s="915"/>
      <c r="I90" s="915"/>
      <c r="J90" s="915"/>
      <c r="K90" s="639"/>
      <c r="L90" s="639"/>
      <c r="M90" s="639"/>
      <c r="N90" s="107"/>
      <c r="O90" s="107"/>
      <c r="P90" s="107"/>
      <c r="Q90" s="107"/>
    </row>
    <row r="91" spans="1:17" s="24" customFormat="1" ht="230.25" hidden="1" thickTop="1" thickBot="1" x14ac:dyDescent="0.25">
      <c r="A91" s="261" t="s">
        <v>455</v>
      </c>
      <c r="B91" s="261" t="s">
        <v>210</v>
      </c>
      <c r="C91" s="261" t="s">
        <v>179</v>
      </c>
      <c r="D91" s="261" t="s">
        <v>36</v>
      </c>
      <c r="E91" s="360" t="s">
        <v>472</v>
      </c>
      <c r="F91" s="299" t="s">
        <v>473</v>
      </c>
      <c r="G91" s="333">
        <f>H91+I91</f>
        <v>0</v>
      </c>
      <c r="H91" s="333">
        <v>0</v>
      </c>
      <c r="I91" s="333"/>
      <c r="J91" s="333"/>
      <c r="K91" s="639"/>
      <c r="L91" s="639"/>
      <c r="M91" s="639"/>
      <c r="N91" s="107"/>
      <c r="O91" s="107"/>
      <c r="P91" s="107"/>
      <c r="Q91" s="107"/>
    </row>
    <row r="92" spans="1:17" s="24" customFormat="1" ht="138.75" hidden="1" thickTop="1" thickBot="1" x14ac:dyDescent="0.25">
      <c r="A92" s="290" t="s">
        <v>534</v>
      </c>
      <c r="B92" s="290" t="s">
        <v>380</v>
      </c>
      <c r="C92" s="290" t="s">
        <v>45</v>
      </c>
      <c r="D92" s="290" t="s">
        <v>381</v>
      </c>
      <c r="E92" s="363" t="s">
        <v>456</v>
      </c>
      <c r="F92" s="363" t="s">
        <v>429</v>
      </c>
      <c r="G92" s="363">
        <f>H92+I92</f>
        <v>0</v>
      </c>
      <c r="H92" s="363">
        <f>'d3'!F111</f>
        <v>0</v>
      </c>
      <c r="I92" s="363">
        <f>'d3'!J111</f>
        <v>0</v>
      </c>
      <c r="J92" s="363">
        <f>'d3'!K111</f>
        <v>0</v>
      </c>
      <c r="K92" s="639"/>
      <c r="L92" s="639"/>
      <c r="M92" s="639"/>
      <c r="N92" s="107"/>
      <c r="O92" s="107"/>
      <c r="P92" s="107"/>
      <c r="Q92" s="107"/>
    </row>
    <row r="93" spans="1:17" ht="241.5" customHeight="1" thickTop="1" thickBot="1" x14ac:dyDescent="0.25">
      <c r="A93" s="450" t="s">
        <v>165</v>
      </c>
      <c r="B93" s="450"/>
      <c r="C93" s="450"/>
      <c r="D93" s="451" t="s">
        <v>39</v>
      </c>
      <c r="E93" s="450"/>
      <c r="F93" s="450"/>
      <c r="G93" s="453">
        <f>G94</f>
        <v>167591785</v>
      </c>
      <c r="H93" s="453">
        <f t="shared" ref="H93:J93" si="13">H94</f>
        <v>148743981</v>
      </c>
      <c r="I93" s="453">
        <f t="shared" si="13"/>
        <v>18847804</v>
      </c>
      <c r="J93" s="453">
        <f t="shared" si="13"/>
        <v>11802100</v>
      </c>
      <c r="K93" s="739" t="b">
        <f>H93='d3'!E113-'d3'!E115+H95+H96</f>
        <v>1</v>
      </c>
      <c r="L93" s="742" t="b">
        <f>I93='d3'!J113-'d3'!J115-'d3'!J140+'d7'!I95+I96</f>
        <v>1</v>
      </c>
      <c r="M93" s="742" t="b">
        <f>J93='d3'!K113-'d3'!K115-'d3'!K140+'d7'!J95+J96</f>
        <v>1</v>
      </c>
    </row>
    <row r="94" spans="1:17" ht="226.5" thickTop="1" thickBot="1" x14ac:dyDescent="0.25">
      <c r="A94" s="454" t="s">
        <v>166</v>
      </c>
      <c r="B94" s="454"/>
      <c r="C94" s="454"/>
      <c r="D94" s="455" t="s">
        <v>40</v>
      </c>
      <c r="E94" s="456"/>
      <c r="F94" s="456"/>
      <c r="G94" s="456">
        <f>SUM(G95:G125)</f>
        <v>167591785</v>
      </c>
      <c r="H94" s="456">
        <f>SUM(H95:H125)</f>
        <v>148743981</v>
      </c>
      <c r="I94" s="456">
        <f>SUM(I95:I125)</f>
        <v>18847804</v>
      </c>
      <c r="J94" s="456">
        <f>SUM(J95:J125)</f>
        <v>11802100</v>
      </c>
      <c r="K94" s="640"/>
      <c r="L94" s="646"/>
      <c r="M94" s="640"/>
    </row>
    <row r="95" spans="1:17" ht="230.25" thickTop="1" thickBot="1" x14ac:dyDescent="0.25">
      <c r="A95" s="226" t="s">
        <v>434</v>
      </c>
      <c r="B95" s="226" t="s">
        <v>249</v>
      </c>
      <c r="C95" s="226" t="s">
        <v>247</v>
      </c>
      <c r="D95" s="226" t="s">
        <v>248</v>
      </c>
      <c r="E95" s="467" t="s">
        <v>1143</v>
      </c>
      <c r="F95" s="468" t="s">
        <v>910</v>
      </c>
      <c r="G95" s="468">
        <f t="shared" ref="G95:G123" si="14">H95+I95</f>
        <v>299300</v>
      </c>
      <c r="H95" s="468">
        <v>0</v>
      </c>
      <c r="I95" s="468">
        <v>299300</v>
      </c>
      <c r="J95" s="468">
        <v>299300</v>
      </c>
      <c r="K95" s="640"/>
      <c r="L95" s="646"/>
      <c r="M95" s="640"/>
    </row>
    <row r="96" spans="1:17" s="168" customFormat="1" ht="230.25" hidden="1" thickTop="1" thickBot="1" x14ac:dyDescent="0.25">
      <c r="A96" s="261" t="s">
        <v>434</v>
      </c>
      <c r="B96" s="261" t="s">
        <v>249</v>
      </c>
      <c r="C96" s="261" t="s">
        <v>247</v>
      </c>
      <c r="D96" s="261" t="s">
        <v>248</v>
      </c>
      <c r="E96" s="360" t="s">
        <v>618</v>
      </c>
      <c r="F96" s="333" t="s">
        <v>426</v>
      </c>
      <c r="G96" s="333">
        <f t="shared" si="14"/>
        <v>0</v>
      </c>
      <c r="H96" s="333"/>
      <c r="I96" s="333"/>
      <c r="J96" s="333"/>
      <c r="K96" s="640"/>
      <c r="L96" s="646"/>
      <c r="M96" s="640"/>
      <c r="N96" s="169"/>
      <c r="O96" s="169"/>
      <c r="P96" s="169"/>
      <c r="Q96" s="169"/>
    </row>
    <row r="97" spans="1:17" s="140" customFormat="1" ht="409.6" thickTop="1" thickBot="1" x14ac:dyDescent="0.25">
      <c r="A97" s="226" t="s">
        <v>676</v>
      </c>
      <c r="B97" s="226" t="s">
        <v>379</v>
      </c>
      <c r="C97" s="226" t="s">
        <v>668</v>
      </c>
      <c r="D97" s="226" t="s">
        <v>669</v>
      </c>
      <c r="E97" s="467" t="s">
        <v>1330</v>
      </c>
      <c r="F97" s="711"/>
      <c r="G97" s="468">
        <f t="shared" si="14"/>
        <v>50000</v>
      </c>
      <c r="H97" s="468">
        <f>'d3'!E116</f>
        <v>50000</v>
      </c>
      <c r="I97" s="468">
        <f>'d3'!J116</f>
        <v>0</v>
      </c>
      <c r="J97" s="468">
        <f>'d3'!K116</f>
        <v>0</v>
      </c>
      <c r="K97" s="640"/>
      <c r="L97" s="646"/>
      <c r="M97" s="640"/>
      <c r="N97" s="141"/>
      <c r="O97" s="141"/>
      <c r="P97" s="141"/>
      <c r="Q97" s="141"/>
    </row>
    <row r="98" spans="1:17" s="166" customFormat="1" ht="138.75" thickTop="1" thickBot="1" x14ac:dyDescent="0.25">
      <c r="A98" s="548" t="s">
        <v>984</v>
      </c>
      <c r="B98" s="548" t="s">
        <v>45</v>
      </c>
      <c r="C98" s="548" t="s">
        <v>44</v>
      </c>
      <c r="D98" s="548" t="s">
        <v>261</v>
      </c>
      <c r="E98" s="467" t="s">
        <v>1040</v>
      </c>
      <c r="F98" s="547" t="s">
        <v>1033</v>
      </c>
      <c r="G98" s="547">
        <f t="shared" si="14"/>
        <v>30000</v>
      </c>
      <c r="H98" s="547">
        <f>'d3'!E117</f>
        <v>30000</v>
      </c>
      <c r="I98" s="547">
        <f>'d3'!J117</f>
        <v>0</v>
      </c>
      <c r="J98" s="547">
        <f>'d3'!K117</f>
        <v>0</v>
      </c>
      <c r="K98" s="640"/>
      <c r="L98" s="646"/>
      <c r="M98" s="640"/>
      <c r="N98" s="167"/>
      <c r="O98" s="167"/>
      <c r="P98" s="167"/>
      <c r="Q98" s="167"/>
    </row>
    <row r="99" spans="1:17" s="24" customFormat="1" ht="184.5" thickTop="1" thickBot="1" x14ac:dyDescent="0.25">
      <c r="A99" s="549" t="s">
        <v>282</v>
      </c>
      <c r="B99" s="549" t="s">
        <v>283</v>
      </c>
      <c r="C99" s="549" t="s">
        <v>218</v>
      </c>
      <c r="D99" s="578" t="s">
        <v>284</v>
      </c>
      <c r="E99" s="469" t="s">
        <v>1320</v>
      </c>
      <c r="F99" s="547"/>
      <c r="G99" s="547">
        <f t="shared" si="14"/>
        <v>420000</v>
      </c>
      <c r="H99" s="547">
        <f>'d3'!E120</f>
        <v>270000</v>
      </c>
      <c r="I99" s="547">
        <f>'d3'!J120</f>
        <v>150000</v>
      </c>
      <c r="J99" s="547">
        <f>'d3'!K120</f>
        <v>150000</v>
      </c>
      <c r="K99" s="639"/>
      <c r="L99" s="639"/>
      <c r="M99" s="639"/>
      <c r="N99" s="107"/>
      <c r="O99" s="107"/>
      <c r="P99" s="107"/>
      <c r="Q99" s="107"/>
    </row>
    <row r="100" spans="1:17" s="24" customFormat="1" ht="184.5" thickTop="1" thickBot="1" x14ac:dyDescent="0.25">
      <c r="A100" s="549" t="s">
        <v>285</v>
      </c>
      <c r="B100" s="549" t="s">
        <v>286</v>
      </c>
      <c r="C100" s="549" t="s">
        <v>219</v>
      </c>
      <c r="D100" s="549" t="s">
        <v>6</v>
      </c>
      <c r="E100" s="469" t="s">
        <v>1320</v>
      </c>
      <c r="F100" s="547"/>
      <c r="G100" s="547">
        <f t="shared" si="14"/>
        <v>900000</v>
      </c>
      <c r="H100" s="547">
        <f>'d3'!E121</f>
        <v>900000</v>
      </c>
      <c r="I100" s="547">
        <f>'d3'!J121</f>
        <v>0</v>
      </c>
      <c r="J100" s="547">
        <f>'d3'!K121</f>
        <v>0</v>
      </c>
      <c r="K100" s="639"/>
      <c r="L100" s="639"/>
      <c r="M100" s="639"/>
      <c r="N100" s="107"/>
      <c r="O100" s="107"/>
      <c r="P100" s="107"/>
      <c r="Q100" s="107"/>
    </row>
    <row r="101" spans="1:17" s="24" customFormat="1" ht="184.5" thickTop="1" thickBot="1" x14ac:dyDescent="0.25">
      <c r="A101" s="549" t="s">
        <v>288</v>
      </c>
      <c r="B101" s="549" t="s">
        <v>289</v>
      </c>
      <c r="C101" s="549" t="s">
        <v>219</v>
      </c>
      <c r="D101" s="549" t="s">
        <v>7</v>
      </c>
      <c r="E101" s="469" t="s">
        <v>1320</v>
      </c>
      <c r="F101" s="547"/>
      <c r="G101" s="547">
        <f t="shared" si="14"/>
        <v>15600000</v>
      </c>
      <c r="H101" s="547">
        <f>'d3'!E122</f>
        <v>15600000</v>
      </c>
      <c r="I101" s="547">
        <f>'d3'!J122</f>
        <v>0</v>
      </c>
      <c r="J101" s="547">
        <f>'d3'!K122</f>
        <v>0</v>
      </c>
      <c r="K101" s="639"/>
      <c r="L101" s="639"/>
      <c r="M101" s="639"/>
      <c r="N101" s="107"/>
      <c r="O101" s="107"/>
      <c r="P101" s="107"/>
      <c r="Q101" s="107"/>
    </row>
    <row r="102" spans="1:17" s="24" customFormat="1" ht="184.5" thickTop="1" thickBot="1" x14ac:dyDescent="0.25">
      <c r="A102" s="549" t="s">
        <v>290</v>
      </c>
      <c r="B102" s="549" t="s">
        <v>287</v>
      </c>
      <c r="C102" s="549" t="s">
        <v>219</v>
      </c>
      <c r="D102" s="549" t="s">
        <v>8</v>
      </c>
      <c r="E102" s="469" t="s">
        <v>1320</v>
      </c>
      <c r="F102" s="547"/>
      <c r="G102" s="547">
        <f t="shared" si="14"/>
        <v>900000</v>
      </c>
      <c r="H102" s="547">
        <f>'d3'!E123</f>
        <v>900000</v>
      </c>
      <c r="I102" s="547">
        <f>'d3'!J123</f>
        <v>0</v>
      </c>
      <c r="J102" s="547">
        <f>'d3'!K123</f>
        <v>0</v>
      </c>
      <c r="K102" s="639"/>
      <c r="L102" s="639"/>
      <c r="M102" s="639"/>
      <c r="N102" s="107"/>
      <c r="O102" s="107"/>
      <c r="P102" s="107"/>
      <c r="Q102" s="107"/>
    </row>
    <row r="103" spans="1:17" s="24" customFormat="1" ht="184.5" thickTop="1" thickBot="1" x14ac:dyDescent="0.25">
      <c r="A103" s="549" t="s">
        <v>291</v>
      </c>
      <c r="B103" s="549" t="s">
        <v>292</v>
      </c>
      <c r="C103" s="549" t="s">
        <v>219</v>
      </c>
      <c r="D103" s="549" t="s">
        <v>9</v>
      </c>
      <c r="E103" s="469" t="s">
        <v>1320</v>
      </c>
      <c r="F103" s="547"/>
      <c r="G103" s="547">
        <f t="shared" si="14"/>
        <v>46868000</v>
      </c>
      <c r="H103" s="547">
        <f>'d3'!E124</f>
        <v>46868000</v>
      </c>
      <c r="I103" s="547">
        <f>'d3'!J124</f>
        <v>0</v>
      </c>
      <c r="J103" s="547">
        <f>'d3'!K124</f>
        <v>0</v>
      </c>
      <c r="K103" s="639"/>
      <c r="L103" s="639"/>
      <c r="M103" s="639"/>
      <c r="N103" s="107"/>
      <c r="O103" s="107"/>
      <c r="P103" s="107"/>
      <c r="Q103" s="107"/>
    </row>
    <row r="104" spans="1:17" s="24" customFormat="1" ht="184.5" thickTop="1" thickBot="1" x14ac:dyDescent="0.25">
      <c r="A104" s="687" t="s">
        <v>503</v>
      </c>
      <c r="B104" s="687" t="s">
        <v>504</v>
      </c>
      <c r="C104" s="687" t="s">
        <v>219</v>
      </c>
      <c r="D104" s="687" t="s">
        <v>505</v>
      </c>
      <c r="E104" s="469" t="s">
        <v>1320</v>
      </c>
      <c r="F104" s="686"/>
      <c r="G104" s="686">
        <f t="shared" si="14"/>
        <v>226297</v>
      </c>
      <c r="H104" s="686">
        <f>'d3'!E125</f>
        <v>226297</v>
      </c>
      <c r="I104" s="686">
        <f>'d3'!J125</f>
        <v>0</v>
      </c>
      <c r="J104" s="686">
        <f>'d3'!K125</f>
        <v>0</v>
      </c>
      <c r="K104" s="639"/>
      <c r="L104" s="639"/>
      <c r="M104" s="639"/>
      <c r="N104" s="107"/>
      <c r="O104" s="107"/>
      <c r="P104" s="107"/>
      <c r="Q104" s="107"/>
    </row>
    <row r="105" spans="1:17" s="24" customFormat="1" ht="184.5" thickTop="1" thickBot="1" x14ac:dyDescent="0.25">
      <c r="A105" s="549" t="s">
        <v>985</v>
      </c>
      <c r="B105" s="549" t="s">
        <v>986</v>
      </c>
      <c r="C105" s="549" t="s">
        <v>219</v>
      </c>
      <c r="D105" s="549" t="s">
        <v>987</v>
      </c>
      <c r="E105" s="469" t="s">
        <v>1320</v>
      </c>
      <c r="F105" s="547"/>
      <c r="G105" s="547">
        <f t="shared" ref="G105" si="15">H105+I105</f>
        <v>179985</v>
      </c>
      <c r="H105" s="547">
        <f>'d3'!E126</f>
        <v>179985</v>
      </c>
      <c r="I105" s="547">
        <f>'d3'!J126</f>
        <v>0</v>
      </c>
      <c r="J105" s="547">
        <f>'d3'!K126</f>
        <v>0</v>
      </c>
      <c r="K105" s="639"/>
      <c r="L105" s="639"/>
      <c r="M105" s="639"/>
      <c r="N105" s="107"/>
      <c r="O105" s="107"/>
      <c r="P105" s="107"/>
      <c r="Q105" s="107"/>
    </row>
    <row r="106" spans="1:17" s="24" customFormat="1" ht="184.5" thickTop="1" thickBot="1" x14ac:dyDescent="0.25">
      <c r="A106" s="687" t="s">
        <v>506</v>
      </c>
      <c r="B106" s="687" t="s">
        <v>507</v>
      </c>
      <c r="C106" s="687" t="s">
        <v>218</v>
      </c>
      <c r="D106" s="687" t="s">
        <v>508</v>
      </c>
      <c r="E106" s="469" t="s">
        <v>1320</v>
      </c>
      <c r="F106" s="686"/>
      <c r="G106" s="686">
        <f t="shared" si="14"/>
        <v>498130</v>
      </c>
      <c r="H106" s="686">
        <f>'d3'!E127</f>
        <v>498130</v>
      </c>
      <c r="I106" s="686">
        <f>'d3'!J127</f>
        <v>0</v>
      </c>
      <c r="J106" s="686">
        <f>'d3'!K127</f>
        <v>0</v>
      </c>
      <c r="K106" s="639"/>
      <c r="L106" s="639"/>
      <c r="M106" s="639"/>
      <c r="N106" s="107"/>
      <c r="O106" s="107"/>
      <c r="P106" s="107"/>
      <c r="Q106" s="107"/>
    </row>
    <row r="107" spans="1:17" ht="276" thickTop="1" thickBot="1" x14ac:dyDescent="0.25">
      <c r="A107" s="549" t="s">
        <v>280</v>
      </c>
      <c r="B107" s="549" t="s">
        <v>278</v>
      </c>
      <c r="C107" s="549" t="s">
        <v>213</v>
      </c>
      <c r="D107" s="549" t="s">
        <v>17</v>
      </c>
      <c r="E107" s="469" t="s">
        <v>1320</v>
      </c>
      <c r="F107" s="547"/>
      <c r="G107" s="547">
        <f t="shared" si="14"/>
        <v>31972670</v>
      </c>
      <c r="H107" s="547">
        <f>'d3'!E129</f>
        <v>31422670</v>
      </c>
      <c r="I107" s="547">
        <f>'d3'!J129</f>
        <v>550000</v>
      </c>
      <c r="J107" s="547">
        <f>'d3'!K129</f>
        <v>0</v>
      </c>
      <c r="K107" s="640"/>
      <c r="L107" s="640"/>
      <c r="M107" s="640"/>
    </row>
    <row r="108" spans="1:17" ht="184.5" thickTop="1" thickBot="1" x14ac:dyDescent="0.25">
      <c r="A108" s="549" t="s">
        <v>281</v>
      </c>
      <c r="B108" s="549" t="s">
        <v>279</v>
      </c>
      <c r="C108" s="549" t="s">
        <v>212</v>
      </c>
      <c r="D108" s="549" t="s">
        <v>478</v>
      </c>
      <c r="E108" s="469" t="s">
        <v>1320</v>
      </c>
      <c r="F108" s="547"/>
      <c r="G108" s="547">
        <f t="shared" si="14"/>
        <v>8556425</v>
      </c>
      <c r="H108" s="547">
        <f>'d3'!E130</f>
        <v>8525925</v>
      </c>
      <c r="I108" s="547">
        <f>'d3'!J130</f>
        <v>30500</v>
      </c>
      <c r="J108" s="547">
        <f>'d3'!K130</f>
        <v>30500</v>
      </c>
      <c r="K108" s="640"/>
      <c r="L108" s="640"/>
      <c r="M108" s="640"/>
    </row>
    <row r="109" spans="1:17" s="201" customFormat="1" ht="276" hidden="1" thickTop="1" thickBot="1" x14ac:dyDescent="0.25">
      <c r="A109" s="261" t="s">
        <v>1121</v>
      </c>
      <c r="B109" s="261" t="s">
        <v>1122</v>
      </c>
      <c r="C109" s="261" t="s">
        <v>198</v>
      </c>
      <c r="D109" s="261" t="s">
        <v>1123</v>
      </c>
      <c r="E109" s="360" t="s">
        <v>618</v>
      </c>
      <c r="F109" s="333" t="s">
        <v>426</v>
      </c>
      <c r="G109" s="333">
        <f t="shared" si="14"/>
        <v>0</v>
      </c>
      <c r="H109" s="333">
        <f>'d3'!E132</f>
        <v>0</v>
      </c>
      <c r="I109" s="333">
        <f>'d3'!J132</f>
        <v>0</v>
      </c>
      <c r="J109" s="333">
        <f>'d3'!K132</f>
        <v>0</v>
      </c>
      <c r="K109" s="640"/>
      <c r="L109" s="640"/>
      <c r="M109" s="640"/>
      <c r="N109" s="202"/>
      <c r="O109" s="202"/>
      <c r="P109" s="202"/>
      <c r="Q109" s="202"/>
    </row>
    <row r="110" spans="1:17" ht="409.6" thickTop="1" thickBot="1" x14ac:dyDescent="0.25">
      <c r="A110" s="549" t="s">
        <v>276</v>
      </c>
      <c r="B110" s="549" t="s">
        <v>277</v>
      </c>
      <c r="C110" s="549" t="s">
        <v>212</v>
      </c>
      <c r="D110" s="549" t="s">
        <v>476</v>
      </c>
      <c r="E110" s="469" t="s">
        <v>1320</v>
      </c>
      <c r="F110" s="547"/>
      <c r="G110" s="547">
        <f t="shared" si="14"/>
        <v>3283295</v>
      </c>
      <c r="H110" s="547">
        <f>'d3'!E133</f>
        <v>3283295</v>
      </c>
      <c r="I110" s="547">
        <f>'d3'!J133</f>
        <v>0</v>
      </c>
      <c r="J110" s="547">
        <f>'d3'!K133</f>
        <v>0</v>
      </c>
      <c r="K110" s="640"/>
      <c r="L110" s="640"/>
      <c r="M110" s="640"/>
    </row>
    <row r="111" spans="1:17" ht="276" thickTop="1" thickBot="1" x14ac:dyDescent="0.25">
      <c r="A111" s="687" t="s">
        <v>509</v>
      </c>
      <c r="B111" s="687" t="s">
        <v>510</v>
      </c>
      <c r="C111" s="687" t="s">
        <v>212</v>
      </c>
      <c r="D111" s="687" t="s">
        <v>511</v>
      </c>
      <c r="E111" s="469" t="s">
        <v>1320</v>
      </c>
      <c r="F111" s="758"/>
      <c r="G111" s="686">
        <f t="shared" si="14"/>
        <v>159297</v>
      </c>
      <c r="H111" s="686">
        <f>'d3'!E135</f>
        <v>159297</v>
      </c>
      <c r="I111" s="686">
        <f>'d3'!J135</f>
        <v>0</v>
      </c>
      <c r="J111" s="686">
        <f>'d3'!K135</f>
        <v>0</v>
      </c>
      <c r="K111" s="640"/>
      <c r="L111" s="640"/>
      <c r="M111" s="640"/>
    </row>
    <row r="112" spans="1:17" ht="367.5" thickTop="1" thickBot="1" x14ac:dyDescent="0.25">
      <c r="A112" s="549" t="s">
        <v>365</v>
      </c>
      <c r="B112" s="549" t="s">
        <v>364</v>
      </c>
      <c r="C112" s="549" t="s">
        <v>52</v>
      </c>
      <c r="D112" s="549" t="s">
        <v>477</v>
      </c>
      <c r="E112" s="469" t="s">
        <v>1320</v>
      </c>
      <c r="F112" s="547"/>
      <c r="G112" s="547">
        <f t="shared" si="14"/>
        <v>1145980</v>
      </c>
      <c r="H112" s="547">
        <f>'d3'!E136-H113</f>
        <v>1145980</v>
      </c>
      <c r="I112" s="547">
        <f>'d3'!J136-I113</f>
        <v>0</v>
      </c>
      <c r="J112" s="547">
        <f>'d3'!K136-J113</f>
        <v>0</v>
      </c>
      <c r="K112" s="640"/>
      <c r="L112" s="640"/>
      <c r="M112" s="640"/>
    </row>
    <row r="113" spans="1:17" ht="367.5" thickTop="1" thickBot="1" x14ac:dyDescent="0.25">
      <c r="A113" s="549" t="s">
        <v>365</v>
      </c>
      <c r="B113" s="549" t="s">
        <v>364</v>
      </c>
      <c r="C113" s="549" t="s">
        <v>52</v>
      </c>
      <c r="D113" s="549" t="s">
        <v>477</v>
      </c>
      <c r="E113" s="469" t="s">
        <v>923</v>
      </c>
      <c r="F113" s="547" t="s">
        <v>924</v>
      </c>
      <c r="G113" s="547">
        <f t="shared" si="14"/>
        <v>1696520</v>
      </c>
      <c r="H113" s="547">
        <f>1363850+332670</f>
        <v>1696520</v>
      </c>
      <c r="I113" s="547">
        <v>0</v>
      </c>
      <c r="J113" s="547">
        <v>0</v>
      </c>
      <c r="K113" s="640"/>
      <c r="L113" s="640"/>
      <c r="M113" s="640"/>
    </row>
    <row r="114" spans="1:17" ht="230.25" thickTop="1" thickBot="1" x14ac:dyDescent="0.25">
      <c r="A114" s="549" t="s">
        <v>341</v>
      </c>
      <c r="B114" s="549" t="s">
        <v>342</v>
      </c>
      <c r="C114" s="549" t="s">
        <v>218</v>
      </c>
      <c r="D114" s="549" t="s">
        <v>683</v>
      </c>
      <c r="E114" s="469" t="s">
        <v>1320</v>
      </c>
      <c r="F114" s="547"/>
      <c r="G114" s="547">
        <f t="shared" si="14"/>
        <v>758000</v>
      </c>
      <c r="H114" s="547">
        <f>'d3'!E138</f>
        <v>758000</v>
      </c>
      <c r="I114" s="547">
        <f>'d3'!J138</f>
        <v>0</v>
      </c>
      <c r="J114" s="547">
        <f>'d3'!K138</f>
        <v>0</v>
      </c>
      <c r="K114" s="640"/>
      <c r="L114" s="640"/>
      <c r="M114" s="640"/>
    </row>
    <row r="115" spans="1:17" ht="184.5" thickTop="1" thickBot="1" x14ac:dyDescent="0.25">
      <c r="A115" s="549" t="s">
        <v>447</v>
      </c>
      <c r="B115" s="549" t="s">
        <v>389</v>
      </c>
      <c r="C115" s="549" t="s">
        <v>390</v>
      </c>
      <c r="D115" s="549" t="s">
        <v>388</v>
      </c>
      <c r="E115" s="469" t="s">
        <v>1321</v>
      </c>
      <c r="F115" s="547" t="s">
        <v>1034</v>
      </c>
      <c r="G115" s="547">
        <f t="shared" si="14"/>
        <v>107000</v>
      </c>
      <c r="H115" s="547">
        <f>'d3'!E139</f>
        <v>107000</v>
      </c>
      <c r="I115" s="547">
        <f>'d3'!J139</f>
        <v>0</v>
      </c>
      <c r="J115" s="547">
        <f>'d3'!K139</f>
        <v>0</v>
      </c>
      <c r="K115" s="640"/>
      <c r="L115" s="640"/>
      <c r="M115" s="640"/>
    </row>
    <row r="116" spans="1:17" ht="184.5" thickTop="1" thickBot="1" x14ac:dyDescent="0.25">
      <c r="A116" s="549" t="s">
        <v>343</v>
      </c>
      <c r="B116" s="549" t="s">
        <v>345</v>
      </c>
      <c r="C116" s="549" t="s">
        <v>204</v>
      </c>
      <c r="D116" s="515" t="s">
        <v>347</v>
      </c>
      <c r="E116" s="469" t="s">
        <v>1320</v>
      </c>
      <c r="F116" s="547"/>
      <c r="G116" s="547">
        <f t="shared" si="14"/>
        <v>21284769</v>
      </c>
      <c r="H116" s="583">
        <f>'d3'!E155-H117</f>
        <v>12694065</v>
      </c>
      <c r="I116" s="547">
        <f>'d3'!J155-I117</f>
        <v>8590704</v>
      </c>
      <c r="J116" s="547">
        <f>'d3'!K155-J117</f>
        <v>2560000</v>
      </c>
      <c r="K116" s="640"/>
      <c r="L116" s="640"/>
      <c r="M116" s="640"/>
    </row>
    <row r="117" spans="1:17" ht="230.25" hidden="1" thickTop="1" thickBot="1" x14ac:dyDescent="0.25">
      <c r="A117" s="261" t="s">
        <v>343</v>
      </c>
      <c r="B117" s="261" t="s">
        <v>345</v>
      </c>
      <c r="C117" s="261" t="s">
        <v>204</v>
      </c>
      <c r="D117" s="288" t="s">
        <v>347</v>
      </c>
      <c r="E117" s="360" t="s">
        <v>472</v>
      </c>
      <c r="F117" s="299" t="s">
        <v>473</v>
      </c>
      <c r="G117" s="333">
        <f>H117+I117</f>
        <v>0</v>
      </c>
      <c r="H117" s="359">
        <v>0</v>
      </c>
      <c r="I117" s="333">
        <v>0</v>
      </c>
      <c r="J117" s="333">
        <v>0</v>
      </c>
      <c r="K117" s="640"/>
      <c r="L117" s="640"/>
      <c r="M117" s="640"/>
    </row>
    <row r="118" spans="1:17" ht="184.5" thickTop="1" thickBot="1" x14ac:dyDescent="0.25">
      <c r="A118" s="549" t="s">
        <v>344</v>
      </c>
      <c r="B118" s="549" t="s">
        <v>346</v>
      </c>
      <c r="C118" s="549" t="s">
        <v>204</v>
      </c>
      <c r="D118" s="515" t="s">
        <v>348</v>
      </c>
      <c r="E118" s="469" t="s">
        <v>1320</v>
      </c>
      <c r="F118" s="547"/>
      <c r="G118" s="547">
        <f t="shared" si="14"/>
        <v>18771817</v>
      </c>
      <c r="H118" s="547">
        <f>'d3'!E156-H119-H120</f>
        <v>18621817</v>
      </c>
      <c r="I118" s="547">
        <f>'d3'!J156-I119-I120</f>
        <v>150000</v>
      </c>
      <c r="J118" s="547">
        <f>'d3'!K156-J119-J120</f>
        <v>150000</v>
      </c>
      <c r="K118" s="640"/>
      <c r="L118" s="640"/>
      <c r="M118" s="640"/>
    </row>
    <row r="119" spans="1:17" ht="138.75" thickTop="1" thickBot="1" x14ac:dyDescent="0.25">
      <c r="A119" s="549" t="s">
        <v>344</v>
      </c>
      <c r="B119" s="549" t="s">
        <v>346</v>
      </c>
      <c r="C119" s="549" t="s">
        <v>204</v>
      </c>
      <c r="D119" s="515" t="s">
        <v>348</v>
      </c>
      <c r="E119" s="547" t="s">
        <v>921</v>
      </c>
      <c r="F119" s="547" t="s">
        <v>922</v>
      </c>
      <c r="G119" s="547">
        <f t="shared" si="14"/>
        <v>716000</v>
      </c>
      <c r="H119" s="547">
        <f>200000+500000+16000</f>
        <v>716000</v>
      </c>
      <c r="I119" s="547">
        <v>0</v>
      </c>
      <c r="J119" s="547">
        <v>0</v>
      </c>
      <c r="K119" s="640"/>
      <c r="L119" s="640"/>
      <c r="M119" s="640"/>
    </row>
    <row r="120" spans="1:17" ht="184.5" thickTop="1" thickBot="1" x14ac:dyDescent="0.25">
      <c r="A120" s="549" t="s">
        <v>344</v>
      </c>
      <c r="B120" s="549" t="s">
        <v>346</v>
      </c>
      <c r="C120" s="549" t="s">
        <v>204</v>
      </c>
      <c r="D120" s="515" t="s">
        <v>348</v>
      </c>
      <c r="E120" s="469" t="s">
        <v>923</v>
      </c>
      <c r="F120" s="547" t="s">
        <v>924</v>
      </c>
      <c r="G120" s="547">
        <f t="shared" si="14"/>
        <v>4406900</v>
      </c>
      <c r="H120" s="547">
        <f>3000000+531000+500000+60000</f>
        <v>4091000</v>
      </c>
      <c r="I120" s="547">
        <v>315900</v>
      </c>
      <c r="J120" s="547">
        <v>315900</v>
      </c>
      <c r="K120" s="754"/>
      <c r="L120" s="640"/>
      <c r="M120" s="640"/>
    </row>
    <row r="121" spans="1:17" ht="184.5" thickTop="1" thickBot="1" x14ac:dyDescent="0.25">
      <c r="A121" s="549" t="s">
        <v>384</v>
      </c>
      <c r="B121" s="549" t="s">
        <v>382</v>
      </c>
      <c r="C121" s="549" t="s">
        <v>356</v>
      </c>
      <c r="D121" s="515" t="s">
        <v>383</v>
      </c>
      <c r="E121" s="469" t="s">
        <v>923</v>
      </c>
      <c r="F121" s="547" t="s">
        <v>924</v>
      </c>
      <c r="G121" s="547">
        <f t="shared" si="14"/>
        <v>6000000</v>
      </c>
      <c r="H121" s="547">
        <f>'d3'!E159</f>
        <v>0</v>
      </c>
      <c r="I121" s="547">
        <f>'d3'!J159</f>
        <v>6000000</v>
      </c>
      <c r="J121" s="547">
        <f>'d3'!K159</f>
        <v>6000000</v>
      </c>
      <c r="K121" s="640"/>
      <c r="L121" s="640"/>
      <c r="M121" s="640"/>
    </row>
    <row r="122" spans="1:17" s="218" customFormat="1" ht="409.6" hidden="1" thickTop="1" thickBot="1" x14ac:dyDescent="0.25">
      <c r="A122" s="261" t="s">
        <v>1193</v>
      </c>
      <c r="B122" s="261" t="s">
        <v>1194</v>
      </c>
      <c r="C122" s="261" t="s">
        <v>356</v>
      </c>
      <c r="D122" s="288" t="s">
        <v>1195</v>
      </c>
      <c r="E122" s="333" t="s">
        <v>921</v>
      </c>
      <c r="F122" s="333" t="s">
        <v>922</v>
      </c>
      <c r="G122" s="333">
        <f t="shared" si="14"/>
        <v>0</v>
      </c>
      <c r="H122" s="364">
        <f>'d3'!E160</f>
        <v>0</v>
      </c>
      <c r="I122" s="364">
        <f>'d3'!J160</f>
        <v>0</v>
      </c>
      <c r="J122" s="364">
        <f>'d3'!K160</f>
        <v>0</v>
      </c>
      <c r="K122" s="640"/>
      <c r="L122" s="640"/>
      <c r="M122" s="640"/>
      <c r="N122" s="219"/>
      <c r="O122" s="219"/>
      <c r="P122" s="219"/>
      <c r="Q122" s="219"/>
    </row>
    <row r="123" spans="1:17" s="168" customFormat="1" ht="184.5" thickTop="1" thickBot="1" x14ac:dyDescent="0.25">
      <c r="A123" s="549" t="s">
        <v>990</v>
      </c>
      <c r="B123" s="549" t="s">
        <v>991</v>
      </c>
      <c r="C123" s="549" t="s">
        <v>318</v>
      </c>
      <c r="D123" s="549" t="s">
        <v>992</v>
      </c>
      <c r="E123" s="469" t="s">
        <v>1320</v>
      </c>
      <c r="F123" s="547"/>
      <c r="G123" s="547">
        <f t="shared" si="14"/>
        <v>2296400</v>
      </c>
      <c r="H123" s="553">
        <f>'d3'!E164</f>
        <v>0</v>
      </c>
      <c r="I123" s="553">
        <f>'d3'!J164</f>
        <v>2296400</v>
      </c>
      <c r="J123" s="553">
        <f>'d3'!K164</f>
        <v>2296400</v>
      </c>
      <c r="K123" s="640"/>
      <c r="L123" s="640"/>
      <c r="M123" s="640"/>
      <c r="N123" s="169"/>
      <c r="O123" s="169"/>
      <c r="P123" s="169"/>
      <c r="Q123" s="169"/>
    </row>
    <row r="124" spans="1:17" ht="409.6" thickTop="1" thickBot="1" x14ac:dyDescent="0.7">
      <c r="A124" s="799" t="s">
        <v>442</v>
      </c>
      <c r="B124" s="799" t="s">
        <v>354</v>
      </c>
      <c r="C124" s="799" t="s">
        <v>179</v>
      </c>
      <c r="D124" s="500" t="s">
        <v>462</v>
      </c>
      <c r="E124" s="799" t="s">
        <v>1306</v>
      </c>
      <c r="F124" s="799"/>
      <c r="G124" s="912">
        <f>H124+I124</f>
        <v>465000</v>
      </c>
      <c r="H124" s="912">
        <f>'d3'!E167</f>
        <v>0</v>
      </c>
      <c r="I124" s="912">
        <f>'d3'!J167</f>
        <v>465000</v>
      </c>
      <c r="J124" s="912">
        <f>'d3'!K167</f>
        <v>0</v>
      </c>
      <c r="K124" s="640"/>
      <c r="L124" s="640"/>
      <c r="M124" s="640"/>
    </row>
    <row r="125" spans="1:17" ht="184.5" thickTop="1" thickBot="1" x14ac:dyDescent="0.25">
      <c r="A125" s="828"/>
      <c r="B125" s="828"/>
      <c r="C125" s="828"/>
      <c r="D125" s="504" t="s">
        <v>463</v>
      </c>
      <c r="E125" s="828"/>
      <c r="F125" s="828"/>
      <c r="G125" s="914"/>
      <c r="H125" s="914"/>
      <c r="I125" s="916"/>
      <c r="J125" s="916"/>
      <c r="K125" s="739"/>
      <c r="L125" s="742"/>
      <c r="M125" s="742"/>
    </row>
    <row r="126" spans="1:17" ht="181.5" thickTop="1" thickBot="1" x14ac:dyDescent="0.25">
      <c r="A126" s="450">
        <v>1000000</v>
      </c>
      <c r="B126" s="450"/>
      <c r="C126" s="450"/>
      <c r="D126" s="451" t="s">
        <v>24</v>
      </c>
      <c r="E126" s="450"/>
      <c r="F126" s="450"/>
      <c r="G126" s="453">
        <f>G127</f>
        <v>159778300</v>
      </c>
      <c r="H126" s="453">
        <f t="shared" ref="H126:J126" si="16">H127</f>
        <v>145398530</v>
      </c>
      <c r="I126" s="453">
        <f t="shared" si="16"/>
        <v>14379770</v>
      </c>
      <c r="J126" s="453">
        <f t="shared" si="16"/>
        <v>4666920</v>
      </c>
      <c r="K126" s="739" t="b">
        <f>H126='d3'!E170</f>
        <v>1</v>
      </c>
      <c r="L126" s="742" t="b">
        <f>I126='d3'!J170</f>
        <v>1</v>
      </c>
      <c r="M126" s="742" t="b">
        <f>J126='d3'!K170</f>
        <v>1</v>
      </c>
    </row>
    <row r="127" spans="1:17" ht="181.5" thickTop="1" thickBot="1" x14ac:dyDescent="0.25">
      <c r="A127" s="454">
        <v>1010000</v>
      </c>
      <c r="B127" s="454"/>
      <c r="C127" s="454"/>
      <c r="D127" s="455" t="s">
        <v>41</v>
      </c>
      <c r="E127" s="456"/>
      <c r="F127" s="456"/>
      <c r="G127" s="456">
        <f>SUM(G128:G143)</f>
        <v>159778300</v>
      </c>
      <c r="H127" s="456">
        <f>SUM(H128:H143)</f>
        <v>145398530</v>
      </c>
      <c r="I127" s="456">
        <f>SUM(I128:I143)</f>
        <v>14379770</v>
      </c>
      <c r="J127" s="456">
        <f>SUM(J128:J143)</f>
        <v>4666920</v>
      </c>
      <c r="K127" s="640"/>
      <c r="L127" s="640"/>
      <c r="M127" s="640"/>
    </row>
    <row r="128" spans="1:17" ht="184.5" thickTop="1" thickBot="1" x14ac:dyDescent="0.25">
      <c r="A128" s="499" t="s">
        <v>684</v>
      </c>
      <c r="B128" s="499" t="s">
        <v>685</v>
      </c>
      <c r="C128" s="499" t="s">
        <v>194</v>
      </c>
      <c r="D128" s="499" t="s">
        <v>1262</v>
      </c>
      <c r="E128" s="502" t="s">
        <v>919</v>
      </c>
      <c r="F128" s="502" t="s">
        <v>920</v>
      </c>
      <c r="G128" s="502">
        <f>H128+I128</f>
        <v>87119890</v>
      </c>
      <c r="H128" s="502">
        <f>'d3'!E172</f>
        <v>78240350</v>
      </c>
      <c r="I128" s="502">
        <f>'d3'!J172</f>
        <v>8879540</v>
      </c>
      <c r="J128" s="502">
        <f>'d3'!K172</f>
        <v>0</v>
      </c>
      <c r="K128" s="640"/>
      <c r="L128" s="640"/>
      <c r="M128" s="640"/>
    </row>
    <row r="129" spans="1:17" ht="243" customHeight="1" thickTop="1" thickBot="1" x14ac:dyDescent="0.25">
      <c r="A129" s="499" t="s">
        <v>180</v>
      </c>
      <c r="B129" s="499" t="s">
        <v>181</v>
      </c>
      <c r="C129" s="499" t="s">
        <v>183</v>
      </c>
      <c r="D129" s="499" t="s">
        <v>184</v>
      </c>
      <c r="E129" s="502" t="s">
        <v>919</v>
      </c>
      <c r="F129" s="502" t="s">
        <v>920</v>
      </c>
      <c r="G129" s="502">
        <f t="shared" ref="G129:G143" si="17">H129+I129</f>
        <v>1100800</v>
      </c>
      <c r="H129" s="502">
        <f>'d3'!E174</f>
        <v>1100800</v>
      </c>
      <c r="I129" s="502">
        <f>'d3'!J174</f>
        <v>0</v>
      </c>
      <c r="J129" s="502">
        <f>'d3'!K174</f>
        <v>0</v>
      </c>
      <c r="K129" s="640"/>
      <c r="L129" s="640"/>
      <c r="M129" s="640"/>
    </row>
    <row r="130" spans="1:17" ht="184.5" thickTop="1" thickBot="1" x14ac:dyDescent="0.25">
      <c r="A130" s="499" t="s">
        <v>185</v>
      </c>
      <c r="B130" s="499" t="s">
        <v>186</v>
      </c>
      <c r="C130" s="499" t="s">
        <v>187</v>
      </c>
      <c r="D130" s="499" t="s">
        <v>188</v>
      </c>
      <c r="E130" s="502" t="s">
        <v>919</v>
      </c>
      <c r="F130" s="502" t="s">
        <v>920</v>
      </c>
      <c r="G130" s="502">
        <f t="shared" si="17"/>
        <v>15393555</v>
      </c>
      <c r="H130" s="502">
        <f>'d3'!E175-H131-H132</f>
        <v>15273555</v>
      </c>
      <c r="I130" s="502">
        <f>'d3'!J175-I131-I132</f>
        <v>120000</v>
      </c>
      <c r="J130" s="502">
        <f>'d3'!K175-J131-J132</f>
        <v>0</v>
      </c>
      <c r="K130" s="640"/>
      <c r="L130" s="640"/>
      <c r="M130" s="640"/>
    </row>
    <row r="131" spans="1:17" ht="230.25" hidden="1" thickTop="1" thickBot="1" x14ac:dyDescent="0.25">
      <c r="A131" s="261" t="s">
        <v>185</v>
      </c>
      <c r="B131" s="261" t="s">
        <v>186</v>
      </c>
      <c r="C131" s="261" t="s">
        <v>187</v>
      </c>
      <c r="D131" s="261" t="s">
        <v>188</v>
      </c>
      <c r="E131" s="360" t="s">
        <v>472</v>
      </c>
      <c r="F131" s="299" t="s">
        <v>473</v>
      </c>
      <c r="G131" s="333">
        <f>H131+I131</f>
        <v>0</v>
      </c>
      <c r="H131" s="359">
        <v>0</v>
      </c>
      <c r="I131" s="333">
        <v>0</v>
      </c>
      <c r="J131" s="333">
        <v>0</v>
      </c>
      <c r="K131" s="640"/>
      <c r="L131" s="640"/>
      <c r="M131" s="640"/>
    </row>
    <row r="132" spans="1:17" s="162" customFormat="1" ht="276" hidden="1" thickTop="1" thickBot="1" x14ac:dyDescent="0.25">
      <c r="A132" s="261" t="s">
        <v>185</v>
      </c>
      <c r="B132" s="261" t="s">
        <v>186</v>
      </c>
      <c r="C132" s="261" t="s">
        <v>187</v>
      </c>
      <c r="D132" s="261" t="s">
        <v>188</v>
      </c>
      <c r="E132" s="333" t="s">
        <v>917</v>
      </c>
      <c r="F132" s="333" t="s">
        <v>918</v>
      </c>
      <c r="G132" s="333">
        <f>H132+I132</f>
        <v>0</v>
      </c>
      <c r="H132" s="359">
        <v>0</v>
      </c>
      <c r="I132" s="333">
        <v>0</v>
      </c>
      <c r="J132" s="333">
        <v>0</v>
      </c>
      <c r="K132" s="640"/>
      <c r="L132" s="640"/>
      <c r="M132" s="640"/>
      <c r="N132" s="163"/>
      <c r="O132" s="163"/>
      <c r="P132" s="163"/>
      <c r="Q132" s="163"/>
    </row>
    <row r="133" spans="1:17" ht="184.5" thickTop="1" thickBot="1" x14ac:dyDescent="0.25">
      <c r="A133" s="499" t="s">
        <v>189</v>
      </c>
      <c r="B133" s="499" t="s">
        <v>190</v>
      </c>
      <c r="C133" s="499" t="s">
        <v>187</v>
      </c>
      <c r="D133" s="499" t="s">
        <v>486</v>
      </c>
      <c r="E133" s="502" t="s">
        <v>919</v>
      </c>
      <c r="F133" s="502" t="s">
        <v>920</v>
      </c>
      <c r="G133" s="502">
        <f t="shared" si="17"/>
        <v>7013830</v>
      </c>
      <c r="H133" s="502">
        <f>'d3'!E176</f>
        <v>2274910</v>
      </c>
      <c r="I133" s="502">
        <f>'d3'!J176</f>
        <v>4738920</v>
      </c>
      <c r="J133" s="502">
        <f>'d3'!K176</f>
        <v>4652920</v>
      </c>
      <c r="K133" s="640"/>
      <c r="L133" s="640"/>
      <c r="M133" s="640"/>
    </row>
    <row r="134" spans="1:17" ht="184.5" thickTop="1" thickBot="1" x14ac:dyDescent="0.25">
      <c r="A134" s="499" t="s">
        <v>191</v>
      </c>
      <c r="B134" s="499" t="s">
        <v>182</v>
      </c>
      <c r="C134" s="499" t="s">
        <v>192</v>
      </c>
      <c r="D134" s="499" t="s">
        <v>193</v>
      </c>
      <c r="E134" s="502" t="s">
        <v>919</v>
      </c>
      <c r="F134" s="502" t="s">
        <v>920</v>
      </c>
      <c r="G134" s="502">
        <f t="shared" si="17"/>
        <v>17225955</v>
      </c>
      <c r="H134" s="502">
        <f>'d3'!E177-H135</f>
        <v>16744655</v>
      </c>
      <c r="I134" s="502">
        <f>'d3'!J177-I135</f>
        <v>481300</v>
      </c>
      <c r="J134" s="502">
        <f>'d3'!K177-J135</f>
        <v>0</v>
      </c>
      <c r="K134" s="640"/>
      <c r="L134" s="640"/>
      <c r="M134" s="640"/>
    </row>
    <row r="135" spans="1:17" ht="230.25" hidden="1" thickTop="1" thickBot="1" x14ac:dyDescent="0.25">
      <c r="A135" s="261" t="s">
        <v>191</v>
      </c>
      <c r="B135" s="261" t="s">
        <v>182</v>
      </c>
      <c r="C135" s="261" t="s">
        <v>192</v>
      </c>
      <c r="D135" s="261" t="s">
        <v>193</v>
      </c>
      <c r="E135" s="360" t="s">
        <v>472</v>
      </c>
      <c r="F135" s="299" t="s">
        <v>473</v>
      </c>
      <c r="G135" s="333">
        <f>H135+I135</f>
        <v>0</v>
      </c>
      <c r="H135" s="359">
        <v>0</v>
      </c>
      <c r="I135" s="333">
        <v>0</v>
      </c>
      <c r="J135" s="333">
        <v>0</v>
      </c>
      <c r="K135" s="640"/>
      <c r="L135" s="640"/>
      <c r="M135" s="640"/>
    </row>
    <row r="136" spans="1:17" ht="184.5" thickTop="1" thickBot="1" x14ac:dyDescent="0.25">
      <c r="A136" s="499" t="s">
        <v>349</v>
      </c>
      <c r="B136" s="499" t="s">
        <v>350</v>
      </c>
      <c r="C136" s="499" t="s">
        <v>195</v>
      </c>
      <c r="D136" s="499" t="s">
        <v>487</v>
      </c>
      <c r="E136" s="502" t="s">
        <v>919</v>
      </c>
      <c r="F136" s="502" t="s">
        <v>920</v>
      </c>
      <c r="G136" s="502">
        <f t="shared" si="17"/>
        <v>23272955</v>
      </c>
      <c r="H136" s="502">
        <f>'d3'!E179-H137</f>
        <v>23126945</v>
      </c>
      <c r="I136" s="502">
        <f>'d3'!J179-I137</f>
        <v>146010</v>
      </c>
      <c r="J136" s="502">
        <f>'d3'!K179-J137</f>
        <v>0</v>
      </c>
      <c r="K136" s="640"/>
      <c r="L136" s="640"/>
      <c r="M136" s="640"/>
    </row>
    <row r="137" spans="1:17" ht="199.5" customHeight="1" thickTop="1" thickBot="1" x14ac:dyDescent="0.25">
      <c r="A137" s="499" t="s">
        <v>349</v>
      </c>
      <c r="B137" s="499" t="s">
        <v>350</v>
      </c>
      <c r="C137" s="499" t="s">
        <v>195</v>
      </c>
      <c r="D137" s="499" t="s">
        <v>487</v>
      </c>
      <c r="E137" s="502" t="s">
        <v>625</v>
      </c>
      <c r="F137" s="502" t="s">
        <v>425</v>
      </c>
      <c r="G137" s="502">
        <f t="shared" si="17"/>
        <v>861000</v>
      </c>
      <c r="H137" s="502">
        <v>861000</v>
      </c>
      <c r="I137" s="502">
        <v>0</v>
      </c>
      <c r="J137" s="502">
        <v>0</v>
      </c>
      <c r="K137" s="640"/>
      <c r="L137" s="640"/>
      <c r="M137" s="640"/>
    </row>
    <row r="138" spans="1:17" ht="246" customHeight="1" thickTop="1" thickBot="1" x14ac:dyDescent="0.25">
      <c r="A138" s="499" t="s">
        <v>351</v>
      </c>
      <c r="B138" s="499" t="s">
        <v>352</v>
      </c>
      <c r="C138" s="499" t="s">
        <v>195</v>
      </c>
      <c r="D138" s="499" t="s">
        <v>488</v>
      </c>
      <c r="E138" s="502" t="s">
        <v>919</v>
      </c>
      <c r="F138" s="502" t="s">
        <v>920</v>
      </c>
      <c r="G138" s="502">
        <f t="shared" si="17"/>
        <v>6253335</v>
      </c>
      <c r="H138" s="502">
        <f>'d3'!E180-H139-H140</f>
        <v>6253335</v>
      </c>
      <c r="I138" s="502">
        <f>'d3'!J180-I139-I140</f>
        <v>0</v>
      </c>
      <c r="J138" s="502">
        <f>'d3'!K180-J139-J140</f>
        <v>0</v>
      </c>
      <c r="K138" s="640"/>
      <c r="L138" s="640"/>
      <c r="M138" s="640"/>
    </row>
    <row r="139" spans="1:17" ht="178.5" customHeight="1" thickTop="1" thickBot="1" x14ac:dyDescent="0.25">
      <c r="A139" s="499" t="s">
        <v>351</v>
      </c>
      <c r="B139" s="499" t="s">
        <v>352</v>
      </c>
      <c r="C139" s="499" t="s">
        <v>195</v>
      </c>
      <c r="D139" s="499" t="s">
        <v>488</v>
      </c>
      <c r="E139" s="502" t="s">
        <v>625</v>
      </c>
      <c r="F139" s="502" t="s">
        <v>425</v>
      </c>
      <c r="G139" s="502">
        <f t="shared" si="17"/>
        <v>330120</v>
      </c>
      <c r="H139" s="502">
        <v>330120</v>
      </c>
      <c r="I139" s="502">
        <v>0</v>
      </c>
      <c r="J139" s="502">
        <v>0</v>
      </c>
      <c r="K139" s="640"/>
      <c r="L139" s="640"/>
      <c r="M139" s="640"/>
    </row>
    <row r="140" spans="1:17" ht="310.7" customHeight="1" thickTop="1" thickBot="1" x14ac:dyDescent="0.25">
      <c r="A140" s="499" t="s">
        <v>351</v>
      </c>
      <c r="B140" s="499" t="s">
        <v>352</v>
      </c>
      <c r="C140" s="499" t="s">
        <v>195</v>
      </c>
      <c r="D140" s="499" t="s">
        <v>488</v>
      </c>
      <c r="E140" s="502" t="s">
        <v>917</v>
      </c>
      <c r="F140" s="502" t="s">
        <v>918</v>
      </c>
      <c r="G140" s="502">
        <f t="shared" si="17"/>
        <v>173000</v>
      </c>
      <c r="H140" s="502">
        <v>173000</v>
      </c>
      <c r="I140" s="502">
        <v>0</v>
      </c>
      <c r="J140" s="502">
        <v>0</v>
      </c>
      <c r="K140" s="640"/>
      <c r="L140" s="640"/>
      <c r="M140" s="640"/>
    </row>
    <row r="141" spans="1:17" s="211" customFormat="1" ht="138.75" thickTop="1" thickBot="1" x14ac:dyDescent="0.25">
      <c r="A141" s="499" t="s">
        <v>1138</v>
      </c>
      <c r="B141" s="499" t="s">
        <v>1139</v>
      </c>
      <c r="C141" s="499" t="s">
        <v>226</v>
      </c>
      <c r="D141" s="499" t="s">
        <v>1137</v>
      </c>
      <c r="E141" s="502" t="s">
        <v>1141</v>
      </c>
      <c r="F141" s="502" t="s">
        <v>1140</v>
      </c>
      <c r="G141" s="502">
        <f t="shared" si="17"/>
        <v>1019860</v>
      </c>
      <c r="H141" s="502">
        <f>'d3'!E184</f>
        <v>1019860</v>
      </c>
      <c r="I141" s="502">
        <f>'d3'!J184</f>
        <v>0</v>
      </c>
      <c r="J141" s="502">
        <f>'d3'!K184</f>
        <v>0</v>
      </c>
      <c r="K141" s="748"/>
      <c r="L141" s="748"/>
      <c r="M141" s="640"/>
      <c r="N141" s="212"/>
      <c r="O141" s="212"/>
      <c r="P141" s="212"/>
      <c r="Q141" s="212"/>
    </row>
    <row r="142" spans="1:17" s="162" customFormat="1" ht="310.7" customHeight="1" thickTop="1" thickBot="1" x14ac:dyDescent="0.25">
      <c r="A142" s="499" t="s">
        <v>982</v>
      </c>
      <c r="B142" s="499" t="s">
        <v>210</v>
      </c>
      <c r="C142" s="499" t="s">
        <v>179</v>
      </c>
      <c r="D142" s="499" t="s">
        <v>36</v>
      </c>
      <c r="E142" s="502" t="s">
        <v>919</v>
      </c>
      <c r="F142" s="502" t="s">
        <v>920</v>
      </c>
      <c r="G142" s="502">
        <f t="shared" si="17"/>
        <v>14000</v>
      </c>
      <c r="H142" s="502">
        <f>'d3'!E185</f>
        <v>0</v>
      </c>
      <c r="I142" s="502">
        <f>'d3'!J185</f>
        <v>14000</v>
      </c>
      <c r="J142" s="502">
        <f>'d3'!K185</f>
        <v>14000</v>
      </c>
      <c r="K142" s="748"/>
      <c r="L142" s="748"/>
      <c r="M142" s="640"/>
      <c r="N142" s="163"/>
      <c r="O142" s="163"/>
      <c r="P142" s="163"/>
      <c r="Q142" s="163"/>
    </row>
    <row r="143" spans="1:17" s="125" customFormat="1" ht="230.25" hidden="1" thickTop="1" thickBot="1" x14ac:dyDescent="0.25">
      <c r="A143" s="261" t="s">
        <v>624</v>
      </c>
      <c r="B143" s="261" t="s">
        <v>380</v>
      </c>
      <c r="C143" s="261" t="s">
        <v>45</v>
      </c>
      <c r="D143" s="261" t="s">
        <v>381</v>
      </c>
      <c r="E143" s="357" t="s">
        <v>913</v>
      </c>
      <c r="F143" s="333" t="s">
        <v>914</v>
      </c>
      <c r="G143" s="333">
        <f t="shared" si="17"/>
        <v>0</v>
      </c>
      <c r="H143" s="333">
        <f>'d3'!E188</f>
        <v>0</v>
      </c>
      <c r="I143" s="333">
        <f>'d3'!J188</f>
        <v>0</v>
      </c>
      <c r="J143" s="333">
        <f>'d3'!K188</f>
        <v>0</v>
      </c>
      <c r="K143" s="748"/>
      <c r="L143" s="748"/>
      <c r="M143" s="640"/>
      <c r="N143" s="126"/>
      <c r="O143" s="126"/>
      <c r="P143" s="126"/>
      <c r="Q143" s="126"/>
    </row>
    <row r="144" spans="1:17" ht="163.5" customHeight="1" thickTop="1" thickBot="1" x14ac:dyDescent="0.25">
      <c r="A144" s="450" t="s">
        <v>22</v>
      </c>
      <c r="B144" s="450"/>
      <c r="C144" s="450"/>
      <c r="D144" s="451" t="s">
        <v>23</v>
      </c>
      <c r="E144" s="450"/>
      <c r="F144" s="450"/>
      <c r="G144" s="453">
        <f>G145</f>
        <v>122201514</v>
      </c>
      <c r="H144" s="453">
        <f t="shared" ref="H144:J144" si="18">H145</f>
        <v>112821058</v>
      </c>
      <c r="I144" s="453">
        <f t="shared" si="18"/>
        <v>9380456</v>
      </c>
      <c r="J144" s="453">
        <f t="shared" si="18"/>
        <v>7097437</v>
      </c>
      <c r="K144" s="739" t="b">
        <f>H144='d3'!E190+'d4'!F12</f>
        <v>1</v>
      </c>
      <c r="L144" s="742" t="b">
        <f>I144='d3'!J189+'d4'!G12</f>
        <v>1</v>
      </c>
      <c r="M144" s="742" t="b">
        <f>J144='d3'!K189+'d4'!H12</f>
        <v>1</v>
      </c>
    </row>
    <row r="145" spans="1:17" ht="175.7" customHeight="1" thickTop="1" thickBot="1" x14ac:dyDescent="0.25">
      <c r="A145" s="454" t="s">
        <v>21</v>
      </c>
      <c r="B145" s="454"/>
      <c r="C145" s="454"/>
      <c r="D145" s="455" t="s">
        <v>37</v>
      </c>
      <c r="E145" s="456"/>
      <c r="F145" s="456"/>
      <c r="G145" s="456">
        <f>SUM(G146:G162)</f>
        <v>122201514</v>
      </c>
      <c r="H145" s="456">
        <f t="shared" ref="H145:J145" si="19">SUM(H146:H162)</f>
        <v>112821058</v>
      </c>
      <c r="I145" s="456">
        <f t="shared" si="19"/>
        <v>9380456</v>
      </c>
      <c r="J145" s="456">
        <f t="shared" si="19"/>
        <v>7097437</v>
      </c>
      <c r="K145" s="640"/>
      <c r="L145" s="640"/>
      <c r="M145" s="640"/>
    </row>
    <row r="146" spans="1:17" ht="276" thickTop="1" thickBot="1" x14ac:dyDescent="0.25">
      <c r="A146" s="549" t="s">
        <v>196</v>
      </c>
      <c r="B146" s="549" t="s">
        <v>197</v>
      </c>
      <c r="C146" s="549" t="s">
        <v>198</v>
      </c>
      <c r="D146" s="549" t="s">
        <v>686</v>
      </c>
      <c r="E146" s="469" t="s">
        <v>1323</v>
      </c>
      <c r="F146" s="547"/>
      <c r="G146" s="547">
        <f t="shared" ref="G146:G147" si="20">H146+I146</f>
        <v>6040461</v>
      </c>
      <c r="H146" s="583">
        <f>'d3'!E193</f>
        <v>6040461</v>
      </c>
      <c r="I146" s="584">
        <f>'d3'!J193</f>
        <v>0</v>
      </c>
      <c r="J146" s="547">
        <f>'d3'!K193</f>
        <v>0</v>
      </c>
      <c r="K146" s="640"/>
      <c r="L146" s="640"/>
      <c r="M146" s="640"/>
    </row>
    <row r="147" spans="1:17" ht="276" thickTop="1" thickBot="1" x14ac:dyDescent="0.25">
      <c r="A147" s="549" t="s">
        <v>202</v>
      </c>
      <c r="B147" s="549" t="s">
        <v>203</v>
      </c>
      <c r="C147" s="549" t="s">
        <v>198</v>
      </c>
      <c r="D147" s="549" t="s">
        <v>10</v>
      </c>
      <c r="E147" s="469" t="s">
        <v>1323</v>
      </c>
      <c r="F147" s="547"/>
      <c r="G147" s="547">
        <f t="shared" si="20"/>
        <v>5824322</v>
      </c>
      <c r="H147" s="583">
        <f>'d3'!E195</f>
        <v>4920329</v>
      </c>
      <c r="I147" s="584">
        <f>'d3'!J195</f>
        <v>903993</v>
      </c>
      <c r="J147" s="547">
        <f>'d3'!K195</f>
        <v>537693</v>
      </c>
      <c r="K147" s="640"/>
      <c r="L147" s="640"/>
      <c r="M147" s="640"/>
    </row>
    <row r="148" spans="1:17" ht="276" thickTop="1" thickBot="1" x14ac:dyDescent="0.25">
      <c r="A148" s="549" t="s">
        <v>368</v>
      </c>
      <c r="B148" s="549" t="s">
        <v>369</v>
      </c>
      <c r="C148" s="549" t="s">
        <v>198</v>
      </c>
      <c r="D148" s="549" t="s">
        <v>370</v>
      </c>
      <c r="E148" s="469" t="s">
        <v>1323</v>
      </c>
      <c r="F148" s="547"/>
      <c r="G148" s="547">
        <f t="shared" ref="G148:G152" si="21">H148+I148</f>
        <v>8080990</v>
      </c>
      <c r="H148" s="583">
        <f>'d3'!E196</f>
        <v>8080990</v>
      </c>
      <c r="I148" s="584">
        <f>'d3'!J196</f>
        <v>0</v>
      </c>
      <c r="J148" s="547">
        <f>'d3'!K196</f>
        <v>0</v>
      </c>
      <c r="K148" s="640"/>
      <c r="L148" s="640"/>
      <c r="M148" s="640"/>
    </row>
    <row r="149" spans="1:17" ht="276" thickTop="1" thickBot="1" x14ac:dyDescent="0.25">
      <c r="A149" s="549" t="s">
        <v>46</v>
      </c>
      <c r="B149" s="549" t="s">
        <v>199</v>
      </c>
      <c r="C149" s="549" t="s">
        <v>208</v>
      </c>
      <c r="D149" s="549" t="s">
        <v>47</v>
      </c>
      <c r="E149" s="469" t="s">
        <v>1323</v>
      </c>
      <c r="F149" s="547"/>
      <c r="G149" s="547">
        <f t="shared" si="21"/>
        <v>22258032</v>
      </c>
      <c r="H149" s="547">
        <f>'d3'!E199</f>
        <v>22258032</v>
      </c>
      <c r="I149" s="584">
        <f>'d3'!J199</f>
        <v>0</v>
      </c>
      <c r="J149" s="547">
        <f>'d3'!K199</f>
        <v>0</v>
      </c>
      <c r="K149" s="640"/>
      <c r="L149" s="640"/>
      <c r="M149" s="640"/>
    </row>
    <row r="150" spans="1:17" ht="276" thickTop="1" thickBot="1" x14ac:dyDescent="0.25">
      <c r="A150" s="549" t="s">
        <v>48</v>
      </c>
      <c r="B150" s="549" t="s">
        <v>200</v>
      </c>
      <c r="C150" s="549" t="s">
        <v>208</v>
      </c>
      <c r="D150" s="549" t="s">
        <v>4</v>
      </c>
      <c r="E150" s="469" t="s">
        <v>1323</v>
      </c>
      <c r="F150" s="547"/>
      <c r="G150" s="547">
        <f t="shared" si="21"/>
        <v>3066200</v>
      </c>
      <c r="H150" s="547">
        <f>'d3'!E200</f>
        <v>3066200</v>
      </c>
      <c r="I150" s="584">
        <f>'d3'!J200</f>
        <v>0</v>
      </c>
      <c r="J150" s="547">
        <f>'d3'!K200</f>
        <v>0</v>
      </c>
      <c r="K150" s="640"/>
      <c r="L150" s="640"/>
      <c r="M150" s="640"/>
    </row>
    <row r="151" spans="1:17" ht="276" thickTop="1" thickBot="1" x14ac:dyDescent="0.25">
      <c r="A151" s="549" t="s">
        <v>49</v>
      </c>
      <c r="B151" s="549" t="s">
        <v>201</v>
      </c>
      <c r="C151" s="549" t="s">
        <v>208</v>
      </c>
      <c r="D151" s="549" t="s">
        <v>366</v>
      </c>
      <c r="E151" s="469" t="s">
        <v>1323</v>
      </c>
      <c r="F151" s="547"/>
      <c r="G151" s="547">
        <f t="shared" si="21"/>
        <v>53300</v>
      </c>
      <c r="H151" s="547">
        <f>'d3'!E202</f>
        <v>53300</v>
      </c>
      <c r="I151" s="584">
        <f>'d3'!J202</f>
        <v>0</v>
      </c>
      <c r="J151" s="547">
        <f>'d3'!K202</f>
        <v>0</v>
      </c>
      <c r="K151" s="640"/>
      <c r="L151" s="640"/>
      <c r="M151" s="640"/>
    </row>
    <row r="152" spans="1:17" ht="276" thickTop="1" thickBot="1" x14ac:dyDescent="0.25">
      <c r="A152" s="549" t="s">
        <v>28</v>
      </c>
      <c r="B152" s="549" t="s">
        <v>205</v>
      </c>
      <c r="C152" s="549" t="s">
        <v>208</v>
      </c>
      <c r="D152" s="549" t="s">
        <v>50</v>
      </c>
      <c r="E152" s="469" t="s">
        <v>1323</v>
      </c>
      <c r="F152" s="547"/>
      <c r="G152" s="547">
        <f t="shared" si="21"/>
        <v>65113753</v>
      </c>
      <c r="H152" s="547">
        <f>'d3'!E204-H153</f>
        <v>57087290</v>
      </c>
      <c r="I152" s="584">
        <f>'d3'!J204-I153</f>
        <v>8026463</v>
      </c>
      <c r="J152" s="547">
        <f>'d3'!K204-J153</f>
        <v>6259744</v>
      </c>
      <c r="K152" s="640"/>
      <c r="L152" s="640"/>
      <c r="M152" s="640"/>
    </row>
    <row r="153" spans="1:17" ht="230.25" hidden="1" thickTop="1" thickBot="1" x14ac:dyDescent="0.25">
      <c r="A153" s="549" t="s">
        <v>28</v>
      </c>
      <c r="B153" s="549" t="s">
        <v>205</v>
      </c>
      <c r="C153" s="549" t="s">
        <v>208</v>
      </c>
      <c r="D153" s="549" t="s">
        <v>50</v>
      </c>
      <c r="E153" s="469" t="s">
        <v>472</v>
      </c>
      <c r="F153" s="578" t="s">
        <v>473</v>
      </c>
      <c r="G153" s="547">
        <f>H153+I153</f>
        <v>0</v>
      </c>
      <c r="H153" s="583">
        <v>0</v>
      </c>
      <c r="I153" s="547">
        <v>0</v>
      </c>
      <c r="J153" s="547">
        <v>0</v>
      </c>
      <c r="K153" s="640"/>
      <c r="L153" s="640"/>
      <c r="M153" s="640"/>
    </row>
    <row r="154" spans="1:17" ht="276" thickTop="1" thickBot="1" x14ac:dyDescent="0.25">
      <c r="A154" s="549" t="s">
        <v>29</v>
      </c>
      <c r="B154" s="549" t="s">
        <v>206</v>
      </c>
      <c r="C154" s="549" t="s">
        <v>208</v>
      </c>
      <c r="D154" s="549" t="s">
        <v>51</v>
      </c>
      <c r="E154" s="469" t="s">
        <v>1323</v>
      </c>
      <c r="F154" s="547"/>
      <c r="G154" s="547">
        <f t="shared" ref="G154:G162" si="22">H154+I154</f>
        <v>5513990</v>
      </c>
      <c r="H154" s="547">
        <f>'d3'!E205</f>
        <v>5513990</v>
      </c>
      <c r="I154" s="584">
        <f>'d3'!J205</f>
        <v>0</v>
      </c>
      <c r="J154" s="547">
        <f>'d3'!K205</f>
        <v>0</v>
      </c>
      <c r="K154" s="640"/>
      <c r="L154" s="640"/>
      <c r="M154" s="640"/>
    </row>
    <row r="155" spans="1:17" ht="276" thickTop="1" thickBot="1" x14ac:dyDescent="0.25">
      <c r="A155" s="595" t="s">
        <v>30</v>
      </c>
      <c r="B155" s="595" t="s">
        <v>207</v>
      </c>
      <c r="C155" s="595" t="s">
        <v>208</v>
      </c>
      <c r="D155" s="549" t="s">
        <v>31</v>
      </c>
      <c r="E155" s="469" t="s">
        <v>1323</v>
      </c>
      <c r="F155" s="547"/>
      <c r="G155" s="547">
        <f t="shared" si="22"/>
        <v>1016620</v>
      </c>
      <c r="H155" s="547">
        <f>'d3'!E207</f>
        <v>1016620</v>
      </c>
      <c r="I155" s="584">
        <f>'d3'!J207</f>
        <v>0</v>
      </c>
      <c r="J155" s="547">
        <f>'d3'!K207</f>
        <v>0</v>
      </c>
      <c r="K155" s="640"/>
      <c r="L155" s="640"/>
      <c r="M155" s="640"/>
    </row>
    <row r="156" spans="1:17" ht="276" thickTop="1" thickBot="1" x14ac:dyDescent="0.25">
      <c r="A156" s="595" t="s">
        <v>537</v>
      </c>
      <c r="B156" s="595" t="s">
        <v>535</v>
      </c>
      <c r="C156" s="595" t="s">
        <v>208</v>
      </c>
      <c r="D156" s="549" t="s">
        <v>536</v>
      </c>
      <c r="E156" s="469" t="s">
        <v>1323</v>
      </c>
      <c r="F156" s="547"/>
      <c r="G156" s="547">
        <f t="shared" si="22"/>
        <v>2490471</v>
      </c>
      <c r="H156" s="547">
        <f>'d3'!E208</f>
        <v>2490471</v>
      </c>
      <c r="I156" s="584">
        <f>'d3'!J208</f>
        <v>0</v>
      </c>
      <c r="J156" s="584">
        <f>'d3'!K208</f>
        <v>0</v>
      </c>
      <c r="K156" s="640"/>
      <c r="L156" s="640"/>
      <c r="M156" s="640"/>
    </row>
    <row r="157" spans="1:17" ht="276" thickTop="1" thickBot="1" x14ac:dyDescent="0.25">
      <c r="A157" s="595" t="s">
        <v>32</v>
      </c>
      <c r="B157" s="595" t="s">
        <v>209</v>
      </c>
      <c r="C157" s="595" t="s">
        <v>208</v>
      </c>
      <c r="D157" s="549" t="s">
        <v>33</v>
      </c>
      <c r="E157" s="469" t="s">
        <v>1323</v>
      </c>
      <c r="F157" s="547"/>
      <c r="G157" s="547">
        <f t="shared" si="22"/>
        <v>1754375</v>
      </c>
      <c r="H157" s="547">
        <f>'d3'!E209</f>
        <v>1754375</v>
      </c>
      <c r="I157" s="584">
        <f>'d3'!J209</f>
        <v>0</v>
      </c>
      <c r="J157" s="547">
        <f>'d3'!K209</f>
        <v>0</v>
      </c>
      <c r="K157" s="640"/>
      <c r="L157" s="640"/>
      <c r="M157" s="640"/>
    </row>
    <row r="158" spans="1:17" ht="276" thickTop="1" thickBot="1" x14ac:dyDescent="0.25">
      <c r="A158" s="595" t="s">
        <v>358</v>
      </c>
      <c r="B158" s="595" t="s">
        <v>357</v>
      </c>
      <c r="C158" s="595" t="s">
        <v>356</v>
      </c>
      <c r="D158" s="549" t="s">
        <v>687</v>
      </c>
      <c r="E158" s="469" t="s">
        <v>1323</v>
      </c>
      <c r="F158" s="547"/>
      <c r="G158" s="547">
        <f t="shared" si="22"/>
        <v>39000</v>
      </c>
      <c r="H158" s="547">
        <f>'d3'!E212</f>
        <v>39000</v>
      </c>
      <c r="I158" s="584">
        <f>'d3'!J212</f>
        <v>0</v>
      </c>
      <c r="J158" s="584">
        <f>'d3'!K212</f>
        <v>0</v>
      </c>
      <c r="K158" s="640"/>
      <c r="L158" s="640"/>
      <c r="M158" s="640"/>
    </row>
    <row r="159" spans="1:17" s="222" customFormat="1" ht="321.75" hidden="1" thickTop="1" thickBot="1" x14ac:dyDescent="0.25">
      <c r="A159" s="549" t="s">
        <v>1227</v>
      </c>
      <c r="B159" s="549" t="s">
        <v>327</v>
      </c>
      <c r="C159" s="549" t="s">
        <v>318</v>
      </c>
      <c r="D159" s="549" t="s">
        <v>673</v>
      </c>
      <c r="E159" s="469" t="s">
        <v>626</v>
      </c>
      <c r="F159" s="547" t="s">
        <v>427</v>
      </c>
      <c r="G159" s="547">
        <f t="shared" si="22"/>
        <v>0</v>
      </c>
      <c r="H159" s="547">
        <f>'d3'!E216</f>
        <v>0</v>
      </c>
      <c r="I159" s="584">
        <f>'d3'!J216</f>
        <v>0</v>
      </c>
      <c r="J159" s="584">
        <f>'d3'!K216</f>
        <v>0</v>
      </c>
      <c r="K159" s="640"/>
      <c r="L159" s="640"/>
      <c r="M159" s="640"/>
      <c r="N159" s="223"/>
      <c r="O159" s="223"/>
      <c r="P159" s="223"/>
      <c r="Q159" s="223"/>
    </row>
    <row r="160" spans="1:17" s="133" customFormat="1" ht="276" thickTop="1" thickBot="1" x14ac:dyDescent="0.25">
      <c r="A160" s="549" t="s">
        <v>648</v>
      </c>
      <c r="B160" s="549" t="s">
        <v>210</v>
      </c>
      <c r="C160" s="549" t="s">
        <v>179</v>
      </c>
      <c r="D160" s="549" t="s">
        <v>36</v>
      </c>
      <c r="E160" s="469" t="s">
        <v>1323</v>
      </c>
      <c r="F160" s="547"/>
      <c r="G160" s="547">
        <f t="shared" ref="G160" si="23">H160+I160</f>
        <v>300000</v>
      </c>
      <c r="H160" s="547">
        <f>'d3'!E218</f>
        <v>0</v>
      </c>
      <c r="I160" s="584">
        <f>'d3'!J218</f>
        <v>300000</v>
      </c>
      <c r="J160" s="584">
        <f>'d3'!K218</f>
        <v>300000</v>
      </c>
      <c r="K160" s="640"/>
      <c r="L160" s="640"/>
      <c r="M160" s="640"/>
      <c r="N160" s="134"/>
      <c r="O160" s="134"/>
      <c r="P160" s="134"/>
      <c r="Q160" s="134"/>
    </row>
    <row r="161" spans="1:17" ht="276" thickTop="1" thickBot="1" x14ac:dyDescent="0.25">
      <c r="A161" s="595" t="s">
        <v>480</v>
      </c>
      <c r="B161" s="595" t="s">
        <v>482</v>
      </c>
      <c r="C161" s="595" t="s">
        <v>52</v>
      </c>
      <c r="D161" s="549" t="s">
        <v>479</v>
      </c>
      <c r="E161" s="469" t="s">
        <v>1323</v>
      </c>
      <c r="F161" s="547"/>
      <c r="G161" s="547">
        <f t="shared" si="22"/>
        <v>650000</v>
      </c>
      <c r="H161" s="547">
        <f>'d4'!F17</f>
        <v>500000</v>
      </c>
      <c r="I161" s="584">
        <f>'d4'!G17</f>
        <v>150000</v>
      </c>
      <c r="J161" s="584">
        <f>'d4'!H17</f>
        <v>0</v>
      </c>
      <c r="K161" s="640"/>
      <c r="L161" s="640"/>
      <c r="M161" s="640"/>
    </row>
    <row r="162" spans="1:17" s="224" customFormat="1" ht="321.75" hidden="1" thickTop="1" thickBot="1" x14ac:dyDescent="0.25">
      <c r="A162" s="261" t="s">
        <v>1237</v>
      </c>
      <c r="B162" s="261" t="s">
        <v>380</v>
      </c>
      <c r="C162" s="261" t="s">
        <v>45</v>
      </c>
      <c r="D162" s="261" t="s">
        <v>381</v>
      </c>
      <c r="E162" s="360" t="s">
        <v>626</v>
      </c>
      <c r="F162" s="333" t="s">
        <v>427</v>
      </c>
      <c r="G162" s="333">
        <f t="shared" si="22"/>
        <v>0</v>
      </c>
      <c r="H162" s="333">
        <f>'d3'!E221</f>
        <v>0</v>
      </c>
      <c r="I162" s="365">
        <f>'d3'!J221</f>
        <v>0</v>
      </c>
      <c r="J162" s="365">
        <f>'d3'!K221</f>
        <v>0</v>
      </c>
      <c r="K162" s="640"/>
      <c r="L162" s="640"/>
      <c r="M162" s="640"/>
      <c r="N162" s="225"/>
      <c r="O162" s="225"/>
      <c r="P162" s="225"/>
      <c r="Q162" s="225"/>
    </row>
    <row r="163" spans="1:17" s="98" customFormat="1" ht="181.5" thickTop="1" thickBot="1" x14ac:dyDescent="0.25">
      <c r="A163" s="450" t="s">
        <v>167</v>
      </c>
      <c r="B163" s="450"/>
      <c r="C163" s="450"/>
      <c r="D163" s="451" t="s">
        <v>593</v>
      </c>
      <c r="E163" s="450"/>
      <c r="F163" s="450"/>
      <c r="G163" s="453">
        <f>G164</f>
        <v>50171156</v>
      </c>
      <c r="H163" s="453">
        <f t="shared" ref="H163:J163" si="24">H164</f>
        <v>19234830</v>
      </c>
      <c r="I163" s="453">
        <f t="shared" si="24"/>
        <v>30936326</v>
      </c>
      <c r="J163" s="453">
        <f t="shared" si="24"/>
        <v>30052326</v>
      </c>
      <c r="K163" s="739" t="b">
        <f>H163='d3'!E222-'d3'!E225+'d7'!H165</f>
        <v>1</v>
      </c>
      <c r="L163" s="739" t="b">
        <f>I163='d3'!J222-'d3'!J225+I165</f>
        <v>1</v>
      </c>
      <c r="M163" s="739" t="b">
        <f>J163='d3'!K222-'d3'!K225+J165</f>
        <v>1</v>
      </c>
      <c r="N163" s="105"/>
      <c r="O163" s="105"/>
      <c r="P163" s="105"/>
      <c r="Q163" s="105"/>
    </row>
    <row r="164" spans="1:17" s="98" customFormat="1" ht="181.5" thickTop="1" thickBot="1" x14ac:dyDescent="0.25">
      <c r="A164" s="454" t="s">
        <v>168</v>
      </c>
      <c r="B164" s="454"/>
      <c r="C164" s="454"/>
      <c r="D164" s="455" t="s">
        <v>594</v>
      </c>
      <c r="E164" s="456"/>
      <c r="F164" s="456"/>
      <c r="G164" s="456">
        <f>SUM(G165:G180)</f>
        <v>50171156</v>
      </c>
      <c r="H164" s="456">
        <f>SUM(H165:H180)</f>
        <v>19234830</v>
      </c>
      <c r="I164" s="456">
        <f>SUM(I165:I180)</f>
        <v>30936326</v>
      </c>
      <c r="J164" s="456">
        <f>SUM(J165:J180)</f>
        <v>30052326</v>
      </c>
      <c r="K164" s="640"/>
      <c r="L164" s="640"/>
      <c r="M164" s="640"/>
      <c r="N164" s="105"/>
      <c r="O164" s="105"/>
      <c r="P164" s="105"/>
      <c r="Q164" s="105"/>
    </row>
    <row r="165" spans="1:17" s="98" customFormat="1" ht="230.25" thickTop="1" thickBot="1" x14ac:dyDescent="0.25">
      <c r="A165" s="226" t="s">
        <v>440</v>
      </c>
      <c r="B165" s="226" t="s">
        <v>249</v>
      </c>
      <c r="C165" s="226" t="s">
        <v>247</v>
      </c>
      <c r="D165" s="226" t="s">
        <v>248</v>
      </c>
      <c r="E165" s="467" t="s">
        <v>1143</v>
      </c>
      <c r="F165" s="468" t="s">
        <v>910</v>
      </c>
      <c r="G165" s="468">
        <f t="shared" ref="G165:G205" si="25">H165+I165</f>
        <v>75000</v>
      </c>
      <c r="H165" s="473"/>
      <c r="I165" s="474">
        <v>75000</v>
      </c>
      <c r="J165" s="474">
        <v>75000</v>
      </c>
      <c r="K165" s="640"/>
      <c r="L165" s="640"/>
      <c r="M165" s="640"/>
      <c r="N165" s="105"/>
      <c r="O165" s="105"/>
      <c r="P165" s="105"/>
      <c r="Q165" s="105"/>
    </row>
    <row r="166" spans="1:17" s="138" customFormat="1" ht="409.6" thickTop="1" thickBot="1" x14ac:dyDescent="0.25">
      <c r="A166" s="464" t="s">
        <v>675</v>
      </c>
      <c r="B166" s="464" t="s">
        <v>379</v>
      </c>
      <c r="C166" s="464" t="s">
        <v>668</v>
      </c>
      <c r="D166" s="464" t="s">
        <v>669</v>
      </c>
      <c r="E166" s="467" t="s">
        <v>1330</v>
      </c>
      <c r="F166" s="711"/>
      <c r="G166" s="468">
        <f t="shared" si="25"/>
        <v>12000</v>
      </c>
      <c r="H166" s="473">
        <f>'d3'!E226</f>
        <v>12000</v>
      </c>
      <c r="I166" s="474"/>
      <c r="J166" s="474"/>
      <c r="K166" s="640"/>
      <c r="L166" s="640"/>
      <c r="M166" s="640"/>
      <c r="N166" s="139"/>
      <c r="O166" s="139"/>
      <c r="P166" s="139"/>
      <c r="Q166" s="139"/>
    </row>
    <row r="167" spans="1:17" s="436" customFormat="1" ht="230.25" thickTop="1" thickBot="1" x14ac:dyDescent="0.25">
      <c r="A167" s="489" t="s">
        <v>1305</v>
      </c>
      <c r="B167" s="489" t="s">
        <v>45</v>
      </c>
      <c r="C167" s="489" t="s">
        <v>44</v>
      </c>
      <c r="D167" s="489" t="s">
        <v>261</v>
      </c>
      <c r="E167" s="467" t="s">
        <v>1339</v>
      </c>
      <c r="F167" s="502"/>
      <c r="G167" s="502">
        <f t="shared" ref="G167" si="26">H167+I167</f>
        <v>22830</v>
      </c>
      <c r="H167" s="473">
        <f>'d3'!E227</f>
        <v>22830</v>
      </c>
      <c r="I167" s="474"/>
      <c r="J167" s="474"/>
      <c r="K167" s="640"/>
      <c r="L167" s="640"/>
      <c r="M167" s="640"/>
      <c r="N167" s="443"/>
      <c r="O167" s="443"/>
      <c r="P167" s="443"/>
      <c r="Q167" s="443"/>
    </row>
    <row r="168" spans="1:17" s="98" customFormat="1" ht="230.25" thickTop="1" thickBot="1" x14ac:dyDescent="0.25">
      <c r="A168" s="917" t="s">
        <v>293</v>
      </c>
      <c r="B168" s="917" t="s">
        <v>294</v>
      </c>
      <c r="C168" s="917" t="s">
        <v>356</v>
      </c>
      <c r="D168" s="917" t="s">
        <v>295</v>
      </c>
      <c r="E168" s="467" t="s">
        <v>1339</v>
      </c>
      <c r="F168" s="502"/>
      <c r="G168" s="912">
        <f t="shared" si="25"/>
        <v>6008600</v>
      </c>
      <c r="H168" s="912">
        <f>'d3'!E230</f>
        <v>1500000</v>
      </c>
      <c r="I168" s="912">
        <f>'d3'!J230</f>
        <v>4508600</v>
      </c>
      <c r="J168" s="912">
        <f>'d3'!K230</f>
        <v>4508600</v>
      </c>
      <c r="K168" s="640"/>
      <c r="L168" s="640"/>
      <c r="M168" s="640"/>
      <c r="N168" s="105"/>
      <c r="O168" s="105"/>
      <c r="P168" s="105"/>
      <c r="Q168" s="105"/>
    </row>
    <row r="169" spans="1:17" s="98" customFormat="1" ht="276" customHeight="1" thickTop="1" thickBot="1" x14ac:dyDescent="0.25">
      <c r="A169" s="919"/>
      <c r="B169" s="919"/>
      <c r="C169" s="919"/>
      <c r="D169" s="919"/>
      <c r="E169" s="578" t="s">
        <v>1045</v>
      </c>
      <c r="F169" s="578" t="s">
        <v>622</v>
      </c>
      <c r="G169" s="925"/>
      <c r="H169" s="925"/>
      <c r="I169" s="925"/>
      <c r="J169" s="925"/>
      <c r="K169" s="640"/>
      <c r="L169" s="640"/>
      <c r="M169" s="640"/>
      <c r="N169" s="105"/>
      <c r="O169" s="105"/>
      <c r="P169" s="105"/>
      <c r="Q169" s="105"/>
    </row>
    <row r="170" spans="1:17" s="98" customFormat="1" ht="230.25" thickTop="1" thickBot="1" x14ac:dyDescent="0.25">
      <c r="A170" s="499" t="s">
        <v>315</v>
      </c>
      <c r="B170" s="499" t="s">
        <v>316</v>
      </c>
      <c r="C170" s="499" t="s">
        <v>296</v>
      </c>
      <c r="D170" s="499" t="s">
        <v>317</v>
      </c>
      <c r="E170" s="467" t="s">
        <v>1339</v>
      </c>
      <c r="F170" s="502"/>
      <c r="G170" s="502">
        <f t="shared" si="25"/>
        <v>3000000</v>
      </c>
      <c r="H170" s="473">
        <f>'d3'!E231</f>
        <v>0</v>
      </c>
      <c r="I170" s="474">
        <f>'d3'!J231</f>
        <v>3000000</v>
      </c>
      <c r="J170" s="474">
        <f>'d3'!K231</f>
        <v>3000000</v>
      </c>
      <c r="K170" s="640"/>
      <c r="L170" s="640"/>
      <c r="M170" s="640"/>
      <c r="N170" s="105"/>
      <c r="O170" s="105"/>
      <c r="P170" s="105"/>
      <c r="Q170" s="105"/>
    </row>
    <row r="171" spans="1:17" s="98" customFormat="1" ht="230.25" thickTop="1" thickBot="1" x14ac:dyDescent="0.25">
      <c r="A171" s="917" t="s">
        <v>297</v>
      </c>
      <c r="B171" s="917" t="s">
        <v>298</v>
      </c>
      <c r="C171" s="917" t="s">
        <v>296</v>
      </c>
      <c r="D171" s="917" t="s">
        <v>489</v>
      </c>
      <c r="E171" s="467" t="s">
        <v>1339</v>
      </c>
      <c r="F171" s="502"/>
      <c r="G171" s="502">
        <f t="shared" si="25"/>
        <v>35200000</v>
      </c>
      <c r="H171" s="579">
        <f>'d3'!E232-H172</f>
        <v>16700000</v>
      </c>
      <c r="I171" s="474">
        <f>'d3'!J232-'d7'!I172</f>
        <v>18500000</v>
      </c>
      <c r="J171" s="474">
        <f>'d3'!K232-'d7'!J172</f>
        <v>18500000</v>
      </c>
      <c r="K171" s="640"/>
      <c r="L171" s="640"/>
      <c r="M171" s="640"/>
      <c r="N171" s="105"/>
      <c r="O171" s="105"/>
      <c r="P171" s="105"/>
      <c r="Q171" s="105"/>
    </row>
    <row r="172" spans="1:17" s="98" customFormat="1" ht="47.25" hidden="1" thickTop="1" thickBot="1" x14ac:dyDescent="0.25">
      <c r="A172" s="918"/>
      <c r="B172" s="918"/>
      <c r="C172" s="918"/>
      <c r="D172" s="918"/>
      <c r="E172" s="467"/>
      <c r="F172" s="502"/>
      <c r="G172" s="502">
        <f t="shared" si="25"/>
        <v>0</v>
      </c>
      <c r="H172" s="579">
        <v>0</v>
      </c>
      <c r="I172" s="365">
        <v>0</v>
      </c>
      <c r="J172" s="365">
        <v>0</v>
      </c>
      <c r="K172" s="640"/>
      <c r="L172" s="640"/>
      <c r="M172" s="640"/>
      <c r="N172" s="105"/>
      <c r="O172" s="105"/>
      <c r="P172" s="105"/>
      <c r="Q172" s="105"/>
    </row>
    <row r="173" spans="1:17" s="168" customFormat="1" ht="267" hidden="1" thickTop="1" thickBot="1" x14ac:dyDescent="0.25">
      <c r="A173" s="261" t="s">
        <v>996</v>
      </c>
      <c r="B173" s="261" t="s">
        <v>311</v>
      </c>
      <c r="C173" s="261" t="s">
        <v>296</v>
      </c>
      <c r="D173" s="261" t="s">
        <v>312</v>
      </c>
      <c r="E173" s="366" t="s">
        <v>620</v>
      </c>
      <c r="F173" s="359" t="s">
        <v>621</v>
      </c>
      <c r="G173" s="333">
        <f t="shared" ref="G173" si="27">H173+I173</f>
        <v>0</v>
      </c>
      <c r="H173" s="359">
        <f>'d3'!E233</f>
        <v>0</v>
      </c>
      <c r="I173" s="365">
        <f>'d3'!J233</f>
        <v>0</v>
      </c>
      <c r="J173" s="365">
        <f>'d3'!K233</f>
        <v>0</v>
      </c>
      <c r="K173" s="640"/>
      <c r="L173" s="640"/>
      <c r="M173" s="640"/>
      <c r="N173" s="169"/>
      <c r="O173" s="169"/>
      <c r="P173" s="169"/>
      <c r="Q173" s="169"/>
    </row>
    <row r="174" spans="1:17" s="98" customFormat="1" ht="267" hidden="1" thickTop="1" thickBot="1" x14ac:dyDescent="0.25">
      <c r="A174" s="261" t="s">
        <v>301</v>
      </c>
      <c r="B174" s="261" t="s">
        <v>302</v>
      </c>
      <c r="C174" s="261" t="s">
        <v>296</v>
      </c>
      <c r="D174" s="261" t="s">
        <v>303</v>
      </c>
      <c r="E174" s="366" t="s">
        <v>620</v>
      </c>
      <c r="F174" s="359" t="s">
        <v>621</v>
      </c>
      <c r="G174" s="333">
        <f t="shared" si="25"/>
        <v>0</v>
      </c>
      <c r="H174" s="359">
        <f>'d3'!E234</f>
        <v>0</v>
      </c>
      <c r="I174" s="365">
        <f>'d3'!J234</f>
        <v>0</v>
      </c>
      <c r="J174" s="365">
        <f>'d3'!K234</f>
        <v>0</v>
      </c>
      <c r="K174" s="640"/>
      <c r="L174" s="640"/>
      <c r="M174" s="640"/>
      <c r="N174" s="105"/>
      <c r="O174" s="105"/>
      <c r="P174" s="105"/>
      <c r="Q174" s="105"/>
    </row>
    <row r="175" spans="1:17" s="436" customFormat="1" ht="184.5" thickTop="1" thickBot="1" x14ac:dyDescent="0.25">
      <c r="A175" s="499" t="s">
        <v>1310</v>
      </c>
      <c r="B175" s="499" t="s">
        <v>319</v>
      </c>
      <c r="C175" s="499" t="s">
        <v>318</v>
      </c>
      <c r="D175" s="499" t="s">
        <v>670</v>
      </c>
      <c r="E175" s="467" t="s">
        <v>1307</v>
      </c>
      <c r="F175" s="502" t="s">
        <v>1308</v>
      </c>
      <c r="G175" s="502">
        <f t="shared" si="25"/>
        <v>1968726</v>
      </c>
      <c r="H175" s="581">
        <f>'d3'!E237</f>
        <v>0</v>
      </c>
      <c r="I175" s="582">
        <f>'d3'!J237</f>
        <v>1968726</v>
      </c>
      <c r="J175" s="582">
        <f>'d3'!K237</f>
        <v>1968726</v>
      </c>
      <c r="K175" s="640"/>
      <c r="L175" s="640"/>
      <c r="M175" s="640"/>
      <c r="N175" s="443"/>
      <c r="O175" s="443"/>
      <c r="P175" s="443"/>
      <c r="Q175" s="443"/>
    </row>
    <row r="176" spans="1:17" s="98" customFormat="1" ht="409.6" customHeight="1" thickTop="1" thickBot="1" x14ac:dyDescent="0.25">
      <c r="A176" s="917" t="s">
        <v>310</v>
      </c>
      <c r="B176" s="917" t="s">
        <v>225</v>
      </c>
      <c r="C176" s="917" t="s">
        <v>226</v>
      </c>
      <c r="D176" s="917" t="s">
        <v>43</v>
      </c>
      <c r="E176" s="580" t="s">
        <v>1129</v>
      </c>
      <c r="F176" s="502" t="s">
        <v>627</v>
      </c>
      <c r="G176" s="912">
        <f>H176+I176</f>
        <v>3000000</v>
      </c>
      <c r="H176" s="912">
        <f>'d3'!E239</f>
        <v>1000000</v>
      </c>
      <c r="I176" s="912">
        <f>'d3'!J239</f>
        <v>2000000</v>
      </c>
      <c r="J176" s="912">
        <f>'d3'!K239</f>
        <v>2000000</v>
      </c>
      <c r="K176" s="640"/>
      <c r="L176" s="640"/>
      <c r="M176" s="640"/>
      <c r="N176" s="105"/>
      <c r="O176" s="105"/>
      <c r="P176" s="105"/>
      <c r="Q176" s="105"/>
    </row>
    <row r="177" spans="1:17" s="98" customFormat="1" ht="184.5" thickTop="1" thickBot="1" x14ac:dyDescent="0.25">
      <c r="A177" s="918"/>
      <c r="B177" s="918"/>
      <c r="C177" s="918"/>
      <c r="D177" s="918"/>
      <c r="E177" s="469" t="s">
        <v>1128</v>
      </c>
      <c r="F177" s="502" t="s">
        <v>628</v>
      </c>
      <c r="G177" s="913"/>
      <c r="H177" s="913"/>
      <c r="I177" s="913"/>
      <c r="J177" s="913"/>
      <c r="K177" s="640"/>
      <c r="L177" s="640"/>
      <c r="M177" s="640"/>
      <c r="N177" s="105"/>
      <c r="O177" s="105"/>
      <c r="P177" s="105"/>
      <c r="Q177" s="105"/>
    </row>
    <row r="178" spans="1:17" s="164" customFormat="1" ht="267" hidden="1" thickTop="1" thickBot="1" x14ac:dyDescent="0.25">
      <c r="A178" s="261" t="s">
        <v>983</v>
      </c>
      <c r="B178" s="261" t="s">
        <v>210</v>
      </c>
      <c r="C178" s="261" t="s">
        <v>179</v>
      </c>
      <c r="D178" s="261" t="s">
        <v>36</v>
      </c>
      <c r="E178" s="366" t="s">
        <v>620</v>
      </c>
      <c r="F178" s="359" t="s">
        <v>621</v>
      </c>
      <c r="G178" s="333">
        <f t="shared" si="25"/>
        <v>0</v>
      </c>
      <c r="H178" s="359">
        <f>'d3'!E240</f>
        <v>0</v>
      </c>
      <c r="I178" s="365">
        <f>'d3'!J240</f>
        <v>0</v>
      </c>
      <c r="J178" s="365">
        <f>'d3'!K240</f>
        <v>0</v>
      </c>
      <c r="K178" s="640"/>
      <c r="L178" s="640"/>
      <c r="M178" s="640"/>
      <c r="N178" s="165"/>
      <c r="O178" s="165"/>
      <c r="P178" s="165"/>
      <c r="Q178" s="165"/>
    </row>
    <row r="179" spans="1:17" s="127" customFormat="1" ht="409.6" customHeight="1" thickTop="1" thickBot="1" x14ac:dyDescent="0.7">
      <c r="A179" s="799" t="s">
        <v>443</v>
      </c>
      <c r="B179" s="799" t="s">
        <v>354</v>
      </c>
      <c r="C179" s="799" t="s">
        <v>179</v>
      </c>
      <c r="D179" s="507" t="s">
        <v>462</v>
      </c>
      <c r="E179" s="799" t="s">
        <v>1306</v>
      </c>
      <c r="F179" s="799"/>
      <c r="G179" s="912">
        <f t="shared" si="25"/>
        <v>884000</v>
      </c>
      <c r="H179" s="912">
        <f>'d3'!E242</f>
        <v>0</v>
      </c>
      <c r="I179" s="912">
        <f>'d3'!J242</f>
        <v>884000</v>
      </c>
      <c r="J179" s="912">
        <f>'d3'!K242</f>
        <v>0</v>
      </c>
      <c r="K179" s="640"/>
      <c r="L179" s="640"/>
      <c r="M179" s="640"/>
      <c r="N179" s="128"/>
      <c r="O179" s="128"/>
      <c r="P179" s="128"/>
      <c r="Q179" s="128"/>
    </row>
    <row r="180" spans="1:17" s="127" customFormat="1" ht="184.5" thickTop="1" thickBot="1" x14ac:dyDescent="0.25">
      <c r="A180" s="828"/>
      <c r="B180" s="828"/>
      <c r="C180" s="828"/>
      <c r="D180" s="508" t="s">
        <v>463</v>
      </c>
      <c r="E180" s="828"/>
      <c r="F180" s="828"/>
      <c r="G180" s="914"/>
      <c r="H180" s="914"/>
      <c r="I180" s="914"/>
      <c r="J180" s="914"/>
      <c r="K180" s="640"/>
      <c r="L180" s="640"/>
      <c r="M180" s="640"/>
      <c r="N180" s="128"/>
      <c r="O180" s="128"/>
      <c r="P180" s="128"/>
      <c r="Q180" s="128"/>
    </row>
    <row r="181" spans="1:17" s="98" customFormat="1" ht="181.5" thickTop="1" thickBot="1" x14ac:dyDescent="0.25">
      <c r="A181" s="450" t="s">
        <v>572</v>
      </c>
      <c r="B181" s="450"/>
      <c r="C181" s="450"/>
      <c r="D181" s="451" t="s">
        <v>591</v>
      </c>
      <c r="E181" s="450"/>
      <c r="F181" s="450"/>
      <c r="G181" s="453">
        <f>H181+I181</f>
        <v>464256513</v>
      </c>
      <c r="H181" s="453">
        <f>H182</f>
        <v>331956513</v>
      </c>
      <c r="I181" s="453">
        <f>I182</f>
        <v>132300000</v>
      </c>
      <c r="J181" s="453">
        <f>J182</f>
        <v>131000000</v>
      </c>
      <c r="K181" s="739" t="b">
        <f>H181='d3'!E245-'d3'!E247+'d7'!H183</f>
        <v>1</v>
      </c>
      <c r="L181" s="739" t="b">
        <f>I181='d3'!J245-'d3'!J247+'d7'!I183</f>
        <v>1</v>
      </c>
      <c r="M181" s="739" t="b">
        <f>J181='d3'!K245-'d3'!K247+'d7'!J183</f>
        <v>1</v>
      </c>
      <c r="N181" s="105"/>
      <c r="O181" s="105"/>
      <c r="P181" s="105"/>
      <c r="Q181" s="105"/>
    </row>
    <row r="182" spans="1:17" s="98" customFormat="1" ht="207.75" customHeight="1" thickTop="1" thickBot="1" x14ac:dyDescent="0.25">
      <c r="A182" s="454" t="s">
        <v>573</v>
      </c>
      <c r="B182" s="454"/>
      <c r="C182" s="454"/>
      <c r="D182" s="455" t="s">
        <v>592</v>
      </c>
      <c r="E182" s="456"/>
      <c r="F182" s="456"/>
      <c r="G182" s="456">
        <f>SUM(G183:G205)</f>
        <v>464256513</v>
      </c>
      <c r="H182" s="456">
        <f>SUM(H183:H205)</f>
        <v>331956513</v>
      </c>
      <c r="I182" s="456">
        <f>SUM(I183:I205)</f>
        <v>132300000</v>
      </c>
      <c r="J182" s="456">
        <f>SUM(J183:J205)</f>
        <v>131000000</v>
      </c>
      <c r="K182" s="640"/>
      <c r="L182" s="640"/>
      <c r="M182" s="640"/>
      <c r="N182" s="105"/>
      <c r="O182" s="105"/>
      <c r="P182" s="105"/>
      <c r="Q182" s="105"/>
    </row>
    <row r="183" spans="1:17" s="98" customFormat="1" ht="340.5" hidden="1" customHeight="1" thickTop="1" thickBot="1" x14ac:dyDescent="0.25">
      <c r="A183" s="261" t="s">
        <v>574</v>
      </c>
      <c r="B183" s="261" t="s">
        <v>249</v>
      </c>
      <c r="C183" s="261" t="s">
        <v>247</v>
      </c>
      <c r="D183" s="261" t="s">
        <v>244</v>
      </c>
      <c r="E183" s="357" t="s">
        <v>1143</v>
      </c>
      <c r="F183" s="333" t="s">
        <v>910</v>
      </c>
      <c r="G183" s="333">
        <f t="shared" si="25"/>
        <v>0</v>
      </c>
      <c r="H183" s="333">
        <v>0</v>
      </c>
      <c r="I183" s="333"/>
      <c r="J183" s="333"/>
      <c r="K183" s="640"/>
      <c r="L183" s="640"/>
      <c r="M183" s="640"/>
      <c r="N183" s="105"/>
      <c r="O183" s="105"/>
      <c r="P183" s="105"/>
      <c r="Q183" s="105"/>
    </row>
    <row r="184" spans="1:17" s="140" customFormat="1" ht="409.6" customHeight="1" thickTop="1" thickBot="1" x14ac:dyDescent="0.25">
      <c r="A184" s="464" t="s">
        <v>677</v>
      </c>
      <c r="B184" s="464" t="s">
        <v>379</v>
      </c>
      <c r="C184" s="464" t="s">
        <v>668</v>
      </c>
      <c r="D184" s="464" t="s">
        <v>669</v>
      </c>
      <c r="E184" s="467" t="s">
        <v>1330</v>
      </c>
      <c r="F184" s="711"/>
      <c r="G184" s="468">
        <f t="shared" ref="G184" si="28">H184+I184</f>
        <v>10000</v>
      </c>
      <c r="H184" s="473">
        <f>'d3'!E248</f>
        <v>10000</v>
      </c>
      <c r="I184" s="474"/>
      <c r="J184" s="474"/>
      <c r="K184" s="640"/>
      <c r="L184" s="640"/>
      <c r="M184" s="640"/>
      <c r="N184" s="141"/>
      <c r="O184" s="141"/>
      <c r="P184" s="141"/>
      <c r="Q184" s="141"/>
    </row>
    <row r="185" spans="1:17" s="98" customFormat="1" ht="230.25" thickTop="1" thickBot="1" x14ac:dyDescent="0.25">
      <c r="A185" s="499" t="s">
        <v>575</v>
      </c>
      <c r="B185" s="499" t="s">
        <v>45</v>
      </c>
      <c r="C185" s="499" t="s">
        <v>44</v>
      </c>
      <c r="D185" s="499" t="s">
        <v>261</v>
      </c>
      <c r="E185" s="467" t="s">
        <v>1339</v>
      </c>
      <c r="F185" s="502"/>
      <c r="G185" s="502">
        <f t="shared" si="25"/>
        <v>57611</v>
      </c>
      <c r="H185" s="502">
        <f>'d3'!E249</f>
        <v>57611</v>
      </c>
      <c r="I185" s="502">
        <f>'d3'!J249</f>
        <v>0</v>
      </c>
      <c r="J185" s="502">
        <f>'d3'!K249</f>
        <v>0</v>
      </c>
      <c r="K185" s="640"/>
      <c r="L185" s="640"/>
      <c r="M185" s="640"/>
      <c r="N185" s="105"/>
      <c r="O185" s="105"/>
      <c r="P185" s="105"/>
      <c r="Q185" s="105"/>
    </row>
    <row r="186" spans="1:17" s="98" customFormat="1" ht="230.25" thickTop="1" thickBot="1" x14ac:dyDescent="0.25">
      <c r="A186" s="499" t="s">
        <v>576</v>
      </c>
      <c r="B186" s="499" t="s">
        <v>394</v>
      </c>
      <c r="C186" s="499" t="s">
        <v>296</v>
      </c>
      <c r="D186" s="499" t="s">
        <v>395</v>
      </c>
      <c r="E186" s="467" t="s">
        <v>1339</v>
      </c>
      <c r="F186" s="502"/>
      <c r="G186" s="502">
        <f t="shared" si="25"/>
        <v>50000000</v>
      </c>
      <c r="H186" s="473">
        <f>'d3'!E252</f>
        <v>50000000</v>
      </c>
      <c r="I186" s="474">
        <f>'d3'!J252</f>
        <v>0</v>
      </c>
      <c r="J186" s="474">
        <f>'d3'!K252</f>
        <v>0</v>
      </c>
      <c r="K186" s="640"/>
      <c r="L186" s="640"/>
      <c r="M186" s="640"/>
      <c r="N186" s="105"/>
      <c r="O186" s="105"/>
      <c r="P186" s="105"/>
      <c r="Q186" s="105"/>
    </row>
    <row r="187" spans="1:17" s="98" customFormat="1" ht="230.25" thickTop="1" thickBot="1" x14ac:dyDescent="0.25">
      <c r="A187" s="499" t="s">
        <v>577</v>
      </c>
      <c r="B187" s="499" t="s">
        <v>299</v>
      </c>
      <c r="C187" s="499" t="s">
        <v>296</v>
      </c>
      <c r="D187" s="499" t="s">
        <v>300</v>
      </c>
      <c r="E187" s="467" t="s">
        <v>1339</v>
      </c>
      <c r="F187" s="502"/>
      <c r="G187" s="502">
        <f t="shared" si="25"/>
        <v>900000</v>
      </c>
      <c r="H187" s="473">
        <f>'d3'!E253</f>
        <v>650000</v>
      </c>
      <c r="I187" s="474">
        <f>'d3'!J253</f>
        <v>250000</v>
      </c>
      <c r="J187" s="474">
        <f>'d3'!K253</f>
        <v>250000</v>
      </c>
      <c r="K187" s="640"/>
      <c r="L187" s="640"/>
      <c r="M187" s="640"/>
      <c r="N187" s="105"/>
      <c r="O187" s="105"/>
      <c r="P187" s="105"/>
      <c r="Q187" s="105"/>
    </row>
    <row r="188" spans="1:17" s="98" customFormat="1" ht="230.25" thickTop="1" thickBot="1" x14ac:dyDescent="0.25">
      <c r="A188" s="499" t="s">
        <v>578</v>
      </c>
      <c r="B188" s="499" t="s">
        <v>311</v>
      </c>
      <c r="C188" s="499" t="s">
        <v>296</v>
      </c>
      <c r="D188" s="499" t="s">
        <v>312</v>
      </c>
      <c r="E188" s="467" t="s">
        <v>1339</v>
      </c>
      <c r="F188" s="502"/>
      <c r="G188" s="502">
        <f t="shared" si="25"/>
        <v>2574000</v>
      </c>
      <c r="H188" s="473">
        <f>'d3'!E254</f>
        <v>2574000</v>
      </c>
      <c r="I188" s="474">
        <f>'d3'!J254</f>
        <v>0</v>
      </c>
      <c r="J188" s="474">
        <f>'d3'!K254</f>
        <v>0</v>
      </c>
      <c r="K188" s="640"/>
      <c r="L188" s="640"/>
      <c r="M188" s="640"/>
      <c r="N188" s="105"/>
      <c r="O188" s="105"/>
      <c r="P188" s="105"/>
      <c r="Q188" s="105"/>
    </row>
    <row r="189" spans="1:17" s="98" customFormat="1" ht="184.5" hidden="1" customHeight="1" thickTop="1" thickBot="1" x14ac:dyDescent="0.25">
      <c r="A189" s="499"/>
      <c r="B189" s="499"/>
      <c r="C189" s="499"/>
      <c r="D189" s="499"/>
      <c r="E189" s="473" t="s">
        <v>934</v>
      </c>
      <c r="F189" s="502" t="s">
        <v>932</v>
      </c>
      <c r="G189" s="437"/>
      <c r="H189" s="441"/>
      <c r="I189" s="442"/>
      <c r="J189" s="442"/>
      <c r="K189" s="640"/>
      <c r="L189" s="640"/>
      <c r="M189" s="640"/>
      <c r="N189" s="105"/>
      <c r="O189" s="105"/>
      <c r="P189" s="105"/>
      <c r="Q189" s="105"/>
    </row>
    <row r="190" spans="1:17" s="98" customFormat="1" ht="230.25" hidden="1" thickTop="1" thickBot="1" x14ac:dyDescent="0.25">
      <c r="A190" s="917" t="s">
        <v>579</v>
      </c>
      <c r="B190" s="917">
        <v>6030</v>
      </c>
      <c r="C190" s="917" t="s">
        <v>296</v>
      </c>
      <c r="D190" s="917" t="s">
        <v>303</v>
      </c>
      <c r="E190" s="473" t="s">
        <v>623</v>
      </c>
      <c r="F190" s="578" t="s">
        <v>931</v>
      </c>
      <c r="G190" s="793">
        <f t="shared" si="25"/>
        <v>227417530</v>
      </c>
      <c r="H190" s="793">
        <f>'d3'!E255-H192</f>
        <v>222202530</v>
      </c>
      <c r="I190" s="793">
        <f>'d3'!J255-I192</f>
        <v>5215000</v>
      </c>
      <c r="J190" s="793">
        <f>'d3'!K255-J192</f>
        <v>5215000</v>
      </c>
      <c r="K190" s="640"/>
      <c r="L190" s="640"/>
      <c r="M190" s="640"/>
      <c r="N190" s="105"/>
      <c r="O190" s="105"/>
      <c r="P190" s="105"/>
      <c r="Q190" s="105"/>
    </row>
    <row r="191" spans="1:17" s="98" customFormat="1" ht="230.25" thickTop="1" thickBot="1" x14ac:dyDescent="0.25">
      <c r="A191" s="919"/>
      <c r="B191" s="919"/>
      <c r="C191" s="919"/>
      <c r="D191" s="919"/>
      <c r="E191" s="467" t="s">
        <v>1339</v>
      </c>
      <c r="F191" s="502"/>
      <c r="G191" s="932">
        <f t="shared" si="25"/>
        <v>0</v>
      </c>
      <c r="H191" s="932"/>
      <c r="I191" s="932"/>
      <c r="J191" s="932"/>
      <c r="K191" s="640"/>
      <c r="L191" s="640"/>
      <c r="M191" s="640"/>
      <c r="N191" s="105"/>
      <c r="O191" s="105"/>
      <c r="P191" s="105"/>
      <c r="Q191" s="105"/>
    </row>
    <row r="192" spans="1:17" s="151" customFormat="1" ht="230.25" thickTop="1" thickBot="1" x14ac:dyDescent="0.25">
      <c r="A192" s="925"/>
      <c r="B192" s="925"/>
      <c r="C192" s="925"/>
      <c r="D192" s="925"/>
      <c r="E192" s="473" t="s">
        <v>926</v>
      </c>
      <c r="F192" s="502" t="s">
        <v>925</v>
      </c>
      <c r="G192" s="502">
        <f>H192+I192</f>
        <v>7180412</v>
      </c>
      <c r="H192" s="474">
        <v>7180412</v>
      </c>
      <c r="I192" s="474"/>
      <c r="J192" s="474"/>
      <c r="K192" s="640"/>
      <c r="L192" s="640"/>
      <c r="M192" s="640"/>
      <c r="N192" s="152"/>
      <c r="O192" s="152"/>
      <c r="P192" s="152"/>
      <c r="Q192" s="152"/>
    </row>
    <row r="193" spans="1:17" s="436" customFormat="1" ht="230.25" thickTop="1" thickBot="1" x14ac:dyDescent="0.25">
      <c r="A193" s="499" t="s">
        <v>1312</v>
      </c>
      <c r="B193" s="499" t="s">
        <v>1313</v>
      </c>
      <c r="C193" s="499" t="s">
        <v>1314</v>
      </c>
      <c r="D193" s="499" t="s">
        <v>1311</v>
      </c>
      <c r="E193" s="467" t="s">
        <v>1339</v>
      </c>
      <c r="F193" s="502"/>
      <c r="G193" s="502">
        <f>H193+I193</f>
        <v>4723850</v>
      </c>
      <c r="H193" s="474">
        <f>'d3'!E256</f>
        <v>4723850</v>
      </c>
      <c r="I193" s="474">
        <f>'d3'!J256</f>
        <v>0</v>
      </c>
      <c r="J193" s="474">
        <f>'d3'!K256</f>
        <v>0</v>
      </c>
      <c r="K193" s="640"/>
      <c r="L193" s="640"/>
      <c r="M193" s="640"/>
      <c r="N193" s="443"/>
      <c r="O193" s="443"/>
      <c r="P193" s="443"/>
      <c r="Q193" s="443"/>
    </row>
    <row r="194" spans="1:17" s="98" customFormat="1" ht="230.25" thickTop="1" thickBot="1" x14ac:dyDescent="0.25">
      <c r="A194" s="499" t="s">
        <v>580</v>
      </c>
      <c r="B194" s="499" t="s">
        <v>319</v>
      </c>
      <c r="C194" s="499" t="s">
        <v>318</v>
      </c>
      <c r="D194" s="499" t="s">
        <v>492</v>
      </c>
      <c r="E194" s="467" t="s">
        <v>1339</v>
      </c>
      <c r="F194" s="502"/>
      <c r="G194" s="502">
        <f t="shared" si="25"/>
        <v>6670000</v>
      </c>
      <c r="H194" s="473">
        <f>'d3'!E259</f>
        <v>0</v>
      </c>
      <c r="I194" s="474">
        <f>'d3'!J259</f>
        <v>6670000</v>
      </c>
      <c r="J194" s="474">
        <f>'d3'!K259</f>
        <v>6670000</v>
      </c>
      <c r="K194" s="640"/>
      <c r="L194" s="640"/>
      <c r="M194" s="640"/>
      <c r="N194" s="105"/>
      <c r="O194" s="105"/>
      <c r="P194" s="105"/>
      <c r="Q194" s="105"/>
    </row>
    <row r="195" spans="1:17" s="98" customFormat="1" ht="184.5" thickTop="1" thickBot="1" x14ac:dyDescent="0.25">
      <c r="A195" s="799" t="s">
        <v>581</v>
      </c>
      <c r="B195" s="799" t="s">
        <v>307</v>
      </c>
      <c r="C195" s="799" t="s">
        <v>309</v>
      </c>
      <c r="D195" s="799" t="s">
        <v>308</v>
      </c>
      <c r="E195" s="473" t="s">
        <v>933</v>
      </c>
      <c r="F195" s="473" t="s">
        <v>950</v>
      </c>
      <c r="G195" s="930">
        <f>H195+I195</f>
        <v>136966000</v>
      </c>
      <c r="H195" s="930">
        <f>'d3'!E262</f>
        <v>41966000</v>
      </c>
      <c r="I195" s="931">
        <f>'d3'!J262</f>
        <v>95000000</v>
      </c>
      <c r="J195" s="931">
        <f>'d3'!K262</f>
        <v>95000000</v>
      </c>
      <c r="K195" s="640"/>
      <c r="L195" s="640"/>
      <c r="M195" s="640"/>
      <c r="N195" s="105"/>
      <c r="O195" s="105"/>
      <c r="P195" s="105"/>
      <c r="Q195" s="105"/>
    </row>
    <row r="196" spans="1:17" s="98" customFormat="1" ht="230.25" thickTop="1" thickBot="1" x14ac:dyDescent="0.25">
      <c r="A196" s="799"/>
      <c r="B196" s="799"/>
      <c r="C196" s="799"/>
      <c r="D196" s="799"/>
      <c r="E196" s="467" t="s">
        <v>1339</v>
      </c>
      <c r="F196" s="502"/>
      <c r="G196" s="930">
        <f t="shared" si="25"/>
        <v>0</v>
      </c>
      <c r="H196" s="930"/>
      <c r="I196" s="931"/>
      <c r="J196" s="931"/>
      <c r="K196" s="640"/>
      <c r="L196" s="640"/>
      <c r="M196" s="640"/>
      <c r="N196" s="105"/>
      <c r="O196" s="105"/>
      <c r="P196" s="105"/>
      <c r="Q196" s="105"/>
    </row>
    <row r="197" spans="1:17" s="98" customFormat="1" ht="47.25" hidden="1" thickTop="1" thickBot="1" x14ac:dyDescent="0.25">
      <c r="A197" s="799" t="s">
        <v>582</v>
      </c>
      <c r="B197" s="799" t="s">
        <v>225</v>
      </c>
      <c r="C197" s="799" t="s">
        <v>226</v>
      </c>
      <c r="D197" s="799" t="s">
        <v>43</v>
      </c>
      <c r="E197" s="467"/>
      <c r="F197" s="502"/>
      <c r="G197" s="930">
        <f t="shared" si="25"/>
        <v>12560000</v>
      </c>
      <c r="H197" s="930">
        <f>'d3'!E264</f>
        <v>0</v>
      </c>
      <c r="I197" s="930">
        <f>'d3'!J264</f>
        <v>12560000</v>
      </c>
      <c r="J197" s="930">
        <f>'d3'!K264</f>
        <v>12560000</v>
      </c>
      <c r="K197" s="640"/>
      <c r="L197" s="640"/>
      <c r="M197" s="640"/>
      <c r="N197" s="105"/>
      <c r="O197" s="105"/>
      <c r="P197" s="105"/>
      <c r="Q197" s="105"/>
    </row>
    <row r="198" spans="1:17" s="98" customFormat="1" ht="230.25" thickTop="1" thickBot="1" x14ac:dyDescent="0.25">
      <c r="A198" s="799"/>
      <c r="B198" s="799"/>
      <c r="C198" s="799"/>
      <c r="D198" s="799"/>
      <c r="E198" s="467" t="s">
        <v>1339</v>
      </c>
      <c r="F198" s="502"/>
      <c r="G198" s="930">
        <f t="shared" si="25"/>
        <v>0</v>
      </c>
      <c r="H198" s="930"/>
      <c r="I198" s="930"/>
      <c r="J198" s="930"/>
      <c r="K198" s="640"/>
      <c r="L198" s="640"/>
      <c r="M198" s="640"/>
      <c r="N198" s="105"/>
      <c r="O198" s="105"/>
      <c r="P198" s="105"/>
      <c r="Q198" s="105"/>
    </row>
    <row r="199" spans="1:17" s="98" customFormat="1" ht="276" customHeight="1" thickTop="1" thickBot="1" x14ac:dyDescent="0.25">
      <c r="A199" s="799" t="s">
        <v>583</v>
      </c>
      <c r="B199" s="799" t="s">
        <v>210</v>
      </c>
      <c r="C199" s="799" t="s">
        <v>179</v>
      </c>
      <c r="D199" s="799" t="s">
        <v>36</v>
      </c>
      <c r="E199" s="467" t="s">
        <v>1339</v>
      </c>
      <c r="F199" s="502"/>
      <c r="G199" s="931">
        <f t="shared" si="25"/>
        <v>11305000</v>
      </c>
      <c r="H199" s="930">
        <f>'d3'!E265</f>
        <v>0</v>
      </c>
      <c r="I199" s="931">
        <f>'d3'!J265</f>
        <v>11305000</v>
      </c>
      <c r="J199" s="931">
        <f>'d3'!K265</f>
        <v>11305000</v>
      </c>
      <c r="K199" s="640"/>
      <c r="L199" s="640"/>
      <c r="M199" s="640"/>
      <c r="N199" s="105"/>
      <c r="O199" s="105"/>
      <c r="P199" s="105"/>
      <c r="Q199" s="105"/>
    </row>
    <row r="200" spans="1:17" s="98" customFormat="1" ht="184.5" thickTop="1" thickBot="1" x14ac:dyDescent="0.25">
      <c r="A200" s="799"/>
      <c r="B200" s="799"/>
      <c r="C200" s="799"/>
      <c r="D200" s="799"/>
      <c r="E200" s="473" t="s">
        <v>934</v>
      </c>
      <c r="F200" s="502" t="s">
        <v>932</v>
      </c>
      <c r="G200" s="931">
        <f t="shared" si="25"/>
        <v>0</v>
      </c>
      <c r="H200" s="930"/>
      <c r="I200" s="931"/>
      <c r="J200" s="931"/>
      <c r="K200" s="640"/>
      <c r="L200" s="640"/>
      <c r="M200" s="640"/>
      <c r="N200" s="105"/>
      <c r="O200" s="105"/>
      <c r="P200" s="105"/>
      <c r="Q200" s="105"/>
    </row>
    <row r="201" spans="1:17" s="98" customFormat="1" ht="409.6" customHeight="1" thickTop="1" thickBot="1" x14ac:dyDescent="0.7">
      <c r="A201" s="799" t="s">
        <v>584</v>
      </c>
      <c r="B201" s="799" t="s">
        <v>354</v>
      </c>
      <c r="C201" s="799" t="s">
        <v>179</v>
      </c>
      <c r="D201" s="507" t="s">
        <v>462</v>
      </c>
      <c r="E201" s="922" t="s">
        <v>1306</v>
      </c>
      <c r="F201" s="799"/>
      <c r="G201" s="793">
        <f t="shared" si="25"/>
        <v>1300000</v>
      </c>
      <c r="H201" s="793">
        <f>'d3'!E267</f>
        <v>0</v>
      </c>
      <c r="I201" s="793">
        <f>'d3'!J267</f>
        <v>1300000</v>
      </c>
      <c r="J201" s="793">
        <f>'d3'!K267</f>
        <v>0</v>
      </c>
      <c r="K201" s="640"/>
      <c r="L201" s="640"/>
      <c r="M201" s="640"/>
      <c r="N201" s="105"/>
      <c r="O201" s="105"/>
      <c r="P201" s="105"/>
      <c r="Q201" s="105"/>
    </row>
    <row r="202" spans="1:17" s="98" customFormat="1" ht="184.5" thickTop="1" thickBot="1" x14ac:dyDescent="0.25">
      <c r="A202" s="828"/>
      <c r="B202" s="828"/>
      <c r="C202" s="828"/>
      <c r="D202" s="508" t="s">
        <v>463</v>
      </c>
      <c r="E202" s="923"/>
      <c r="F202" s="828"/>
      <c r="G202" s="828">
        <f t="shared" si="25"/>
        <v>0</v>
      </c>
      <c r="H202" s="828"/>
      <c r="I202" s="828"/>
      <c r="J202" s="828"/>
      <c r="K202" s="640"/>
      <c r="L202" s="640"/>
      <c r="M202" s="640"/>
      <c r="N202" s="105"/>
      <c r="O202" s="105"/>
      <c r="P202" s="105"/>
      <c r="Q202" s="105"/>
    </row>
    <row r="203" spans="1:17" s="98" customFormat="1" ht="409.6" thickTop="1" thickBot="1" x14ac:dyDescent="0.25">
      <c r="A203" s="499" t="s">
        <v>585</v>
      </c>
      <c r="B203" s="499" t="s">
        <v>543</v>
      </c>
      <c r="C203" s="499" t="s">
        <v>264</v>
      </c>
      <c r="D203" s="515" t="s">
        <v>544</v>
      </c>
      <c r="E203" s="473" t="s">
        <v>911</v>
      </c>
      <c r="F203" s="502" t="s">
        <v>912</v>
      </c>
      <c r="G203" s="502">
        <f t="shared" si="25"/>
        <v>63040</v>
      </c>
      <c r="H203" s="473">
        <f>'d3'!E271</f>
        <v>63040</v>
      </c>
      <c r="I203" s="474">
        <f>'d3'!J271</f>
        <v>0</v>
      </c>
      <c r="J203" s="474">
        <f>'d3'!K271</f>
        <v>0</v>
      </c>
      <c r="K203" s="640"/>
      <c r="L203" s="640"/>
      <c r="M203" s="640"/>
      <c r="N203" s="105"/>
      <c r="O203" s="105"/>
      <c r="P203" s="105"/>
      <c r="Q203" s="105"/>
    </row>
    <row r="204" spans="1:17" s="98" customFormat="1" ht="409.6" thickTop="1" thickBot="1" x14ac:dyDescent="0.25">
      <c r="A204" s="499" t="s">
        <v>586</v>
      </c>
      <c r="B204" s="499" t="s">
        <v>263</v>
      </c>
      <c r="C204" s="499" t="s">
        <v>264</v>
      </c>
      <c r="D204" s="499" t="s">
        <v>262</v>
      </c>
      <c r="E204" s="473" t="s">
        <v>911</v>
      </c>
      <c r="F204" s="502" t="s">
        <v>912</v>
      </c>
      <c r="G204" s="502">
        <f t="shared" si="25"/>
        <v>2529070</v>
      </c>
      <c r="H204" s="473">
        <f>'d3'!E272</f>
        <v>2529070</v>
      </c>
      <c r="I204" s="474">
        <f>'d3'!J272</f>
        <v>0</v>
      </c>
      <c r="J204" s="474">
        <f>'d3'!K272</f>
        <v>0</v>
      </c>
      <c r="K204" s="640"/>
      <c r="L204" s="640"/>
      <c r="M204" s="640"/>
      <c r="N204" s="105"/>
      <c r="O204" s="105"/>
      <c r="P204" s="105"/>
      <c r="Q204" s="105"/>
    </row>
    <row r="205" spans="1:17" s="98" customFormat="1" ht="409.6" hidden="1" thickTop="1" thickBot="1" x14ac:dyDescent="0.25">
      <c r="A205" s="261" t="s">
        <v>587</v>
      </c>
      <c r="B205" s="261" t="s">
        <v>588</v>
      </c>
      <c r="C205" s="261" t="s">
        <v>264</v>
      </c>
      <c r="D205" s="261" t="s">
        <v>589</v>
      </c>
      <c r="E205" s="359" t="s">
        <v>911</v>
      </c>
      <c r="F205" s="333" t="s">
        <v>912</v>
      </c>
      <c r="G205" s="333">
        <f t="shared" si="25"/>
        <v>0</v>
      </c>
      <c r="H205" s="359">
        <f>'d3'!E273</f>
        <v>0</v>
      </c>
      <c r="I205" s="365">
        <f>'d3'!J273</f>
        <v>0</v>
      </c>
      <c r="J205" s="365">
        <f>'d3'!K273</f>
        <v>0</v>
      </c>
      <c r="K205" s="640"/>
      <c r="L205" s="640"/>
      <c r="M205" s="640"/>
      <c r="N205" s="105"/>
      <c r="O205" s="105"/>
      <c r="P205" s="105"/>
      <c r="Q205" s="105"/>
    </row>
    <row r="206" spans="1:17" ht="181.5" thickTop="1" thickBot="1" x14ac:dyDescent="0.25">
      <c r="A206" s="450" t="s">
        <v>25</v>
      </c>
      <c r="B206" s="450"/>
      <c r="C206" s="450"/>
      <c r="D206" s="451" t="s">
        <v>951</v>
      </c>
      <c r="E206" s="450"/>
      <c r="F206" s="450"/>
      <c r="G206" s="453">
        <f>G207</f>
        <v>32981688</v>
      </c>
      <c r="H206" s="453">
        <f>H207</f>
        <v>10000</v>
      </c>
      <c r="I206" s="453">
        <f>I207</f>
        <v>32971688</v>
      </c>
      <c r="J206" s="453">
        <f>J207</f>
        <v>32971688</v>
      </c>
      <c r="K206" s="640"/>
      <c r="L206" s="640"/>
      <c r="M206" s="640"/>
    </row>
    <row r="207" spans="1:17" ht="316.5" customHeight="1" thickTop="1" thickBot="1" x14ac:dyDescent="0.25">
      <c r="A207" s="454" t="s">
        <v>26</v>
      </c>
      <c r="B207" s="454"/>
      <c r="C207" s="454"/>
      <c r="D207" s="455" t="s">
        <v>952</v>
      </c>
      <c r="E207" s="456"/>
      <c r="F207" s="456"/>
      <c r="G207" s="456">
        <f>SUM(G208:G219)</f>
        <v>32981688</v>
      </c>
      <c r="H207" s="456">
        <f>SUM(H208:H219)</f>
        <v>10000</v>
      </c>
      <c r="I207" s="456">
        <f>SUM(I208:I219)</f>
        <v>32971688</v>
      </c>
      <c r="J207" s="456">
        <f>SUM(J208:J219)</f>
        <v>32971688</v>
      </c>
      <c r="K207" s="739" t="b">
        <f>H207='d3'!E275-'d3'!E277</f>
        <v>1</v>
      </c>
      <c r="L207" s="742" t="b">
        <f>I207='d3'!J275</f>
        <v>1</v>
      </c>
      <c r="M207" s="742" t="b">
        <f>J207='d3'!K275</f>
        <v>1</v>
      </c>
    </row>
    <row r="208" spans="1:17" s="140" customFormat="1" ht="409.6" thickTop="1" thickBot="1" x14ac:dyDescent="0.25">
      <c r="A208" s="464" t="s">
        <v>678</v>
      </c>
      <c r="B208" s="464" t="s">
        <v>379</v>
      </c>
      <c r="C208" s="464" t="s">
        <v>668</v>
      </c>
      <c r="D208" s="464" t="s">
        <v>669</v>
      </c>
      <c r="E208" s="467" t="s">
        <v>1330</v>
      </c>
      <c r="F208" s="711"/>
      <c r="G208" s="468">
        <f t="shared" ref="G208:G209" si="29">H208+I208</f>
        <v>10000</v>
      </c>
      <c r="H208" s="473">
        <f>'d3'!E278</f>
        <v>10000</v>
      </c>
      <c r="I208" s="474"/>
      <c r="J208" s="474"/>
      <c r="K208" s="740"/>
      <c r="L208" s="740"/>
      <c r="M208" s="740"/>
      <c r="N208" s="141"/>
      <c r="O208" s="141"/>
      <c r="P208" s="141"/>
      <c r="Q208" s="141"/>
    </row>
    <row r="209" spans="1:17" s="168" customFormat="1" ht="230.25" hidden="1" thickTop="1" thickBot="1" x14ac:dyDescent="0.25">
      <c r="A209" s="489" t="s">
        <v>995</v>
      </c>
      <c r="B209" s="489" t="s">
        <v>45</v>
      </c>
      <c r="C209" s="489" t="s">
        <v>44</v>
      </c>
      <c r="D209" s="489" t="s">
        <v>261</v>
      </c>
      <c r="E209" s="467" t="s">
        <v>1306</v>
      </c>
      <c r="F209" s="502"/>
      <c r="G209" s="502">
        <f t="shared" si="29"/>
        <v>0</v>
      </c>
      <c r="H209" s="473">
        <f>'d3'!E279</f>
        <v>0</v>
      </c>
      <c r="I209" s="474">
        <f>'d3'!J279</f>
        <v>0</v>
      </c>
      <c r="J209" s="474">
        <f>'d3'!K279</f>
        <v>0</v>
      </c>
      <c r="K209" s="740"/>
      <c r="L209" s="740"/>
      <c r="M209" s="740"/>
      <c r="N209" s="169"/>
      <c r="O209" s="169"/>
      <c r="P209" s="169"/>
      <c r="Q209" s="169"/>
    </row>
    <row r="210" spans="1:17" s="58" customFormat="1" ht="321.75" thickTop="1" thickBot="1" x14ac:dyDescent="0.25">
      <c r="A210" s="499" t="s">
        <v>452</v>
      </c>
      <c r="B210" s="499" t="s">
        <v>454</v>
      </c>
      <c r="C210" s="499" t="s">
        <v>208</v>
      </c>
      <c r="D210" s="499" t="s">
        <v>453</v>
      </c>
      <c r="E210" s="467" t="s">
        <v>1306</v>
      </c>
      <c r="F210" s="502"/>
      <c r="G210" s="502">
        <f>H210+I210</f>
        <v>20000000</v>
      </c>
      <c r="H210" s="502">
        <f>'d3'!E282</f>
        <v>0</v>
      </c>
      <c r="I210" s="502">
        <f>'d3'!J282</f>
        <v>20000000</v>
      </c>
      <c r="J210" s="502">
        <f>'d3'!K282</f>
        <v>20000000</v>
      </c>
      <c r="K210" s="640"/>
      <c r="L210" s="640"/>
      <c r="M210" s="640"/>
      <c r="N210" s="105"/>
      <c r="O210" s="105"/>
      <c r="P210" s="105"/>
      <c r="Q210" s="105"/>
    </row>
    <row r="211" spans="1:17" s="58" customFormat="1" ht="230.25" thickTop="1" thickBot="1" x14ac:dyDescent="0.25">
      <c r="A211" s="499" t="s">
        <v>994</v>
      </c>
      <c r="B211" s="499" t="s">
        <v>319</v>
      </c>
      <c r="C211" s="499" t="s">
        <v>318</v>
      </c>
      <c r="D211" s="499" t="s">
        <v>670</v>
      </c>
      <c r="E211" s="467" t="s">
        <v>1306</v>
      </c>
      <c r="F211" s="502"/>
      <c r="G211" s="502">
        <f>H211+I211</f>
        <v>706113</v>
      </c>
      <c r="H211" s="502">
        <f>'d3'!E285</f>
        <v>0</v>
      </c>
      <c r="I211" s="502">
        <f>'d3'!J285</f>
        <v>706113</v>
      </c>
      <c r="J211" s="502">
        <f>'d3'!K285</f>
        <v>706113</v>
      </c>
      <c r="K211" s="640"/>
      <c r="L211" s="640"/>
      <c r="M211" s="640"/>
      <c r="N211" s="169"/>
      <c r="O211" s="169"/>
      <c r="P211" s="169"/>
      <c r="Q211" s="169"/>
    </row>
    <row r="212" spans="1:17" s="58" customFormat="1" ht="230.25" thickTop="1" thickBot="1" x14ac:dyDescent="0.25">
      <c r="A212" s="499" t="s">
        <v>324</v>
      </c>
      <c r="B212" s="499" t="s">
        <v>325</v>
      </c>
      <c r="C212" s="499" t="s">
        <v>318</v>
      </c>
      <c r="D212" s="499" t="s">
        <v>671</v>
      </c>
      <c r="E212" s="467" t="s">
        <v>1306</v>
      </c>
      <c r="F212" s="502"/>
      <c r="G212" s="502">
        <f>I212</f>
        <v>1944219</v>
      </c>
      <c r="H212" s="502">
        <f>'d3'!E287</f>
        <v>0</v>
      </c>
      <c r="I212" s="502">
        <f>'d3'!J287</f>
        <v>1944219</v>
      </c>
      <c r="J212" s="502">
        <f>I212</f>
        <v>1944219</v>
      </c>
      <c r="K212" s="640"/>
      <c r="L212" s="640"/>
      <c r="M212" s="640"/>
      <c r="N212" s="105"/>
      <c r="O212" s="105"/>
      <c r="P212" s="105"/>
      <c r="Q212" s="105"/>
    </row>
    <row r="213" spans="1:17" s="58" customFormat="1" ht="230.25" thickTop="1" thickBot="1" x14ac:dyDescent="0.25">
      <c r="A213" s="499" t="s">
        <v>541</v>
      </c>
      <c r="B213" s="499" t="s">
        <v>542</v>
      </c>
      <c r="C213" s="499" t="s">
        <v>318</v>
      </c>
      <c r="D213" s="499" t="s">
        <v>672</v>
      </c>
      <c r="E213" s="467" t="s">
        <v>1306</v>
      </c>
      <c r="F213" s="502"/>
      <c r="G213" s="502">
        <f>I213</f>
        <v>1248491</v>
      </c>
      <c r="H213" s="502">
        <f>'d3'!E288</f>
        <v>0</v>
      </c>
      <c r="I213" s="502">
        <f>'d3'!J288</f>
        <v>1248491</v>
      </c>
      <c r="J213" s="502">
        <f>I213</f>
        <v>1248491</v>
      </c>
      <c r="K213" s="640"/>
      <c r="L213" s="640"/>
      <c r="M213" s="640"/>
      <c r="N213" s="105"/>
      <c r="O213" s="105"/>
      <c r="P213" s="105"/>
      <c r="Q213" s="105"/>
    </row>
    <row r="214" spans="1:17" s="58" customFormat="1" ht="230.25" thickTop="1" thickBot="1" x14ac:dyDescent="0.25">
      <c r="A214" s="499" t="s">
        <v>326</v>
      </c>
      <c r="B214" s="499" t="s">
        <v>327</v>
      </c>
      <c r="C214" s="499" t="s">
        <v>318</v>
      </c>
      <c r="D214" s="499" t="s">
        <v>673</v>
      </c>
      <c r="E214" s="467" t="s">
        <v>1306</v>
      </c>
      <c r="F214" s="502"/>
      <c r="G214" s="502">
        <f t="shared" ref="G214:G216" si="30">I214</f>
        <v>1300000</v>
      </c>
      <c r="H214" s="502">
        <f>'d3'!E289</f>
        <v>0</v>
      </c>
      <c r="I214" s="502">
        <f>'d3'!J289</f>
        <v>1300000</v>
      </c>
      <c r="J214" s="502">
        <f>I214</f>
        <v>1300000</v>
      </c>
      <c r="K214" s="640"/>
      <c r="L214" s="640"/>
      <c r="M214" s="640"/>
      <c r="N214" s="105"/>
      <c r="O214" s="105"/>
      <c r="P214" s="105"/>
      <c r="Q214" s="105"/>
    </row>
    <row r="215" spans="1:17" s="58" customFormat="1" ht="230.25" thickTop="1" thickBot="1" x14ac:dyDescent="0.25">
      <c r="A215" s="499" t="s">
        <v>328</v>
      </c>
      <c r="B215" s="499" t="s">
        <v>329</v>
      </c>
      <c r="C215" s="499" t="s">
        <v>318</v>
      </c>
      <c r="D215" s="499" t="s">
        <v>674</v>
      </c>
      <c r="E215" s="467" t="s">
        <v>1306</v>
      </c>
      <c r="F215" s="502"/>
      <c r="G215" s="502">
        <f>I215</f>
        <v>7772865</v>
      </c>
      <c r="H215" s="502">
        <f>'d3'!E290-H216</f>
        <v>0</v>
      </c>
      <c r="I215" s="502">
        <f>'d3'!J290-I216</f>
        <v>7772865</v>
      </c>
      <c r="J215" s="502">
        <f>'d3'!K290-J216</f>
        <v>7772865</v>
      </c>
      <c r="K215" s="640"/>
      <c r="L215" s="640"/>
      <c r="M215" s="640"/>
      <c r="N215" s="105"/>
      <c r="O215" s="105"/>
      <c r="P215" s="105"/>
      <c r="Q215" s="105"/>
    </row>
    <row r="216" spans="1:17" s="58" customFormat="1" ht="184.5" hidden="1" thickTop="1" thickBot="1" x14ac:dyDescent="0.25">
      <c r="A216" s="499" t="s">
        <v>328</v>
      </c>
      <c r="B216" s="499" t="s">
        <v>329</v>
      </c>
      <c r="C216" s="499" t="s">
        <v>318</v>
      </c>
      <c r="D216" s="499" t="s">
        <v>674</v>
      </c>
      <c r="E216" s="469" t="s">
        <v>471</v>
      </c>
      <c r="F216" s="578" t="s">
        <v>444</v>
      </c>
      <c r="G216" s="502">
        <f t="shared" si="30"/>
        <v>0</v>
      </c>
      <c r="H216" s="502">
        <v>0</v>
      </c>
      <c r="I216" s="502">
        <v>0</v>
      </c>
      <c r="J216" s="502">
        <v>0</v>
      </c>
      <c r="K216" s="640"/>
      <c r="L216" s="640"/>
      <c r="M216" s="640"/>
      <c r="N216" s="179"/>
      <c r="O216" s="179"/>
      <c r="P216" s="179"/>
      <c r="Q216" s="179"/>
    </row>
    <row r="217" spans="1:17" s="58" customFormat="1" ht="230.25" hidden="1" thickTop="1" thickBot="1" x14ac:dyDescent="0.25">
      <c r="A217" s="499" t="s">
        <v>458</v>
      </c>
      <c r="B217" s="499" t="s">
        <v>367</v>
      </c>
      <c r="C217" s="499" t="s">
        <v>179</v>
      </c>
      <c r="D217" s="499" t="s">
        <v>275</v>
      </c>
      <c r="E217" s="467" t="s">
        <v>1306</v>
      </c>
      <c r="F217" s="502"/>
      <c r="G217" s="502">
        <f>H217+I217</f>
        <v>0</v>
      </c>
      <c r="H217" s="502">
        <f>'d3'!E291</f>
        <v>0</v>
      </c>
      <c r="I217" s="502">
        <f>'d3'!J291</f>
        <v>0</v>
      </c>
      <c r="J217" s="502">
        <f>'d3'!K291</f>
        <v>0</v>
      </c>
      <c r="K217" s="640"/>
      <c r="L217" s="640"/>
      <c r="M217" s="640"/>
      <c r="N217" s="105"/>
      <c r="O217" s="105"/>
      <c r="P217" s="105"/>
      <c r="Q217" s="105"/>
    </row>
    <row r="218" spans="1:17" s="58" customFormat="1" ht="409.6" hidden="1" customHeight="1" thickTop="1" thickBot="1" x14ac:dyDescent="0.7">
      <c r="A218" s="799" t="s">
        <v>1086</v>
      </c>
      <c r="B218" s="799" t="s">
        <v>354</v>
      </c>
      <c r="C218" s="799" t="s">
        <v>179</v>
      </c>
      <c r="D218" s="500" t="s">
        <v>462</v>
      </c>
      <c r="E218" s="799" t="s">
        <v>1306</v>
      </c>
      <c r="F218" s="799"/>
      <c r="G218" s="793">
        <f t="shared" ref="G218:G219" si="31">H218+I218</f>
        <v>0</v>
      </c>
      <c r="H218" s="793">
        <f>'d3'!E294</f>
        <v>0</v>
      </c>
      <c r="I218" s="793">
        <f>'d3'!J294</f>
        <v>0</v>
      </c>
      <c r="J218" s="793">
        <f>'d3'!K294</f>
        <v>0</v>
      </c>
      <c r="K218" s="640"/>
      <c r="L218" s="640"/>
      <c r="M218" s="640"/>
      <c r="N218" s="200"/>
      <c r="O218" s="200"/>
      <c r="P218" s="200"/>
      <c r="Q218" s="200"/>
    </row>
    <row r="219" spans="1:17" s="58" customFormat="1" ht="184.5" hidden="1" thickTop="1" thickBot="1" x14ac:dyDescent="0.25">
      <c r="A219" s="799"/>
      <c r="B219" s="799"/>
      <c r="C219" s="799"/>
      <c r="D219" s="504" t="s">
        <v>463</v>
      </c>
      <c r="E219" s="799"/>
      <c r="F219" s="799"/>
      <c r="G219" s="828">
        <f t="shared" si="31"/>
        <v>0</v>
      </c>
      <c r="H219" s="828"/>
      <c r="I219" s="828"/>
      <c r="J219" s="828"/>
      <c r="K219" s="640"/>
      <c r="L219" s="640"/>
      <c r="M219" s="640"/>
      <c r="N219" s="200"/>
      <c r="O219" s="200"/>
      <c r="P219" s="200"/>
      <c r="Q219" s="200"/>
    </row>
    <row r="220" spans="1:17" ht="181.5" thickTop="1" thickBot="1" x14ac:dyDescent="0.25">
      <c r="A220" s="450" t="s">
        <v>169</v>
      </c>
      <c r="B220" s="450"/>
      <c r="C220" s="450"/>
      <c r="D220" s="451" t="s">
        <v>953</v>
      </c>
      <c r="E220" s="450"/>
      <c r="F220" s="450"/>
      <c r="G220" s="453">
        <f>G221</f>
        <v>1479688</v>
      </c>
      <c r="H220" s="453">
        <f t="shared" ref="H220:J220" si="32">H221</f>
        <v>7588</v>
      </c>
      <c r="I220" s="453">
        <f t="shared" si="32"/>
        <v>1472100</v>
      </c>
      <c r="J220" s="453">
        <f t="shared" si="32"/>
        <v>1472100</v>
      </c>
      <c r="K220" s="739" t="b">
        <f>H220='d3'!E297-'d3'!E299+H222+H224</f>
        <v>1</v>
      </c>
      <c r="L220" s="742" t="b">
        <f>I220='d3'!J297-'d3'!J299+'d7'!I222</f>
        <v>1</v>
      </c>
      <c r="M220" s="742" t="b">
        <f>J220='d3'!K297-'d3'!K299+'d7'!J222</f>
        <v>1</v>
      </c>
    </row>
    <row r="221" spans="1:17" ht="181.5" thickTop="1" thickBot="1" x14ac:dyDescent="0.25">
      <c r="A221" s="454" t="s">
        <v>170</v>
      </c>
      <c r="B221" s="454"/>
      <c r="C221" s="454"/>
      <c r="D221" s="455" t="s">
        <v>960</v>
      </c>
      <c r="E221" s="456"/>
      <c r="F221" s="456"/>
      <c r="G221" s="456">
        <f>SUM(G222:G224)</f>
        <v>1479688</v>
      </c>
      <c r="H221" s="456">
        <f>SUM(H222:H224)</f>
        <v>7588</v>
      </c>
      <c r="I221" s="456">
        <f>SUM(I222:I224)</f>
        <v>1472100</v>
      </c>
      <c r="J221" s="456">
        <f>SUM(J222:J224)</f>
        <v>1472100</v>
      </c>
      <c r="K221" s="640"/>
      <c r="L221" s="640"/>
      <c r="M221" s="640"/>
    </row>
    <row r="222" spans="1:17" ht="230.25" thickTop="1" thickBot="1" x14ac:dyDescent="0.25">
      <c r="A222" s="226" t="s">
        <v>438</v>
      </c>
      <c r="B222" s="226" t="s">
        <v>249</v>
      </c>
      <c r="C222" s="226" t="s">
        <v>247</v>
      </c>
      <c r="D222" s="226" t="s">
        <v>248</v>
      </c>
      <c r="E222" s="469" t="s">
        <v>1143</v>
      </c>
      <c r="F222" s="468" t="s">
        <v>910</v>
      </c>
      <c r="G222" s="468">
        <f>H222+I222</f>
        <v>64000</v>
      </c>
      <c r="H222" s="468">
        <v>0</v>
      </c>
      <c r="I222" s="468">
        <f>40000+24000</f>
        <v>64000</v>
      </c>
      <c r="J222" s="468">
        <f>40000+24000</f>
        <v>64000</v>
      </c>
      <c r="K222" s="640"/>
      <c r="L222" s="640"/>
      <c r="M222" s="640"/>
    </row>
    <row r="223" spans="1:17" s="140" customFormat="1" ht="409.6" thickTop="1" thickBot="1" x14ac:dyDescent="0.25">
      <c r="A223" s="226" t="s">
        <v>679</v>
      </c>
      <c r="B223" s="226" t="s">
        <v>379</v>
      </c>
      <c r="C223" s="226" t="s">
        <v>668</v>
      </c>
      <c r="D223" s="226" t="s">
        <v>669</v>
      </c>
      <c r="E223" s="467" t="s">
        <v>1330</v>
      </c>
      <c r="F223" s="711"/>
      <c r="G223" s="468">
        <f t="shared" ref="G223:G224" si="33">H223+I223</f>
        <v>7588</v>
      </c>
      <c r="H223" s="473">
        <f>'d3'!E300</f>
        <v>7588</v>
      </c>
      <c r="I223" s="474"/>
      <c r="J223" s="474"/>
      <c r="K223" s="640"/>
      <c r="L223" s="640"/>
      <c r="M223" s="640"/>
      <c r="N223" s="141"/>
      <c r="O223" s="141"/>
      <c r="P223" s="141"/>
      <c r="Q223" s="141"/>
    </row>
    <row r="224" spans="1:17" s="158" customFormat="1" ht="230.25" thickTop="1" thickBot="1" x14ac:dyDescent="0.25">
      <c r="A224" s="549" t="s">
        <v>974</v>
      </c>
      <c r="B224" s="549" t="s">
        <v>975</v>
      </c>
      <c r="C224" s="549" t="s">
        <v>318</v>
      </c>
      <c r="D224" s="549" t="s">
        <v>976</v>
      </c>
      <c r="E224" s="467" t="s">
        <v>1306</v>
      </c>
      <c r="F224" s="547"/>
      <c r="G224" s="547">
        <f t="shared" si="33"/>
        <v>1408100</v>
      </c>
      <c r="H224" s="583">
        <f>'d3'!E303</f>
        <v>0</v>
      </c>
      <c r="I224" s="584">
        <f>'d3'!J303</f>
        <v>1408100</v>
      </c>
      <c r="J224" s="584">
        <f>'d3'!K303</f>
        <v>1408100</v>
      </c>
      <c r="K224" s="640"/>
      <c r="L224" s="640"/>
      <c r="M224" s="640"/>
      <c r="N224" s="159"/>
      <c r="O224" s="159"/>
      <c r="P224" s="159"/>
      <c r="Q224" s="159"/>
    </row>
    <row r="225" spans="1:17" ht="201.75" customHeight="1" thickTop="1" thickBot="1" x14ac:dyDescent="0.25">
      <c r="A225" s="450" t="s">
        <v>466</v>
      </c>
      <c r="B225" s="450"/>
      <c r="C225" s="450"/>
      <c r="D225" s="451" t="s">
        <v>468</v>
      </c>
      <c r="E225" s="450"/>
      <c r="F225" s="450"/>
      <c r="G225" s="453">
        <f>G226</f>
        <v>114845208</v>
      </c>
      <c r="H225" s="453">
        <f t="shared" ref="H225:J225" si="34">H226</f>
        <v>114845208</v>
      </c>
      <c r="I225" s="453">
        <f t="shared" si="34"/>
        <v>0</v>
      </c>
      <c r="J225" s="453">
        <f t="shared" si="34"/>
        <v>0</v>
      </c>
      <c r="K225" s="640"/>
      <c r="L225" s="640"/>
      <c r="M225" s="640"/>
    </row>
    <row r="226" spans="1:17" ht="181.5" thickTop="1" thickBot="1" x14ac:dyDescent="0.25">
      <c r="A226" s="454" t="s">
        <v>467</v>
      </c>
      <c r="B226" s="454"/>
      <c r="C226" s="454"/>
      <c r="D226" s="455" t="s">
        <v>469</v>
      </c>
      <c r="E226" s="456"/>
      <c r="F226" s="456"/>
      <c r="G226" s="456">
        <f>SUM(G227:G231)</f>
        <v>114845208</v>
      </c>
      <c r="H226" s="456">
        <f>SUM(H227:H231)</f>
        <v>114845208</v>
      </c>
      <c r="I226" s="456">
        <f>SUM(I227:I231)</f>
        <v>0</v>
      </c>
      <c r="J226" s="456">
        <f>SUM(J227:J231)</f>
        <v>0</v>
      </c>
      <c r="K226" s="739" t="b">
        <f>H226='d3'!E305-'d3'!E307+'d7'!H227</f>
        <v>1</v>
      </c>
      <c r="L226" s="742" t="b">
        <f>I226='d3'!J305-'d3'!J307+'d7'!I227</f>
        <v>1</v>
      </c>
      <c r="M226" s="742" t="b">
        <f>J226='d3'!K305-'d3'!K307+'d7'!J227</f>
        <v>1</v>
      </c>
    </row>
    <row r="227" spans="1:17" ht="230.25" hidden="1" thickTop="1" thickBot="1" x14ac:dyDescent="0.25">
      <c r="A227" s="261" t="s">
        <v>470</v>
      </c>
      <c r="B227" s="261" t="s">
        <v>249</v>
      </c>
      <c r="C227" s="261" t="s">
        <v>247</v>
      </c>
      <c r="D227" s="261" t="s">
        <v>248</v>
      </c>
      <c r="E227" s="357" t="s">
        <v>1143</v>
      </c>
      <c r="F227" s="333" t="s">
        <v>910</v>
      </c>
      <c r="G227" s="333">
        <f>H227+I227</f>
        <v>0</v>
      </c>
      <c r="H227" s="359"/>
      <c r="I227" s="333">
        <v>0</v>
      </c>
      <c r="J227" s="333">
        <v>0</v>
      </c>
      <c r="K227" s="640"/>
      <c r="L227" s="640"/>
      <c r="M227" s="640"/>
    </row>
    <row r="228" spans="1:17" s="140" customFormat="1" ht="409.6" hidden="1" thickTop="1" thickBot="1" x14ac:dyDescent="0.25">
      <c r="A228" s="261" t="s">
        <v>680</v>
      </c>
      <c r="B228" s="261" t="s">
        <v>379</v>
      </c>
      <c r="C228" s="261" t="s">
        <v>668</v>
      </c>
      <c r="D228" s="261" t="s">
        <v>669</v>
      </c>
      <c r="E228" s="472" t="s">
        <v>942</v>
      </c>
      <c r="F228" s="471" t="s">
        <v>943</v>
      </c>
      <c r="G228" s="333">
        <f t="shared" ref="G228:G230" si="35">H228+I228</f>
        <v>0</v>
      </c>
      <c r="H228" s="359">
        <f>'d3'!E308</f>
        <v>0</v>
      </c>
      <c r="I228" s="365"/>
      <c r="J228" s="365"/>
      <c r="K228" s="640"/>
      <c r="L228" s="640"/>
      <c r="M228" s="640"/>
      <c r="N228" s="141"/>
      <c r="O228" s="141"/>
      <c r="P228" s="141"/>
      <c r="Q228" s="141"/>
    </row>
    <row r="229" spans="1:17" s="201" customFormat="1" ht="230.25" thickTop="1" thickBot="1" x14ac:dyDescent="0.25">
      <c r="A229" s="549" t="s">
        <v>490</v>
      </c>
      <c r="B229" s="549" t="s">
        <v>431</v>
      </c>
      <c r="C229" s="549" t="s">
        <v>432</v>
      </c>
      <c r="D229" s="549" t="s">
        <v>433</v>
      </c>
      <c r="E229" s="469" t="s">
        <v>1116</v>
      </c>
      <c r="F229" s="547" t="s">
        <v>514</v>
      </c>
      <c r="G229" s="547">
        <f t="shared" si="35"/>
        <v>7903408</v>
      </c>
      <c r="H229" s="583">
        <f>'d3'!E312</f>
        <v>7903408</v>
      </c>
      <c r="I229" s="584">
        <f>'d3'!J312</f>
        <v>0</v>
      </c>
      <c r="J229" s="584">
        <f>'d3'!K312</f>
        <v>0</v>
      </c>
      <c r="K229" s="640"/>
      <c r="L229" s="640"/>
      <c r="M229" s="640"/>
      <c r="N229" s="202"/>
      <c r="O229" s="202"/>
      <c r="P229" s="202"/>
      <c r="Q229" s="202"/>
    </row>
    <row r="230" spans="1:17" ht="230.25" thickTop="1" thickBot="1" x14ac:dyDescent="0.25">
      <c r="A230" s="549" t="s">
        <v>491</v>
      </c>
      <c r="B230" s="549" t="s">
        <v>304</v>
      </c>
      <c r="C230" s="549" t="s">
        <v>306</v>
      </c>
      <c r="D230" s="549" t="s">
        <v>305</v>
      </c>
      <c r="E230" s="469" t="s">
        <v>1007</v>
      </c>
      <c r="F230" s="547" t="s">
        <v>1008</v>
      </c>
      <c r="G230" s="547">
        <f t="shared" si="35"/>
        <v>106941800</v>
      </c>
      <c r="H230" s="583">
        <f>'d3'!E314</f>
        <v>106941800</v>
      </c>
      <c r="I230" s="584">
        <f>'d3'!J314</f>
        <v>0</v>
      </c>
      <c r="J230" s="584">
        <f>'d3'!K314</f>
        <v>0</v>
      </c>
      <c r="K230" s="640"/>
      <c r="L230" s="640"/>
      <c r="M230" s="640"/>
    </row>
    <row r="231" spans="1:17" s="222" customFormat="1" ht="230.25" hidden="1" thickTop="1" thickBot="1" x14ac:dyDescent="0.25">
      <c r="A231" s="817" t="s">
        <v>1223</v>
      </c>
      <c r="B231" s="817" t="s">
        <v>1224</v>
      </c>
      <c r="C231" s="817" t="s">
        <v>309</v>
      </c>
      <c r="D231" s="817" t="s">
        <v>1222</v>
      </c>
      <c r="E231" s="360" t="s">
        <v>1116</v>
      </c>
      <c r="F231" s="333" t="s">
        <v>514</v>
      </c>
      <c r="G231" s="911">
        <f>H231+I231</f>
        <v>0</v>
      </c>
      <c r="H231" s="909">
        <f>'d3'!E315</f>
        <v>0</v>
      </c>
      <c r="I231" s="910">
        <f>'d3'!J315</f>
        <v>0</v>
      </c>
      <c r="J231" s="910">
        <f>'d3'!K315</f>
        <v>0</v>
      </c>
      <c r="K231" s="640"/>
      <c r="L231" s="640"/>
      <c r="M231" s="640"/>
      <c r="N231" s="223"/>
      <c r="O231" s="223"/>
      <c r="P231" s="223"/>
      <c r="Q231" s="223"/>
    </row>
    <row r="232" spans="1:17" s="222" customFormat="1" ht="230.25" hidden="1" thickTop="1" thickBot="1" x14ac:dyDescent="0.25">
      <c r="A232" s="801"/>
      <c r="B232" s="801" t="s">
        <v>1224</v>
      </c>
      <c r="C232" s="801"/>
      <c r="D232" s="801"/>
      <c r="E232" s="357" t="s">
        <v>913</v>
      </c>
      <c r="F232" s="333" t="s">
        <v>914</v>
      </c>
      <c r="G232" s="801"/>
      <c r="H232" s="801"/>
      <c r="I232" s="801"/>
      <c r="J232" s="801"/>
      <c r="K232" s="640"/>
      <c r="L232" s="640"/>
      <c r="M232" s="640"/>
      <c r="N232" s="223"/>
      <c r="O232" s="223"/>
      <c r="P232" s="223"/>
      <c r="Q232" s="223"/>
    </row>
    <row r="233" spans="1:17" ht="160.5" customHeight="1" thickTop="1" thickBot="1" x14ac:dyDescent="0.25">
      <c r="A233" s="450" t="s">
        <v>175</v>
      </c>
      <c r="B233" s="450"/>
      <c r="C233" s="450"/>
      <c r="D233" s="451" t="s">
        <v>371</v>
      </c>
      <c r="E233" s="450"/>
      <c r="F233" s="450"/>
      <c r="G233" s="453">
        <f>G234</f>
        <v>9119400</v>
      </c>
      <c r="H233" s="453">
        <f t="shared" ref="H233:J233" si="36">H234</f>
        <v>8319400</v>
      </c>
      <c r="I233" s="453">
        <f t="shared" si="36"/>
        <v>800000</v>
      </c>
      <c r="J233" s="453">
        <f t="shared" si="36"/>
        <v>800000</v>
      </c>
      <c r="K233" s="739" t="b">
        <f>H233='d3'!E316</f>
        <v>1</v>
      </c>
      <c r="L233" s="742" t="b">
        <f>I233='d3'!J316</f>
        <v>1</v>
      </c>
      <c r="M233" s="742" t="b">
        <f>J233='d3'!K316</f>
        <v>1</v>
      </c>
    </row>
    <row r="234" spans="1:17" ht="136.5" thickTop="1" thickBot="1" x14ac:dyDescent="0.25">
      <c r="A234" s="454" t="s">
        <v>176</v>
      </c>
      <c r="B234" s="454"/>
      <c r="C234" s="454"/>
      <c r="D234" s="455" t="s">
        <v>372</v>
      </c>
      <c r="E234" s="456"/>
      <c r="F234" s="456"/>
      <c r="G234" s="456">
        <f>SUM(G235:G242)</f>
        <v>9119400</v>
      </c>
      <c r="H234" s="456">
        <f>SUM(H235:H242)</f>
        <v>8319400</v>
      </c>
      <c r="I234" s="456">
        <f>SUM(I235:I242)</f>
        <v>800000</v>
      </c>
      <c r="J234" s="456">
        <f>SUM(J235:J242)</f>
        <v>800000</v>
      </c>
      <c r="K234" s="640"/>
      <c r="L234" s="640"/>
      <c r="M234" s="640"/>
    </row>
    <row r="235" spans="1:17" s="201" customFormat="1" ht="230.25" thickTop="1" thickBot="1" x14ac:dyDescent="0.25">
      <c r="A235" s="549" t="s">
        <v>1112</v>
      </c>
      <c r="B235" s="549" t="s">
        <v>367</v>
      </c>
      <c r="C235" s="549" t="s">
        <v>179</v>
      </c>
      <c r="D235" s="549" t="s">
        <v>275</v>
      </c>
      <c r="E235" s="467" t="s">
        <v>1306</v>
      </c>
      <c r="F235" s="547"/>
      <c r="G235" s="583">
        <f>H235+I235</f>
        <v>74340</v>
      </c>
      <c r="H235" s="547">
        <v>74340</v>
      </c>
      <c r="I235" s="547"/>
      <c r="J235" s="547"/>
      <c r="K235" s="739" t="b">
        <f>H235='d3'!E320</f>
        <v>1</v>
      </c>
      <c r="L235" s="742" t="b">
        <f>I235='d3'!J320</f>
        <v>1</v>
      </c>
      <c r="M235" s="742" t="b">
        <f>J235='d3'!K320</f>
        <v>1</v>
      </c>
      <c r="N235" s="202"/>
      <c r="O235" s="202"/>
      <c r="P235" s="202"/>
      <c r="Q235" s="202"/>
    </row>
    <row r="236" spans="1:17" ht="184.5" thickTop="1" thickBot="1" x14ac:dyDescent="0.25">
      <c r="A236" s="549" t="s">
        <v>273</v>
      </c>
      <c r="B236" s="549" t="s">
        <v>274</v>
      </c>
      <c r="C236" s="549" t="s">
        <v>272</v>
      </c>
      <c r="D236" s="549" t="s">
        <v>271</v>
      </c>
      <c r="E236" s="469" t="s">
        <v>1334</v>
      </c>
      <c r="F236" s="578"/>
      <c r="G236" s="583">
        <f>H236+I236</f>
        <v>4960060</v>
      </c>
      <c r="H236" s="547">
        <f>5460060-500000</f>
        <v>4960060</v>
      </c>
      <c r="I236" s="547"/>
      <c r="J236" s="547"/>
      <c r="K236" s="739" t="b">
        <f>H236+H237='d3'!E322</f>
        <v>1</v>
      </c>
      <c r="L236" s="742" t="b">
        <f>I236+I237='d3'!J322</f>
        <v>1</v>
      </c>
      <c r="M236" s="742" t="b">
        <f>J236+J237='d3'!K322</f>
        <v>1</v>
      </c>
    </row>
    <row r="237" spans="1:17" ht="184.5" thickTop="1" thickBot="1" x14ac:dyDescent="0.25">
      <c r="A237" s="549" t="s">
        <v>273</v>
      </c>
      <c r="B237" s="549" t="s">
        <v>274</v>
      </c>
      <c r="C237" s="549" t="s">
        <v>272</v>
      </c>
      <c r="D237" s="549" t="s">
        <v>271</v>
      </c>
      <c r="E237" s="469" t="s">
        <v>471</v>
      </c>
      <c r="F237" s="578" t="s">
        <v>444</v>
      </c>
      <c r="G237" s="583">
        <f t="shared" ref="G237:G242" si="37">H237+I237</f>
        <v>300000</v>
      </c>
      <c r="H237" s="547">
        <v>300000</v>
      </c>
      <c r="I237" s="547"/>
      <c r="J237" s="547"/>
      <c r="K237" s="640"/>
      <c r="L237" s="640"/>
      <c r="M237" s="742"/>
    </row>
    <row r="238" spans="1:17" ht="230.25" thickTop="1" thickBot="1" x14ac:dyDescent="0.25">
      <c r="A238" s="549" t="s">
        <v>265</v>
      </c>
      <c r="B238" s="549" t="s">
        <v>267</v>
      </c>
      <c r="C238" s="549" t="s">
        <v>226</v>
      </c>
      <c r="D238" s="549" t="s">
        <v>266</v>
      </c>
      <c r="E238" s="547" t="s">
        <v>915</v>
      </c>
      <c r="F238" s="547" t="s">
        <v>916</v>
      </c>
      <c r="G238" s="583">
        <f t="shared" si="37"/>
        <v>1085000</v>
      </c>
      <c r="H238" s="547">
        <v>1085000</v>
      </c>
      <c r="I238" s="547">
        <v>0</v>
      </c>
      <c r="J238" s="547">
        <v>0</v>
      </c>
      <c r="K238" s="739" t="b">
        <f>H238='d3'!E323</f>
        <v>1</v>
      </c>
      <c r="L238" s="742" t="b">
        <f>I238='d3'!J323</f>
        <v>1</v>
      </c>
      <c r="M238" s="742" t="b">
        <f>J238='d3'!K323</f>
        <v>1</v>
      </c>
    </row>
    <row r="239" spans="1:17" ht="230.25" thickTop="1" thickBot="1" x14ac:dyDescent="0.25">
      <c r="A239" s="549" t="s">
        <v>269</v>
      </c>
      <c r="B239" s="549" t="s">
        <v>270</v>
      </c>
      <c r="C239" s="549" t="s">
        <v>179</v>
      </c>
      <c r="D239" s="549" t="s">
        <v>268</v>
      </c>
      <c r="E239" s="547" t="s">
        <v>1326</v>
      </c>
      <c r="F239" s="547" t="s">
        <v>629</v>
      </c>
      <c r="G239" s="583">
        <f t="shared" si="37"/>
        <v>2000000</v>
      </c>
      <c r="H239" s="547">
        <v>1200000</v>
      </c>
      <c r="I239" s="547">
        <v>800000</v>
      </c>
      <c r="J239" s="547">
        <v>800000</v>
      </c>
      <c r="K239" s="739" t="b">
        <f>'d3'!E325=H239+H240+H241</f>
        <v>1</v>
      </c>
      <c r="L239" s="742" t="b">
        <f>'d3'!J325=I239+I240+I241</f>
        <v>1</v>
      </c>
      <c r="M239" s="742" t="b">
        <f>'d3'!K325=J239+J240+J241</f>
        <v>1</v>
      </c>
    </row>
    <row r="240" spans="1:17" s="170" customFormat="1" ht="230.25" hidden="1" thickTop="1" thickBot="1" x14ac:dyDescent="0.25">
      <c r="A240" s="261" t="s">
        <v>269</v>
      </c>
      <c r="B240" s="261" t="s">
        <v>270</v>
      </c>
      <c r="C240" s="261" t="s">
        <v>179</v>
      </c>
      <c r="D240" s="261" t="s">
        <v>268</v>
      </c>
      <c r="E240" s="357" t="s">
        <v>1037</v>
      </c>
      <c r="F240" s="333" t="s">
        <v>1038</v>
      </c>
      <c r="G240" s="359">
        <f t="shared" si="37"/>
        <v>0</v>
      </c>
      <c r="H240" s="333">
        <v>0</v>
      </c>
      <c r="I240" s="333">
        <v>0</v>
      </c>
      <c r="J240" s="333">
        <v>0</v>
      </c>
      <c r="K240" s="739"/>
      <c r="L240" s="742"/>
      <c r="M240" s="753"/>
      <c r="N240" s="171"/>
      <c r="O240" s="171"/>
      <c r="P240" s="171"/>
      <c r="Q240" s="171"/>
    </row>
    <row r="241" spans="1:17" s="172" customFormat="1" ht="230.25" thickTop="1" thickBot="1" x14ac:dyDescent="0.25">
      <c r="A241" s="549" t="s">
        <v>269</v>
      </c>
      <c r="B241" s="549" t="s">
        <v>270</v>
      </c>
      <c r="C241" s="549" t="s">
        <v>179</v>
      </c>
      <c r="D241" s="549" t="s">
        <v>268</v>
      </c>
      <c r="E241" s="467" t="s">
        <v>1306</v>
      </c>
      <c r="F241" s="547"/>
      <c r="G241" s="583">
        <f t="shared" si="37"/>
        <v>700000</v>
      </c>
      <c r="H241" s="547">
        <v>700000</v>
      </c>
      <c r="I241" s="547">
        <v>0</v>
      </c>
      <c r="J241" s="547">
        <v>0</v>
      </c>
      <c r="K241" s="739"/>
      <c r="L241" s="742"/>
      <c r="M241" s="753"/>
      <c r="N241" s="173"/>
      <c r="O241" s="173"/>
      <c r="P241" s="173"/>
      <c r="Q241" s="173"/>
    </row>
    <row r="242" spans="1:17" s="156" customFormat="1" ht="230.25" hidden="1" thickTop="1" thickBot="1" x14ac:dyDescent="0.25">
      <c r="A242" s="261" t="s">
        <v>970</v>
      </c>
      <c r="B242" s="261" t="s">
        <v>380</v>
      </c>
      <c r="C242" s="261" t="s">
        <v>45</v>
      </c>
      <c r="D242" s="261" t="s">
        <v>381</v>
      </c>
      <c r="E242" s="357" t="s">
        <v>913</v>
      </c>
      <c r="F242" s="333" t="s">
        <v>914</v>
      </c>
      <c r="G242" s="359">
        <f t="shared" si="37"/>
        <v>0</v>
      </c>
      <c r="H242" s="333">
        <f>'d3'!E328</f>
        <v>0</v>
      </c>
      <c r="I242" s="333">
        <f>'d3'!J328</f>
        <v>0</v>
      </c>
      <c r="J242" s="333">
        <f>'d3'!K328</f>
        <v>0</v>
      </c>
      <c r="K242" s="739"/>
      <c r="L242" s="742"/>
      <c r="M242" s="753"/>
      <c r="N242" s="157"/>
      <c r="O242" s="157"/>
      <c r="P242" s="157"/>
      <c r="Q242" s="157"/>
    </row>
    <row r="243" spans="1:17" ht="226.5" thickTop="1" thickBot="1" x14ac:dyDescent="0.25">
      <c r="A243" s="450" t="s">
        <v>173</v>
      </c>
      <c r="B243" s="450"/>
      <c r="C243" s="450"/>
      <c r="D243" s="451" t="s">
        <v>946</v>
      </c>
      <c r="E243" s="450"/>
      <c r="F243" s="450"/>
      <c r="G243" s="453">
        <f>G244</f>
        <v>746000</v>
      </c>
      <c r="H243" s="453">
        <f t="shared" ref="H243:J243" si="38">H244</f>
        <v>0</v>
      </c>
      <c r="I243" s="453">
        <f t="shared" si="38"/>
        <v>746000</v>
      </c>
      <c r="J243" s="453">
        <f t="shared" si="38"/>
        <v>46000</v>
      </c>
      <c r="K243" s="739" t="b">
        <f>H243='d3'!E330-'d3'!E332+H245</f>
        <v>1</v>
      </c>
      <c r="L243" s="742" t="b">
        <f>I243='d3'!J330-'d3'!J332+'d7'!I245</f>
        <v>1</v>
      </c>
      <c r="M243" s="742" t="b">
        <f>J243='d3'!K330-'d3'!K332+'d7'!J245</f>
        <v>1</v>
      </c>
    </row>
    <row r="244" spans="1:17" ht="226.5" thickTop="1" thickBot="1" x14ac:dyDescent="0.25">
      <c r="A244" s="454" t="s">
        <v>174</v>
      </c>
      <c r="B244" s="454"/>
      <c r="C244" s="454"/>
      <c r="D244" s="455" t="s">
        <v>947</v>
      </c>
      <c r="E244" s="456"/>
      <c r="F244" s="456"/>
      <c r="G244" s="456">
        <f>SUM(G245:G247)</f>
        <v>746000</v>
      </c>
      <c r="H244" s="456">
        <f>SUM(H245:H247)</f>
        <v>0</v>
      </c>
      <c r="I244" s="456">
        <f>SUM(I245:I247)</f>
        <v>746000</v>
      </c>
      <c r="J244" s="456">
        <f>SUM(J245:J247)</f>
        <v>46000</v>
      </c>
      <c r="K244" s="640"/>
      <c r="L244" s="640"/>
      <c r="M244" s="640"/>
    </row>
    <row r="245" spans="1:17" s="131" customFormat="1" ht="230.25" thickTop="1" thickBot="1" x14ac:dyDescent="0.25">
      <c r="A245" s="226" t="s">
        <v>441</v>
      </c>
      <c r="B245" s="226" t="s">
        <v>249</v>
      </c>
      <c r="C245" s="226" t="s">
        <v>247</v>
      </c>
      <c r="D245" s="226" t="s">
        <v>248</v>
      </c>
      <c r="E245" s="467" t="s">
        <v>1143</v>
      </c>
      <c r="F245" s="468" t="s">
        <v>910</v>
      </c>
      <c r="G245" s="468">
        <f>H245+I245</f>
        <v>46000</v>
      </c>
      <c r="H245" s="473"/>
      <c r="I245" s="468">
        <v>46000</v>
      </c>
      <c r="J245" s="468">
        <v>46000</v>
      </c>
      <c r="K245" s="640"/>
      <c r="L245" s="640"/>
      <c r="M245" s="640"/>
      <c r="N245" s="132"/>
      <c r="O245" s="132"/>
      <c r="P245" s="132"/>
      <c r="Q245" s="132"/>
    </row>
    <row r="246" spans="1:17" s="140" customFormat="1" ht="391.5" hidden="1" customHeight="1" thickTop="1" thickBot="1" x14ac:dyDescent="0.25">
      <c r="A246" s="226" t="s">
        <v>681</v>
      </c>
      <c r="B246" s="226" t="s">
        <v>379</v>
      </c>
      <c r="C246" s="226" t="s">
        <v>668</v>
      </c>
      <c r="D246" s="226" t="s">
        <v>669</v>
      </c>
      <c r="E246" s="472" t="s">
        <v>942</v>
      </c>
      <c r="F246" s="471" t="s">
        <v>943</v>
      </c>
      <c r="G246" s="468">
        <f t="shared" ref="G246" si="39">H246+I246</f>
        <v>0</v>
      </c>
      <c r="H246" s="473">
        <f>'d3'!E333</f>
        <v>0</v>
      </c>
      <c r="I246" s="474"/>
      <c r="J246" s="474"/>
      <c r="K246" s="640"/>
      <c r="L246" s="640"/>
      <c r="M246" s="640"/>
      <c r="N246" s="141"/>
      <c r="O246" s="141"/>
      <c r="P246" s="141"/>
      <c r="Q246" s="141"/>
    </row>
    <row r="247" spans="1:17" ht="184.5" thickTop="1" thickBot="1" x14ac:dyDescent="0.25">
      <c r="A247" s="226" t="s">
        <v>1280</v>
      </c>
      <c r="B247" s="226" t="s">
        <v>1281</v>
      </c>
      <c r="C247" s="226" t="s">
        <v>53</v>
      </c>
      <c r="D247" s="226" t="s">
        <v>1282</v>
      </c>
      <c r="E247" s="469" t="s">
        <v>1035</v>
      </c>
      <c r="F247" s="468" t="s">
        <v>1036</v>
      </c>
      <c r="G247" s="473">
        <f t="shared" ref="G247" si="40">H247+I247</f>
        <v>700000</v>
      </c>
      <c r="H247" s="468">
        <f>'d3'!E336</f>
        <v>0</v>
      </c>
      <c r="I247" s="468">
        <f>'d3'!J336</f>
        <v>700000</v>
      </c>
      <c r="J247" s="468">
        <f>'d3'!K336</f>
        <v>0</v>
      </c>
      <c r="K247" s="640"/>
      <c r="L247" s="640"/>
      <c r="M247" s="640"/>
    </row>
    <row r="248" spans="1:17" ht="226.5" thickTop="1" thickBot="1" x14ac:dyDescent="0.25">
      <c r="A248" s="450" t="s">
        <v>171</v>
      </c>
      <c r="B248" s="450"/>
      <c r="C248" s="450"/>
      <c r="D248" s="451" t="s">
        <v>961</v>
      </c>
      <c r="E248" s="450"/>
      <c r="F248" s="450"/>
      <c r="G248" s="453">
        <f>G249</f>
        <v>490000</v>
      </c>
      <c r="H248" s="453">
        <f t="shared" ref="H248:J248" si="41">H249</f>
        <v>0</v>
      </c>
      <c r="I248" s="453">
        <f t="shared" si="41"/>
        <v>490000</v>
      </c>
      <c r="J248" s="453">
        <f t="shared" si="41"/>
        <v>490000</v>
      </c>
      <c r="K248" s="739" t="b">
        <f>H248='d3'!E338-'d3'!E340+H250</f>
        <v>1</v>
      </c>
      <c r="L248" s="742" t="b">
        <f>I248='d3'!J338-'d3'!J340+I250</f>
        <v>1</v>
      </c>
      <c r="M248" s="742" t="b">
        <f>J248='d3'!K338-'d3'!K340+J250</f>
        <v>1</v>
      </c>
    </row>
    <row r="249" spans="1:17" ht="226.5" thickTop="1" thickBot="1" x14ac:dyDescent="0.25">
      <c r="A249" s="454" t="s">
        <v>172</v>
      </c>
      <c r="B249" s="454"/>
      <c r="C249" s="454"/>
      <c r="D249" s="455" t="s">
        <v>962</v>
      </c>
      <c r="E249" s="456"/>
      <c r="F249" s="456"/>
      <c r="G249" s="456">
        <f>SUM(G250:G252)</f>
        <v>490000</v>
      </c>
      <c r="H249" s="456">
        <f>SUM(H250:H252)</f>
        <v>0</v>
      </c>
      <c r="I249" s="456">
        <f>SUM(I250:I252)</f>
        <v>490000</v>
      </c>
      <c r="J249" s="456">
        <f>SUM(J250:J252)</f>
        <v>490000</v>
      </c>
      <c r="K249" s="640"/>
      <c r="L249" s="640"/>
      <c r="M249" s="640"/>
    </row>
    <row r="250" spans="1:17" s="162" customFormat="1" ht="230.25" thickTop="1" thickBot="1" x14ac:dyDescent="0.25">
      <c r="A250" s="226" t="s">
        <v>437</v>
      </c>
      <c r="B250" s="226" t="s">
        <v>249</v>
      </c>
      <c r="C250" s="226" t="s">
        <v>247</v>
      </c>
      <c r="D250" s="226" t="s">
        <v>248</v>
      </c>
      <c r="E250" s="467" t="s">
        <v>1143</v>
      </c>
      <c r="F250" s="468" t="s">
        <v>910</v>
      </c>
      <c r="G250" s="468">
        <f>H250+I250</f>
        <v>40000</v>
      </c>
      <c r="H250" s="473"/>
      <c r="I250" s="468">
        <v>40000</v>
      </c>
      <c r="J250" s="468">
        <v>40000</v>
      </c>
      <c r="K250" s="640"/>
      <c r="L250" s="640"/>
      <c r="M250" s="640"/>
      <c r="N250" s="163"/>
      <c r="O250" s="163"/>
      <c r="P250" s="163"/>
      <c r="Q250" s="163"/>
    </row>
    <row r="251" spans="1:17" ht="230.25" thickTop="1" thickBot="1" x14ac:dyDescent="0.25">
      <c r="A251" s="549" t="s">
        <v>320</v>
      </c>
      <c r="B251" s="549" t="s">
        <v>321</v>
      </c>
      <c r="C251" s="549" t="s">
        <v>322</v>
      </c>
      <c r="D251" s="549" t="s">
        <v>484</v>
      </c>
      <c r="E251" s="467" t="s">
        <v>1306</v>
      </c>
      <c r="F251" s="547"/>
      <c r="G251" s="583">
        <f t="shared" ref="G251:G252" si="42">H251+I251</f>
        <v>400000</v>
      </c>
      <c r="H251" s="547">
        <f>'d3'!E343</f>
        <v>0</v>
      </c>
      <c r="I251" s="547">
        <f>'d3'!J343</f>
        <v>400000</v>
      </c>
      <c r="J251" s="547">
        <f>'d3'!K343</f>
        <v>400000</v>
      </c>
      <c r="K251" s="640"/>
      <c r="L251" s="640"/>
      <c r="M251" s="640"/>
    </row>
    <row r="252" spans="1:17" ht="230.25" thickTop="1" thickBot="1" x14ac:dyDescent="0.25">
      <c r="A252" s="549" t="s">
        <v>385</v>
      </c>
      <c r="B252" s="549" t="s">
        <v>386</v>
      </c>
      <c r="C252" s="549" t="s">
        <v>179</v>
      </c>
      <c r="D252" s="549" t="s">
        <v>387</v>
      </c>
      <c r="E252" s="467" t="s">
        <v>1306</v>
      </c>
      <c r="F252" s="547"/>
      <c r="G252" s="583">
        <f t="shared" si="42"/>
        <v>50000</v>
      </c>
      <c r="H252" s="547">
        <f>'d3'!E345</f>
        <v>0</v>
      </c>
      <c r="I252" s="547">
        <f>'d3'!J345</f>
        <v>50000</v>
      </c>
      <c r="J252" s="547">
        <f>'d3'!K345</f>
        <v>50000</v>
      </c>
      <c r="K252" s="640"/>
      <c r="L252" s="640"/>
      <c r="M252" s="640"/>
    </row>
    <row r="253" spans="1:17" s="140" customFormat="1" ht="136.5" thickTop="1" thickBot="1" x14ac:dyDescent="0.25">
      <c r="A253" s="450" t="s">
        <v>177</v>
      </c>
      <c r="B253" s="450"/>
      <c r="C253" s="450"/>
      <c r="D253" s="451" t="s">
        <v>27</v>
      </c>
      <c r="E253" s="450"/>
      <c r="F253" s="450"/>
      <c r="G253" s="453">
        <f>G254</f>
        <v>7000</v>
      </c>
      <c r="H253" s="453">
        <f t="shared" ref="H253:J253" si="43">H254</f>
        <v>7000</v>
      </c>
      <c r="I253" s="453">
        <f t="shared" si="43"/>
        <v>0</v>
      </c>
      <c r="J253" s="453">
        <f t="shared" si="43"/>
        <v>0</v>
      </c>
      <c r="K253" s="640"/>
      <c r="L253" s="640"/>
      <c r="M253" s="640"/>
      <c r="N253" s="141"/>
      <c r="O253" s="141"/>
      <c r="P253" s="141"/>
      <c r="Q253" s="141"/>
    </row>
    <row r="254" spans="1:17" s="140" customFormat="1" ht="136.5" thickTop="1" thickBot="1" x14ac:dyDescent="0.25">
      <c r="A254" s="454" t="s">
        <v>178</v>
      </c>
      <c r="B254" s="454"/>
      <c r="C254" s="454"/>
      <c r="D254" s="455" t="s">
        <v>42</v>
      </c>
      <c r="E254" s="456"/>
      <c r="F254" s="456"/>
      <c r="G254" s="456">
        <f>SUM(G255:G256)</f>
        <v>7000</v>
      </c>
      <c r="H254" s="456">
        <f>SUM(H255:H256)</f>
        <v>7000</v>
      </c>
      <c r="I254" s="456">
        <f>SUM(I255:I256)</f>
        <v>0</v>
      </c>
      <c r="J254" s="456">
        <f>SUM(J255:J256)</f>
        <v>0</v>
      </c>
      <c r="K254" s="640"/>
      <c r="L254" s="640"/>
      <c r="M254" s="640"/>
      <c r="N254" s="141"/>
      <c r="O254" s="141"/>
      <c r="P254" s="141"/>
      <c r="Q254" s="141"/>
    </row>
    <row r="255" spans="1:17" s="199" customFormat="1" ht="230.25" hidden="1" thickTop="1" thickBot="1" x14ac:dyDescent="0.25">
      <c r="A255" s="261" t="s">
        <v>439</v>
      </c>
      <c r="B255" s="261" t="s">
        <v>249</v>
      </c>
      <c r="C255" s="261" t="s">
        <v>247</v>
      </c>
      <c r="D255" s="261" t="s">
        <v>248</v>
      </c>
      <c r="E255" s="357" t="s">
        <v>1143</v>
      </c>
      <c r="F255" s="333" t="s">
        <v>910</v>
      </c>
      <c r="G255" s="333">
        <f t="shared" ref="G255:G256" si="44">H255+I255</f>
        <v>0</v>
      </c>
      <c r="H255" s="359">
        <f>0</f>
        <v>0</v>
      </c>
      <c r="I255" s="365">
        <v>0</v>
      </c>
      <c r="J255" s="365">
        <v>0</v>
      </c>
      <c r="K255" s="640"/>
      <c r="L255" s="640"/>
      <c r="M255" s="640"/>
      <c r="N255" s="200"/>
      <c r="O255" s="200"/>
      <c r="P255" s="200"/>
      <c r="Q255" s="200"/>
    </row>
    <row r="256" spans="1:17" s="140" customFormat="1" ht="409.6" thickTop="1" thickBot="1" x14ac:dyDescent="1.2">
      <c r="A256" s="226" t="s">
        <v>682</v>
      </c>
      <c r="B256" s="226" t="s">
        <v>379</v>
      </c>
      <c r="C256" s="226" t="s">
        <v>668</v>
      </c>
      <c r="D256" s="226" t="s">
        <v>669</v>
      </c>
      <c r="E256" s="467" t="s">
        <v>1330</v>
      </c>
      <c r="F256" s="711"/>
      <c r="G256" s="468">
        <f t="shared" si="44"/>
        <v>7000</v>
      </c>
      <c r="H256" s="473">
        <f>'d3'!E350</f>
        <v>7000</v>
      </c>
      <c r="I256" s="474"/>
      <c r="J256" s="474"/>
      <c r="K256" s="681" t="b">
        <f>G257=G256+G252+G251+G250+G247+G245+G241+G239+G238+G237+G236+G235+G230+G229+G224+G223+G222+G215+G214+G213+G212+G211+G210+G208+G204+G203+G201+G199+G197+G195+G194+G193+G192+G190+G188+G187+G186+G185+G184+G179+G176+G175+G171+G170+G168+G167+G166+G165+G161+G160+G158+G157+G156+G155+G154+G152+G151+G150+G149+G148+G147+G146+G142+G141+G140+G139+G138+G137+G136+G134+G133+G130+G129+G128+G124+G123+G121+G120+G119+G118+G116+G115+G114+G113+G112+G111+G110+G108+G107+G106+G105+G104+G103+G102+G101+G100+G99+G98+G97+G95+G87+G86+G84+G83+G82+G81+G80+G79+G78+G74+G73+G62+G61+G60+G58+G57+G56+G55+G54+G53+G52+G51+G50+G48+G45+G43+G32+G31+G30+G29+G27+G26+G24+G23+G22+G21+G20+G17</f>
        <v>1</v>
      </c>
      <c r="L256" s="681" t="b">
        <f>H257=H256+H252+H251+H250+H247+H245+H241+H239+H238+H237+H236+H235+H230+H229+H224+H223+H222+H215+H214+H213+H212+H211+H210+H208+H204+H203+H201+H199+H197+H195+H194+H193+H192+H190+H188+H187+H186+H185+H184+H179+H176+H175+H171+H170+H168+H167+H166+H165+H161+H160+H158+H157+H156+H155+H154+H152+H151+H150+H149+H148+H147+H146+H142+H141+H140+H139+H138+H137+H136+H134+H133+H130+H129+H128+H124+H123+H121+H120+H119+H118+H116+H115+H114+H113+H112+H111+H110+H108+H107+H106+H105+H104+H103+H102+H101+H100+H99+H98+H97+H95+H87+H86+H84+H83+H82+H81+H80+H79+H78+H74+H73+H62+H61+H60+H58+H57+H56+H55+H54+H53+H52+H51+H50+H48+H45+H43+H32+H31+H30+H29+H27+H26+H24+H23+H22+H21+H20+H17</f>
        <v>1</v>
      </c>
      <c r="M256" s="681" t="b">
        <f>I257=I256+I252+I251+I250+I247+I245+I241+I239+I238+I237+I236+I235+I230+I229+I224+I223+I222+I215+I214+I213+I212+I211+I210+I208+I204+I203+I201+I199+I197+I195+I194+I193+I192+I190+I188+I187+I186+I185+I184+I179+I176+I175+I171+I170+I168+I167+I166+I165+I161+I160+I158+I157+I156+I155+I154+I152+I151+I150+I149+I148+I147+I146+I142+I141+I140+I139+I138+I137+I136+I134+I133+I130+I129+I128+I124+I123+I121+I120+I119+I118+I116+I115+I114+I113+I112+I111+I110+I108+I107+I106+I105+I104+I103+I102+I101+I100+I99+I98+I97+I95+I87+I86+I84+I83+I82+I81+I80+I79+I78+I74+I73+I62+I61+I60+I58+I57+I56+I55+I54+I53+I52+I51+I50+I48+I45+I43+I32+I31+I30+I29+I27+I26+I24+I23+I22+I21+I20+I17</f>
        <v>1</v>
      </c>
      <c r="N256" s="681" t="b">
        <f>J257=J256+J252+J251+J250+J247+J245+J241+J239+J238+J237+J236+J235+J230+J229+J224+J223+J222+J215+J214+J213+J212+J211+J210+J208+J204+J203+J201+J199+J197+J195+J194+J193+J192+J190+J188+J187+J186+J185+J184+J179+J176+J175+J171+J170+J168+J167+J166+J165+J161+J160+J158+J157+J156+J155+J154+J152+J151+J150+J149+J148+J147+J146+J142+J141+J140+J139+J138+J137+J136+J134+J133+J130+J129+J128+J124+J123+J121+J120+J119+J118+J116+J115+J114+J113+J112+J111+J110+J108+J107+J106+J105+J104+J103+J102+J101+J100+J99+J98+J97+J95+J87+J86+J84+J83+J82+J81+J80+J79+J78+J74+J73+J62+J61+J60+J58+J57+J56+J55+J54+J53+J52+J51+J50+J48+J45+J43+J32+J31+J30+J29+J27+J26+J24+J23+J22+J21+J20+J17</f>
        <v>1</v>
      </c>
      <c r="O256" s="681"/>
      <c r="P256" s="141"/>
      <c r="Q256" s="141"/>
    </row>
    <row r="257" spans="1:17" ht="81.75" customHeight="1" thickTop="1" thickBot="1" x14ac:dyDescent="1.2">
      <c r="A257" s="655" t="s">
        <v>399</v>
      </c>
      <c r="B257" s="655" t="s">
        <v>399</v>
      </c>
      <c r="C257" s="655" t="s">
        <v>399</v>
      </c>
      <c r="D257" s="656" t="s">
        <v>409</v>
      </c>
      <c r="E257" s="655" t="s">
        <v>399</v>
      </c>
      <c r="F257" s="655" t="s">
        <v>399</v>
      </c>
      <c r="G257" s="657">
        <f>G16+G42+G145+G77+G94+G127+G207+G234+G244+G249+G226+G221+G182+G164+G254</f>
        <v>3336081851</v>
      </c>
      <c r="H257" s="657">
        <f>H16+H42+H145+H77+H94+H127+H207+H234+H244+H249+H226+H221+H182+H164+H254</f>
        <v>2846975053</v>
      </c>
      <c r="I257" s="657">
        <f>I16+I42+I145+I77+I94+I127+I207+I234+I244+I249+I226+I221+I182+I164+I254</f>
        <v>489106798</v>
      </c>
      <c r="J257" s="657">
        <f>J16+J42+J145+J77+J94+J127+J207+J234+J244+J249+J226+J221+J182+J164+J254</f>
        <v>300484675</v>
      </c>
      <c r="K257" s="681" t="b">
        <f>G257=H257+I257</f>
        <v>1</v>
      </c>
      <c r="L257" s="640"/>
      <c r="M257" s="640"/>
    </row>
    <row r="258" spans="1:17" s="658" customFormat="1" ht="31.7" customHeight="1" thickTop="1" x14ac:dyDescent="0.2">
      <c r="A258" s="784" t="s">
        <v>1252</v>
      </c>
      <c r="B258" s="785"/>
      <c r="C258" s="785"/>
      <c r="D258" s="785"/>
      <c r="E258" s="785"/>
      <c r="F258" s="785"/>
      <c r="G258" s="785"/>
      <c r="H258" s="785"/>
      <c r="I258" s="785"/>
      <c r="J258" s="785"/>
      <c r="K258" s="755"/>
      <c r="L258" s="755"/>
      <c r="M258" s="755"/>
      <c r="N258" s="153"/>
      <c r="O258" s="153"/>
      <c r="P258" s="153"/>
      <c r="Q258" s="153"/>
    </row>
    <row r="259" spans="1:17" ht="31.7" customHeight="1" x14ac:dyDescent="0.2">
      <c r="A259" s="85"/>
      <c r="B259" s="86"/>
      <c r="C259" s="86"/>
      <c r="D259" s="86"/>
      <c r="E259" s="86"/>
      <c r="F259" s="86"/>
      <c r="G259" s="86"/>
      <c r="H259" s="86"/>
      <c r="I259" s="86"/>
      <c r="J259" s="86"/>
    </row>
    <row r="260" spans="1:17" ht="45" customHeight="1" x14ac:dyDescent="0.65">
      <c r="A260" s="85"/>
      <c r="B260" s="86"/>
      <c r="C260" s="86"/>
      <c r="D260" s="207" t="s">
        <v>1337</v>
      </c>
      <c r="E260" s="183"/>
      <c r="F260" s="205"/>
      <c r="G260" s="183" t="s">
        <v>1336</v>
      </c>
      <c r="H260" s="186"/>
      <c r="I260" s="186"/>
      <c r="J260" s="186"/>
      <c r="K260" s="749"/>
      <c r="L260" s="750"/>
      <c r="M260" s="756"/>
      <c r="N260" s="30"/>
      <c r="O260" s="90"/>
      <c r="P260" s="90"/>
      <c r="Q260" s="8"/>
    </row>
    <row r="261" spans="1:17" ht="61.5" customHeight="1" x14ac:dyDescent="0.65">
      <c r="A261" s="83"/>
      <c r="B261" s="83"/>
      <c r="C261" s="83"/>
      <c r="D261" s="207"/>
      <c r="E261" s="183"/>
      <c r="F261" s="205"/>
      <c r="G261" s="183"/>
      <c r="H261" s="183"/>
      <c r="I261" s="80"/>
      <c r="J261" s="80"/>
      <c r="K261" s="751"/>
      <c r="L261" s="750"/>
      <c r="M261" s="756"/>
      <c r="N261" s="30"/>
      <c r="O261" s="90"/>
      <c r="P261" s="90"/>
      <c r="Q261" s="8"/>
    </row>
    <row r="262" spans="1:17" ht="45.75" x14ac:dyDescent="0.65">
      <c r="D262" s="90"/>
      <c r="E262" s="188"/>
      <c r="F262" s="189"/>
      <c r="G262" s="90"/>
      <c r="H262" s="50"/>
      <c r="I262" s="30"/>
      <c r="J262" s="8"/>
      <c r="K262" s="757"/>
      <c r="L262" s="757"/>
      <c r="M262" s="757"/>
      <c r="N262" s="108"/>
      <c r="O262" s="108"/>
      <c r="P262" s="108"/>
      <c r="Q262" s="108"/>
    </row>
    <row r="263" spans="1:17" ht="45.75" x14ac:dyDescent="0.65">
      <c r="D263" s="759"/>
      <c r="E263" s="759"/>
      <c r="F263" s="759"/>
      <c r="G263" s="759"/>
      <c r="H263" s="759"/>
      <c r="I263" s="759"/>
      <c r="J263" s="759"/>
      <c r="K263" s="757"/>
      <c r="L263" s="757"/>
      <c r="M263" s="757"/>
      <c r="N263" s="108"/>
      <c r="O263" s="108"/>
      <c r="P263" s="108"/>
      <c r="Q263" s="108"/>
    </row>
    <row r="264" spans="1:17" x14ac:dyDescent="0.2">
      <c r="E264" s="4"/>
      <c r="F264" s="3"/>
    </row>
    <row r="265" spans="1:17" x14ac:dyDescent="0.2">
      <c r="E265" s="4"/>
      <c r="F265" s="3"/>
    </row>
    <row r="266" spans="1:17" ht="62.25" x14ac:dyDescent="0.8">
      <c r="A266" s="81"/>
      <c r="B266" s="81"/>
      <c r="C266" s="81"/>
      <c r="D266" s="81"/>
      <c r="E266" s="8"/>
      <c r="F266" s="30"/>
      <c r="I266" s="81"/>
      <c r="J266" s="33"/>
    </row>
    <row r="267" spans="1:17" ht="45.75" x14ac:dyDescent="0.2">
      <c r="E267" s="9"/>
      <c r="F267" s="50"/>
    </row>
    <row r="268" spans="1:17" ht="45.75" x14ac:dyDescent="0.2">
      <c r="A268" s="81"/>
      <c r="B268" s="81"/>
      <c r="C268" s="81"/>
      <c r="D268" s="81"/>
      <c r="E268" s="8"/>
      <c r="F268" s="30"/>
      <c r="I268" s="81"/>
      <c r="J268" s="81"/>
    </row>
    <row r="269" spans="1:17" ht="45.75" x14ac:dyDescent="0.2">
      <c r="E269" s="9"/>
      <c r="F269" s="50"/>
    </row>
    <row r="270" spans="1:17" ht="45.75" x14ac:dyDescent="0.2">
      <c r="E270" s="9"/>
      <c r="F270" s="50"/>
    </row>
    <row r="271" spans="1:17" ht="45.75" x14ac:dyDescent="0.2">
      <c r="E271" s="9"/>
      <c r="F271" s="50"/>
    </row>
    <row r="272" spans="1:17" ht="45.75" x14ac:dyDescent="0.2">
      <c r="A272" s="81"/>
      <c r="B272" s="81"/>
      <c r="C272" s="81"/>
      <c r="D272" s="81"/>
      <c r="E272" s="9"/>
      <c r="F272" s="50"/>
      <c r="G272" s="81"/>
      <c r="H272" s="81"/>
      <c r="I272" s="81"/>
      <c r="J272" s="81"/>
    </row>
    <row r="273" spans="1:10" ht="45.75" x14ac:dyDescent="0.2">
      <c r="A273" s="81"/>
      <c r="B273" s="81"/>
      <c r="C273" s="81"/>
      <c r="D273" s="81"/>
      <c r="E273" s="9"/>
      <c r="F273" s="50"/>
      <c r="G273" s="81"/>
      <c r="H273" s="81"/>
      <c r="I273" s="81"/>
      <c r="J273" s="81"/>
    </row>
    <row r="274" spans="1:10" ht="45.75" x14ac:dyDescent="0.2">
      <c r="A274" s="81"/>
      <c r="B274" s="81"/>
      <c r="C274" s="81"/>
      <c r="D274" s="81"/>
      <c r="E274" s="9"/>
      <c r="F274" s="50"/>
      <c r="G274" s="81"/>
      <c r="H274" s="81"/>
      <c r="I274" s="81"/>
      <c r="J274" s="81"/>
    </row>
    <row r="275" spans="1:10" ht="45.75" x14ac:dyDescent="0.2">
      <c r="A275" s="81"/>
      <c r="B275" s="81"/>
      <c r="C275" s="81"/>
      <c r="D275" s="81"/>
      <c r="E275" s="9"/>
      <c r="F275" s="50"/>
      <c r="G275" s="81"/>
      <c r="H275" s="81"/>
      <c r="I275" s="81"/>
      <c r="J275" s="81"/>
    </row>
  </sheetData>
  <mergeCells count="142">
    <mergeCell ref="H190:H191"/>
    <mergeCell ref="I190:I191"/>
    <mergeCell ref="J190:J191"/>
    <mergeCell ref="G190:G191"/>
    <mergeCell ref="I218:I219"/>
    <mergeCell ref="J197:J198"/>
    <mergeCell ref="J218:J219"/>
    <mergeCell ref="H199:H200"/>
    <mergeCell ref="I199:I200"/>
    <mergeCell ref="J199:J200"/>
    <mergeCell ref="H201:H202"/>
    <mergeCell ref="I201:I202"/>
    <mergeCell ref="J201:J202"/>
    <mergeCell ref="A218:A219"/>
    <mergeCell ref="B218:B219"/>
    <mergeCell ref="C218:C219"/>
    <mergeCell ref="E218:E219"/>
    <mergeCell ref="F218:F219"/>
    <mergeCell ref="G218:G219"/>
    <mergeCell ref="H218:H219"/>
    <mergeCell ref="A201:A202"/>
    <mergeCell ref="B201:B202"/>
    <mergeCell ref="C201:C202"/>
    <mergeCell ref="E201:E202"/>
    <mergeCell ref="F201:F202"/>
    <mergeCell ref="G201:G202"/>
    <mergeCell ref="A199:A200"/>
    <mergeCell ref="B199:B200"/>
    <mergeCell ref="C199:C200"/>
    <mergeCell ref="D199:D200"/>
    <mergeCell ref="H195:H196"/>
    <mergeCell ref="I195:I196"/>
    <mergeCell ref="J195:J196"/>
    <mergeCell ref="A197:A198"/>
    <mergeCell ref="B197:B198"/>
    <mergeCell ref="C197:C198"/>
    <mergeCell ref="D197:D198"/>
    <mergeCell ref="H197:H198"/>
    <mergeCell ref="I197:I198"/>
    <mergeCell ref="A195:A196"/>
    <mergeCell ref="B195:B196"/>
    <mergeCell ref="C195:C196"/>
    <mergeCell ref="D195:D196"/>
    <mergeCell ref="G195:G196"/>
    <mergeCell ref="G197:G198"/>
    <mergeCell ref="G199:G200"/>
    <mergeCell ref="A190:A192"/>
    <mergeCell ref="B190:B192"/>
    <mergeCell ref="C190:C192"/>
    <mergeCell ref="D190:D192"/>
    <mergeCell ref="L22:L23"/>
    <mergeCell ref="M22:M23"/>
    <mergeCell ref="A6:J6"/>
    <mergeCell ref="A9:J9"/>
    <mergeCell ref="A10:J10"/>
    <mergeCell ref="F12:F13"/>
    <mergeCell ref="G12:G13"/>
    <mergeCell ref="A12:A13"/>
    <mergeCell ref="B12:B13"/>
    <mergeCell ref="C12:C13"/>
    <mergeCell ref="D12:D13"/>
    <mergeCell ref="E12:E13"/>
    <mergeCell ref="H12:H13"/>
    <mergeCell ref="I12:J12"/>
    <mergeCell ref="A7:J7"/>
    <mergeCell ref="K22:K23"/>
    <mergeCell ref="D176:D177"/>
    <mergeCell ref="G176:G177"/>
    <mergeCell ref="A168:A169"/>
    <mergeCell ref="B168:B169"/>
    <mergeCell ref="C168:C169"/>
    <mergeCell ref="D168:D169"/>
    <mergeCell ref="A171:A172"/>
    <mergeCell ref="I1:J1"/>
    <mergeCell ref="I2:J2"/>
    <mergeCell ref="I3:J3"/>
    <mergeCell ref="A5:J5"/>
    <mergeCell ref="A8:J8"/>
    <mergeCell ref="A27:A28"/>
    <mergeCell ref="B27:B28"/>
    <mergeCell ref="C27:C28"/>
    <mergeCell ref="E27:E28"/>
    <mergeCell ref="F27:F28"/>
    <mergeCell ref="H27:H28"/>
    <mergeCell ref="I27:I28"/>
    <mergeCell ref="J27:J28"/>
    <mergeCell ref="G27:G28"/>
    <mergeCell ref="B171:B172"/>
    <mergeCell ref="C171:C172"/>
    <mergeCell ref="D171:D172"/>
    <mergeCell ref="G168:G169"/>
    <mergeCell ref="H168:H169"/>
    <mergeCell ref="I168:I169"/>
    <mergeCell ref="J168:J169"/>
    <mergeCell ref="E179:E180"/>
    <mergeCell ref="F179:F180"/>
    <mergeCell ref="G179:G180"/>
    <mergeCell ref="H179:H180"/>
    <mergeCell ref="I179:I180"/>
    <mergeCell ref="J179:J180"/>
    <mergeCell ref="D263:J263"/>
    <mergeCell ref="A258:J258"/>
    <mergeCell ref="G89:G90"/>
    <mergeCell ref="H89:H90"/>
    <mergeCell ref="I89:I90"/>
    <mergeCell ref="J89:J90"/>
    <mergeCell ref="A124:A125"/>
    <mergeCell ref="B124:B125"/>
    <mergeCell ref="C124:C125"/>
    <mergeCell ref="E124:E125"/>
    <mergeCell ref="F124:F125"/>
    <mergeCell ref="G124:G125"/>
    <mergeCell ref="H124:H125"/>
    <mergeCell ref="I124:I125"/>
    <mergeCell ref="J124:J125"/>
    <mergeCell ref="A176:A177"/>
    <mergeCell ref="B176:B177"/>
    <mergeCell ref="C176:C177"/>
    <mergeCell ref="H231:H232"/>
    <mergeCell ref="I231:I232"/>
    <mergeCell ref="J231:J232"/>
    <mergeCell ref="D231:D232"/>
    <mergeCell ref="A231:A232"/>
    <mergeCell ref="B231:B232"/>
    <mergeCell ref="C231:C232"/>
    <mergeCell ref="G231:G232"/>
    <mergeCell ref="J66:J67"/>
    <mergeCell ref="A66:A67"/>
    <mergeCell ref="B66:B67"/>
    <mergeCell ref="C66:C67"/>
    <mergeCell ref="D66:D67"/>
    <mergeCell ref="E66:E67"/>
    <mergeCell ref="F66:F67"/>
    <mergeCell ref="G66:G67"/>
    <mergeCell ref="H66:H67"/>
    <mergeCell ref="I66:I67"/>
    <mergeCell ref="H176:H177"/>
    <mergeCell ref="I176:I177"/>
    <mergeCell ref="J176:J177"/>
    <mergeCell ref="A179:A180"/>
    <mergeCell ref="B179:B180"/>
    <mergeCell ref="C179:C180"/>
  </mergeCells>
  <pageMargins left="0.23622047244094491" right="0.27559055118110237" top="0.27559055118110237" bottom="0.15748031496062992" header="0.23622047244094491" footer="0.27559055118110237"/>
  <pageSetup paperSize="9" scale="19" fitToHeight="0" orientation="landscape" r:id="rId1"/>
  <headerFooter alignWithMargins="0">
    <oddFooter>&amp;C&amp;"Times New Roman Cyr,курсив"Сторінка &amp;P з &amp;N</oddFooter>
  </headerFooter>
  <rowBreaks count="7" manualBreakCount="7">
    <brk id="25" max="9" man="1"/>
    <brk id="87" max="9" man="1"/>
    <brk id="113" max="9" man="1"/>
    <brk id="150" max="9" man="1"/>
    <brk id="208" max="9" man="1"/>
    <brk id="239" max="9" man="1"/>
    <brk id="262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Аркуш6"/>
  <dimension ref="A1:J163"/>
  <sheetViews>
    <sheetView view="pageBreakPreview" topLeftCell="A25" zoomScale="85" zoomScaleNormal="85" zoomScaleSheetLayoutView="85" workbookViewId="0">
      <selection activeCell="A38" sqref="A38:XFD38"/>
    </sheetView>
  </sheetViews>
  <sheetFormatPr defaultColWidth="9.140625" defaultRowHeight="12.75" x14ac:dyDescent="0.2"/>
  <cols>
    <col min="1" max="1" width="18.140625" style="17" customWidth="1"/>
    <col min="2" max="2" width="108" style="17" customWidth="1"/>
    <col min="3" max="3" width="4" style="17" hidden="1" customWidth="1"/>
    <col min="4" max="4" width="17" style="17" customWidth="1"/>
    <col min="5" max="5" width="14.7109375" style="115" customWidth="1"/>
    <col min="6" max="6" width="21.85546875" style="115" bestFit="1" customWidth="1"/>
    <col min="7" max="7" width="18.85546875" style="17" bestFit="1" customWidth="1"/>
    <col min="8" max="9" width="9.140625" style="17"/>
    <col min="10" max="10" width="52.5703125" style="17" customWidth="1"/>
    <col min="11" max="16384" width="9.140625" style="17"/>
  </cols>
  <sheetData>
    <row r="1" spans="1:9" ht="16.5" customHeight="1" x14ac:dyDescent="0.2">
      <c r="C1" s="772" t="s">
        <v>633</v>
      </c>
      <c r="D1" s="772"/>
      <c r="E1" s="114"/>
      <c r="F1" s="114"/>
    </row>
    <row r="2" spans="1:9" ht="16.5" customHeight="1" x14ac:dyDescent="0.2">
      <c r="C2" s="958" t="s">
        <v>1053</v>
      </c>
      <c r="D2" s="959"/>
      <c r="E2" s="959"/>
      <c r="F2" s="959"/>
    </row>
    <row r="3" spans="1:9" ht="12.75" customHeight="1" x14ac:dyDescent="0.2">
      <c r="C3" s="772" t="s">
        <v>1054</v>
      </c>
      <c r="D3" s="955"/>
    </row>
    <row r="4" spans="1:9" ht="12.75" customHeight="1" x14ac:dyDescent="0.2">
      <c r="C4" s="772"/>
      <c r="D4" s="774"/>
    </row>
    <row r="5" spans="1:9" ht="16.5" x14ac:dyDescent="0.25">
      <c r="A5" s="935" t="s">
        <v>601</v>
      </c>
      <c r="B5" s="935"/>
      <c r="C5" s="935"/>
      <c r="D5" s="774"/>
      <c r="E5" s="960"/>
      <c r="F5" s="961"/>
      <c r="G5" s="961"/>
      <c r="H5" s="961"/>
      <c r="I5" s="962"/>
    </row>
    <row r="6" spans="1:9" s="102" customFormat="1" ht="16.5" x14ac:dyDescent="0.25">
      <c r="A6" s="935" t="s">
        <v>600</v>
      </c>
      <c r="B6" s="935"/>
      <c r="C6" s="935"/>
      <c r="D6" s="774"/>
      <c r="E6" s="116"/>
      <c r="F6" s="117"/>
      <c r="G6" s="100"/>
      <c r="H6" s="100"/>
      <c r="I6" s="101"/>
    </row>
    <row r="7" spans="1:9" ht="16.5" x14ac:dyDescent="0.25">
      <c r="A7" s="936" t="s">
        <v>133</v>
      </c>
      <c r="B7" s="936"/>
      <c r="C7" s="936"/>
      <c r="D7" s="857"/>
      <c r="E7" s="960"/>
      <c r="F7" s="960"/>
      <c r="G7" s="960"/>
      <c r="H7" s="960"/>
      <c r="I7" s="773"/>
    </row>
    <row r="8" spans="1:9" ht="16.5" x14ac:dyDescent="0.2">
      <c r="A8" s="936" t="s">
        <v>1244</v>
      </c>
      <c r="B8" s="936"/>
      <c r="C8" s="936"/>
      <c r="D8" s="857"/>
      <c r="E8" s="963"/>
      <c r="F8" s="963"/>
      <c r="G8" s="963"/>
      <c r="H8" s="963"/>
      <c r="I8" s="964"/>
    </row>
    <row r="9" spans="1:9" s="63" customFormat="1" ht="16.5" x14ac:dyDescent="0.2">
      <c r="A9" s="64"/>
      <c r="B9" s="64"/>
      <c r="C9" s="64"/>
      <c r="D9" s="59"/>
      <c r="E9" s="118"/>
      <c r="F9" s="118"/>
      <c r="G9" s="61"/>
      <c r="H9" s="61"/>
      <c r="I9" s="62"/>
    </row>
    <row r="10" spans="1:9" s="63" customFormat="1" ht="16.5" x14ac:dyDescent="0.2">
      <c r="A10" s="439">
        <v>22564000000</v>
      </c>
      <c r="B10" s="564"/>
      <c r="C10" s="565"/>
      <c r="D10" s="438"/>
      <c r="E10" s="367"/>
      <c r="F10" s="367"/>
      <c r="G10" s="368"/>
      <c r="H10" s="61"/>
      <c r="I10" s="62"/>
    </row>
    <row r="11" spans="1:9" s="63" customFormat="1" ht="16.5" x14ac:dyDescent="0.2">
      <c r="A11" s="440" t="s">
        <v>515</v>
      </c>
      <c r="B11" s="399"/>
      <c r="C11" s="565"/>
      <c r="D11" s="438"/>
      <c r="E11" s="367"/>
      <c r="F11" s="367"/>
      <c r="G11" s="368"/>
      <c r="H11" s="61"/>
      <c r="I11" s="62"/>
    </row>
    <row r="12" spans="1:9" ht="17.25" thickBot="1" x14ac:dyDescent="0.25">
      <c r="A12" s="566"/>
      <c r="B12" s="566"/>
      <c r="C12" s="567"/>
      <c r="D12" s="567" t="s">
        <v>422</v>
      </c>
      <c r="E12" s="367"/>
      <c r="F12" s="367"/>
      <c r="G12" s="369"/>
    </row>
    <row r="13" spans="1:9" s="18" customFormat="1" ht="50.25" customHeight="1" thickTop="1" thickBot="1" x14ac:dyDescent="0.25">
      <c r="A13" s="684" t="s">
        <v>134</v>
      </c>
      <c r="B13" s="956" t="s">
        <v>135</v>
      </c>
      <c r="C13" s="957"/>
      <c r="D13" s="957"/>
      <c r="E13" s="370"/>
      <c r="F13" s="370"/>
      <c r="G13" s="371"/>
    </row>
    <row r="14" spans="1:9" s="18" customFormat="1" ht="39.75" customHeight="1" thickTop="1" thickBot="1" x14ac:dyDescent="0.25">
      <c r="A14" s="562" t="s">
        <v>136</v>
      </c>
      <c r="B14" s="933" t="s">
        <v>137</v>
      </c>
      <c r="C14" s="934"/>
      <c r="D14" s="563">
        <v>100</v>
      </c>
      <c r="E14" s="370"/>
      <c r="F14" s="370"/>
      <c r="G14" s="371"/>
    </row>
    <row r="15" spans="1:9" s="18" customFormat="1" ht="40.700000000000003" customHeight="1" thickTop="1" thickBot="1" x14ac:dyDescent="0.25">
      <c r="A15" s="562" t="s">
        <v>138</v>
      </c>
      <c r="B15" s="933" t="s">
        <v>139</v>
      </c>
      <c r="C15" s="934"/>
      <c r="D15" s="563">
        <v>4299180</v>
      </c>
      <c r="E15" s="370"/>
      <c r="F15" s="370"/>
      <c r="G15" s="371"/>
    </row>
    <row r="16" spans="1:9" s="18" customFormat="1" ht="17.25" hidden="1" customHeight="1" thickTop="1" thickBot="1" x14ac:dyDescent="0.25">
      <c r="A16" s="562" t="s">
        <v>140</v>
      </c>
      <c r="B16" s="933" t="s">
        <v>141</v>
      </c>
      <c r="C16" s="934"/>
      <c r="D16" s="563">
        <v>0</v>
      </c>
      <c r="E16" s="370"/>
      <c r="F16" s="370"/>
      <c r="G16" s="371"/>
    </row>
    <row r="17" spans="1:7" s="18" customFormat="1" ht="41.25" customHeight="1" thickTop="1" thickBot="1" x14ac:dyDescent="0.25">
      <c r="A17" s="562" t="s">
        <v>1109</v>
      </c>
      <c r="B17" s="568" t="s">
        <v>1110</v>
      </c>
      <c r="C17" s="569"/>
      <c r="D17" s="563">
        <v>1700000</v>
      </c>
      <c r="E17" s="370"/>
      <c r="F17" s="370"/>
      <c r="G17" s="371"/>
    </row>
    <row r="18" spans="1:7" s="18" customFormat="1" ht="41.25" customHeight="1" thickTop="1" thickBot="1" x14ac:dyDescent="0.25">
      <c r="A18" s="562" t="s">
        <v>142</v>
      </c>
      <c r="B18" s="933" t="s">
        <v>143</v>
      </c>
      <c r="C18" s="934"/>
      <c r="D18" s="563">
        <v>720</v>
      </c>
      <c r="E18" s="370"/>
      <c r="F18" s="370"/>
      <c r="G18" s="371"/>
    </row>
    <row r="19" spans="1:7" s="18" customFormat="1" ht="26.45" customHeight="1" thickTop="1" thickBot="1" x14ac:dyDescent="0.25">
      <c r="A19" s="562"/>
      <c r="B19" s="941" t="s">
        <v>144</v>
      </c>
      <c r="C19" s="934"/>
      <c r="D19" s="570">
        <f>SUM(D14:D18)</f>
        <v>6000000</v>
      </c>
      <c r="E19" s="370"/>
      <c r="F19" s="370"/>
      <c r="G19" s="371"/>
    </row>
    <row r="20" spans="1:7" s="18" customFormat="1" ht="26.45" hidden="1" customHeight="1" thickTop="1" thickBot="1" x14ac:dyDescent="0.25">
      <c r="A20" s="562"/>
      <c r="B20" s="941" t="s">
        <v>460</v>
      </c>
      <c r="C20" s="934"/>
      <c r="D20" s="570"/>
      <c r="E20" s="370"/>
      <c r="F20" s="370"/>
      <c r="G20" s="371"/>
    </row>
    <row r="21" spans="1:7" s="18" customFormat="1" ht="26.45" hidden="1" customHeight="1" thickTop="1" thickBot="1" x14ac:dyDescent="0.25">
      <c r="A21" s="562"/>
      <c r="B21" s="941" t="s">
        <v>561</v>
      </c>
      <c r="C21" s="934"/>
      <c r="D21" s="570">
        <v>0</v>
      </c>
      <c r="E21" s="370"/>
      <c r="F21" s="370"/>
      <c r="G21" s="371"/>
    </row>
    <row r="22" spans="1:7" s="18" customFormat="1" ht="26.45" customHeight="1" thickTop="1" thickBot="1" x14ac:dyDescent="0.25">
      <c r="A22" s="682" t="s">
        <v>399</v>
      </c>
      <c r="B22" s="944" t="s">
        <v>519</v>
      </c>
      <c r="C22" s="945"/>
      <c r="D22" s="683">
        <f>D19+D21</f>
        <v>6000000</v>
      </c>
      <c r="E22" s="370"/>
      <c r="F22" s="370"/>
      <c r="G22" s="371"/>
    </row>
    <row r="23" spans="1:7" s="18" customFormat="1" ht="47.25" customHeight="1" thickTop="1" thickBot="1" x14ac:dyDescent="0.25">
      <c r="A23" s="684" t="s">
        <v>134</v>
      </c>
      <c r="B23" s="956" t="s">
        <v>145</v>
      </c>
      <c r="C23" s="957"/>
      <c r="D23" s="957"/>
      <c r="E23" s="370"/>
      <c r="F23" s="370"/>
      <c r="G23" s="371"/>
    </row>
    <row r="24" spans="1:7" s="18" customFormat="1" ht="43.5" customHeight="1" thickTop="1" thickBot="1" x14ac:dyDescent="0.25">
      <c r="A24" s="562" t="s">
        <v>146</v>
      </c>
      <c r="B24" s="933" t="s">
        <v>147</v>
      </c>
      <c r="C24" s="948"/>
      <c r="D24" s="563">
        <v>40000</v>
      </c>
      <c r="E24" s="370"/>
      <c r="F24" s="370"/>
      <c r="G24" s="371"/>
    </row>
    <row r="25" spans="1:7" s="18" customFormat="1" ht="44.45" customHeight="1" thickTop="1" thickBot="1" x14ac:dyDescent="0.25">
      <c r="A25" s="562" t="s">
        <v>148</v>
      </c>
      <c r="B25" s="933" t="s">
        <v>149</v>
      </c>
      <c r="C25" s="948"/>
      <c r="D25" s="563">
        <v>153400</v>
      </c>
      <c r="E25" s="370"/>
      <c r="F25" s="370"/>
      <c r="G25" s="371"/>
    </row>
    <row r="26" spans="1:7" s="18" customFormat="1" ht="44.45" customHeight="1" thickTop="1" thickBot="1" x14ac:dyDescent="0.25">
      <c r="A26" s="562" t="s">
        <v>495</v>
      </c>
      <c r="B26" s="933" t="s">
        <v>428</v>
      </c>
      <c r="C26" s="948"/>
      <c r="D26" s="563">
        <v>465000</v>
      </c>
      <c r="E26" s="370"/>
      <c r="F26" s="370"/>
      <c r="G26" s="371"/>
    </row>
    <row r="27" spans="1:7" s="18" customFormat="1" ht="32.25" customHeight="1" thickTop="1" thickBot="1" x14ac:dyDescent="0.25">
      <c r="A27" s="562" t="s">
        <v>150</v>
      </c>
      <c r="B27" s="933" t="s">
        <v>152</v>
      </c>
      <c r="C27" s="948"/>
      <c r="D27" s="563">
        <v>322000</v>
      </c>
      <c r="E27" s="370"/>
      <c r="F27" s="370"/>
      <c r="G27" s="371"/>
    </row>
    <row r="28" spans="1:7" s="18" customFormat="1" ht="55.5" customHeight="1" thickTop="1" thickBot="1" x14ac:dyDescent="0.25">
      <c r="A28" s="562" t="s">
        <v>151</v>
      </c>
      <c r="B28" s="933" t="s">
        <v>461</v>
      </c>
      <c r="C28" s="948"/>
      <c r="D28" s="563">
        <f>(1300000+1416600)</f>
        <v>2716600</v>
      </c>
      <c r="E28" s="370"/>
      <c r="F28" s="370"/>
      <c r="G28" s="371"/>
    </row>
    <row r="29" spans="1:7" s="18" customFormat="1" ht="76.5" customHeight="1" thickTop="1" thickBot="1" x14ac:dyDescent="0.25">
      <c r="A29" s="562" t="s">
        <v>153</v>
      </c>
      <c r="B29" s="933" t="s">
        <v>154</v>
      </c>
      <c r="C29" s="948"/>
      <c r="D29" s="563">
        <v>884000</v>
      </c>
      <c r="E29" s="370"/>
      <c r="F29" s="370"/>
      <c r="G29" s="371"/>
    </row>
    <row r="30" spans="1:7" s="18" customFormat="1" ht="76.5" hidden="1" customHeight="1" thickTop="1" thickBot="1" x14ac:dyDescent="0.25">
      <c r="A30" s="372" t="s">
        <v>1087</v>
      </c>
      <c r="B30" s="374" t="s">
        <v>1088</v>
      </c>
      <c r="C30" s="375"/>
      <c r="D30" s="373">
        <v>0</v>
      </c>
      <c r="E30" s="370"/>
      <c r="F30" s="370"/>
      <c r="G30" s="371"/>
    </row>
    <row r="31" spans="1:7" s="18" customFormat="1" ht="48" customHeight="1" thickTop="1" thickBot="1" x14ac:dyDescent="0.25">
      <c r="A31" s="562" t="s">
        <v>496</v>
      </c>
      <c r="B31" s="933" t="s">
        <v>155</v>
      </c>
      <c r="C31" s="948"/>
      <c r="D31" s="563">
        <v>20000</v>
      </c>
      <c r="E31" s="370"/>
      <c r="F31" s="370"/>
      <c r="G31" s="371"/>
    </row>
    <row r="32" spans="1:7" s="18" customFormat="1" ht="54" customHeight="1" thickTop="1" thickBot="1" x14ac:dyDescent="0.3">
      <c r="A32" s="949" t="s">
        <v>497</v>
      </c>
      <c r="B32" s="946" t="s">
        <v>494</v>
      </c>
      <c r="C32" s="947"/>
      <c r="D32" s="951">
        <v>1399000</v>
      </c>
      <c r="E32" s="370"/>
      <c r="F32" s="370"/>
      <c r="G32" s="371"/>
    </row>
    <row r="33" spans="1:7" s="18" customFormat="1" ht="54" customHeight="1" thickTop="1" thickBot="1" x14ac:dyDescent="0.25">
      <c r="A33" s="950"/>
      <c r="B33" s="942" t="s">
        <v>493</v>
      </c>
      <c r="C33" s="943"/>
      <c r="D33" s="952"/>
      <c r="E33" s="370"/>
      <c r="F33" s="370"/>
      <c r="G33" s="371"/>
    </row>
    <row r="34" spans="1:7" s="18" customFormat="1" ht="27.75" customHeight="1" thickTop="1" thickBot="1" x14ac:dyDescent="0.25">
      <c r="A34" s="682" t="s">
        <v>399</v>
      </c>
      <c r="B34" s="944" t="s">
        <v>519</v>
      </c>
      <c r="C34" s="945"/>
      <c r="D34" s="683">
        <f>SUM(D24:D33)</f>
        <v>6000000</v>
      </c>
      <c r="E34" s="587" t="b">
        <f>D22=D34</f>
        <v>1</v>
      </c>
      <c r="F34" s="587" t="b">
        <f>D34='d3'!J29+'d3'!J167+'d3'!J242+'d3'!J267+'d3'!J294</f>
        <v>1</v>
      </c>
      <c r="G34" s="587" t="b">
        <f>D34='d7'!G201+'d7'!G179+'d7'!G124+'d7'!G27+'d7'!G218</f>
        <v>1</v>
      </c>
    </row>
    <row r="35" spans="1:7" s="76" customFormat="1" ht="27.75" customHeight="1" thickTop="1" x14ac:dyDescent="0.2">
      <c r="A35" s="72"/>
      <c r="B35" s="73"/>
      <c r="C35" s="74"/>
      <c r="D35" s="75"/>
      <c r="E35" s="119"/>
      <c r="F35" s="119"/>
    </row>
    <row r="36" spans="1:7" ht="19.5" customHeight="1" x14ac:dyDescent="0.25">
      <c r="B36" s="953" t="s">
        <v>1335</v>
      </c>
      <c r="C36" s="954"/>
      <c r="D36" s="210" t="s">
        <v>1336</v>
      </c>
      <c r="E36" s="206"/>
    </row>
    <row r="37" spans="1:7" ht="16.5" x14ac:dyDescent="0.2">
      <c r="B37" s="95"/>
      <c r="C37" s="96"/>
      <c r="D37" s="96"/>
      <c r="E37" s="120"/>
    </row>
    <row r="38" spans="1:7" ht="18.75" x14ac:dyDescent="0.2">
      <c r="A38" s="48"/>
      <c r="B38" s="48"/>
      <c r="C38" s="48"/>
    </row>
    <row r="39" spans="1:7" ht="18.75" x14ac:dyDescent="0.2">
      <c r="A39" s="940"/>
      <c r="B39" s="940"/>
      <c r="C39" s="47"/>
    </row>
    <row r="45" spans="1:7" ht="16.5" x14ac:dyDescent="0.2">
      <c r="A45" s="939"/>
      <c r="B45" s="19"/>
      <c r="C45" s="20"/>
      <c r="D45" s="21"/>
    </row>
    <row r="46" spans="1:7" ht="16.5" x14ac:dyDescent="0.2">
      <c r="A46" s="939"/>
      <c r="B46" s="22"/>
      <c r="C46" s="20"/>
      <c r="D46" s="21"/>
    </row>
    <row r="47" spans="1:7" ht="16.5" x14ac:dyDescent="0.2">
      <c r="A47" s="939"/>
      <c r="B47" s="23"/>
      <c r="C47" s="20"/>
      <c r="D47" s="21"/>
    </row>
    <row r="48" spans="1:7" ht="16.5" x14ac:dyDescent="0.2">
      <c r="A48" s="939"/>
      <c r="B48" s="19"/>
      <c r="C48" s="20"/>
      <c r="D48" s="21"/>
    </row>
    <row r="49" spans="1:4" ht="16.5" x14ac:dyDescent="0.2">
      <c r="A49" s="939"/>
      <c r="B49" s="19"/>
      <c r="C49" s="20"/>
      <c r="D49" s="21"/>
    </row>
    <row r="80" spans="6:6" x14ac:dyDescent="0.2">
      <c r="F80" s="937"/>
    </row>
    <row r="81" spans="6:6" x14ac:dyDescent="0.2">
      <c r="F81" s="938"/>
    </row>
    <row r="117" spans="6:6" x14ac:dyDescent="0.2">
      <c r="F117" s="115">
        <f>G117+H117</f>
        <v>0</v>
      </c>
    </row>
    <row r="119" spans="6:6" x14ac:dyDescent="0.2">
      <c r="F119" s="115">
        <f t="shared" ref="F119:F129" si="0">G119+H119</f>
        <v>0</v>
      </c>
    </row>
    <row r="120" spans="6:6" x14ac:dyDescent="0.2">
      <c r="F120" s="115">
        <f t="shared" si="0"/>
        <v>0</v>
      </c>
    </row>
    <row r="121" spans="6:6" x14ac:dyDescent="0.2">
      <c r="F121" s="115">
        <f t="shared" si="0"/>
        <v>0</v>
      </c>
    </row>
    <row r="122" spans="6:6" x14ac:dyDescent="0.2">
      <c r="F122" s="115">
        <f t="shared" si="0"/>
        <v>0</v>
      </c>
    </row>
    <row r="123" spans="6:6" x14ac:dyDescent="0.2">
      <c r="F123" s="115">
        <f t="shared" si="0"/>
        <v>0</v>
      </c>
    </row>
    <row r="124" spans="6:6" x14ac:dyDescent="0.2">
      <c r="F124" s="115">
        <f t="shared" si="0"/>
        <v>0</v>
      </c>
    </row>
    <row r="125" spans="6:6" x14ac:dyDescent="0.2">
      <c r="F125" s="115">
        <f t="shared" si="0"/>
        <v>0</v>
      </c>
    </row>
    <row r="126" spans="6:6" x14ac:dyDescent="0.2">
      <c r="F126" s="115">
        <f t="shared" si="0"/>
        <v>0</v>
      </c>
    </row>
    <row r="127" spans="6:6" x14ac:dyDescent="0.2">
      <c r="F127" s="115">
        <f t="shared" si="0"/>
        <v>0</v>
      </c>
    </row>
    <row r="128" spans="6:6" x14ac:dyDescent="0.2">
      <c r="F128" s="115">
        <f t="shared" si="0"/>
        <v>0</v>
      </c>
    </row>
    <row r="129" spans="6:9" x14ac:dyDescent="0.2">
      <c r="F129" s="115">
        <f t="shared" si="0"/>
        <v>0</v>
      </c>
    </row>
    <row r="131" spans="6:9" x14ac:dyDescent="0.2">
      <c r="F131" s="115">
        <f>G132+H132</f>
        <v>0</v>
      </c>
    </row>
    <row r="132" spans="6:9" x14ac:dyDescent="0.2">
      <c r="F132" s="115">
        <f t="shared" ref="F132" si="1">G132+H132</f>
        <v>0</v>
      </c>
    </row>
    <row r="133" spans="6:9" x14ac:dyDescent="0.2">
      <c r="F133" s="115">
        <f>G133+H133</f>
        <v>0</v>
      </c>
    </row>
    <row r="134" spans="6:9" x14ac:dyDescent="0.2">
      <c r="F134" s="115">
        <f>G134+H134</f>
        <v>0</v>
      </c>
    </row>
    <row r="135" spans="6:9" x14ac:dyDescent="0.2">
      <c r="F135" s="115">
        <f>G135+H135</f>
        <v>0</v>
      </c>
    </row>
    <row r="136" spans="6:9" x14ac:dyDescent="0.2">
      <c r="F136" s="115">
        <f>G136+H136</f>
        <v>0</v>
      </c>
    </row>
    <row r="141" spans="6:9" ht="46.5" x14ac:dyDescent="0.2">
      <c r="I141" s="56"/>
    </row>
    <row r="144" spans="6:9" ht="46.5" x14ac:dyDescent="0.2">
      <c r="F144" s="121">
        <f>G144+H144</f>
        <v>0</v>
      </c>
      <c r="I144" s="56"/>
    </row>
    <row r="163" spans="10:10" ht="90" x14ac:dyDescent="0.2">
      <c r="J163" s="54" t="b">
        <f>F163=G163+H163</f>
        <v>1</v>
      </c>
    </row>
  </sheetData>
  <mergeCells count="37">
    <mergeCell ref="C1:D1"/>
    <mergeCell ref="C3:D3"/>
    <mergeCell ref="C4:D4"/>
    <mergeCell ref="B27:C27"/>
    <mergeCell ref="B26:C26"/>
    <mergeCell ref="B25:C25"/>
    <mergeCell ref="B24:C24"/>
    <mergeCell ref="B23:D23"/>
    <mergeCell ref="B13:D13"/>
    <mergeCell ref="B22:C22"/>
    <mergeCell ref="C2:F2"/>
    <mergeCell ref="E5:I5"/>
    <mergeCell ref="E7:I7"/>
    <mergeCell ref="E8:I8"/>
    <mergeCell ref="B18:C18"/>
    <mergeCell ref="A8:D8"/>
    <mergeCell ref="F80:F81"/>
    <mergeCell ref="A45:A49"/>
    <mergeCell ref="A39:B39"/>
    <mergeCell ref="B20:C20"/>
    <mergeCell ref="B19:C19"/>
    <mergeCell ref="B33:C33"/>
    <mergeCell ref="B34:C34"/>
    <mergeCell ref="B32:C32"/>
    <mergeCell ref="B31:C31"/>
    <mergeCell ref="B29:C29"/>
    <mergeCell ref="B28:C28"/>
    <mergeCell ref="A32:A33"/>
    <mergeCell ref="D32:D33"/>
    <mergeCell ref="B21:C21"/>
    <mergeCell ref="B36:C36"/>
    <mergeCell ref="B16:C16"/>
    <mergeCell ref="B15:C15"/>
    <mergeCell ref="B14:C14"/>
    <mergeCell ref="A5:D5"/>
    <mergeCell ref="A7:D7"/>
    <mergeCell ref="A6:D6"/>
  </mergeCells>
  <pageMargins left="0.23622047244094491" right="0.31496062992125984" top="0.27559055118110237" bottom="0" header="0.23622047244094491" footer="0.19685039370078741"/>
  <pageSetup paperSize="9" scale="6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64"/>
  <sheetViews>
    <sheetView view="pageBreakPreview" topLeftCell="A4" zoomScale="85" zoomScaleNormal="85" zoomScaleSheetLayoutView="85" workbookViewId="0">
      <selection activeCell="F22" sqref="F22"/>
    </sheetView>
  </sheetViews>
  <sheetFormatPr defaultColWidth="9.140625" defaultRowHeight="12.75" x14ac:dyDescent="0.2"/>
  <cols>
    <col min="1" max="1" width="6.85546875" style="68" customWidth="1"/>
    <col min="2" max="2" width="15.140625" style="68" customWidth="1"/>
    <col min="3" max="3" width="15.28515625" style="68" customWidth="1"/>
    <col min="4" max="4" width="10.85546875" style="68" customWidth="1"/>
    <col min="5" max="5" width="58.140625" style="68" customWidth="1"/>
    <col min="6" max="6" width="15.85546875" style="68" customWidth="1"/>
    <col min="7" max="7" width="10.85546875" style="105" bestFit="1" customWidth="1"/>
    <col min="8" max="10" width="9.140625" style="68"/>
    <col min="11" max="11" width="52.5703125" style="68" customWidth="1"/>
    <col min="12" max="16384" width="9.140625" style="68"/>
  </cols>
  <sheetData>
    <row r="1" spans="1:10" x14ac:dyDescent="0.2">
      <c r="A1" s="25"/>
      <c r="B1" s="25"/>
      <c r="C1" s="25"/>
      <c r="D1" s="25"/>
      <c r="E1" s="25"/>
      <c r="F1" s="25" t="s">
        <v>634</v>
      </c>
    </row>
    <row r="2" spans="1:10" x14ac:dyDescent="0.2">
      <c r="A2" s="25"/>
      <c r="B2" s="25"/>
      <c r="C2" s="25"/>
      <c r="D2" s="25"/>
      <c r="E2" s="25"/>
      <c r="F2" s="25" t="s">
        <v>1055</v>
      </c>
    </row>
    <row r="3" spans="1:10" x14ac:dyDescent="0.2">
      <c r="A3" s="25"/>
      <c r="B3" s="25"/>
      <c r="C3" s="25"/>
      <c r="D3" s="25"/>
      <c r="E3" s="25"/>
      <c r="F3" s="969" t="s">
        <v>1056</v>
      </c>
      <c r="G3" s="970"/>
      <c r="H3" s="970"/>
      <c r="I3" s="970"/>
    </row>
    <row r="4" spans="1:10" ht="15.75" x14ac:dyDescent="0.25">
      <c r="A4" s="971" t="s">
        <v>603</v>
      </c>
      <c r="B4" s="972"/>
      <c r="C4" s="972"/>
      <c r="D4" s="972"/>
      <c r="E4" s="972"/>
      <c r="F4" s="972"/>
    </row>
    <row r="5" spans="1:10" s="98" customFormat="1" ht="15.75" x14ac:dyDescent="0.25">
      <c r="A5" s="971" t="s">
        <v>602</v>
      </c>
      <c r="B5" s="972"/>
      <c r="C5" s="972"/>
      <c r="D5" s="972"/>
      <c r="E5" s="972"/>
      <c r="F5" s="972"/>
      <c r="G5" s="105"/>
    </row>
    <row r="6" spans="1:10" ht="15.75" x14ac:dyDescent="0.25">
      <c r="A6" s="971" t="s">
        <v>958</v>
      </c>
      <c r="B6" s="972"/>
      <c r="C6" s="972"/>
      <c r="D6" s="972"/>
      <c r="E6" s="972"/>
      <c r="F6" s="972"/>
    </row>
    <row r="7" spans="1:10" ht="15.75" x14ac:dyDescent="0.25">
      <c r="B7" s="154"/>
      <c r="C7" s="971" t="s">
        <v>1261</v>
      </c>
      <c r="D7" s="972"/>
      <c r="E7" s="972"/>
      <c r="F7" s="154"/>
    </row>
    <row r="8" spans="1:10" ht="12.75" customHeight="1" x14ac:dyDescent="0.25">
      <c r="A8" s="530"/>
      <c r="B8" s="530"/>
      <c r="C8" s="530"/>
      <c r="D8" s="530"/>
      <c r="E8" s="530"/>
      <c r="F8" s="530"/>
      <c r="G8" s="155"/>
      <c r="H8" s="155"/>
      <c r="I8" s="155"/>
      <c r="J8" s="155"/>
    </row>
    <row r="9" spans="1:10" x14ac:dyDescent="0.2">
      <c r="A9" s="973">
        <v>22564000000</v>
      </c>
      <c r="B9" s="765"/>
      <c r="C9" s="379"/>
      <c r="D9" s="379"/>
      <c r="E9" s="379"/>
      <c r="F9" s="379"/>
    </row>
    <row r="10" spans="1:10" x14ac:dyDescent="0.2">
      <c r="A10" s="974" t="s">
        <v>515</v>
      </c>
      <c r="B10" s="975"/>
      <c r="C10" s="379"/>
      <c r="D10" s="379"/>
      <c r="E10" s="379"/>
      <c r="F10" s="379"/>
    </row>
    <row r="11" spans="1:10" ht="13.5" thickBot="1" x14ac:dyDescent="0.25">
      <c r="A11" s="531"/>
      <c r="B11" s="531"/>
      <c r="C11" s="379"/>
      <c r="D11" s="379"/>
      <c r="E11" s="379"/>
      <c r="F11" s="379"/>
    </row>
    <row r="12" spans="1:10" ht="48" customHeight="1" thickTop="1" thickBot="1" x14ac:dyDescent="0.25">
      <c r="A12" s="532" t="s">
        <v>330</v>
      </c>
      <c r="B12" s="533" t="s">
        <v>331</v>
      </c>
      <c r="C12" s="533" t="s">
        <v>20</v>
      </c>
      <c r="D12" s="533" t="s">
        <v>16</v>
      </c>
      <c r="E12" s="532" t="s">
        <v>332</v>
      </c>
      <c r="F12" s="534" t="s">
        <v>423</v>
      </c>
      <c r="G12" s="249"/>
    </row>
    <row r="13" spans="1:10" ht="80.25" thickTop="1" thickBot="1" x14ac:dyDescent="0.25">
      <c r="A13" s="535">
        <v>1</v>
      </c>
      <c r="B13" s="536" t="s">
        <v>1280</v>
      </c>
      <c r="C13" s="536" t="s">
        <v>1281</v>
      </c>
      <c r="D13" s="536" t="s">
        <v>53</v>
      </c>
      <c r="E13" s="536" t="s">
        <v>571</v>
      </c>
      <c r="F13" s="537">
        <v>202000</v>
      </c>
      <c r="G13" s="249"/>
    </row>
    <row r="14" spans="1:10" ht="80.25" thickTop="1" thickBot="1" x14ac:dyDescent="0.25">
      <c r="A14" s="535">
        <v>2</v>
      </c>
      <c r="B14" s="536" t="s">
        <v>1280</v>
      </c>
      <c r="C14" s="536" t="s">
        <v>1281</v>
      </c>
      <c r="D14" s="536" t="s">
        <v>53</v>
      </c>
      <c r="E14" s="536" t="s">
        <v>424</v>
      </c>
      <c r="F14" s="537">
        <v>100000</v>
      </c>
      <c r="G14" s="249"/>
    </row>
    <row r="15" spans="1:10" ht="48.75" thickTop="1" thickBot="1" x14ac:dyDescent="0.25">
      <c r="A15" s="535">
        <v>3</v>
      </c>
      <c r="B15" s="536" t="s">
        <v>1280</v>
      </c>
      <c r="C15" s="536" t="s">
        <v>1281</v>
      </c>
      <c r="D15" s="536" t="s">
        <v>53</v>
      </c>
      <c r="E15" s="536" t="s">
        <v>1283</v>
      </c>
      <c r="F15" s="537">
        <v>48000</v>
      </c>
      <c r="G15" s="249"/>
    </row>
    <row r="16" spans="1:10" s="158" customFormat="1" ht="64.5" thickTop="1" thickBot="1" x14ac:dyDescent="0.25">
      <c r="A16" s="535">
        <v>4</v>
      </c>
      <c r="B16" s="536" t="s">
        <v>1280</v>
      </c>
      <c r="C16" s="536" t="s">
        <v>1281</v>
      </c>
      <c r="D16" s="536" t="s">
        <v>53</v>
      </c>
      <c r="E16" s="536" t="s">
        <v>1284</v>
      </c>
      <c r="F16" s="537">
        <v>350000</v>
      </c>
      <c r="G16" s="249"/>
    </row>
    <row r="17" spans="1:7" ht="32.25" customHeight="1" thickTop="1" thickBot="1" x14ac:dyDescent="0.25">
      <c r="A17" s="538" t="s">
        <v>399</v>
      </c>
      <c r="B17" s="538" t="s">
        <v>399</v>
      </c>
      <c r="C17" s="538" t="s">
        <v>399</v>
      </c>
      <c r="D17" s="538" t="s">
        <v>399</v>
      </c>
      <c r="E17" s="538" t="s">
        <v>409</v>
      </c>
      <c r="F17" s="539">
        <f>SUM(F13:F16)</f>
        <v>700000</v>
      </c>
      <c r="G17" s="588" t="b">
        <f>F17='d3'!P336</f>
        <v>1</v>
      </c>
    </row>
    <row r="18" spans="1:7" ht="16.5" thickTop="1" x14ac:dyDescent="0.2">
      <c r="A18" s="28"/>
      <c r="B18" s="28"/>
      <c r="C18" s="28"/>
      <c r="D18" s="28"/>
      <c r="E18" s="28"/>
      <c r="F18" s="29"/>
      <c r="G18" s="589"/>
    </row>
    <row r="19" spans="1:7" s="58" customFormat="1" ht="15.75" customHeight="1" x14ac:dyDescent="0.25">
      <c r="A19" s="44"/>
      <c r="B19" s="976" t="s">
        <v>1337</v>
      </c>
      <c r="C19" s="977"/>
      <c r="D19" s="26"/>
      <c r="E19" s="97"/>
      <c r="F19" s="26" t="s">
        <v>1336</v>
      </c>
      <c r="G19" s="105"/>
    </row>
    <row r="20" spans="1:7" ht="27" hidden="1" customHeight="1" x14ac:dyDescent="0.2">
      <c r="A20" s="965" t="s">
        <v>551</v>
      </c>
      <c r="B20" s="966"/>
      <c r="C20" s="966"/>
      <c r="D20" s="966"/>
      <c r="E20" s="44"/>
      <c r="F20" s="46" t="s">
        <v>552</v>
      </c>
    </row>
    <row r="21" spans="1:7" s="89" customFormat="1" ht="15.75" x14ac:dyDescent="0.2">
      <c r="A21" s="208"/>
      <c r="B21" s="208"/>
      <c r="C21" s="208"/>
      <c r="D21" s="208"/>
      <c r="E21" s="44"/>
      <c r="F21" s="45"/>
      <c r="G21" s="105"/>
    </row>
    <row r="22" spans="1:7" s="89" customFormat="1" ht="15.75" x14ac:dyDescent="0.25">
      <c r="A22" s="208"/>
      <c r="B22" s="49"/>
      <c r="C22" s="97"/>
      <c r="D22" s="208"/>
      <c r="E22" s="44"/>
      <c r="F22" s="97"/>
      <c r="G22" s="105"/>
    </row>
    <row r="23" spans="1:7" ht="15.75" x14ac:dyDescent="0.25">
      <c r="A23" s="968"/>
      <c r="B23" s="968"/>
      <c r="C23" s="968"/>
      <c r="D23" s="968"/>
      <c r="E23" s="26"/>
      <c r="F23" s="26"/>
    </row>
    <row r="24" spans="1:7" ht="15.75" x14ac:dyDescent="0.2">
      <c r="A24" s="967"/>
      <c r="B24" s="967"/>
      <c r="C24" s="967"/>
      <c r="D24" s="967"/>
      <c r="E24" s="967"/>
      <c r="F24" s="27"/>
    </row>
    <row r="81" spans="7:7" x14ac:dyDescent="0.2">
      <c r="G81" s="938"/>
    </row>
    <row r="82" spans="7:7" x14ac:dyDescent="0.2">
      <c r="G82" s="938"/>
    </row>
    <row r="142" spans="10:10" ht="46.5" x14ac:dyDescent="0.65">
      <c r="J142" s="34"/>
    </row>
    <row r="145" spans="7:10" ht="46.5" x14ac:dyDescent="0.65">
      <c r="G145" s="113"/>
      <c r="J145" s="34"/>
    </row>
    <row r="164" spans="11:11" ht="90" x14ac:dyDescent="1.1499999999999999">
      <c r="K164" s="53" t="b">
        <f>G164=H164+I164</f>
        <v>1</v>
      </c>
    </row>
  </sheetData>
  <mergeCells count="12">
    <mergeCell ref="A20:D20"/>
    <mergeCell ref="A24:E24"/>
    <mergeCell ref="G81:G82"/>
    <mergeCell ref="A23:D23"/>
    <mergeCell ref="F3:I3"/>
    <mergeCell ref="A4:F4"/>
    <mergeCell ref="A6:F6"/>
    <mergeCell ref="A9:B9"/>
    <mergeCell ref="A10:B10"/>
    <mergeCell ref="A5:F5"/>
    <mergeCell ref="C7:E7"/>
    <mergeCell ref="B19:C19"/>
  </mergeCells>
  <pageMargins left="0.74803149606299213" right="0.74803149606299213" top="0.98425196850393704" bottom="0.98425196850393704" header="0.51181102362204722" footer="0.51181102362204722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12</vt:i4>
      </vt:variant>
    </vt:vector>
  </HeadingPairs>
  <TitlesOfParts>
    <vt:vector size="21" baseType="lpstr">
      <vt:lpstr>d1</vt:lpstr>
      <vt:lpstr>d2</vt:lpstr>
      <vt:lpstr>d3</vt:lpstr>
      <vt:lpstr>d4</vt:lpstr>
      <vt:lpstr>d5</vt:lpstr>
      <vt:lpstr>d6</vt:lpstr>
      <vt:lpstr>d7</vt:lpstr>
      <vt:lpstr>d8</vt:lpstr>
      <vt:lpstr>d9</vt:lpstr>
      <vt:lpstr>'d3'!Заголовки_для_печати</vt:lpstr>
      <vt:lpstr>'d6'!Заголовки_для_печати</vt:lpstr>
      <vt:lpstr>'d7'!Заголовки_для_печати</vt:lpstr>
      <vt:lpstr>'d1'!Область_печати</vt:lpstr>
      <vt:lpstr>'d2'!Область_печати</vt:lpstr>
      <vt:lpstr>'d3'!Область_печати</vt:lpstr>
      <vt:lpstr>'d4'!Область_печати</vt:lpstr>
      <vt:lpstr>'d5'!Область_печати</vt:lpstr>
      <vt:lpstr>'d6'!Область_печати</vt:lpstr>
      <vt:lpstr>'d7'!Область_печати</vt:lpstr>
      <vt:lpstr>'d8'!Область_печати</vt:lpstr>
      <vt:lpstr>'d9'!Область_печати</vt:lpstr>
    </vt:vector>
  </TitlesOfParts>
  <Company>Міське фінуправління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Власюк Олена</dc:creator>
  <cp:lastModifiedBy>Ковтун Денис Леонідович</cp:lastModifiedBy>
  <cp:lastPrinted>2021-12-02T12:33:00Z</cp:lastPrinted>
  <dcterms:created xsi:type="dcterms:W3CDTF">2001-12-03T09:30:42Z</dcterms:created>
  <dcterms:modified xsi:type="dcterms:W3CDTF">2021-12-02T13:29:25Z</dcterms:modified>
</cp:coreProperties>
</file>