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codeName="ЦяКнига"/>
  <mc:AlternateContent xmlns:mc="http://schemas.openxmlformats.org/markup-compatibility/2006">
    <mc:Choice Requires="x15">
      <x15ac:absPath xmlns:x15ac="http://schemas.microsoft.com/office/spreadsheetml/2010/11/ac" url="O:\BUDJET\2021\Рішення бюджет від .06.2021 року №\Рішення МВК\"/>
    </mc:Choice>
  </mc:AlternateContent>
  <xr:revisionPtr revIDLastSave="0" documentId="13_ncr:1_{99CDAE9A-556B-49F2-985C-9281F80A9D53}" xr6:coauthVersionLast="45" xr6:coauthVersionMax="45" xr10:uidLastSave="{00000000-0000-0000-0000-000000000000}"/>
  <bookViews>
    <workbookView xWindow="375" yWindow="855" windowWidth="28425" windowHeight="15345" tabRatio="585" activeTab="2" xr2:uid="{00000000-000D-0000-FFFF-FFFF00000000}"/>
  </bookViews>
  <sheets>
    <sheet name="d1" sheetId="171" r:id="rId1"/>
    <sheet name="d2" sheetId="172" r:id="rId2"/>
    <sheet name="d3" sheetId="165" r:id="rId3"/>
    <sheet name="d4" sheetId="107" r:id="rId4"/>
    <sheet name="d5" sheetId="170" r:id="rId5"/>
    <sheet name="d6" sheetId="166" r:id="rId6"/>
    <sheet name="d7" sheetId="167" r:id="rId7"/>
    <sheet name="d8" sheetId="108" r:id="rId8"/>
    <sheet name="d9" sheetId="153" r:id="rId9"/>
  </sheets>
  <externalReferences>
    <externalReference r:id="rId10"/>
  </externalReferences>
  <definedNames>
    <definedName name="_GoBack" localSheetId="5">'d6'!#REF!</definedName>
    <definedName name="_xlnm.Print_Titles" localSheetId="2">'d3'!$12:$15</definedName>
    <definedName name="_xlnm.Print_Titles" localSheetId="5">'d6'!$10:$11</definedName>
    <definedName name="_xlnm.Print_Titles" localSheetId="6">'d7'!$12:$14</definedName>
    <definedName name="_xlnm.Print_Area" localSheetId="0">'d1'!$A$1:$F$119</definedName>
    <definedName name="_xlnm.Print_Area" localSheetId="1">'d2'!$A$1:$F$52</definedName>
    <definedName name="_xlnm.Print_Area" localSheetId="2">'d3'!$A$1:$P$310</definedName>
    <definedName name="_xlnm.Print_Area" localSheetId="3">'d4'!$B$1:$Q$24</definedName>
    <definedName name="_xlnm.Print_Area" localSheetId="4">'d5'!$A$1:$D$72</definedName>
    <definedName name="_xlnm.Print_Area" localSheetId="5">'d6'!$B$1:$K$254</definedName>
    <definedName name="_xlnm.Print_Area" localSheetId="6">'d7'!$A$1:$J$246</definedName>
    <definedName name="_xlnm.Print_Area" localSheetId="7">'d8'!$A$1:$D$36</definedName>
    <definedName name="_xlnm.Print_Area" localSheetId="8">'d9'!$A$1:$F$36</definedName>
    <definedName name="С16" localSheetId="0">#REF!</definedName>
    <definedName name="С16" localSheetId="1">#REF!</definedName>
    <definedName name="С16" localSheetId="4">#REF!</definedName>
    <definedName name="С16" localSheetId="5">#REF!</definedName>
    <definedName name="С16" localSheetId="6">#REF!</definedName>
    <definedName name="С16" localSheetId="8">#REF!</definedName>
    <definedName name="С16">#REF!</definedName>
  </definedNames>
  <calcPr calcId="191029"/>
</workbook>
</file>

<file path=xl/calcChain.xml><?xml version="1.0" encoding="utf-8"?>
<calcChain xmlns="http://schemas.openxmlformats.org/spreadsheetml/2006/main">
  <c r="D23" i="172" l="1"/>
  <c r="E23" i="172" s="1"/>
  <c r="D19" i="172"/>
  <c r="F23" i="172" l="1"/>
  <c r="D43" i="172"/>
  <c r="E44" i="172"/>
  <c r="E43" i="172" s="1"/>
  <c r="F43" i="172" s="1"/>
  <c r="E22" i="172"/>
  <c r="E21" i="172" s="1"/>
  <c r="D21" i="172"/>
  <c r="C39" i="172"/>
  <c r="F42" i="172"/>
  <c r="C42" i="172"/>
  <c r="C20" i="172"/>
  <c r="D36" i="172"/>
  <c r="F32" i="172"/>
  <c r="E32" i="172"/>
  <c r="D32" i="172"/>
  <c r="D31" i="172" s="1"/>
  <c r="D30" i="172" s="1"/>
  <c r="D25" i="172"/>
  <c r="D24" i="172" s="1"/>
  <c r="C18" i="172"/>
  <c r="F17" i="172"/>
  <c r="F16" i="172" s="1"/>
  <c r="E17" i="172"/>
  <c r="E16" i="172" s="1"/>
  <c r="D17" i="172"/>
  <c r="F44" i="172" l="1"/>
  <c r="C22" i="172"/>
  <c r="F22" i="172"/>
  <c r="F21" i="172" s="1"/>
  <c r="C43" i="172"/>
  <c r="C44" i="172"/>
  <c r="E19" i="172"/>
  <c r="E15" i="172" s="1"/>
  <c r="E28" i="172" s="1"/>
  <c r="C21" i="172"/>
  <c r="C17" i="172"/>
  <c r="D16" i="172"/>
  <c r="C16" i="172" l="1"/>
  <c r="D15" i="172"/>
  <c r="D28" i="172" s="1"/>
  <c r="C33" i="172" l="1"/>
  <c r="C32" i="172" s="1"/>
  <c r="F35" i="172"/>
  <c r="E35" i="172"/>
  <c r="C35" i="172" s="1"/>
  <c r="F26" i="172"/>
  <c r="F25" i="172" s="1"/>
  <c r="F24" i="172" s="1"/>
  <c r="E26" i="172"/>
  <c r="E25" i="172" s="1"/>
  <c r="E24" i="172" s="1"/>
  <c r="J74" i="166"/>
  <c r="J73" i="166"/>
  <c r="I70" i="166"/>
  <c r="K69" i="166"/>
  <c r="J67" i="166"/>
  <c r="K67" i="166" s="1"/>
  <c r="I67" i="166"/>
  <c r="K65" i="166"/>
  <c r="I65" i="166"/>
  <c r="J56" i="166"/>
  <c r="J55" i="166"/>
  <c r="I54" i="166"/>
  <c r="K53" i="166"/>
  <c r="I53" i="166"/>
  <c r="K49" i="166"/>
  <c r="I49" i="166"/>
  <c r="K45" i="166"/>
  <c r="I45" i="166"/>
  <c r="I41" i="166"/>
  <c r="H41" i="166"/>
  <c r="K41" i="166" s="1"/>
  <c r="J31" i="166"/>
  <c r="K29" i="166"/>
  <c r="K25" i="166"/>
  <c r="I25" i="166"/>
  <c r="K24" i="166"/>
  <c r="I24" i="166"/>
  <c r="J23" i="166"/>
  <c r="I23" i="166"/>
  <c r="J21" i="166"/>
  <c r="I21" i="166"/>
  <c r="J20" i="166"/>
  <c r="L226" i="166" l="1"/>
  <c r="I226" i="166"/>
  <c r="L21" i="166" l="1"/>
  <c r="M21" i="166" s="1"/>
  <c r="G29" i="153" l="1"/>
  <c r="K225" i="166"/>
  <c r="I225" i="166"/>
  <c r="F34" i="172" l="1"/>
  <c r="F31" i="172" s="1"/>
  <c r="E34" i="172"/>
  <c r="E31" i="172" s="1"/>
  <c r="C37" i="172"/>
  <c r="C36" i="172" s="1"/>
  <c r="C27" i="172"/>
  <c r="C26" i="172"/>
  <c r="C25" i="172" s="1"/>
  <c r="C24" i="172" s="1"/>
  <c r="C23" i="172"/>
  <c r="O306" i="165"/>
  <c r="K306" i="165"/>
  <c r="K316" i="165" s="1"/>
  <c r="J306" i="165"/>
  <c r="F298" i="165"/>
  <c r="F295" i="165"/>
  <c r="P306" i="165"/>
  <c r="K226" i="166"/>
  <c r="J226" i="166"/>
  <c r="K241" i="165"/>
  <c r="C19" i="172" l="1"/>
  <c r="C15" i="172" s="1"/>
  <c r="C28" i="172" s="1"/>
  <c r="C34" i="172"/>
  <c r="C31" i="172" s="1"/>
  <c r="C30" i="172" s="1"/>
  <c r="P210" i="165"/>
  <c r="O210" i="165"/>
  <c r="N210" i="165"/>
  <c r="M210" i="165"/>
  <c r="L210" i="165"/>
  <c r="K210" i="165"/>
  <c r="J210" i="165"/>
  <c r="I210" i="165"/>
  <c r="H210" i="165"/>
  <c r="G210" i="165"/>
  <c r="F210" i="165"/>
  <c r="E210" i="165"/>
  <c r="P211" i="165"/>
  <c r="O211" i="165"/>
  <c r="N211" i="165"/>
  <c r="M211" i="165"/>
  <c r="L211" i="165"/>
  <c r="K211" i="165"/>
  <c r="J211" i="165"/>
  <c r="I211" i="165"/>
  <c r="H211" i="165"/>
  <c r="G211" i="165"/>
  <c r="F211" i="165"/>
  <c r="E211" i="165"/>
  <c r="K42" i="165" l="1"/>
  <c r="K41" i="165"/>
  <c r="D45" i="172" l="1"/>
  <c r="D41" i="172" s="1"/>
  <c r="F45" i="172"/>
  <c r="E45" i="172"/>
  <c r="E41" i="172" s="1"/>
  <c r="E40" i="172" l="1"/>
  <c r="F41" i="172"/>
  <c r="F40" i="172" s="1"/>
  <c r="C45" i="172"/>
  <c r="D40" i="172"/>
  <c r="D46" i="172" s="1"/>
  <c r="F97" i="171"/>
  <c r="E97" i="171"/>
  <c r="D97" i="171"/>
  <c r="F100" i="171"/>
  <c r="E100" i="171"/>
  <c r="F103" i="171"/>
  <c r="E103" i="171"/>
  <c r="C108" i="171"/>
  <c r="F109" i="171"/>
  <c r="E109" i="171"/>
  <c r="C111" i="171"/>
  <c r="D109" i="171"/>
  <c r="D107" i="171"/>
  <c r="C106" i="171"/>
  <c r="C105" i="171"/>
  <c r="D37" i="170"/>
  <c r="D35" i="170" s="1"/>
  <c r="D36" i="170"/>
  <c r="D31" i="170"/>
  <c r="D28" i="170"/>
  <c r="D23" i="170" s="1"/>
  <c r="D29" i="170" s="1"/>
  <c r="D19" i="170"/>
  <c r="D22" i="170"/>
  <c r="G306" i="165"/>
  <c r="F306" i="165"/>
  <c r="F300" i="165"/>
  <c r="R145" i="165"/>
  <c r="J103" i="166"/>
  <c r="K145" i="165"/>
  <c r="J59" i="167"/>
  <c r="I59" i="167"/>
  <c r="H59" i="167"/>
  <c r="R66" i="165"/>
  <c r="F66" i="165"/>
  <c r="F42" i="165" s="1"/>
  <c r="N42" i="165"/>
  <c r="M42" i="165"/>
  <c r="L42" i="165"/>
  <c r="I42" i="165"/>
  <c r="H42" i="165"/>
  <c r="G42" i="165"/>
  <c r="O66" i="165"/>
  <c r="J66" i="165" s="1"/>
  <c r="E66" i="165"/>
  <c r="F82" i="165"/>
  <c r="Q282" i="165"/>
  <c r="O282" i="165"/>
  <c r="R215" i="165"/>
  <c r="J174" i="166"/>
  <c r="K45" i="165"/>
  <c r="C41" i="172" l="1"/>
  <c r="C40" i="172" s="1"/>
  <c r="C46" i="172" s="1"/>
  <c r="G59" i="167"/>
  <c r="O42" i="165"/>
  <c r="P66" i="165"/>
  <c r="K212" i="165"/>
  <c r="J167" i="166"/>
  <c r="J78" i="166"/>
  <c r="K88" i="165"/>
  <c r="E89" i="165"/>
  <c r="O89" i="165"/>
  <c r="J89" i="165" s="1"/>
  <c r="J84" i="166"/>
  <c r="P89" i="165" l="1"/>
  <c r="J86" i="166"/>
  <c r="G201" i="167" l="1"/>
  <c r="J223" i="166"/>
  <c r="K240" i="165"/>
  <c r="H216" i="167"/>
  <c r="F264" i="165"/>
  <c r="F45" i="165"/>
  <c r="K212" i="166"/>
  <c r="J212" i="166"/>
  <c r="K237" i="165"/>
  <c r="R240" i="165" l="1"/>
  <c r="J200" i="167"/>
  <c r="K210" i="166"/>
  <c r="D52" i="170" l="1"/>
  <c r="H45" i="165" l="1"/>
  <c r="H306" i="165"/>
  <c r="F253" i="165"/>
  <c r="F20" i="172"/>
  <c r="G222" i="167"/>
  <c r="F267" i="165"/>
  <c r="F39" i="165"/>
  <c r="F19" i="172" l="1"/>
  <c r="F15" i="172" s="1"/>
  <c r="F28" i="172" s="1"/>
  <c r="L306" i="165"/>
  <c r="O217" i="165"/>
  <c r="L217" i="165"/>
  <c r="G19" i="172" l="1"/>
  <c r="G15" i="172"/>
  <c r="G36" i="167" l="1"/>
  <c r="D61" i="170" l="1"/>
  <c r="D60" i="170" s="1"/>
  <c r="D51" i="170"/>
  <c r="D64" i="170" s="1"/>
  <c r="H21" i="167" l="1"/>
  <c r="J30" i="167"/>
  <c r="G35" i="167"/>
  <c r="G34" i="167"/>
  <c r="G33" i="167"/>
  <c r="G32" i="167"/>
  <c r="G31" i="167"/>
  <c r="H30" i="167"/>
  <c r="I30" i="167"/>
  <c r="J13" i="166"/>
  <c r="R39" i="165"/>
  <c r="J16" i="166"/>
  <c r="K39" i="165"/>
  <c r="J17" i="167"/>
  <c r="I17" i="167"/>
  <c r="J14" i="166"/>
  <c r="K19" i="165"/>
  <c r="E39" i="165"/>
  <c r="O39" i="165"/>
  <c r="G221" i="167"/>
  <c r="J231" i="166"/>
  <c r="J230" i="166"/>
  <c r="J39" i="165" l="1"/>
  <c r="K30" i="167"/>
  <c r="M30" i="167"/>
  <c r="E51" i="170"/>
  <c r="P39" i="165"/>
  <c r="E60" i="170" l="1"/>
  <c r="L30" i="167"/>
  <c r="F22" i="165"/>
  <c r="F19" i="165"/>
  <c r="R62" i="165"/>
  <c r="F62" i="165"/>
  <c r="H62" i="165"/>
  <c r="G62" i="165"/>
  <c r="F57" i="165"/>
  <c r="H57" i="165"/>
  <c r="R60" i="165"/>
  <c r="F60" i="165"/>
  <c r="L54" i="165"/>
  <c r="F54" i="165"/>
  <c r="H54" i="165"/>
  <c r="G54" i="165"/>
  <c r="F68" i="165"/>
  <c r="K52" i="165"/>
  <c r="F52" i="165"/>
  <c r="G52" i="165"/>
  <c r="H52" i="165"/>
  <c r="R52" i="165" l="1"/>
  <c r="K51" i="165"/>
  <c r="K49" i="165" s="1"/>
  <c r="N49" i="165"/>
  <c r="M49" i="165"/>
  <c r="L49" i="165"/>
  <c r="I49" i="165"/>
  <c r="H49" i="165"/>
  <c r="G49" i="165"/>
  <c r="F49" i="165"/>
  <c r="E51" i="165"/>
  <c r="K46" i="165"/>
  <c r="H46" i="165"/>
  <c r="G46" i="165"/>
  <c r="F46" i="165"/>
  <c r="R45" i="165"/>
  <c r="O45" i="165"/>
  <c r="L45" i="165"/>
  <c r="K43" i="165"/>
  <c r="H43" i="165"/>
  <c r="G43" i="165"/>
  <c r="F43" i="165"/>
  <c r="J160" i="167"/>
  <c r="O186" i="165"/>
  <c r="E186" i="165"/>
  <c r="F183" i="165"/>
  <c r="H160" i="167" l="1"/>
  <c r="E49" i="165"/>
  <c r="O51" i="165"/>
  <c r="H47" i="167"/>
  <c r="J186" i="165"/>
  <c r="J47" i="167"/>
  <c r="R51" i="165"/>
  <c r="R46" i="165"/>
  <c r="R43" i="165"/>
  <c r="J51" i="165"/>
  <c r="K54" i="165"/>
  <c r="R54" i="165" l="1"/>
  <c r="O49" i="165"/>
  <c r="P186" i="165"/>
  <c r="I160" i="167"/>
  <c r="G160" i="167" s="1"/>
  <c r="J49" i="165"/>
  <c r="I47" i="167"/>
  <c r="G47" i="167" s="1"/>
  <c r="P51" i="165"/>
  <c r="P49" i="165" l="1"/>
  <c r="R238" i="165" l="1"/>
  <c r="R235" i="165"/>
  <c r="J196" i="167"/>
  <c r="J194" i="167"/>
  <c r="N226" i="165" l="1"/>
  <c r="M226" i="165"/>
  <c r="L226" i="165"/>
  <c r="K226" i="165"/>
  <c r="I226" i="165"/>
  <c r="G226" i="165"/>
  <c r="O229" i="165"/>
  <c r="E229" i="165"/>
  <c r="O235" i="165"/>
  <c r="E235" i="165"/>
  <c r="I188" i="166"/>
  <c r="I186" i="166"/>
  <c r="I173" i="166"/>
  <c r="I161" i="166"/>
  <c r="I149" i="166"/>
  <c r="I148" i="166"/>
  <c r="I147" i="166"/>
  <c r="J235" i="165" l="1"/>
  <c r="H194" i="167"/>
  <c r="J229" i="165"/>
  <c r="H196" i="167"/>
  <c r="P235" i="165"/>
  <c r="R108" i="165"/>
  <c r="J96" i="166"/>
  <c r="K107" i="165"/>
  <c r="H101" i="166"/>
  <c r="I101" i="166" s="1"/>
  <c r="K126" i="165"/>
  <c r="N125" i="165"/>
  <c r="M125" i="165"/>
  <c r="L125" i="165"/>
  <c r="K125" i="165"/>
  <c r="I125" i="165"/>
  <c r="H125" i="165"/>
  <c r="G125" i="165"/>
  <c r="F125" i="165"/>
  <c r="G89" i="167"/>
  <c r="R107" i="165" l="1"/>
  <c r="H124" i="165"/>
  <c r="M124" i="165"/>
  <c r="I124" i="165"/>
  <c r="N124" i="165"/>
  <c r="P229" i="165"/>
  <c r="I194" i="167"/>
  <c r="G194" i="167" s="1"/>
  <c r="K124" i="165"/>
  <c r="F124" i="165"/>
  <c r="O126" i="165"/>
  <c r="J114" i="167"/>
  <c r="G124" i="165"/>
  <c r="L124" i="165"/>
  <c r="R126" i="165"/>
  <c r="I196" i="167"/>
  <c r="G196" i="167" s="1"/>
  <c r="J126" i="165"/>
  <c r="I212" i="166"/>
  <c r="I210" i="166"/>
  <c r="O125" i="165" l="1"/>
  <c r="I114" i="167"/>
  <c r="J125" i="165"/>
  <c r="I94" i="166"/>
  <c r="J124" i="165" l="1"/>
  <c r="O124" i="165"/>
  <c r="K93" i="165"/>
  <c r="F109" i="165"/>
  <c r="F119" i="165"/>
  <c r="F118" i="165"/>
  <c r="F108" i="165"/>
  <c r="H107" i="165"/>
  <c r="F107" i="165"/>
  <c r="J98" i="167"/>
  <c r="O104" i="165"/>
  <c r="E104" i="165"/>
  <c r="J90" i="167"/>
  <c r="J91" i="167"/>
  <c r="N92" i="165"/>
  <c r="M92" i="165"/>
  <c r="L92" i="165"/>
  <c r="I92" i="165"/>
  <c r="G92" i="165"/>
  <c r="J95" i="165"/>
  <c r="E95" i="165"/>
  <c r="I91" i="167" l="1"/>
  <c r="H98" i="167"/>
  <c r="J104" i="165"/>
  <c r="K92" i="165"/>
  <c r="R93" i="165"/>
  <c r="P95" i="165"/>
  <c r="H91" i="167"/>
  <c r="I98" i="167" l="1"/>
  <c r="G98" i="167" s="1"/>
  <c r="G91" i="167"/>
  <c r="P104" i="165"/>
  <c r="K206" i="165"/>
  <c r="R214" i="165"/>
  <c r="F223" i="165"/>
  <c r="G223" i="165"/>
  <c r="H223" i="165"/>
  <c r="H222" i="165"/>
  <c r="G222" i="165"/>
  <c r="F222" i="165"/>
  <c r="K215" i="165"/>
  <c r="O212" i="165"/>
  <c r="K209" i="165"/>
  <c r="F212" i="165"/>
  <c r="F206" i="165"/>
  <c r="J164" i="167"/>
  <c r="R191" i="165"/>
  <c r="O191" i="165"/>
  <c r="E191" i="165"/>
  <c r="K198" i="166"/>
  <c r="K197" i="166"/>
  <c r="K196" i="166"/>
  <c r="I196" i="166"/>
  <c r="J192" i="166"/>
  <c r="I192" i="166"/>
  <c r="J191" i="166"/>
  <c r="J190" i="166"/>
  <c r="J189" i="166"/>
  <c r="K189" i="166" s="1"/>
  <c r="K188" i="166"/>
  <c r="J187" i="166"/>
  <c r="J169" i="166" s="1"/>
  <c r="K186" i="166"/>
  <c r="K185" i="166"/>
  <c r="K184" i="166"/>
  <c r="K178" i="166"/>
  <c r="K173" i="166"/>
  <c r="K168" i="166"/>
  <c r="J162" i="166"/>
  <c r="J161" i="166"/>
  <c r="K161" i="166" s="1"/>
  <c r="K160" i="166"/>
  <c r="K153" i="166"/>
  <c r="I153" i="166"/>
  <c r="J150" i="166"/>
  <c r="K149" i="166"/>
  <c r="J148" i="166"/>
  <c r="K148" i="166" s="1"/>
  <c r="J147" i="166"/>
  <c r="K147" i="166" s="1"/>
  <c r="J146" i="166"/>
  <c r="J144" i="166"/>
  <c r="R190" i="165"/>
  <c r="R184" i="165"/>
  <c r="R183" i="165"/>
  <c r="H164" i="167" l="1"/>
  <c r="J191" i="165"/>
  <c r="P191" i="165" s="1"/>
  <c r="R209" i="165"/>
  <c r="R206" i="165"/>
  <c r="J159" i="166"/>
  <c r="R212" i="165"/>
  <c r="J142" i="166"/>
  <c r="J140" i="166" s="1"/>
  <c r="K137" i="166"/>
  <c r="J136" i="166"/>
  <c r="K134" i="166"/>
  <c r="I134" i="166"/>
  <c r="J130" i="166"/>
  <c r="I164" i="167" l="1"/>
  <c r="G164" i="167" s="1"/>
  <c r="J127" i="166"/>
  <c r="J126" i="166" s="1"/>
  <c r="F93" i="165"/>
  <c r="F92" i="165" l="1"/>
  <c r="J87" i="166"/>
  <c r="K90" i="166" l="1"/>
  <c r="J81" i="166"/>
  <c r="F75" i="165"/>
  <c r="F77" i="165"/>
  <c r="F76" i="165"/>
  <c r="F74" i="165"/>
  <c r="J132" i="167"/>
  <c r="K111" i="166" l="1"/>
  <c r="O145" i="165"/>
  <c r="E145" i="165"/>
  <c r="E144" i="165" s="1"/>
  <c r="N144" i="165"/>
  <c r="M144" i="165"/>
  <c r="L144" i="165"/>
  <c r="K144" i="165"/>
  <c r="I144" i="165"/>
  <c r="H144" i="165"/>
  <c r="G144" i="165"/>
  <c r="F144" i="165"/>
  <c r="M143" i="165"/>
  <c r="L143" i="165"/>
  <c r="F136" i="165"/>
  <c r="F141" i="165"/>
  <c r="J108" i="166"/>
  <c r="K138" i="165"/>
  <c r="J109" i="166"/>
  <c r="J110" i="166"/>
  <c r="K139" i="165"/>
  <c r="G139" i="165"/>
  <c r="F139" i="165"/>
  <c r="R134" i="165"/>
  <c r="K104" i="166"/>
  <c r="G123" i="167"/>
  <c r="K143" i="165" l="1"/>
  <c r="E143" i="165"/>
  <c r="I143" i="165"/>
  <c r="N143" i="165"/>
  <c r="F143" i="165"/>
  <c r="H132" i="167"/>
  <c r="G143" i="165"/>
  <c r="H143" i="165"/>
  <c r="R138" i="165"/>
  <c r="I104" i="166"/>
  <c r="O144" i="165"/>
  <c r="J145" i="165"/>
  <c r="O143" i="165" l="1"/>
  <c r="J144" i="165"/>
  <c r="I132" i="167"/>
  <c r="G132" i="167" s="1"/>
  <c r="P145" i="165"/>
  <c r="J143" i="165" l="1"/>
  <c r="P144" i="165"/>
  <c r="J105" i="166"/>
  <c r="K137" i="165"/>
  <c r="F137" i="165"/>
  <c r="P143" i="165" l="1"/>
  <c r="G234" i="167"/>
  <c r="J243" i="166"/>
  <c r="Q286" i="165"/>
  <c r="J226" i="167"/>
  <c r="I226" i="167"/>
  <c r="J241" i="166"/>
  <c r="K274" i="165"/>
  <c r="J210" i="167"/>
  <c r="I210" i="167"/>
  <c r="J234" i="166"/>
  <c r="K253" i="165"/>
  <c r="J153" i="167"/>
  <c r="I153" i="167"/>
  <c r="K179" i="165"/>
  <c r="F245" i="165"/>
  <c r="F227" i="165"/>
  <c r="H179" i="165"/>
  <c r="F179" i="165"/>
  <c r="F198" i="165"/>
  <c r="L29" i="165"/>
  <c r="D27" i="108"/>
  <c r="D24" i="108"/>
  <c r="H219" i="167"/>
  <c r="F226" i="165" l="1"/>
  <c r="J26" i="167"/>
  <c r="J31" i="165" l="1"/>
  <c r="J29" i="165"/>
  <c r="O28" i="165"/>
  <c r="L28" i="165"/>
  <c r="F28" i="165"/>
  <c r="N28" i="165"/>
  <c r="M28" i="165"/>
  <c r="K28" i="165"/>
  <c r="I28" i="165"/>
  <c r="H28" i="165"/>
  <c r="G28" i="165"/>
  <c r="E31" i="165"/>
  <c r="I26" i="167" l="1"/>
  <c r="H26" i="167"/>
  <c r="G26" i="167" s="1"/>
  <c r="J28" i="165"/>
  <c r="P31" i="165"/>
  <c r="J207" i="167"/>
  <c r="R249" i="165" l="1"/>
  <c r="J228" i="166"/>
  <c r="O249" i="165"/>
  <c r="E249" i="165"/>
  <c r="N248" i="165"/>
  <c r="M248" i="165"/>
  <c r="L248" i="165"/>
  <c r="K248" i="165"/>
  <c r="I248" i="165"/>
  <c r="H248" i="165"/>
  <c r="G248" i="165"/>
  <c r="F248" i="165"/>
  <c r="N247" i="165"/>
  <c r="M247" i="165"/>
  <c r="L247" i="165"/>
  <c r="H247" i="165"/>
  <c r="L282" i="165"/>
  <c r="L281" i="165"/>
  <c r="L280" i="165"/>
  <c r="L279" i="165"/>
  <c r="F25" i="153"/>
  <c r="F17" i="153"/>
  <c r="F14" i="153"/>
  <c r="F13" i="153"/>
  <c r="F29" i="153" s="1"/>
  <c r="F247" i="165" l="1"/>
  <c r="K247" i="165"/>
  <c r="J249" i="165"/>
  <c r="G247" i="165"/>
  <c r="I247" i="165"/>
  <c r="E248" i="165"/>
  <c r="H207" i="167"/>
  <c r="O248" i="165"/>
  <c r="P249" i="165"/>
  <c r="J248" i="165"/>
  <c r="J217" i="166"/>
  <c r="E247" i="165" l="1"/>
  <c r="J247" i="165"/>
  <c r="P248" i="165"/>
  <c r="O247" i="165"/>
  <c r="I207" i="167"/>
  <c r="G207" i="167" s="1"/>
  <c r="J219" i="166"/>
  <c r="J210" i="166"/>
  <c r="P247" i="165" l="1"/>
  <c r="R237" i="165"/>
  <c r="D62" i="170"/>
  <c r="D55" i="170" l="1"/>
  <c r="J236" i="166"/>
  <c r="J223" i="167" l="1"/>
  <c r="J215" i="167" s="1"/>
  <c r="O270" i="165" l="1"/>
  <c r="E270" i="165"/>
  <c r="N269" i="165"/>
  <c r="M269" i="165"/>
  <c r="L269" i="165"/>
  <c r="K269" i="165"/>
  <c r="I269" i="165"/>
  <c r="H269" i="165"/>
  <c r="G269" i="165"/>
  <c r="F269" i="165"/>
  <c r="N268" i="165"/>
  <c r="M268" i="165"/>
  <c r="F168" i="165"/>
  <c r="K175" i="165"/>
  <c r="F153" i="165"/>
  <c r="F172" i="165"/>
  <c r="G17" i="107"/>
  <c r="F167" i="165"/>
  <c r="F159" i="165"/>
  <c r="F156" i="165"/>
  <c r="L155" i="165"/>
  <c r="K164" i="165"/>
  <c r="J116" i="166"/>
  <c r="F164" i="165"/>
  <c r="J119" i="166"/>
  <c r="K119" i="166" s="1"/>
  <c r="I119" i="166"/>
  <c r="J124" i="166"/>
  <c r="I124" i="166"/>
  <c r="J120" i="166"/>
  <c r="H268" i="165" l="1"/>
  <c r="I268" i="165"/>
  <c r="F268" i="165"/>
  <c r="K268" i="165"/>
  <c r="H223" i="167"/>
  <c r="E55" i="170"/>
  <c r="G268" i="165"/>
  <c r="L268" i="165"/>
  <c r="J270" i="165"/>
  <c r="R164" i="165"/>
  <c r="J114" i="166"/>
  <c r="O269" i="165"/>
  <c r="E269" i="165"/>
  <c r="E62" i="170" l="1"/>
  <c r="E268" i="165"/>
  <c r="J269" i="165"/>
  <c r="I223" i="167"/>
  <c r="I215" i="167" s="1"/>
  <c r="P270" i="165"/>
  <c r="O268" i="165"/>
  <c r="G223" i="167" l="1"/>
  <c r="P269" i="165"/>
  <c r="J268" i="165"/>
  <c r="C112" i="171"/>
  <c r="C110" i="171"/>
  <c r="C113" i="171"/>
  <c r="D103" i="171"/>
  <c r="C109" i="171" l="1"/>
  <c r="P268" i="165"/>
  <c r="I219" i="166"/>
  <c r="K218" i="166"/>
  <c r="I218" i="166"/>
  <c r="K217" i="166"/>
  <c r="I217" i="166"/>
  <c r="I216" i="166"/>
  <c r="K214" i="166"/>
  <c r="I214" i="166"/>
  <c r="J103" i="167" l="1"/>
  <c r="N110" i="165"/>
  <c r="M110" i="165"/>
  <c r="L110" i="165"/>
  <c r="K110" i="165"/>
  <c r="I110" i="165"/>
  <c r="H110" i="165"/>
  <c r="G110" i="165"/>
  <c r="F110" i="165"/>
  <c r="J99" i="167"/>
  <c r="J97" i="167"/>
  <c r="E110" i="165" l="1"/>
  <c r="O110" i="165"/>
  <c r="G20" i="165"/>
  <c r="G19" i="165"/>
  <c r="J110" i="165" l="1"/>
  <c r="F20" i="165"/>
  <c r="F18" i="165" l="1"/>
  <c r="P110" i="165"/>
  <c r="J176" i="167"/>
  <c r="G178" i="167"/>
  <c r="K219" i="166" l="1"/>
  <c r="R241" i="165" l="1"/>
  <c r="J207" i="166"/>
  <c r="K232" i="165"/>
  <c r="F80" i="165"/>
  <c r="R232" i="165" l="1"/>
  <c r="H274" i="165" l="1"/>
  <c r="P16" i="107" l="1"/>
  <c r="P15" i="107" s="1"/>
  <c r="P14" i="107" s="1"/>
  <c r="L16" i="107"/>
  <c r="L15" i="107" s="1"/>
  <c r="L14" i="107" s="1"/>
  <c r="K16" i="107"/>
  <c r="K15" i="107" s="1"/>
  <c r="K14" i="107" s="1"/>
  <c r="J16" i="107"/>
  <c r="J15" i="107" s="1"/>
  <c r="J14" i="107" s="1"/>
  <c r="H16" i="107"/>
  <c r="H15" i="107" s="1"/>
  <c r="H14" i="107" s="1"/>
  <c r="F16" i="107"/>
  <c r="F15" i="107" s="1"/>
  <c r="F14" i="107" s="1"/>
  <c r="N302" i="165"/>
  <c r="M302" i="165"/>
  <c r="L302" i="165"/>
  <c r="K302" i="165"/>
  <c r="I302" i="165"/>
  <c r="H302" i="165"/>
  <c r="G302" i="165"/>
  <c r="F302" i="165"/>
  <c r="L301" i="165"/>
  <c r="G301" i="165"/>
  <c r="N299" i="165"/>
  <c r="M299" i="165"/>
  <c r="L299" i="165"/>
  <c r="K299" i="165"/>
  <c r="I299" i="165"/>
  <c r="H299" i="165"/>
  <c r="G299" i="165"/>
  <c r="F299" i="165"/>
  <c r="E298" i="165"/>
  <c r="O298" i="165"/>
  <c r="N294" i="165"/>
  <c r="M294" i="165"/>
  <c r="L294" i="165"/>
  <c r="K294" i="165"/>
  <c r="I294" i="165"/>
  <c r="G294" i="165"/>
  <c r="O288" i="165"/>
  <c r="N288" i="165"/>
  <c r="M288" i="165"/>
  <c r="L288" i="165"/>
  <c r="K288" i="165"/>
  <c r="I288" i="165"/>
  <c r="H288" i="165"/>
  <c r="G288" i="165"/>
  <c r="F288" i="165"/>
  <c r="N290" i="165"/>
  <c r="M290" i="165"/>
  <c r="L290" i="165"/>
  <c r="K290" i="165"/>
  <c r="I290" i="165"/>
  <c r="H290" i="165"/>
  <c r="G290" i="165"/>
  <c r="F290" i="165"/>
  <c r="N285" i="165"/>
  <c r="M285" i="165"/>
  <c r="L285" i="165"/>
  <c r="K285" i="165"/>
  <c r="I285" i="165"/>
  <c r="G285" i="165"/>
  <c r="F285" i="165"/>
  <c r="N278" i="165"/>
  <c r="M278" i="165"/>
  <c r="L278" i="165"/>
  <c r="K278" i="165"/>
  <c r="I278" i="165"/>
  <c r="H278" i="165"/>
  <c r="G278" i="165"/>
  <c r="F278" i="165"/>
  <c r="N273" i="165"/>
  <c r="M273" i="165"/>
  <c r="L273" i="165"/>
  <c r="K273" i="165"/>
  <c r="I273" i="165"/>
  <c r="G273" i="165"/>
  <c r="N63" i="165"/>
  <c r="M63" i="165"/>
  <c r="L63" i="165"/>
  <c r="I63" i="165"/>
  <c r="H63" i="165"/>
  <c r="G63" i="165"/>
  <c r="N59" i="165"/>
  <c r="M59" i="165"/>
  <c r="L59" i="165"/>
  <c r="K59" i="165"/>
  <c r="I59" i="165"/>
  <c r="M56" i="165"/>
  <c r="K56" i="165"/>
  <c r="I56" i="165"/>
  <c r="M53" i="165"/>
  <c r="K53" i="165"/>
  <c r="I53" i="165"/>
  <c r="N47" i="165"/>
  <c r="M47" i="165"/>
  <c r="L47" i="165"/>
  <c r="K47" i="165"/>
  <c r="I47" i="165"/>
  <c r="H47" i="165"/>
  <c r="I44" i="165"/>
  <c r="N266" i="165"/>
  <c r="M266" i="165"/>
  <c r="L266" i="165"/>
  <c r="I266" i="165"/>
  <c r="H266" i="165"/>
  <c r="G266" i="165"/>
  <c r="N258" i="165"/>
  <c r="M258" i="165"/>
  <c r="L258" i="165"/>
  <c r="K258" i="165"/>
  <c r="I258" i="165"/>
  <c r="H258" i="165"/>
  <c r="G258" i="165"/>
  <c r="F258" i="165"/>
  <c r="N252" i="165"/>
  <c r="M252" i="165"/>
  <c r="L252" i="165"/>
  <c r="K252" i="165"/>
  <c r="I252" i="165"/>
  <c r="G252" i="165"/>
  <c r="N244" i="165"/>
  <c r="M244" i="165"/>
  <c r="L244" i="165"/>
  <c r="K244" i="165"/>
  <c r="I244" i="165"/>
  <c r="G244" i="165"/>
  <c r="N236" i="165"/>
  <c r="M236" i="165"/>
  <c r="L236" i="165"/>
  <c r="K236" i="165"/>
  <c r="I236" i="165"/>
  <c r="H236" i="165"/>
  <c r="G236" i="165"/>
  <c r="F236" i="165"/>
  <c r="N231" i="165"/>
  <c r="M231" i="165"/>
  <c r="L231" i="165"/>
  <c r="I231" i="165"/>
  <c r="H231" i="165"/>
  <c r="G231" i="165"/>
  <c r="F231" i="165"/>
  <c r="M243" i="165" l="1"/>
  <c r="F257" i="165"/>
  <c r="K257" i="165"/>
  <c r="G263" i="165"/>
  <c r="M263" i="165"/>
  <c r="F277" i="165"/>
  <c r="K277" i="165"/>
  <c r="F297" i="165"/>
  <c r="K297" i="165"/>
  <c r="H301" i="165"/>
  <c r="M301" i="165"/>
  <c r="G230" i="165"/>
  <c r="I230" i="165"/>
  <c r="F234" i="165"/>
  <c r="G243" i="165"/>
  <c r="F230" i="165"/>
  <c r="L230" i="165"/>
  <c r="G234" i="165"/>
  <c r="L234" i="165"/>
  <c r="I243" i="165"/>
  <c r="N243" i="165"/>
  <c r="G257" i="165"/>
  <c r="L257" i="165"/>
  <c r="H263" i="165"/>
  <c r="N263" i="165"/>
  <c r="G277" i="165"/>
  <c r="L277" i="165"/>
  <c r="G297" i="165"/>
  <c r="L297" i="165"/>
  <c r="I301" i="165"/>
  <c r="N301" i="165"/>
  <c r="M230" i="165"/>
  <c r="M234" i="165"/>
  <c r="K243" i="165"/>
  <c r="H257" i="165"/>
  <c r="M257" i="165"/>
  <c r="I263" i="165"/>
  <c r="H277" i="165"/>
  <c r="M277" i="165"/>
  <c r="J298" i="165"/>
  <c r="H297" i="165"/>
  <c r="M297" i="165"/>
  <c r="F301" i="165"/>
  <c r="K301" i="165"/>
  <c r="H234" i="165"/>
  <c r="H230" i="165"/>
  <c r="N230" i="165"/>
  <c r="I234" i="165"/>
  <c r="N234" i="165"/>
  <c r="L243" i="165"/>
  <c r="I257" i="165"/>
  <c r="N257" i="165"/>
  <c r="L263" i="165"/>
  <c r="I277" i="165"/>
  <c r="N277" i="165"/>
  <c r="I297" i="165"/>
  <c r="N297" i="165"/>
  <c r="K234" i="165"/>
  <c r="M293" i="165"/>
  <c r="K293" i="165"/>
  <c r="L293" i="165"/>
  <c r="H287" i="165"/>
  <c r="P298" i="165"/>
  <c r="K287" i="165"/>
  <c r="G287" i="165"/>
  <c r="L287" i="165"/>
  <c r="I287" i="165"/>
  <c r="M287" i="165"/>
  <c r="F287" i="165"/>
  <c r="N287" i="165"/>
  <c r="N220" i="165"/>
  <c r="M220" i="165"/>
  <c r="L220" i="165"/>
  <c r="K220" i="165"/>
  <c r="I220" i="165"/>
  <c r="F220" i="165"/>
  <c r="N216" i="165"/>
  <c r="M216" i="165"/>
  <c r="L216" i="165"/>
  <c r="K216" i="165"/>
  <c r="I216" i="165"/>
  <c r="H216" i="165"/>
  <c r="G216" i="165"/>
  <c r="F216" i="165"/>
  <c r="E216" i="165"/>
  <c r="N208" i="165"/>
  <c r="M208" i="165"/>
  <c r="L208" i="165"/>
  <c r="K208" i="165"/>
  <c r="I208" i="165"/>
  <c r="H208" i="165"/>
  <c r="G208" i="165"/>
  <c r="F208" i="165"/>
  <c r="N202" i="165"/>
  <c r="M202" i="165"/>
  <c r="L202" i="165"/>
  <c r="K202" i="165"/>
  <c r="I202" i="165"/>
  <c r="H202" i="165"/>
  <c r="G202" i="165"/>
  <c r="F202" i="165"/>
  <c r="N197" i="165"/>
  <c r="M197" i="165"/>
  <c r="L197" i="165"/>
  <c r="K197" i="165"/>
  <c r="I197" i="165"/>
  <c r="G197" i="165"/>
  <c r="N192" i="165"/>
  <c r="M192" i="165"/>
  <c r="L192" i="165"/>
  <c r="K192" i="165"/>
  <c r="I192" i="165"/>
  <c r="H192" i="165"/>
  <c r="G192" i="165"/>
  <c r="F192" i="165"/>
  <c r="N182" i="165"/>
  <c r="M182" i="165"/>
  <c r="L182" i="165"/>
  <c r="I182" i="165"/>
  <c r="H182" i="165"/>
  <c r="G182" i="165"/>
  <c r="F182" i="165"/>
  <c r="N178" i="165"/>
  <c r="M178" i="165"/>
  <c r="L178" i="165"/>
  <c r="K178" i="165"/>
  <c r="I178" i="165"/>
  <c r="G178" i="165"/>
  <c r="N174" i="165"/>
  <c r="M174" i="165"/>
  <c r="L174" i="165"/>
  <c r="K174" i="165"/>
  <c r="I174" i="165"/>
  <c r="H174" i="165"/>
  <c r="G174" i="165"/>
  <c r="F174" i="165"/>
  <c r="N171" i="165"/>
  <c r="M171" i="165"/>
  <c r="L171" i="165"/>
  <c r="K171" i="165"/>
  <c r="I171" i="165"/>
  <c r="H171" i="165"/>
  <c r="G171" i="165"/>
  <c r="F171" i="165"/>
  <c r="N170" i="165"/>
  <c r="N166" i="165"/>
  <c r="M166" i="165"/>
  <c r="L166" i="165"/>
  <c r="I166" i="165"/>
  <c r="H166" i="165"/>
  <c r="G166" i="165"/>
  <c r="M163" i="165"/>
  <c r="I163" i="165"/>
  <c r="G163" i="165"/>
  <c r="N161" i="165"/>
  <c r="M161" i="165"/>
  <c r="L161" i="165"/>
  <c r="K161" i="165"/>
  <c r="I161" i="165"/>
  <c r="H161" i="165"/>
  <c r="G161" i="165"/>
  <c r="N158" i="165"/>
  <c r="M158" i="165"/>
  <c r="L158" i="165"/>
  <c r="K158" i="165"/>
  <c r="I158" i="165"/>
  <c r="H158" i="165"/>
  <c r="G158" i="165"/>
  <c r="M154" i="165"/>
  <c r="I154" i="165"/>
  <c r="G154" i="165"/>
  <c r="N152" i="165"/>
  <c r="M152" i="165"/>
  <c r="L152" i="165"/>
  <c r="K152" i="165"/>
  <c r="I152" i="165"/>
  <c r="G152" i="165"/>
  <c r="N147" i="165"/>
  <c r="M147" i="165"/>
  <c r="L147" i="165"/>
  <c r="K147" i="165"/>
  <c r="I147" i="165"/>
  <c r="H147" i="165"/>
  <c r="G147" i="165"/>
  <c r="F147" i="165"/>
  <c r="N140" i="165"/>
  <c r="M140" i="165"/>
  <c r="K140" i="165"/>
  <c r="I140" i="165"/>
  <c r="G140" i="165"/>
  <c r="M133" i="165"/>
  <c r="K133" i="165"/>
  <c r="I133" i="165"/>
  <c r="N128" i="165"/>
  <c r="M128" i="165"/>
  <c r="L128" i="165"/>
  <c r="K128" i="165"/>
  <c r="I128" i="165"/>
  <c r="H128" i="165"/>
  <c r="G128" i="165"/>
  <c r="F128" i="165"/>
  <c r="N121" i="165"/>
  <c r="M121" i="165"/>
  <c r="L121" i="165"/>
  <c r="K121" i="165"/>
  <c r="I121" i="165"/>
  <c r="H121" i="165"/>
  <c r="G121" i="165"/>
  <c r="F121" i="165"/>
  <c r="M117" i="165"/>
  <c r="I117" i="165"/>
  <c r="N115" i="165"/>
  <c r="M115" i="165"/>
  <c r="L115" i="165"/>
  <c r="K115" i="165"/>
  <c r="I115" i="165"/>
  <c r="H115" i="165"/>
  <c r="G115" i="165"/>
  <c r="F115" i="165"/>
  <c r="N113" i="165"/>
  <c r="M113" i="165"/>
  <c r="L113" i="165"/>
  <c r="K113" i="165"/>
  <c r="I113" i="165"/>
  <c r="H113" i="165"/>
  <c r="G113" i="165"/>
  <c r="M106" i="165"/>
  <c r="K106" i="165"/>
  <c r="I106" i="165"/>
  <c r="F106" i="165"/>
  <c r="N97" i="165"/>
  <c r="M97" i="165"/>
  <c r="L97" i="165"/>
  <c r="K97" i="165"/>
  <c r="I97" i="165"/>
  <c r="H97" i="165"/>
  <c r="G97" i="165"/>
  <c r="G293" i="165" l="1"/>
  <c r="N233" i="165"/>
  <c r="F120" i="165"/>
  <c r="K120" i="165"/>
  <c r="F127" i="165"/>
  <c r="K127" i="165"/>
  <c r="I135" i="165"/>
  <c r="F146" i="165"/>
  <c r="K146" i="165"/>
  <c r="M151" i="165"/>
  <c r="I170" i="165"/>
  <c r="I173" i="165"/>
  <c r="N173" i="165"/>
  <c r="G181" i="165"/>
  <c r="M181" i="165"/>
  <c r="K201" i="165"/>
  <c r="I213" i="165"/>
  <c r="N213" i="165"/>
  <c r="L219" i="165"/>
  <c r="F284" i="165"/>
  <c r="L284" i="165"/>
  <c r="N293" i="165"/>
  <c r="M276" i="165"/>
  <c r="I293" i="165"/>
  <c r="L276" i="165"/>
  <c r="G262" i="165"/>
  <c r="F256" i="165"/>
  <c r="G120" i="165"/>
  <c r="L120" i="165"/>
  <c r="G127" i="165"/>
  <c r="L127" i="165"/>
  <c r="G146" i="165"/>
  <c r="L146" i="165"/>
  <c r="F170" i="165"/>
  <c r="K170" i="165"/>
  <c r="F173" i="165"/>
  <c r="K173" i="165"/>
  <c r="H181" i="165"/>
  <c r="N181" i="165"/>
  <c r="G201" i="165"/>
  <c r="L201" i="165"/>
  <c r="F213" i="165"/>
  <c r="K213" i="165"/>
  <c r="F219" i="165"/>
  <c r="M219" i="165"/>
  <c r="M284" i="165"/>
  <c r="G284" i="165"/>
  <c r="K233" i="165"/>
  <c r="N276" i="165"/>
  <c r="L262" i="165"/>
  <c r="I256" i="165"/>
  <c r="I233" i="165"/>
  <c r="H233" i="165"/>
  <c r="I262" i="165"/>
  <c r="H256" i="165"/>
  <c r="N262" i="165"/>
  <c r="L256" i="165"/>
  <c r="K276" i="165"/>
  <c r="H120" i="165"/>
  <c r="M120" i="165"/>
  <c r="H127" i="165"/>
  <c r="M127" i="165"/>
  <c r="M135" i="165"/>
  <c r="H146" i="165"/>
  <c r="M146" i="165"/>
  <c r="G170" i="165"/>
  <c r="L170" i="165"/>
  <c r="G173" i="165"/>
  <c r="L173" i="165"/>
  <c r="I181" i="165"/>
  <c r="H201" i="165"/>
  <c r="M201" i="165"/>
  <c r="G213" i="165"/>
  <c r="I219" i="165"/>
  <c r="N219" i="165"/>
  <c r="I284" i="165"/>
  <c r="H276" i="165"/>
  <c r="G276" i="165"/>
  <c r="G233" i="165"/>
  <c r="M262" i="165"/>
  <c r="K256" i="165"/>
  <c r="I120" i="165"/>
  <c r="N120" i="165"/>
  <c r="I127" i="165"/>
  <c r="N127" i="165"/>
  <c r="G135" i="165"/>
  <c r="I146" i="165"/>
  <c r="N146" i="165"/>
  <c r="H170" i="165"/>
  <c r="M170" i="165"/>
  <c r="H173" i="165"/>
  <c r="M173" i="165"/>
  <c r="F181" i="165"/>
  <c r="L181" i="165"/>
  <c r="I201" i="165"/>
  <c r="N201" i="165"/>
  <c r="H213" i="165"/>
  <c r="M213" i="165"/>
  <c r="K219" i="165"/>
  <c r="N284" i="165"/>
  <c r="K284" i="165"/>
  <c r="R284" i="165" s="1"/>
  <c r="I276" i="165"/>
  <c r="N256" i="165"/>
  <c r="M256" i="165"/>
  <c r="M233" i="165"/>
  <c r="H262" i="165"/>
  <c r="G256" i="165"/>
  <c r="L233" i="165"/>
  <c r="F233" i="165"/>
  <c r="F276" i="165"/>
  <c r="L213" i="165"/>
  <c r="I189" i="165"/>
  <c r="F189" i="165"/>
  <c r="K189" i="165"/>
  <c r="G189" i="165"/>
  <c r="L189" i="165"/>
  <c r="N189" i="165"/>
  <c r="G151" i="165"/>
  <c r="H189" i="165"/>
  <c r="M189" i="165"/>
  <c r="M96" i="165"/>
  <c r="I96" i="165"/>
  <c r="I157" i="165"/>
  <c r="M207" i="165"/>
  <c r="M157" i="165"/>
  <c r="G157" i="165"/>
  <c r="I151" i="165"/>
  <c r="K207" i="165"/>
  <c r="L207" i="165"/>
  <c r="N207" i="165"/>
  <c r="H207" i="165"/>
  <c r="N87" i="165"/>
  <c r="M87" i="165"/>
  <c r="L87" i="165"/>
  <c r="I87" i="165"/>
  <c r="H87" i="165"/>
  <c r="G87" i="165"/>
  <c r="F87" i="165"/>
  <c r="N83" i="165"/>
  <c r="M83" i="165"/>
  <c r="L83" i="165"/>
  <c r="K83" i="165"/>
  <c r="I83" i="165"/>
  <c r="N81" i="165"/>
  <c r="M81" i="165"/>
  <c r="L81" i="165"/>
  <c r="K81" i="165"/>
  <c r="I81" i="165"/>
  <c r="H81" i="165"/>
  <c r="G81" i="165"/>
  <c r="F81" i="165"/>
  <c r="N79" i="165"/>
  <c r="M79" i="165"/>
  <c r="L79" i="165"/>
  <c r="K79" i="165"/>
  <c r="I79" i="165"/>
  <c r="H79" i="165"/>
  <c r="G79" i="165"/>
  <c r="F79" i="165"/>
  <c r="O78" i="165"/>
  <c r="N71" i="165"/>
  <c r="M71" i="165"/>
  <c r="L71" i="165"/>
  <c r="K71" i="165"/>
  <c r="I71" i="165"/>
  <c r="N67" i="165"/>
  <c r="M67" i="165"/>
  <c r="L67" i="165"/>
  <c r="K67" i="165"/>
  <c r="I67" i="165"/>
  <c r="H67" i="165"/>
  <c r="G67" i="165"/>
  <c r="F67" i="165"/>
  <c r="I41" i="165"/>
  <c r="N36" i="165"/>
  <c r="M36" i="165"/>
  <c r="L36" i="165"/>
  <c r="K36" i="165"/>
  <c r="I36" i="165"/>
  <c r="H36" i="165"/>
  <c r="G36" i="165"/>
  <c r="F36" i="165"/>
  <c r="E34" i="165"/>
  <c r="N33" i="165"/>
  <c r="M33" i="165"/>
  <c r="L33" i="165"/>
  <c r="K33" i="165"/>
  <c r="I33" i="165"/>
  <c r="H33" i="165"/>
  <c r="G33" i="165"/>
  <c r="F33" i="165"/>
  <c r="N26" i="165"/>
  <c r="M26" i="165"/>
  <c r="K26" i="165"/>
  <c r="I26" i="165"/>
  <c r="H26" i="165"/>
  <c r="G26" i="165"/>
  <c r="F26" i="165"/>
  <c r="N24" i="165"/>
  <c r="M24" i="165"/>
  <c r="L24" i="165"/>
  <c r="K24" i="165"/>
  <c r="I24" i="165"/>
  <c r="H24" i="165"/>
  <c r="G24" i="165"/>
  <c r="F24" i="165"/>
  <c r="N18" i="165"/>
  <c r="M18" i="165"/>
  <c r="L18" i="165"/>
  <c r="I18" i="165"/>
  <c r="J55" i="167"/>
  <c r="J54" i="167"/>
  <c r="J52" i="167"/>
  <c r="M52" i="167" s="1"/>
  <c r="J51" i="167"/>
  <c r="I207" i="165" l="1"/>
  <c r="I132" i="165"/>
  <c r="M132" i="165"/>
  <c r="G207" i="165"/>
  <c r="N225" i="165"/>
  <c r="F207" i="165"/>
  <c r="M196" i="165"/>
  <c r="M188" i="165"/>
  <c r="K188" i="165"/>
  <c r="I23" i="165"/>
  <c r="N23" i="165"/>
  <c r="F32" i="165"/>
  <c r="E33" i="165"/>
  <c r="N35" i="165"/>
  <c r="F23" i="165"/>
  <c r="K23" i="165"/>
  <c r="G32" i="165"/>
  <c r="L32" i="165"/>
  <c r="F35" i="165"/>
  <c r="K35" i="165"/>
  <c r="F86" i="165"/>
  <c r="L86" i="165"/>
  <c r="N188" i="165"/>
  <c r="I188" i="165"/>
  <c r="G251" i="165"/>
  <c r="M225" i="165"/>
  <c r="M251" i="165"/>
  <c r="I123" i="165"/>
  <c r="M261" i="165"/>
  <c r="G272" i="165"/>
  <c r="H123" i="165"/>
  <c r="I261" i="165"/>
  <c r="I251" i="165"/>
  <c r="N272" i="165"/>
  <c r="L123" i="165"/>
  <c r="M272" i="165"/>
  <c r="G23" i="165"/>
  <c r="G35" i="165"/>
  <c r="G86" i="165"/>
  <c r="M86" i="165"/>
  <c r="N196" i="165"/>
  <c r="L188" i="165"/>
  <c r="I272" i="165"/>
  <c r="L251" i="165"/>
  <c r="L272" i="165"/>
  <c r="K123" i="165"/>
  <c r="H32" i="165"/>
  <c r="M32" i="165"/>
  <c r="L35" i="165"/>
  <c r="H23" i="165"/>
  <c r="I32" i="165"/>
  <c r="N32" i="165"/>
  <c r="H35" i="165"/>
  <c r="M35" i="165"/>
  <c r="J78" i="165"/>
  <c r="H86" i="165"/>
  <c r="N86" i="165"/>
  <c r="G150" i="165"/>
  <c r="H188" i="165"/>
  <c r="G188" i="165"/>
  <c r="F188" i="165"/>
  <c r="L225" i="165"/>
  <c r="H261" i="165"/>
  <c r="N123" i="165"/>
  <c r="K251" i="165"/>
  <c r="G225" i="165"/>
  <c r="M123" i="165"/>
  <c r="K272" i="165"/>
  <c r="I225" i="165"/>
  <c r="L261" i="165"/>
  <c r="G123" i="165"/>
  <c r="G261" i="165"/>
  <c r="K32" i="165"/>
  <c r="I35" i="165"/>
  <c r="I86" i="165"/>
  <c r="M150" i="165"/>
  <c r="M91" i="165"/>
  <c r="N251" i="165"/>
  <c r="N261" i="165"/>
  <c r="F123" i="165"/>
  <c r="K196" i="165"/>
  <c r="L196" i="165"/>
  <c r="M23" i="165"/>
  <c r="I150" i="165"/>
  <c r="I73" i="165"/>
  <c r="N73" i="165"/>
  <c r="L26" i="165"/>
  <c r="L73" i="165"/>
  <c r="K73" i="165"/>
  <c r="M73" i="165"/>
  <c r="G53" i="167"/>
  <c r="J50" i="167"/>
  <c r="J49" i="167"/>
  <c r="I196" i="165" l="1"/>
  <c r="M17" i="165"/>
  <c r="M177" i="165"/>
  <c r="N17" i="165"/>
  <c r="I17" i="165"/>
  <c r="G177" i="165"/>
  <c r="M70" i="165"/>
  <c r="L70" i="165"/>
  <c r="I91" i="165"/>
  <c r="I177" i="165"/>
  <c r="E32" i="165"/>
  <c r="I70" i="165"/>
  <c r="L23" i="165"/>
  <c r="N70" i="165"/>
  <c r="L177" i="165"/>
  <c r="N177" i="165"/>
  <c r="J46" i="167"/>
  <c r="L17" i="165" l="1"/>
  <c r="F61" i="165"/>
  <c r="G61" i="165"/>
  <c r="G60" i="165"/>
  <c r="O61" i="165"/>
  <c r="G53" i="165"/>
  <c r="F53" i="165"/>
  <c r="J55" i="165"/>
  <c r="E55" i="165"/>
  <c r="O48" i="165"/>
  <c r="G47" i="165"/>
  <c r="F47" i="165"/>
  <c r="E48" i="165"/>
  <c r="J57" i="167"/>
  <c r="E61" i="165" l="1"/>
  <c r="O47" i="165"/>
  <c r="H50" i="167"/>
  <c r="G50" i="167" s="1"/>
  <c r="J61" i="165"/>
  <c r="I50" i="167"/>
  <c r="F59" i="165"/>
  <c r="G59" i="165"/>
  <c r="E47" i="165"/>
  <c r="H46" i="167"/>
  <c r="P55" i="165"/>
  <c r="K63" i="165"/>
  <c r="F64" i="165"/>
  <c r="O64" i="165"/>
  <c r="J44" i="167"/>
  <c r="M44" i="167" s="1"/>
  <c r="G45" i="165"/>
  <c r="L43" i="165"/>
  <c r="M43" i="165"/>
  <c r="N43" i="165"/>
  <c r="N45" i="165"/>
  <c r="M45" i="165"/>
  <c r="J56" i="167"/>
  <c r="J19" i="166" l="1"/>
  <c r="I55" i="167"/>
  <c r="O63" i="165"/>
  <c r="H55" i="167"/>
  <c r="G55" i="167" s="1"/>
  <c r="M44" i="165"/>
  <c r="E64" i="165"/>
  <c r="P61" i="165"/>
  <c r="K44" i="165"/>
  <c r="J41" i="167"/>
  <c r="M41" i="167" s="1"/>
  <c r="R64" i="165"/>
  <c r="J64" i="165"/>
  <c r="F63" i="165"/>
  <c r="F44" i="165"/>
  <c r="J48" i="165"/>
  <c r="O62" i="165"/>
  <c r="E62" i="165"/>
  <c r="H56" i="165"/>
  <c r="G57" i="165"/>
  <c r="F56" i="165"/>
  <c r="G44" i="165"/>
  <c r="H44" i="165"/>
  <c r="J58" i="167"/>
  <c r="G65" i="165"/>
  <c r="F65" i="165"/>
  <c r="O65" i="165"/>
  <c r="H56" i="167" l="1"/>
  <c r="E63" i="165"/>
  <c r="J62" i="165"/>
  <c r="I57" i="167"/>
  <c r="G56" i="165"/>
  <c r="E65" i="165"/>
  <c r="J65" i="165"/>
  <c r="H57" i="167"/>
  <c r="R65" i="165"/>
  <c r="O43" i="165"/>
  <c r="J47" i="165"/>
  <c r="I46" i="167"/>
  <c r="G46" i="167" s="1"/>
  <c r="P64" i="165"/>
  <c r="J63" i="165"/>
  <c r="P48" i="165"/>
  <c r="P62" i="165"/>
  <c r="O296" i="165"/>
  <c r="E296" i="165"/>
  <c r="J238" i="167"/>
  <c r="I238" i="167"/>
  <c r="I237" i="167" s="1"/>
  <c r="H273" i="165"/>
  <c r="F274" i="165"/>
  <c r="O275" i="165"/>
  <c r="E275" i="165"/>
  <c r="F252" i="165"/>
  <c r="O254" i="165"/>
  <c r="E254" i="165"/>
  <c r="F244" i="165"/>
  <c r="O246" i="165"/>
  <c r="E246" i="165"/>
  <c r="F225" i="165"/>
  <c r="O228" i="165"/>
  <c r="E228" i="165"/>
  <c r="F197" i="165"/>
  <c r="O199" i="165"/>
  <c r="E199" i="165"/>
  <c r="O94" i="165"/>
  <c r="E94" i="165"/>
  <c r="P65" i="165" l="1"/>
  <c r="H211" i="167"/>
  <c r="G211" i="167" s="1"/>
  <c r="H193" i="167"/>
  <c r="G193" i="167" s="1"/>
  <c r="J246" i="165"/>
  <c r="H170" i="167"/>
  <c r="G170" i="167" s="1"/>
  <c r="J228" i="165"/>
  <c r="F243" i="165"/>
  <c r="H227" i="167"/>
  <c r="G227" i="167" s="1"/>
  <c r="F294" i="165"/>
  <c r="P47" i="165"/>
  <c r="I58" i="167"/>
  <c r="M41" i="165"/>
  <c r="G57" i="167"/>
  <c r="J199" i="165"/>
  <c r="J275" i="165"/>
  <c r="H206" i="167"/>
  <c r="H204" i="167" s="1"/>
  <c r="J254" i="165"/>
  <c r="F273" i="165"/>
  <c r="H239" i="167"/>
  <c r="G239" i="167" s="1"/>
  <c r="G238" i="167" s="1"/>
  <c r="G237" i="167" s="1"/>
  <c r="G41" i="165"/>
  <c r="J94" i="165"/>
  <c r="H272" i="165"/>
  <c r="J296" i="165"/>
  <c r="H58" i="167"/>
  <c r="G58" i="167" s="1"/>
  <c r="I56" i="167"/>
  <c r="G56" i="167" s="1"/>
  <c r="F251" i="165"/>
  <c r="H90" i="167"/>
  <c r="G206" i="167"/>
  <c r="P63" i="165"/>
  <c r="H238" i="167"/>
  <c r="H237" i="167" s="1"/>
  <c r="P275" i="165"/>
  <c r="P296" i="165"/>
  <c r="J237" i="167"/>
  <c r="P254" i="165"/>
  <c r="P246" i="165"/>
  <c r="P228" i="165"/>
  <c r="P94" i="165"/>
  <c r="P199" i="165" l="1"/>
  <c r="I90" i="167"/>
  <c r="G90" i="167" s="1"/>
  <c r="F293" i="165"/>
  <c r="F272" i="165"/>
  <c r="F178" i="165"/>
  <c r="O180" i="165"/>
  <c r="E180" i="165"/>
  <c r="H154" i="167" l="1"/>
  <c r="G154" i="167" s="1"/>
  <c r="J180" i="165"/>
  <c r="F177" i="165"/>
  <c r="P180" i="165" l="1"/>
  <c r="O21" i="165"/>
  <c r="E21" i="165"/>
  <c r="J21" i="165" l="1"/>
  <c r="H19" i="167"/>
  <c r="G19" i="167" s="1"/>
  <c r="C27" i="171"/>
  <c r="C29" i="171"/>
  <c r="D28" i="171"/>
  <c r="C28" i="171" s="1"/>
  <c r="D26" i="171"/>
  <c r="C26" i="171" s="1"/>
  <c r="P21" i="165" l="1"/>
  <c r="D25" i="171"/>
  <c r="F205" i="165" l="1"/>
  <c r="F201" i="165" l="1"/>
  <c r="K87" i="165"/>
  <c r="F196" i="165" l="1"/>
  <c r="K86" i="165"/>
  <c r="J162" i="167"/>
  <c r="K70" i="165" l="1"/>
  <c r="F37" i="172"/>
  <c r="E37" i="172"/>
  <c r="E36" i="172" s="1"/>
  <c r="E30" i="172" s="1"/>
  <c r="E46" i="172" s="1"/>
  <c r="C107" i="171"/>
  <c r="C104" i="171"/>
  <c r="C103" i="171"/>
  <c r="C102" i="171"/>
  <c r="D101" i="171"/>
  <c r="C99" i="171"/>
  <c r="D98" i="171"/>
  <c r="C98" i="171" s="1"/>
  <c r="C95" i="171"/>
  <c r="E94" i="171"/>
  <c r="C94" i="171" s="1"/>
  <c r="C93" i="171"/>
  <c r="C92" i="171"/>
  <c r="F91" i="171"/>
  <c r="F90" i="171" s="1"/>
  <c r="F85" i="171" s="1"/>
  <c r="E91" i="171"/>
  <c r="E90" i="171" s="1"/>
  <c r="C90" i="171" s="1"/>
  <c r="C91" i="171"/>
  <c r="C89" i="171"/>
  <c r="C88" i="171"/>
  <c r="C87" i="171"/>
  <c r="E86" i="171"/>
  <c r="D86" i="171"/>
  <c r="D85" i="171" s="1"/>
  <c r="C84" i="171"/>
  <c r="C83" i="171"/>
  <c r="C82" i="171"/>
  <c r="C81" i="171"/>
  <c r="E80" i="171"/>
  <c r="C80" i="171" s="1"/>
  <c r="D79" i="171"/>
  <c r="C78" i="171"/>
  <c r="C76" i="171"/>
  <c r="C75" i="171"/>
  <c r="F74" i="171"/>
  <c r="F55" i="171" s="1"/>
  <c r="E74" i="171"/>
  <c r="D74" i="171"/>
  <c r="C73" i="171"/>
  <c r="C72" i="171"/>
  <c r="D71" i="171"/>
  <c r="C71" i="171" s="1"/>
  <c r="C70" i="171"/>
  <c r="C69" i="171"/>
  <c r="C68" i="171"/>
  <c r="C67" i="171"/>
  <c r="C66" i="171"/>
  <c r="D65" i="171"/>
  <c r="C63" i="171"/>
  <c r="C62" i="171"/>
  <c r="C61" i="171"/>
  <c r="D60" i="171"/>
  <c r="C60" i="171" s="1"/>
  <c r="C59" i="171"/>
  <c r="C58" i="171"/>
  <c r="C57" i="171"/>
  <c r="C54" i="171"/>
  <c r="C53" i="171"/>
  <c r="C52" i="171"/>
  <c r="E51" i="171"/>
  <c r="D51" i="171"/>
  <c r="E50" i="171"/>
  <c r="C50" i="171" s="1"/>
  <c r="C49" i="171"/>
  <c r="C48" i="171"/>
  <c r="C47" i="171"/>
  <c r="D46" i="171"/>
  <c r="C46" i="171" s="1"/>
  <c r="C45" i="171"/>
  <c r="C44" i="171"/>
  <c r="D43" i="171"/>
  <c r="C43" i="171" s="1"/>
  <c r="C42" i="171"/>
  <c r="C41" i="171"/>
  <c r="C40" i="171"/>
  <c r="C39" i="171"/>
  <c r="C38" i="171"/>
  <c r="C37" i="171"/>
  <c r="C36" i="171"/>
  <c r="C35" i="171"/>
  <c r="C34" i="171"/>
  <c r="C33" i="171"/>
  <c r="D32" i="171"/>
  <c r="C32" i="171" s="1"/>
  <c r="C30" i="171"/>
  <c r="C25" i="171"/>
  <c r="C24" i="171"/>
  <c r="D23" i="171"/>
  <c r="C23" i="171" s="1"/>
  <c r="C22" i="171"/>
  <c r="D21" i="171"/>
  <c r="C21" i="171" s="1"/>
  <c r="C19" i="171"/>
  <c r="C18" i="171"/>
  <c r="C17" i="171"/>
  <c r="C16" i="171"/>
  <c r="C15" i="171"/>
  <c r="C14" i="171"/>
  <c r="D13" i="171"/>
  <c r="D12" i="171" s="1"/>
  <c r="F36" i="172" l="1"/>
  <c r="F30" i="172" s="1"/>
  <c r="F46" i="172" s="1"/>
  <c r="C101" i="171"/>
  <c r="D100" i="171"/>
  <c r="C86" i="171"/>
  <c r="D64" i="171"/>
  <c r="C64" i="171" s="1"/>
  <c r="C74" i="171"/>
  <c r="D20" i="171"/>
  <c r="C20" i="171" s="1"/>
  <c r="C13" i="171"/>
  <c r="D31" i="171"/>
  <c r="C51" i="171"/>
  <c r="C65" i="171"/>
  <c r="E11" i="171"/>
  <c r="F96" i="171"/>
  <c r="F114" i="171" s="1"/>
  <c r="C12" i="171"/>
  <c r="E79" i="171"/>
  <c r="D56" i="171"/>
  <c r="E85" i="171"/>
  <c r="C85" i="171" s="1"/>
  <c r="C31" i="171" l="1"/>
  <c r="D11" i="171"/>
  <c r="C11" i="171" s="1"/>
  <c r="C79" i="171"/>
  <c r="E55" i="171"/>
  <c r="E96" i="171" s="1"/>
  <c r="E114" i="171" s="1"/>
  <c r="C100" i="171"/>
  <c r="C97" i="171"/>
  <c r="D55" i="171"/>
  <c r="C56" i="171"/>
  <c r="C55" i="171" l="1"/>
  <c r="D96" i="171"/>
  <c r="C96" i="171" s="1"/>
  <c r="D114" i="171" l="1"/>
  <c r="C114" i="171" s="1"/>
  <c r="K185" i="165" l="1"/>
  <c r="K182" i="165" l="1"/>
  <c r="R185" i="165"/>
  <c r="K181" i="165" l="1"/>
  <c r="J149" i="167"/>
  <c r="K177" i="165" l="1"/>
  <c r="R25" i="165"/>
  <c r="K18" i="165" l="1"/>
  <c r="K17" i="165" l="1"/>
  <c r="F102" i="165"/>
  <c r="K89" i="166"/>
  <c r="K88" i="166"/>
  <c r="K83" i="166" l="1"/>
  <c r="I83" i="166"/>
  <c r="F41" i="165"/>
  <c r="R175" i="165"/>
  <c r="O175" i="165"/>
  <c r="E175" i="165"/>
  <c r="F163" i="165"/>
  <c r="H164" i="165"/>
  <c r="H163" i="165" l="1"/>
  <c r="H149" i="167"/>
  <c r="E174" i="165"/>
  <c r="J175" i="165"/>
  <c r="O174" i="165"/>
  <c r="E173" i="165" l="1"/>
  <c r="O173" i="165"/>
  <c r="P175" i="165"/>
  <c r="H157" i="165"/>
  <c r="I149" i="167"/>
  <c r="G149" i="167" s="1"/>
  <c r="J174" i="165"/>
  <c r="P174" i="165" l="1"/>
  <c r="J173" i="165"/>
  <c r="P20" i="107"/>
  <c r="I17" i="107"/>
  <c r="P173" i="165" l="1"/>
  <c r="I13" i="107"/>
  <c r="I12" i="107" s="1"/>
  <c r="I20" i="107" s="1"/>
  <c r="I16" i="107"/>
  <c r="I15" i="107" s="1"/>
  <c r="I14" i="107" s="1"/>
  <c r="D57" i="170"/>
  <c r="D53" i="170"/>
  <c r="D49" i="170"/>
  <c r="D46" i="170"/>
  <c r="N306" i="165" l="1"/>
  <c r="M306" i="165"/>
  <c r="D28" i="108" l="1"/>
  <c r="J317" i="165"/>
  <c r="D32" i="108" l="1"/>
  <c r="H215" i="167" l="1"/>
  <c r="F266" i="165" l="1"/>
  <c r="K267" i="165"/>
  <c r="H295" i="165"/>
  <c r="H294" i="165" l="1"/>
  <c r="K266" i="165"/>
  <c r="M219" i="167"/>
  <c r="F263" i="165"/>
  <c r="J236" i="167"/>
  <c r="J235" i="167"/>
  <c r="H286" i="165"/>
  <c r="H285" i="165" l="1"/>
  <c r="K263" i="165"/>
  <c r="H293" i="165"/>
  <c r="F262" i="165"/>
  <c r="J233" i="167"/>
  <c r="J231" i="167"/>
  <c r="J230" i="167"/>
  <c r="J229" i="167"/>
  <c r="J228" i="167"/>
  <c r="H231" i="167"/>
  <c r="G226" i="167"/>
  <c r="O280" i="165"/>
  <c r="O279" i="165"/>
  <c r="J240" i="166"/>
  <c r="J212" i="167"/>
  <c r="R253" i="165"/>
  <c r="H253" i="165"/>
  <c r="K262" i="165" l="1"/>
  <c r="H252" i="165"/>
  <c r="H284" i="165"/>
  <c r="F261" i="165"/>
  <c r="R274" i="165"/>
  <c r="O278" i="165"/>
  <c r="J239" i="166"/>
  <c r="J225" i="167"/>
  <c r="R245" i="165"/>
  <c r="J205" i="167"/>
  <c r="J204" i="167" s="1"/>
  <c r="I205" i="167"/>
  <c r="I204" i="167" s="1"/>
  <c r="H245" i="165"/>
  <c r="H227" i="165"/>
  <c r="J190" i="167"/>
  <c r="J188" i="167"/>
  <c r="J189" i="167"/>
  <c r="J186" i="167"/>
  <c r="H186" i="167"/>
  <c r="J184" i="167"/>
  <c r="J182" i="167"/>
  <c r="J180" i="167"/>
  <c r="J179" i="167"/>
  <c r="J174" i="167"/>
  <c r="J173" i="167"/>
  <c r="J172" i="167"/>
  <c r="J171" i="167"/>
  <c r="O223" i="165"/>
  <c r="J223" i="165" s="1"/>
  <c r="O221" i="165"/>
  <c r="O222" i="165"/>
  <c r="R198" i="165"/>
  <c r="R179" i="165"/>
  <c r="H198" i="165"/>
  <c r="J165" i="167"/>
  <c r="J161" i="167"/>
  <c r="J158" i="167"/>
  <c r="J157" i="167"/>
  <c r="J156" i="167"/>
  <c r="H178" i="165"/>
  <c r="H226" i="165" l="1"/>
  <c r="H197" i="165"/>
  <c r="H244" i="165"/>
  <c r="H251" i="165"/>
  <c r="H177" i="165"/>
  <c r="K261" i="165"/>
  <c r="J221" i="165"/>
  <c r="O220" i="165"/>
  <c r="I188" i="167"/>
  <c r="I190" i="167"/>
  <c r="J152" i="167"/>
  <c r="J168" i="167"/>
  <c r="J167" i="167" s="1"/>
  <c r="M167" i="167" s="1"/>
  <c r="J138" i="167"/>
  <c r="L164" i="165"/>
  <c r="N164" i="165"/>
  <c r="N155" i="165"/>
  <c r="L154" i="165"/>
  <c r="K169" i="165"/>
  <c r="K165" i="165"/>
  <c r="K115" i="166"/>
  <c r="I115" i="166"/>
  <c r="L151" i="165" l="1"/>
  <c r="O219" i="165"/>
  <c r="H243" i="165"/>
  <c r="N154" i="165"/>
  <c r="N163" i="165"/>
  <c r="L163" i="165"/>
  <c r="H225" i="165"/>
  <c r="R165" i="165"/>
  <c r="K163" i="165"/>
  <c r="R169" i="165"/>
  <c r="K166" i="165"/>
  <c r="K155" i="165"/>
  <c r="L157" i="165" l="1"/>
  <c r="N151" i="165"/>
  <c r="N157" i="165"/>
  <c r="K154" i="165"/>
  <c r="O155" i="165"/>
  <c r="K157" i="165"/>
  <c r="R155" i="165"/>
  <c r="J137" i="167"/>
  <c r="P13" i="107"/>
  <c r="P12" i="107" s="1"/>
  <c r="F169" i="165"/>
  <c r="J143" i="167"/>
  <c r="I143" i="167"/>
  <c r="H143" i="167"/>
  <c r="O164" i="165"/>
  <c r="F162" i="165"/>
  <c r="F160" i="165"/>
  <c r="H156" i="165"/>
  <c r="F155" i="165"/>
  <c r="H155" i="165"/>
  <c r="F152" i="165"/>
  <c r="H153" i="165"/>
  <c r="E303" i="165"/>
  <c r="I131" i="165"/>
  <c r="J133" i="167"/>
  <c r="O141" i="165"/>
  <c r="L141" i="165"/>
  <c r="L134" i="165"/>
  <c r="O134" i="165"/>
  <c r="N134" i="165"/>
  <c r="L139" i="165"/>
  <c r="N139" i="165"/>
  <c r="L138" i="165"/>
  <c r="N138" i="165"/>
  <c r="L137" i="165"/>
  <c r="N137" i="165"/>
  <c r="N133" i="165" l="1"/>
  <c r="H152" i="165"/>
  <c r="O133" i="165"/>
  <c r="F158" i="165"/>
  <c r="K151" i="165"/>
  <c r="L133" i="165"/>
  <c r="F161" i="165"/>
  <c r="N150" i="165"/>
  <c r="L140" i="165"/>
  <c r="E57" i="170"/>
  <c r="F166" i="165"/>
  <c r="K150" i="165"/>
  <c r="L150" i="165"/>
  <c r="E302" i="165"/>
  <c r="H154" i="165"/>
  <c r="F157" i="165"/>
  <c r="N135" i="165"/>
  <c r="L135" i="165"/>
  <c r="F154" i="165"/>
  <c r="O148" i="165"/>
  <c r="E148" i="165"/>
  <c r="F142" i="165"/>
  <c r="H141" i="165"/>
  <c r="K109" i="166"/>
  <c r="I109" i="166"/>
  <c r="R139" i="165"/>
  <c r="H140" i="165" l="1"/>
  <c r="F151" i="165"/>
  <c r="H151" i="165"/>
  <c r="L132" i="165"/>
  <c r="E301" i="165"/>
  <c r="E53" i="170"/>
  <c r="N132" i="165"/>
  <c r="F140" i="165"/>
  <c r="F150" i="165"/>
  <c r="E147" i="165"/>
  <c r="J148" i="165"/>
  <c r="O147" i="165"/>
  <c r="H133" i="167"/>
  <c r="H139" i="165"/>
  <c r="J124" i="167"/>
  <c r="H138" i="165"/>
  <c r="F138" i="165"/>
  <c r="J122" i="167"/>
  <c r="J121" i="167" s="1"/>
  <c r="I122" i="167"/>
  <c r="H122" i="167"/>
  <c r="J119" i="167"/>
  <c r="E146" i="165" l="1"/>
  <c r="P148" i="165"/>
  <c r="O146" i="165"/>
  <c r="H150" i="165"/>
  <c r="I133" i="167"/>
  <c r="G133" i="167" s="1"/>
  <c r="J147" i="165"/>
  <c r="K135" i="165"/>
  <c r="O139" i="165"/>
  <c r="H137" i="165"/>
  <c r="F135" i="165"/>
  <c r="H134" i="165"/>
  <c r="G134" i="165"/>
  <c r="F134" i="165"/>
  <c r="G187" i="167"/>
  <c r="G185" i="167"/>
  <c r="G183" i="167"/>
  <c r="G181" i="167"/>
  <c r="G177" i="167"/>
  <c r="G169" i="167"/>
  <c r="G159" i="167"/>
  <c r="G155" i="167"/>
  <c r="G153" i="167"/>
  <c r="J151" i="167"/>
  <c r="K132" i="165" l="1"/>
  <c r="J146" i="165"/>
  <c r="H133" i="165"/>
  <c r="F133" i="165"/>
  <c r="H135" i="165"/>
  <c r="G133" i="165"/>
  <c r="P147" i="165"/>
  <c r="R137" i="165"/>
  <c r="K80" i="166"/>
  <c r="I80" i="166"/>
  <c r="O20" i="165"/>
  <c r="E20" i="165"/>
  <c r="J20" i="165" l="1"/>
  <c r="G132" i="165"/>
  <c r="F132" i="165"/>
  <c r="P146" i="165"/>
  <c r="H132" i="165"/>
  <c r="P20" i="165"/>
  <c r="N107" i="165"/>
  <c r="L107" i="165"/>
  <c r="N118" i="165"/>
  <c r="L118" i="165"/>
  <c r="J107" i="167"/>
  <c r="L117" i="165" l="1"/>
  <c r="L106" i="165"/>
  <c r="N117" i="165"/>
  <c r="N106" i="165"/>
  <c r="J82" i="166"/>
  <c r="I82" i="166"/>
  <c r="J115" i="167"/>
  <c r="J113" i="167"/>
  <c r="J110" i="167"/>
  <c r="H112" i="167"/>
  <c r="H111" i="167"/>
  <c r="J109" i="167"/>
  <c r="I109" i="167"/>
  <c r="H109" i="167"/>
  <c r="J106" i="167"/>
  <c r="J104" i="167"/>
  <c r="H105" i="167"/>
  <c r="J102" i="167"/>
  <c r="J101" i="167"/>
  <c r="J100" i="167"/>
  <c r="J96" i="167"/>
  <c r="J95" i="167"/>
  <c r="J94" i="167"/>
  <c r="J93" i="167"/>
  <c r="J92" i="167"/>
  <c r="N96" i="165" l="1"/>
  <c r="L96" i="165"/>
  <c r="R88" i="165"/>
  <c r="J77" i="166"/>
  <c r="K82" i="166"/>
  <c r="R122" i="165"/>
  <c r="R119" i="165"/>
  <c r="R98" i="165"/>
  <c r="L91" i="165" l="1"/>
  <c r="N91" i="165"/>
  <c r="J98" i="166"/>
  <c r="K118" i="165"/>
  <c r="H118" i="165"/>
  <c r="G118" i="165"/>
  <c r="H108" i="165"/>
  <c r="G108" i="165"/>
  <c r="H106" i="165"/>
  <c r="H93" i="165"/>
  <c r="J84" i="167"/>
  <c r="I84" i="167"/>
  <c r="J69" i="167"/>
  <c r="J67" i="167"/>
  <c r="J63" i="167"/>
  <c r="K79" i="166"/>
  <c r="I79" i="166"/>
  <c r="G117" i="165" l="1"/>
  <c r="H92" i="165"/>
  <c r="H117" i="165"/>
  <c r="G106" i="165"/>
  <c r="J92" i="166"/>
  <c r="J108" i="167"/>
  <c r="K117" i="165"/>
  <c r="R118" i="165"/>
  <c r="F85" i="165"/>
  <c r="H84" i="165"/>
  <c r="G84" i="165"/>
  <c r="F84" i="165"/>
  <c r="H96" i="165" l="1"/>
  <c r="H83" i="165"/>
  <c r="G96" i="165"/>
  <c r="G83" i="165"/>
  <c r="K96" i="165"/>
  <c r="F83" i="165"/>
  <c r="H72" i="165"/>
  <c r="G72" i="165"/>
  <c r="F72" i="165"/>
  <c r="K91" i="165" l="1"/>
  <c r="R91" i="165" s="1"/>
  <c r="G91" i="165"/>
  <c r="F73" i="165"/>
  <c r="F71" i="165"/>
  <c r="G71" i="165"/>
  <c r="H71" i="165"/>
  <c r="G73" i="165"/>
  <c r="H73" i="165"/>
  <c r="H91" i="165"/>
  <c r="F70" i="165"/>
  <c r="K231" i="165"/>
  <c r="K230" i="165" l="1"/>
  <c r="H70" i="165"/>
  <c r="G70" i="165"/>
  <c r="F17" i="165"/>
  <c r="L57" i="165"/>
  <c r="N57" i="165"/>
  <c r="O54" i="165"/>
  <c r="L53" i="165"/>
  <c r="N54" i="165"/>
  <c r="L52" i="165"/>
  <c r="N52" i="165"/>
  <c r="N53" i="165" l="1"/>
  <c r="L56" i="165"/>
  <c r="O53" i="165"/>
  <c r="N56" i="165"/>
  <c r="K225" i="165"/>
  <c r="L46" i="165"/>
  <c r="N46" i="165"/>
  <c r="N44" i="165" l="1"/>
  <c r="L44" i="165"/>
  <c r="I43" i="167"/>
  <c r="H43" i="167"/>
  <c r="J40" i="167"/>
  <c r="I40" i="167"/>
  <c r="H40" i="167"/>
  <c r="J39" i="167" l="1"/>
  <c r="G40" i="167"/>
  <c r="L41" i="165" l="1"/>
  <c r="N41" i="165"/>
  <c r="M39" i="167"/>
  <c r="R41" i="165" l="1"/>
  <c r="J48" i="167"/>
  <c r="O52" i="165"/>
  <c r="H53" i="165"/>
  <c r="H60" i="165"/>
  <c r="H59" i="165" l="1"/>
  <c r="J29" i="167"/>
  <c r="M29" i="167" s="1"/>
  <c r="O38" i="165"/>
  <c r="E38" i="165"/>
  <c r="J23" i="167"/>
  <c r="M23" i="167" s="1"/>
  <c r="J38" i="165" l="1"/>
  <c r="E49" i="170"/>
  <c r="P38" i="165"/>
  <c r="H29" i="167"/>
  <c r="H41" i="165" l="1"/>
  <c r="I29" i="167"/>
  <c r="L29" i="167" s="1"/>
  <c r="K29" i="167"/>
  <c r="G29" i="167" l="1"/>
  <c r="G18" i="167"/>
  <c r="R19" i="165"/>
  <c r="H19" i="165"/>
  <c r="G18" i="165"/>
  <c r="H18" i="165" l="1"/>
  <c r="G17" i="165"/>
  <c r="M17" i="167"/>
  <c r="H220" i="165"/>
  <c r="G220" i="165"/>
  <c r="H219" i="165" l="1"/>
  <c r="G219" i="165"/>
  <c r="H17" i="165"/>
  <c r="O129" i="165"/>
  <c r="E129" i="165"/>
  <c r="O122" i="165"/>
  <c r="E122" i="165"/>
  <c r="O119" i="165"/>
  <c r="E119" i="165"/>
  <c r="O118" i="165"/>
  <c r="O116" i="165"/>
  <c r="E116" i="165"/>
  <c r="O114" i="165"/>
  <c r="F114" i="165"/>
  <c r="O112" i="165"/>
  <c r="E112" i="165"/>
  <c r="O111" i="165"/>
  <c r="E111" i="165"/>
  <c r="O109" i="165"/>
  <c r="E109" i="165"/>
  <c r="O108" i="165"/>
  <c r="E108" i="165"/>
  <c r="O107" i="165"/>
  <c r="E107" i="165"/>
  <c r="O105" i="165"/>
  <c r="E105" i="165"/>
  <c r="O103" i="165"/>
  <c r="E103" i="165"/>
  <c r="O102" i="165"/>
  <c r="E102" i="165"/>
  <c r="O101" i="165"/>
  <c r="E101" i="165"/>
  <c r="O100" i="165"/>
  <c r="E100" i="165"/>
  <c r="O99" i="165"/>
  <c r="E99" i="165"/>
  <c r="O98" i="165"/>
  <c r="F98" i="165"/>
  <c r="O93" i="165"/>
  <c r="E93" i="165"/>
  <c r="J109" i="165" l="1"/>
  <c r="J112" i="165"/>
  <c r="J99" i="165"/>
  <c r="H94" i="167"/>
  <c r="H96" i="167"/>
  <c r="H99" i="167"/>
  <c r="H101" i="167"/>
  <c r="H103" i="167"/>
  <c r="H196" i="165"/>
  <c r="J102" i="165"/>
  <c r="J108" i="165"/>
  <c r="J111" i="165"/>
  <c r="H110" i="167"/>
  <c r="O92" i="165"/>
  <c r="J101" i="165"/>
  <c r="J103" i="165"/>
  <c r="J100" i="165"/>
  <c r="J105" i="165"/>
  <c r="E92" i="165"/>
  <c r="H95" i="167"/>
  <c r="H97" i="167"/>
  <c r="H102" i="167"/>
  <c r="H104" i="167"/>
  <c r="J119" i="165"/>
  <c r="G196" i="165"/>
  <c r="E98" i="165"/>
  <c r="F97" i="165"/>
  <c r="E114" i="165"/>
  <c r="F113" i="165"/>
  <c r="E118" i="165"/>
  <c r="F117" i="165"/>
  <c r="J93" i="165"/>
  <c r="H115" i="167"/>
  <c r="E128" i="165"/>
  <c r="J129" i="165"/>
  <c r="O128" i="165"/>
  <c r="H113" i="167"/>
  <c r="E121" i="165"/>
  <c r="J122" i="165"/>
  <c r="O121" i="165"/>
  <c r="J118" i="165"/>
  <c r="O117" i="165"/>
  <c r="H107" i="167"/>
  <c r="E115" i="165"/>
  <c r="J116" i="165"/>
  <c r="O115" i="165"/>
  <c r="J114" i="165"/>
  <c r="O113" i="165"/>
  <c r="H100" i="167"/>
  <c r="E106" i="165"/>
  <c r="J107" i="165"/>
  <c r="O106" i="165"/>
  <c r="J98" i="165"/>
  <c r="O97" i="165"/>
  <c r="H93" i="167"/>
  <c r="P102" i="165"/>
  <c r="P109" i="165"/>
  <c r="P116" i="165"/>
  <c r="P99" i="165"/>
  <c r="P100" i="165"/>
  <c r="P101" i="165"/>
  <c r="P112" i="165"/>
  <c r="P108" i="165"/>
  <c r="P111" i="165" l="1"/>
  <c r="P103" i="165"/>
  <c r="H108" i="167"/>
  <c r="P105" i="165"/>
  <c r="P119" i="165"/>
  <c r="P107" i="165"/>
  <c r="O120" i="165"/>
  <c r="O127" i="165"/>
  <c r="J92" i="165"/>
  <c r="E113" i="165"/>
  <c r="I94" i="167"/>
  <c r="I95" i="167"/>
  <c r="I101" i="167"/>
  <c r="I93" i="167"/>
  <c r="I104" i="167"/>
  <c r="P122" i="165"/>
  <c r="P129" i="165"/>
  <c r="P115" i="165"/>
  <c r="P98" i="165"/>
  <c r="E120" i="165"/>
  <c r="E127" i="165"/>
  <c r="E117" i="165"/>
  <c r="H92" i="167"/>
  <c r="I110" i="167"/>
  <c r="I99" i="167"/>
  <c r="I97" i="167"/>
  <c r="I103" i="167"/>
  <c r="I96" i="167"/>
  <c r="I102" i="167"/>
  <c r="O96" i="165"/>
  <c r="P128" i="165"/>
  <c r="F96" i="165"/>
  <c r="P114" i="165"/>
  <c r="H106" i="167"/>
  <c r="P93" i="165"/>
  <c r="P118" i="165"/>
  <c r="E97" i="165"/>
  <c r="I115" i="167"/>
  <c r="J128" i="165"/>
  <c r="I113" i="167"/>
  <c r="J121" i="165"/>
  <c r="P97" i="165"/>
  <c r="I108" i="167"/>
  <c r="J117" i="165"/>
  <c r="I107" i="167"/>
  <c r="J115" i="165"/>
  <c r="I106" i="167"/>
  <c r="J113" i="165"/>
  <c r="I100" i="167"/>
  <c r="J106" i="165"/>
  <c r="I92" i="167"/>
  <c r="J97" i="165"/>
  <c r="G210" i="167"/>
  <c r="J125" i="166"/>
  <c r="O291" i="165"/>
  <c r="E291" i="165"/>
  <c r="J289" i="165"/>
  <c r="E289" i="165"/>
  <c r="O286" i="165"/>
  <c r="E286" i="165"/>
  <c r="O281" i="165"/>
  <c r="E281" i="165"/>
  <c r="J280" i="165"/>
  <c r="E280" i="165"/>
  <c r="J279" i="165"/>
  <c r="E279" i="165"/>
  <c r="O274" i="165"/>
  <c r="E274" i="165"/>
  <c r="O259" i="165"/>
  <c r="E259" i="165"/>
  <c r="O255" i="165"/>
  <c r="F255" i="165"/>
  <c r="O253" i="165"/>
  <c r="E253" i="165"/>
  <c r="O245" i="165"/>
  <c r="E245" i="165"/>
  <c r="E223" i="165"/>
  <c r="J222" i="165"/>
  <c r="E222" i="165"/>
  <c r="E221" i="165"/>
  <c r="O215" i="165"/>
  <c r="E215" i="165"/>
  <c r="O214" i="165"/>
  <c r="E214" i="165"/>
  <c r="E212" i="165"/>
  <c r="O209" i="165"/>
  <c r="E209" i="165"/>
  <c r="O206" i="165"/>
  <c r="E206" i="165"/>
  <c r="O205" i="165"/>
  <c r="E205" i="165"/>
  <c r="O204" i="165"/>
  <c r="E204" i="165"/>
  <c r="O203" i="165"/>
  <c r="E203" i="165"/>
  <c r="O200" i="165"/>
  <c r="E200" i="165"/>
  <c r="O198" i="165"/>
  <c r="E198" i="165"/>
  <c r="M195" i="165"/>
  <c r="L195" i="165"/>
  <c r="K195" i="165"/>
  <c r="I195" i="165"/>
  <c r="H195" i="165"/>
  <c r="G195" i="165"/>
  <c r="F195" i="165"/>
  <c r="N195" i="165"/>
  <c r="O193" i="165"/>
  <c r="E193" i="165"/>
  <c r="O190" i="165"/>
  <c r="E190" i="165"/>
  <c r="O187" i="165"/>
  <c r="E187" i="165"/>
  <c r="O185" i="165"/>
  <c r="E185" i="165"/>
  <c r="O184" i="165"/>
  <c r="E184" i="165"/>
  <c r="O183" i="165"/>
  <c r="E183" i="165"/>
  <c r="O179" i="165"/>
  <c r="E179" i="165"/>
  <c r="M176" i="165"/>
  <c r="L176" i="165"/>
  <c r="K176" i="165"/>
  <c r="M151" i="167" s="1"/>
  <c r="H176" i="165"/>
  <c r="F176" i="165"/>
  <c r="N176" i="165"/>
  <c r="I176" i="165"/>
  <c r="G176" i="165"/>
  <c r="P106" i="165" l="1"/>
  <c r="E126" i="165"/>
  <c r="J185" i="165"/>
  <c r="E178" i="165"/>
  <c r="H157" i="167"/>
  <c r="H161" i="167"/>
  <c r="H171" i="167"/>
  <c r="H173" i="167"/>
  <c r="H176" i="167"/>
  <c r="J215" i="165"/>
  <c r="Q279" i="165"/>
  <c r="J127" i="165"/>
  <c r="P92" i="165"/>
  <c r="P127" i="165"/>
  <c r="P121" i="165"/>
  <c r="O178" i="165"/>
  <c r="J184" i="165"/>
  <c r="J187" i="165"/>
  <c r="J200" i="165"/>
  <c r="J204" i="165"/>
  <c r="J206" i="165"/>
  <c r="E244" i="165"/>
  <c r="E255" i="165"/>
  <c r="E273" i="165"/>
  <c r="H229" i="167"/>
  <c r="J282" i="165"/>
  <c r="P282" i="165" s="1"/>
  <c r="J120" i="165"/>
  <c r="O123" i="165"/>
  <c r="H174" i="167"/>
  <c r="O244" i="165"/>
  <c r="J255" i="165"/>
  <c r="O273" i="165"/>
  <c r="E285" i="165"/>
  <c r="P113" i="165"/>
  <c r="H114" i="167"/>
  <c r="G114" i="167" s="1"/>
  <c r="H158" i="167"/>
  <c r="J205" i="165"/>
  <c r="H184" i="167"/>
  <c r="H230" i="167"/>
  <c r="P117" i="165"/>
  <c r="F91" i="165"/>
  <c r="F304" i="165" s="1"/>
  <c r="F321" i="165" s="1"/>
  <c r="E252" i="165"/>
  <c r="E125" i="165"/>
  <c r="P126" i="165"/>
  <c r="J96" i="165"/>
  <c r="I229" i="167"/>
  <c r="Q280" i="165"/>
  <c r="E96" i="165"/>
  <c r="R177" i="165"/>
  <c r="E197" i="165"/>
  <c r="J217" i="165"/>
  <c r="O216" i="165"/>
  <c r="J253" i="165"/>
  <c r="O252" i="165"/>
  <c r="J259" i="165"/>
  <c r="O258" i="165"/>
  <c r="J281" i="165"/>
  <c r="O277" i="165"/>
  <c r="H235" i="167"/>
  <c r="E288" i="165"/>
  <c r="J209" i="165"/>
  <c r="O208" i="165"/>
  <c r="I235" i="167"/>
  <c r="J288" i="165"/>
  <c r="H236" i="167"/>
  <c r="E290" i="165"/>
  <c r="J193" i="165"/>
  <c r="O192" i="165"/>
  <c r="J212" i="165"/>
  <c r="I189" i="167"/>
  <c r="J220" i="165"/>
  <c r="H212" i="167"/>
  <c r="H209" i="167" s="1"/>
  <c r="E258" i="165"/>
  <c r="J286" i="165"/>
  <c r="O285" i="165"/>
  <c r="J291" i="165"/>
  <c r="O290" i="165"/>
  <c r="I228" i="167"/>
  <c r="J278" i="165"/>
  <c r="H228" i="167"/>
  <c r="E278" i="165"/>
  <c r="H189" i="167"/>
  <c r="G189" i="167" s="1"/>
  <c r="E220" i="165"/>
  <c r="H182" i="167"/>
  <c r="E213" i="165"/>
  <c r="J214" i="165"/>
  <c r="H180" i="167"/>
  <c r="H179" i="167"/>
  <c r="E208" i="165"/>
  <c r="O197" i="165"/>
  <c r="J203" i="165"/>
  <c r="O202" i="165"/>
  <c r="H172" i="167"/>
  <c r="E202" i="165"/>
  <c r="J190" i="165"/>
  <c r="H165" i="167"/>
  <c r="E192" i="165"/>
  <c r="H162" i="167"/>
  <c r="J183" i="165"/>
  <c r="O182" i="165"/>
  <c r="H156" i="167"/>
  <c r="E182" i="165"/>
  <c r="J245" i="165"/>
  <c r="J274" i="165"/>
  <c r="J179" i="165"/>
  <c r="H190" i="167"/>
  <c r="G190" i="167" s="1"/>
  <c r="P223" i="165"/>
  <c r="J198" i="165"/>
  <c r="H188" i="167"/>
  <c r="G188" i="167" s="1"/>
  <c r="P221" i="165"/>
  <c r="P279" i="165"/>
  <c r="P185" i="165"/>
  <c r="P222" i="165"/>
  <c r="P280" i="165"/>
  <c r="P200" i="165"/>
  <c r="P204" i="165"/>
  <c r="P205" i="165"/>
  <c r="P289" i="165"/>
  <c r="P215" i="165" l="1"/>
  <c r="P187" i="165"/>
  <c r="P206" i="165"/>
  <c r="P184" i="165"/>
  <c r="P96" i="165"/>
  <c r="I231" i="167"/>
  <c r="P255" i="165"/>
  <c r="H225" i="167"/>
  <c r="G229" i="167"/>
  <c r="O181" i="165"/>
  <c r="O201" i="165"/>
  <c r="P209" i="165"/>
  <c r="J252" i="165"/>
  <c r="O243" i="165"/>
  <c r="P288" i="165"/>
  <c r="J244" i="165"/>
  <c r="P183" i="165"/>
  <c r="P203" i="165"/>
  <c r="E219" i="165"/>
  <c r="J219" i="165"/>
  <c r="O189" i="165"/>
  <c r="O257" i="165"/>
  <c r="I176" i="167"/>
  <c r="G176" i="167" s="1"/>
  <c r="I171" i="167"/>
  <c r="G171" i="167" s="1"/>
  <c r="I157" i="167"/>
  <c r="G157" i="167" s="1"/>
  <c r="P120" i="165"/>
  <c r="E201" i="165"/>
  <c r="P214" i="165"/>
  <c r="J285" i="165"/>
  <c r="J192" i="165"/>
  <c r="P125" i="165"/>
  <c r="I174" i="167"/>
  <c r="G174" i="167" s="1"/>
  <c r="O91" i="165"/>
  <c r="E277" i="165"/>
  <c r="O287" i="165"/>
  <c r="E257" i="165"/>
  <c r="O276" i="165"/>
  <c r="E124" i="165"/>
  <c r="H87" i="167"/>
  <c r="E243" i="165"/>
  <c r="I173" i="167"/>
  <c r="G173" i="167" s="1"/>
  <c r="I161" i="167"/>
  <c r="G161" i="167" s="1"/>
  <c r="J123" i="165"/>
  <c r="I184" i="167"/>
  <c r="G184" i="167" s="1"/>
  <c r="I158" i="167"/>
  <c r="G158" i="167" s="1"/>
  <c r="I180" i="167"/>
  <c r="G180" i="167" s="1"/>
  <c r="O213" i="165"/>
  <c r="J216" i="165"/>
  <c r="P190" i="165"/>
  <c r="J189" i="165"/>
  <c r="E189" i="165"/>
  <c r="H233" i="167"/>
  <c r="I230" i="167"/>
  <c r="G230" i="167" s="1"/>
  <c r="Q281" i="165"/>
  <c r="I186" i="167"/>
  <c r="G186" i="167" s="1"/>
  <c r="P286" i="165"/>
  <c r="I165" i="167"/>
  <c r="G165" i="167" s="1"/>
  <c r="G235" i="167"/>
  <c r="P193" i="165"/>
  <c r="P253" i="165"/>
  <c r="P212" i="165"/>
  <c r="G228" i="167"/>
  <c r="P245" i="165"/>
  <c r="I236" i="167"/>
  <c r="G236" i="167" s="1"/>
  <c r="J290" i="165"/>
  <c r="I212" i="167"/>
  <c r="G212" i="167" s="1"/>
  <c r="J258" i="165"/>
  <c r="P259" i="165"/>
  <c r="J213" i="165"/>
  <c r="J277" i="165"/>
  <c r="I179" i="167"/>
  <c r="G179" i="167" s="1"/>
  <c r="J208" i="165"/>
  <c r="P291" i="165"/>
  <c r="P281" i="165"/>
  <c r="P217" i="165"/>
  <c r="E287" i="165"/>
  <c r="P278" i="165"/>
  <c r="P274" i="165"/>
  <c r="J273" i="165"/>
  <c r="P220" i="165"/>
  <c r="E207" i="165"/>
  <c r="I182" i="167"/>
  <c r="G182" i="167" s="1"/>
  <c r="P202" i="165"/>
  <c r="H152" i="167"/>
  <c r="H151" i="167" s="1"/>
  <c r="I172" i="167"/>
  <c r="G172" i="167" s="1"/>
  <c r="J202" i="165"/>
  <c r="P198" i="165"/>
  <c r="J197" i="165"/>
  <c r="I162" i="167"/>
  <c r="G162" i="167" s="1"/>
  <c r="E181" i="165"/>
  <c r="I156" i="167"/>
  <c r="J182" i="165"/>
  <c r="P179" i="165"/>
  <c r="J178" i="165"/>
  <c r="G231" i="167"/>
  <c r="H168" i="167"/>
  <c r="H167" i="167" s="1"/>
  <c r="O207" i="165" l="1"/>
  <c r="P182" i="165"/>
  <c r="O188" i="165"/>
  <c r="J188" i="165"/>
  <c r="I225" i="167"/>
  <c r="O284" i="165"/>
  <c r="E196" i="165"/>
  <c r="E195" i="165" s="1"/>
  <c r="P181" i="165"/>
  <c r="J276" i="165"/>
  <c r="O256" i="165"/>
  <c r="P219" i="165"/>
  <c r="P290" i="165"/>
  <c r="J287" i="165"/>
  <c r="E256" i="165"/>
  <c r="E276" i="165"/>
  <c r="P178" i="165"/>
  <c r="P197" i="165"/>
  <c r="P201" i="165"/>
  <c r="E284" i="165"/>
  <c r="J181" i="165"/>
  <c r="J201" i="165"/>
  <c r="P258" i="165"/>
  <c r="P285" i="165"/>
  <c r="E188" i="165"/>
  <c r="P273" i="165"/>
  <c r="J257" i="165"/>
  <c r="P244" i="165"/>
  <c r="P192" i="165"/>
  <c r="E123" i="165"/>
  <c r="O272" i="165"/>
  <c r="J272" i="165" s="1"/>
  <c r="P124" i="165"/>
  <c r="P208" i="165"/>
  <c r="P252" i="165"/>
  <c r="O196" i="165"/>
  <c r="J196" i="165" s="1"/>
  <c r="J195" i="165" s="1"/>
  <c r="P216" i="165"/>
  <c r="I233" i="167"/>
  <c r="G233" i="167"/>
  <c r="R196" i="165"/>
  <c r="G225" i="167"/>
  <c r="P277" i="165"/>
  <c r="J207" i="165"/>
  <c r="K167" i="167"/>
  <c r="G168" i="167"/>
  <c r="I168" i="167"/>
  <c r="I167" i="167" s="1"/>
  <c r="G167" i="167" s="1"/>
  <c r="I152" i="167"/>
  <c r="I151" i="167" s="1"/>
  <c r="G156" i="167"/>
  <c r="G152" i="167" s="1"/>
  <c r="G151" i="167" s="1"/>
  <c r="J139" i="166"/>
  <c r="J216" i="166"/>
  <c r="K215" i="166"/>
  <c r="I215" i="166"/>
  <c r="H211" i="166"/>
  <c r="K208" i="166"/>
  <c r="I208" i="166"/>
  <c r="H207" i="166"/>
  <c r="O241" i="165"/>
  <c r="E241" i="165"/>
  <c r="O240" i="165"/>
  <c r="E240" i="165"/>
  <c r="O239" i="165"/>
  <c r="E239" i="165"/>
  <c r="O238" i="165"/>
  <c r="E238" i="165"/>
  <c r="E237" i="165"/>
  <c r="O232" i="165"/>
  <c r="E232" i="165"/>
  <c r="O227" i="165"/>
  <c r="E227" i="165"/>
  <c r="N224" i="165"/>
  <c r="M224" i="165"/>
  <c r="I224" i="165"/>
  <c r="H224" i="165"/>
  <c r="G224" i="165"/>
  <c r="F224" i="165"/>
  <c r="E177" i="165" l="1"/>
  <c r="E176" i="165" s="1"/>
  <c r="K151" i="167" s="1"/>
  <c r="O177" i="165"/>
  <c r="P189" i="165"/>
  <c r="E226" i="165"/>
  <c r="J239" i="165"/>
  <c r="J241" i="165"/>
  <c r="O195" i="165"/>
  <c r="P123" i="165"/>
  <c r="E91" i="165"/>
  <c r="E272" i="165"/>
  <c r="P287" i="165"/>
  <c r="H200" i="167"/>
  <c r="P257" i="165"/>
  <c r="O226" i="165"/>
  <c r="E231" i="165"/>
  <c r="J238" i="165"/>
  <c r="J240" i="165"/>
  <c r="P276" i="165"/>
  <c r="J256" i="165"/>
  <c r="E251" i="165"/>
  <c r="O251" i="165"/>
  <c r="P196" i="165"/>
  <c r="Q196" i="165" s="1"/>
  <c r="P213" i="165"/>
  <c r="J206" i="166"/>
  <c r="J205" i="166" s="1"/>
  <c r="I211" i="166"/>
  <c r="K211" i="166"/>
  <c r="K216" i="166"/>
  <c r="I207" i="166"/>
  <c r="K207" i="166"/>
  <c r="J232" i="165"/>
  <c r="O231" i="165"/>
  <c r="J227" i="165"/>
  <c r="E236" i="165"/>
  <c r="L167" i="167"/>
  <c r="L224" i="165"/>
  <c r="O237" i="165"/>
  <c r="K224" i="165"/>
  <c r="P239" i="165"/>
  <c r="P238" i="165"/>
  <c r="P240" i="165"/>
  <c r="O176" i="165" l="1"/>
  <c r="J177" i="165"/>
  <c r="P188" i="165"/>
  <c r="P241" i="165"/>
  <c r="J226" i="165"/>
  <c r="O230" i="165"/>
  <c r="I200" i="167"/>
  <c r="E230" i="165"/>
  <c r="P256" i="165"/>
  <c r="J231" i="165"/>
  <c r="E233" i="165"/>
  <c r="E234" i="165"/>
  <c r="P195" i="165"/>
  <c r="P207" i="165"/>
  <c r="P232" i="165"/>
  <c r="P227" i="165"/>
  <c r="O236" i="165"/>
  <c r="J237" i="165"/>
  <c r="R225" i="165"/>
  <c r="J176" i="165" l="1"/>
  <c r="L151" i="167" s="1"/>
  <c r="P177" i="165"/>
  <c r="P226" i="165"/>
  <c r="P231" i="165"/>
  <c r="E225" i="165"/>
  <c r="E224" i="165" s="1"/>
  <c r="J230" i="165"/>
  <c r="O234" i="165"/>
  <c r="P237" i="165"/>
  <c r="J236" i="165"/>
  <c r="Q177" i="165" l="1"/>
  <c r="P176" i="165"/>
  <c r="P236" i="165"/>
  <c r="O233" i="165"/>
  <c r="P230" i="165"/>
  <c r="J234" i="165"/>
  <c r="P234" i="165" l="1"/>
  <c r="O225" i="165"/>
  <c r="P233" i="165"/>
  <c r="J233" i="165"/>
  <c r="J150" i="167"/>
  <c r="H150" i="167"/>
  <c r="O224" i="165" l="1"/>
  <c r="J225" i="165"/>
  <c r="L205" i="166"/>
  <c r="P225" i="165" l="1"/>
  <c r="J224" i="165"/>
  <c r="G220" i="167"/>
  <c r="G219" i="167"/>
  <c r="M218" i="167"/>
  <c r="G217" i="167"/>
  <c r="M216" i="167"/>
  <c r="G216" i="167"/>
  <c r="J203" i="167"/>
  <c r="M203" i="167" s="1"/>
  <c r="J148" i="167"/>
  <c r="J147" i="167"/>
  <c r="J146" i="167"/>
  <c r="J145" i="167"/>
  <c r="J144" i="167"/>
  <c r="J141" i="167"/>
  <c r="J140" i="167"/>
  <c r="J139" i="167"/>
  <c r="J136" i="167"/>
  <c r="G131" i="167"/>
  <c r="G130" i="167"/>
  <c r="J129" i="167"/>
  <c r="G128" i="167"/>
  <c r="J127" i="167"/>
  <c r="J125" i="167"/>
  <c r="G126" i="167"/>
  <c r="J120" i="167"/>
  <c r="G112" i="167"/>
  <c r="G111" i="167"/>
  <c r="G109" i="167"/>
  <c r="G105" i="167"/>
  <c r="J85" i="167"/>
  <c r="H85" i="167"/>
  <c r="G84" i="167"/>
  <c r="J80" i="167"/>
  <c r="J78" i="167"/>
  <c r="J76" i="167"/>
  <c r="J74" i="167"/>
  <c r="G73" i="167"/>
  <c r="J71" i="167"/>
  <c r="J65" i="167"/>
  <c r="J60" i="167"/>
  <c r="J38" i="167" s="1"/>
  <c r="G45" i="167"/>
  <c r="G42" i="167"/>
  <c r="G30" i="167"/>
  <c r="J28" i="167"/>
  <c r="M28" i="167" s="1"/>
  <c r="J27" i="167"/>
  <c r="M27" i="167" s="1"/>
  <c r="J24" i="167"/>
  <c r="M24" i="167" s="1"/>
  <c r="G20" i="167"/>
  <c r="J242" i="166"/>
  <c r="J233" i="166"/>
  <c r="J227" i="166"/>
  <c r="K85" i="166"/>
  <c r="E306" i="165"/>
  <c r="O303" i="165"/>
  <c r="O300" i="165"/>
  <c r="O295" i="165"/>
  <c r="G292" i="165"/>
  <c r="E295" i="165"/>
  <c r="N292" i="165"/>
  <c r="M292" i="165"/>
  <c r="L292" i="165"/>
  <c r="K292" i="165"/>
  <c r="I292" i="165"/>
  <c r="H292" i="165"/>
  <c r="G283" i="165"/>
  <c r="N283" i="165"/>
  <c r="M283" i="165"/>
  <c r="L283" i="165"/>
  <c r="K283" i="165"/>
  <c r="I283" i="165"/>
  <c r="F283" i="165"/>
  <c r="N271" i="165"/>
  <c r="M271" i="165"/>
  <c r="I271" i="165"/>
  <c r="H271" i="165"/>
  <c r="G271" i="165"/>
  <c r="O267" i="165"/>
  <c r="O265" i="165"/>
  <c r="O264" i="165"/>
  <c r="E264" i="165"/>
  <c r="N260" i="165"/>
  <c r="M260" i="165"/>
  <c r="I260" i="165"/>
  <c r="H260" i="165"/>
  <c r="G260" i="165"/>
  <c r="L260" i="165"/>
  <c r="G250" i="165"/>
  <c r="N250" i="165"/>
  <c r="M250" i="165"/>
  <c r="I250" i="165"/>
  <c r="H250" i="165"/>
  <c r="N242" i="165"/>
  <c r="M242" i="165"/>
  <c r="L242" i="165"/>
  <c r="K242" i="165"/>
  <c r="I242" i="165"/>
  <c r="F242" i="165"/>
  <c r="O172" i="165"/>
  <c r="O169" i="165"/>
  <c r="E169" i="165"/>
  <c r="O168" i="165"/>
  <c r="E168" i="165"/>
  <c r="O167" i="165"/>
  <c r="O165" i="165"/>
  <c r="J164" i="165"/>
  <c r="E164" i="165"/>
  <c r="O162" i="165"/>
  <c r="E162" i="165"/>
  <c r="O160" i="165"/>
  <c r="O159" i="165"/>
  <c r="E159" i="165"/>
  <c r="E156" i="165"/>
  <c r="E155" i="165"/>
  <c r="O153" i="165"/>
  <c r="N149" i="165"/>
  <c r="M149" i="165"/>
  <c r="L149" i="165"/>
  <c r="I149" i="165"/>
  <c r="O142" i="165"/>
  <c r="E142" i="165"/>
  <c r="E141" i="165"/>
  <c r="E139" i="165"/>
  <c r="O138" i="165"/>
  <c r="E138" i="165"/>
  <c r="O137" i="165"/>
  <c r="E137" i="165"/>
  <c r="O136" i="165"/>
  <c r="H131" i="165"/>
  <c r="E134" i="165"/>
  <c r="N131" i="165"/>
  <c r="M131" i="165"/>
  <c r="L131" i="165"/>
  <c r="G131" i="165"/>
  <c r="M90" i="165"/>
  <c r="L90" i="165"/>
  <c r="I90" i="165"/>
  <c r="I85" i="167"/>
  <c r="E88" i="165"/>
  <c r="O85" i="165"/>
  <c r="O84" i="165"/>
  <c r="E84" i="165"/>
  <c r="O82" i="165"/>
  <c r="O80" i="165"/>
  <c r="E78" i="165"/>
  <c r="O77" i="165"/>
  <c r="E77" i="165"/>
  <c r="O76" i="165"/>
  <c r="J75" i="165"/>
  <c r="E75" i="165"/>
  <c r="E74" i="165"/>
  <c r="O72" i="165"/>
  <c r="N69" i="165"/>
  <c r="M69" i="165"/>
  <c r="L69" i="165"/>
  <c r="I69" i="165"/>
  <c r="O68" i="165"/>
  <c r="O67" i="165" s="1"/>
  <c r="E68" i="165"/>
  <c r="E67" i="165" s="1"/>
  <c r="O60" i="165"/>
  <c r="O58" i="165"/>
  <c r="O57" i="165"/>
  <c r="E57" i="165"/>
  <c r="E54" i="165"/>
  <c r="E52" i="165"/>
  <c r="O46" i="165"/>
  <c r="E46" i="165"/>
  <c r="E45" i="165"/>
  <c r="E43" i="165"/>
  <c r="M40" i="165"/>
  <c r="I40" i="165"/>
  <c r="O37" i="165"/>
  <c r="O34" i="165"/>
  <c r="E29" i="165"/>
  <c r="O27" i="165"/>
  <c r="E27" i="165"/>
  <c r="O22" i="165"/>
  <c r="E19" i="165"/>
  <c r="G16" i="165"/>
  <c r="O33" i="165" l="1"/>
  <c r="O36" i="165"/>
  <c r="O59" i="165"/>
  <c r="H63" i="167"/>
  <c r="H69" i="167"/>
  <c r="O81" i="165"/>
  <c r="E87" i="165"/>
  <c r="H121" i="167"/>
  <c r="O152" i="165"/>
  <c r="O171" i="165"/>
  <c r="E294" i="165"/>
  <c r="O302" i="165"/>
  <c r="O26" i="165"/>
  <c r="H51" i="167"/>
  <c r="O266" i="165"/>
  <c r="Q225" i="165"/>
  <c r="P224" i="165"/>
  <c r="E28" i="165"/>
  <c r="O44" i="165"/>
  <c r="P78" i="165"/>
  <c r="H124" i="167"/>
  <c r="H138" i="167"/>
  <c r="E161" i="165"/>
  <c r="O163" i="165"/>
  <c r="O294" i="165"/>
  <c r="H39" i="167"/>
  <c r="K39" i="167" s="1"/>
  <c r="O71" i="165"/>
  <c r="O79" i="165"/>
  <c r="O140" i="165"/>
  <c r="O161" i="165"/>
  <c r="O299" i="165"/>
  <c r="H41" i="167"/>
  <c r="K41" i="167" s="1"/>
  <c r="H48" i="167"/>
  <c r="P29" i="165"/>
  <c r="O56" i="165"/>
  <c r="J232" i="166"/>
  <c r="E140" i="165"/>
  <c r="O263" i="165"/>
  <c r="H119" i="167"/>
  <c r="E133" i="165"/>
  <c r="O166" i="165"/>
  <c r="O158" i="165"/>
  <c r="H137" i="167"/>
  <c r="E154" i="165"/>
  <c r="O83" i="165"/>
  <c r="E53" i="165"/>
  <c r="H49" i="167"/>
  <c r="H44" i="167"/>
  <c r="K44" i="167" s="1"/>
  <c r="H24" i="167"/>
  <c r="K24" i="167" s="1"/>
  <c r="E26" i="165"/>
  <c r="H23" i="167"/>
  <c r="K23" i="167" s="1"/>
  <c r="E44" i="165"/>
  <c r="J118" i="167"/>
  <c r="N16" i="165"/>
  <c r="I16" i="165"/>
  <c r="I304" i="165"/>
  <c r="I316" i="165" s="1"/>
  <c r="M16" i="165"/>
  <c r="M304" i="165"/>
  <c r="K271" i="165"/>
  <c r="R272" i="165"/>
  <c r="K250" i="165"/>
  <c r="R251" i="165"/>
  <c r="R243" i="165"/>
  <c r="F260" i="165"/>
  <c r="G218" i="167"/>
  <c r="G215" i="167" s="1"/>
  <c r="H214" i="167"/>
  <c r="J82" i="165"/>
  <c r="E85" i="165"/>
  <c r="I214" i="167"/>
  <c r="K131" i="165"/>
  <c r="E153" i="165"/>
  <c r="J153" i="165"/>
  <c r="J113" i="166"/>
  <c r="J34" i="165"/>
  <c r="J57" i="165"/>
  <c r="J168" i="165"/>
  <c r="L40" i="165"/>
  <c r="E76" i="165"/>
  <c r="J300" i="165"/>
  <c r="J209" i="167"/>
  <c r="J224" i="167"/>
  <c r="M224" i="167" s="1"/>
  <c r="J162" i="165"/>
  <c r="J265" i="165"/>
  <c r="O271" i="165"/>
  <c r="J139" i="165"/>
  <c r="J138" i="165"/>
  <c r="J155" i="165"/>
  <c r="H283" i="165"/>
  <c r="E22" i="165"/>
  <c r="E25" i="165"/>
  <c r="J27" i="165"/>
  <c r="J37" i="165"/>
  <c r="J46" i="165"/>
  <c r="J54" i="165"/>
  <c r="J58" i="165"/>
  <c r="G69" i="165"/>
  <c r="I65" i="167"/>
  <c r="E80" i="165"/>
  <c r="N90" i="165"/>
  <c r="J136" i="165"/>
  <c r="H125" i="167"/>
  <c r="H127" i="167"/>
  <c r="J160" i="165"/>
  <c r="H146" i="167"/>
  <c r="J169" i="165"/>
  <c r="H198" i="167"/>
  <c r="H199" i="167"/>
  <c r="E242" i="165"/>
  <c r="H203" i="167"/>
  <c r="K203" i="167" s="1"/>
  <c r="E265" i="165"/>
  <c r="J267" i="165"/>
  <c r="J295" i="165"/>
  <c r="J303" i="165"/>
  <c r="E37" i="165"/>
  <c r="J137" i="165"/>
  <c r="J142" i="165"/>
  <c r="H195" i="167"/>
  <c r="J264" i="165"/>
  <c r="N40" i="165"/>
  <c r="J77" i="165"/>
  <c r="J80" i="165"/>
  <c r="H78" i="167"/>
  <c r="J85" i="165"/>
  <c r="J141" i="165"/>
  <c r="E167" i="165"/>
  <c r="E172" i="165"/>
  <c r="G242" i="165"/>
  <c r="L271" i="165"/>
  <c r="O19" i="165"/>
  <c r="E58" i="165"/>
  <c r="J68" i="165"/>
  <c r="J67" i="165" s="1"/>
  <c r="J76" i="165"/>
  <c r="E136" i="165"/>
  <c r="E160" i="165"/>
  <c r="J165" i="165"/>
  <c r="H147" i="167"/>
  <c r="H202" i="167"/>
  <c r="J22" i="167"/>
  <c r="J16" i="167" s="1"/>
  <c r="J60" i="165"/>
  <c r="F69" i="165"/>
  <c r="H69" i="165"/>
  <c r="J22" i="165"/>
  <c r="E60" i="165"/>
  <c r="H60" i="167"/>
  <c r="E72" i="165"/>
  <c r="J72" i="165"/>
  <c r="H71" i="167"/>
  <c r="E82" i="165"/>
  <c r="J84" i="165"/>
  <c r="G90" i="165"/>
  <c r="G149" i="165"/>
  <c r="H149" i="165"/>
  <c r="J159" i="165"/>
  <c r="H141" i="167"/>
  <c r="I142" i="167"/>
  <c r="J167" i="165"/>
  <c r="J172" i="165"/>
  <c r="H197" i="167"/>
  <c r="H242" i="165"/>
  <c r="E283" i="165"/>
  <c r="G85" i="167"/>
  <c r="K216" i="167"/>
  <c r="G43" i="167"/>
  <c r="G122" i="167"/>
  <c r="G143" i="167"/>
  <c r="J232" i="167"/>
  <c r="M232" i="167" s="1"/>
  <c r="R267" i="165"/>
  <c r="J76" i="166"/>
  <c r="H65" i="167"/>
  <c r="P75" i="165"/>
  <c r="F250" i="165"/>
  <c r="J43" i="165"/>
  <c r="L250" i="165"/>
  <c r="L304" i="165"/>
  <c r="O74" i="165"/>
  <c r="H90" i="165"/>
  <c r="F90" i="165"/>
  <c r="H139" i="167"/>
  <c r="G17" i="167"/>
  <c r="H16" i="165"/>
  <c r="E165" i="165"/>
  <c r="F149" i="165"/>
  <c r="K260" i="165"/>
  <c r="E267" i="165"/>
  <c r="H129" i="167"/>
  <c r="O156" i="165"/>
  <c r="H142" i="167"/>
  <c r="P164" i="165"/>
  <c r="J202" i="167"/>
  <c r="F271" i="165"/>
  <c r="J142" i="167"/>
  <c r="J82" i="167"/>
  <c r="O25" i="165"/>
  <c r="O88" i="165"/>
  <c r="J195" i="167"/>
  <c r="O250" i="165"/>
  <c r="F292" i="165"/>
  <c r="E300" i="165"/>
  <c r="G21" i="167"/>
  <c r="G88" i="167"/>
  <c r="J214" i="167"/>
  <c r="P28" i="165" l="1"/>
  <c r="E42" i="165"/>
  <c r="K219" i="167"/>
  <c r="J140" i="165"/>
  <c r="I69" i="167"/>
  <c r="J294" i="165"/>
  <c r="J152" i="165"/>
  <c r="E83" i="165"/>
  <c r="O262" i="165"/>
  <c r="O297" i="165"/>
  <c r="E86" i="165"/>
  <c r="O32" i="165"/>
  <c r="E299" i="165"/>
  <c r="J163" i="165"/>
  <c r="I121" i="167"/>
  <c r="G121" i="167" s="1"/>
  <c r="J266" i="165"/>
  <c r="L219" i="167"/>
  <c r="I52" i="167"/>
  <c r="L52" i="167" s="1"/>
  <c r="J26" i="165"/>
  <c r="J299" i="165"/>
  <c r="I51" i="167"/>
  <c r="G51" i="167" s="1"/>
  <c r="E152" i="165"/>
  <c r="J81" i="165"/>
  <c r="O135" i="165"/>
  <c r="O41" i="165"/>
  <c r="J41" i="165" s="1"/>
  <c r="O24" i="165"/>
  <c r="E158" i="165"/>
  <c r="E171" i="165"/>
  <c r="J71" i="165"/>
  <c r="E79" i="165"/>
  <c r="E24" i="165"/>
  <c r="I124" i="167"/>
  <c r="J161" i="165"/>
  <c r="J33" i="165"/>
  <c r="O301" i="165"/>
  <c r="O170" i="165"/>
  <c r="O35" i="165"/>
  <c r="E163" i="165"/>
  <c r="J171" i="165"/>
  <c r="E71" i="165"/>
  <c r="O18" i="165"/>
  <c r="E166" i="165"/>
  <c r="J79" i="165"/>
  <c r="J302" i="165"/>
  <c r="I44" i="167"/>
  <c r="L44" i="167" s="1"/>
  <c r="K20" i="167"/>
  <c r="F32" i="108"/>
  <c r="E81" i="165"/>
  <c r="I67" i="167"/>
  <c r="O87" i="165"/>
  <c r="E266" i="165"/>
  <c r="M22" i="167"/>
  <c r="O23" i="165"/>
  <c r="E36" i="165"/>
  <c r="J36" i="165"/>
  <c r="E135" i="165"/>
  <c r="R261" i="165"/>
  <c r="E56" i="165"/>
  <c r="H52" i="167"/>
  <c r="J53" i="165"/>
  <c r="I49" i="167"/>
  <c r="G49" i="167" s="1"/>
  <c r="O73" i="165"/>
  <c r="E59" i="165"/>
  <c r="H54" i="167"/>
  <c r="J59" i="165"/>
  <c r="I54" i="167"/>
  <c r="J166" i="165"/>
  <c r="P264" i="165"/>
  <c r="J263" i="165"/>
  <c r="O157" i="165"/>
  <c r="J158" i="165"/>
  <c r="E151" i="165"/>
  <c r="I137" i="167"/>
  <c r="G137" i="167" s="1"/>
  <c r="O154" i="165"/>
  <c r="J83" i="165"/>
  <c r="H67" i="167"/>
  <c r="I39" i="167"/>
  <c r="I24" i="167"/>
  <c r="L24" i="167" s="1"/>
  <c r="I23" i="167"/>
  <c r="L23" i="167" s="1"/>
  <c r="E18" i="165"/>
  <c r="J56" i="165"/>
  <c r="H192" i="167"/>
  <c r="K192" i="167" s="1"/>
  <c r="E46" i="170"/>
  <c r="K16" i="165"/>
  <c r="K304" i="165"/>
  <c r="F40" i="165"/>
  <c r="H40" i="165"/>
  <c r="H304" i="165"/>
  <c r="H316" i="165" s="1"/>
  <c r="G40" i="165"/>
  <c r="G304" i="165"/>
  <c r="N304" i="165"/>
  <c r="N316" i="165" s="1"/>
  <c r="M214" i="167"/>
  <c r="J208" i="167"/>
  <c r="M209" i="167"/>
  <c r="R70" i="165"/>
  <c r="R17" i="165"/>
  <c r="P34" i="165"/>
  <c r="I136" i="167"/>
  <c r="I125" i="167"/>
  <c r="G125" i="167" s="1"/>
  <c r="I76" i="167"/>
  <c r="P168" i="165"/>
  <c r="G97" i="167"/>
  <c r="P159" i="165"/>
  <c r="P77" i="165"/>
  <c r="P46" i="165"/>
  <c r="H80" i="167"/>
  <c r="I27" i="167"/>
  <c r="L27" i="167" s="1"/>
  <c r="F131" i="165"/>
  <c r="P142" i="165"/>
  <c r="I141" i="167"/>
  <c r="G141" i="167" s="1"/>
  <c r="P84" i="165"/>
  <c r="P139" i="165"/>
  <c r="P160" i="165"/>
  <c r="R132" i="165"/>
  <c r="P169" i="165"/>
  <c r="P54" i="165"/>
  <c r="P138" i="165"/>
  <c r="J52" i="165"/>
  <c r="L218" i="167"/>
  <c r="G95" i="167"/>
  <c r="P295" i="165"/>
  <c r="H27" i="167"/>
  <c r="G214" i="167"/>
  <c r="P80" i="165"/>
  <c r="P162" i="165"/>
  <c r="I71" i="167"/>
  <c r="G71" i="167" s="1"/>
  <c r="P303" i="165"/>
  <c r="P155" i="165"/>
  <c r="P141" i="165"/>
  <c r="P22" i="165"/>
  <c r="J134" i="165"/>
  <c r="H136" i="167"/>
  <c r="G65" i="167"/>
  <c r="H232" i="167"/>
  <c r="K232" i="167" s="1"/>
  <c r="P153" i="165"/>
  <c r="P58" i="165"/>
  <c r="G142" i="167"/>
  <c r="P57" i="165"/>
  <c r="P82" i="165"/>
  <c r="H76" i="167"/>
  <c r="P37" i="165"/>
  <c r="K218" i="167"/>
  <c r="H28" i="167"/>
  <c r="K28" i="167" s="1"/>
  <c r="P27" i="165"/>
  <c r="P172" i="165"/>
  <c r="H145" i="167"/>
  <c r="P68" i="165"/>
  <c r="P67" i="165" s="1"/>
  <c r="I146" i="167"/>
  <c r="G146" i="167" s="1"/>
  <c r="P136" i="165"/>
  <c r="H140" i="167"/>
  <c r="H120" i="167"/>
  <c r="H118" i="167" s="1"/>
  <c r="P265" i="165"/>
  <c r="I127" i="167"/>
  <c r="G127" i="167" s="1"/>
  <c r="P76" i="165"/>
  <c r="I60" i="167"/>
  <c r="G60" i="167" s="1"/>
  <c r="P60" i="165"/>
  <c r="J117" i="167"/>
  <c r="M117" i="167" s="1"/>
  <c r="I78" i="167"/>
  <c r="G78" i="167" s="1"/>
  <c r="P72" i="165"/>
  <c r="M316" i="165"/>
  <c r="G106" i="167"/>
  <c r="I144" i="167"/>
  <c r="J271" i="165"/>
  <c r="J45" i="165"/>
  <c r="G107" i="167"/>
  <c r="G101" i="167"/>
  <c r="G44" i="167"/>
  <c r="H22" i="167"/>
  <c r="J25" i="165"/>
  <c r="G96" i="167"/>
  <c r="I145" i="167"/>
  <c r="I197" i="167"/>
  <c r="G94" i="167"/>
  <c r="I80" i="167"/>
  <c r="I74" i="167"/>
  <c r="G99" i="167"/>
  <c r="H74" i="167"/>
  <c r="H148" i="167"/>
  <c r="J156" i="165"/>
  <c r="P85" i="165"/>
  <c r="P167" i="165"/>
  <c r="J37" i="167"/>
  <c r="P137" i="165"/>
  <c r="I139" i="167"/>
  <c r="G139" i="167" s="1"/>
  <c r="J19" i="165"/>
  <c r="G69" i="167"/>
  <c r="L216" i="167"/>
  <c r="I129" i="167"/>
  <c r="G129" i="167" s="1"/>
  <c r="I140" i="167"/>
  <c r="I120" i="167"/>
  <c r="J88" i="165"/>
  <c r="I148" i="167"/>
  <c r="G110" i="167"/>
  <c r="I147" i="167"/>
  <c r="G147" i="167" s="1"/>
  <c r="G104" i="167"/>
  <c r="G100" i="167"/>
  <c r="I28" i="167"/>
  <c r="L28" i="167" s="1"/>
  <c r="G124" i="167"/>
  <c r="G93" i="167"/>
  <c r="H224" i="167"/>
  <c r="K224" i="167" s="1"/>
  <c r="J102" i="166"/>
  <c r="J18" i="166"/>
  <c r="J12" i="166"/>
  <c r="J235" i="166"/>
  <c r="J91" i="166"/>
  <c r="J87" i="167"/>
  <c r="J86" i="167" s="1"/>
  <c r="M86" i="167" s="1"/>
  <c r="K90" i="165"/>
  <c r="R150" i="165"/>
  <c r="K149" i="165"/>
  <c r="J251" i="165"/>
  <c r="J250" i="165" s="1"/>
  <c r="K209" i="167"/>
  <c r="P300" i="165"/>
  <c r="O242" i="165"/>
  <c r="J243" i="165"/>
  <c r="P243" i="165" s="1"/>
  <c r="Q243" i="165" s="1"/>
  <c r="K40" i="165"/>
  <c r="J62" i="167"/>
  <c r="J135" i="167"/>
  <c r="J134" i="167" s="1"/>
  <c r="P267" i="165"/>
  <c r="J74" i="165"/>
  <c r="L16" i="165"/>
  <c r="O283" i="165"/>
  <c r="J284" i="165"/>
  <c r="H144" i="167"/>
  <c r="P165" i="165"/>
  <c r="F16" i="165"/>
  <c r="K69" i="165"/>
  <c r="P43" i="165"/>
  <c r="E23" i="165" l="1"/>
  <c r="J135" i="165"/>
  <c r="P53" i="165"/>
  <c r="E157" i="165"/>
  <c r="E73" i="165"/>
  <c r="P163" i="165"/>
  <c r="I138" i="167"/>
  <c r="G138" i="167" s="1"/>
  <c r="P71" i="165"/>
  <c r="P171" i="165"/>
  <c r="P140" i="165"/>
  <c r="P161" i="165"/>
  <c r="P294" i="165"/>
  <c r="P33" i="165"/>
  <c r="J262" i="165"/>
  <c r="E35" i="165"/>
  <c r="P26" i="165"/>
  <c r="P79" i="165"/>
  <c r="O17" i="165"/>
  <c r="J17" i="165" s="1"/>
  <c r="J170" i="165"/>
  <c r="O132" i="165"/>
  <c r="O131" i="165" s="1"/>
  <c r="J297" i="165"/>
  <c r="O293" i="165"/>
  <c r="J18" i="165"/>
  <c r="J24" i="165"/>
  <c r="P81" i="165"/>
  <c r="P152" i="165"/>
  <c r="P302" i="165"/>
  <c r="E263" i="165"/>
  <c r="J32" i="165"/>
  <c r="E297" i="165"/>
  <c r="P299" i="165"/>
  <c r="I41" i="167"/>
  <c r="L41" i="167" s="1"/>
  <c r="J35" i="165"/>
  <c r="J301" i="165"/>
  <c r="E170" i="165"/>
  <c r="O261" i="165"/>
  <c r="O260" i="165" s="1"/>
  <c r="J87" i="165"/>
  <c r="O86" i="165"/>
  <c r="H16" i="167"/>
  <c r="E262" i="165"/>
  <c r="P266" i="165"/>
  <c r="I48" i="167"/>
  <c r="G48" i="167" s="1"/>
  <c r="E132" i="165"/>
  <c r="E131" i="165" s="1"/>
  <c r="K27" i="167"/>
  <c r="G27" i="167"/>
  <c r="P56" i="165"/>
  <c r="J157" i="165"/>
  <c r="P59" i="165"/>
  <c r="G54" i="167"/>
  <c r="H38" i="167"/>
  <c r="K52" i="167"/>
  <c r="G52" i="167"/>
  <c r="E150" i="165"/>
  <c r="E149" i="165" s="1"/>
  <c r="K22" i="167"/>
  <c r="K15" i="167"/>
  <c r="P166" i="165"/>
  <c r="P158" i="165"/>
  <c r="O151" i="165"/>
  <c r="J154" i="165"/>
  <c r="P135" i="165"/>
  <c r="J73" i="165"/>
  <c r="I119" i="167"/>
  <c r="I118" i="167" s="1"/>
  <c r="J133" i="165"/>
  <c r="L39" i="167"/>
  <c r="P83" i="165"/>
  <c r="I63" i="167"/>
  <c r="P36" i="165"/>
  <c r="G23" i="167"/>
  <c r="L17" i="167"/>
  <c r="M15" i="167"/>
  <c r="G41" i="167"/>
  <c r="J44" i="165"/>
  <c r="J61" i="167"/>
  <c r="M61" i="167" s="1"/>
  <c r="H135" i="167"/>
  <c r="H134" i="167" s="1"/>
  <c r="J248" i="166"/>
  <c r="H191" i="167"/>
  <c r="H117" i="167"/>
  <c r="G136" i="167"/>
  <c r="J15" i="167"/>
  <c r="G76" i="167"/>
  <c r="I198" i="167"/>
  <c r="G198" i="167" s="1"/>
  <c r="P52" i="165"/>
  <c r="G80" i="167"/>
  <c r="I195" i="167"/>
  <c r="P45" i="165"/>
  <c r="G67" i="167"/>
  <c r="O16" i="165"/>
  <c r="G209" i="167"/>
  <c r="G208" i="167" s="1"/>
  <c r="G24" i="167"/>
  <c r="P134" i="165"/>
  <c r="H62" i="167"/>
  <c r="G102" i="167"/>
  <c r="G28" i="167"/>
  <c r="G74" i="167"/>
  <c r="G103" i="167"/>
  <c r="G120" i="167"/>
  <c r="G145" i="167"/>
  <c r="G140" i="167"/>
  <c r="M37" i="167"/>
  <c r="P19" i="165"/>
  <c r="G108" i="167"/>
  <c r="G144" i="167"/>
  <c r="G115" i="167"/>
  <c r="G148" i="167"/>
  <c r="I232" i="167"/>
  <c r="L232" i="167" s="1"/>
  <c r="I203" i="167"/>
  <c r="L203" i="167" s="1"/>
  <c r="G205" i="167"/>
  <c r="G204" i="167" s="1"/>
  <c r="P25" i="165"/>
  <c r="L316" i="165"/>
  <c r="I224" i="167"/>
  <c r="L224" i="167" s="1"/>
  <c r="G232" i="167"/>
  <c r="P156" i="165"/>
  <c r="J197" i="167"/>
  <c r="G197" i="167"/>
  <c r="I199" i="167"/>
  <c r="G113" i="167"/>
  <c r="I209" i="167"/>
  <c r="L209" i="167" s="1"/>
  <c r="I82" i="167"/>
  <c r="G82" i="167" s="1"/>
  <c r="I22" i="167"/>
  <c r="I16" i="167" s="1"/>
  <c r="P88" i="165"/>
  <c r="I202" i="167"/>
  <c r="F316" i="165"/>
  <c r="G316" i="165"/>
  <c r="G224" i="167"/>
  <c r="O40" i="165"/>
  <c r="P74" i="165"/>
  <c r="J242" i="165"/>
  <c r="J16" i="165"/>
  <c r="E90" i="165"/>
  <c r="O90" i="165"/>
  <c r="J91" i="165"/>
  <c r="J90" i="165" s="1"/>
  <c r="H208" i="167"/>
  <c r="P251" i="165"/>
  <c r="Q251" i="165" s="1"/>
  <c r="E250" i="165"/>
  <c r="G39" i="167"/>
  <c r="G38" i="167" s="1"/>
  <c r="E271" i="165"/>
  <c r="P272" i="165"/>
  <c r="Q272" i="165" s="1"/>
  <c r="J283" i="165"/>
  <c r="P284" i="165"/>
  <c r="Q284" i="165" s="1"/>
  <c r="H86" i="167"/>
  <c r="K86" i="167" s="1"/>
  <c r="I38" i="167" l="1"/>
  <c r="K117" i="167"/>
  <c r="E17" i="165"/>
  <c r="L248" i="166"/>
  <c r="J132" i="165"/>
  <c r="E41" i="165"/>
  <c r="P41" i="165" s="1"/>
  <c r="Q41" i="165" s="1"/>
  <c r="J261" i="165"/>
  <c r="P263" i="165"/>
  <c r="E70" i="165"/>
  <c r="E69" i="165" s="1"/>
  <c r="P17" i="165"/>
  <c r="Q17" i="165" s="1"/>
  <c r="P24" i="165"/>
  <c r="P18" i="165"/>
  <c r="J23" i="165"/>
  <c r="J151" i="165"/>
  <c r="J42" i="165"/>
  <c r="E293" i="165"/>
  <c r="D65" i="170"/>
  <c r="P133" i="165"/>
  <c r="O150" i="165"/>
  <c r="O149" i="165" s="1"/>
  <c r="D66" i="170"/>
  <c r="E66" i="170" s="1"/>
  <c r="P301" i="165"/>
  <c r="P154" i="165"/>
  <c r="P35" i="165"/>
  <c r="P297" i="165"/>
  <c r="O292" i="165"/>
  <c r="J293" i="165"/>
  <c r="J292" i="165" s="1"/>
  <c r="P32" i="165"/>
  <c r="P170" i="165"/>
  <c r="O70" i="165"/>
  <c r="P87" i="165"/>
  <c r="J86" i="165"/>
  <c r="H37" i="167"/>
  <c r="K37" i="167" s="1"/>
  <c r="H240" i="167"/>
  <c r="Q304" i="165"/>
  <c r="P262" i="165"/>
  <c r="E261" i="165"/>
  <c r="E260" i="165" s="1"/>
  <c r="K214" i="167" s="1"/>
  <c r="G32" i="108"/>
  <c r="E40" i="165"/>
  <c r="J150" i="165"/>
  <c r="P150" i="165" s="1"/>
  <c r="Q150" i="165" s="1"/>
  <c r="P157" i="165"/>
  <c r="O304" i="165"/>
  <c r="O316" i="165" s="1"/>
  <c r="G119" i="167"/>
  <c r="E16" i="165"/>
  <c r="G37" i="167"/>
  <c r="P73" i="165"/>
  <c r="P44" i="165"/>
  <c r="L15" i="167"/>
  <c r="H61" i="167"/>
  <c r="K61" i="167" s="1"/>
  <c r="G203" i="167"/>
  <c r="G195" i="167"/>
  <c r="I192" i="167"/>
  <c r="L192" i="167" s="1"/>
  <c r="H15" i="167"/>
  <c r="P16" i="165"/>
  <c r="I208" i="167"/>
  <c r="L22" i="167"/>
  <c r="J198" i="167"/>
  <c r="J131" i="165"/>
  <c r="P132" i="165"/>
  <c r="Q132" i="165" s="1"/>
  <c r="I117" i="167"/>
  <c r="L117" i="167" s="1"/>
  <c r="I37" i="167"/>
  <c r="L37" i="167" s="1"/>
  <c r="G22" i="167"/>
  <c r="G16" i="167" s="1"/>
  <c r="I87" i="167"/>
  <c r="I86" i="167" s="1"/>
  <c r="L86" i="167" s="1"/>
  <c r="G202" i="167"/>
  <c r="G92" i="167"/>
  <c r="G200" i="167"/>
  <c r="J199" i="167"/>
  <c r="G199" i="167"/>
  <c r="P271" i="165"/>
  <c r="J260" i="165"/>
  <c r="L214" i="167" s="1"/>
  <c r="P261" i="165"/>
  <c r="Q261" i="165" s="1"/>
  <c r="P283" i="165"/>
  <c r="P242" i="165"/>
  <c r="I62" i="167"/>
  <c r="G63" i="167"/>
  <c r="G62" i="167" s="1"/>
  <c r="P250" i="165"/>
  <c r="P91" i="165"/>
  <c r="J40" i="165"/>
  <c r="E304" i="165" l="1"/>
  <c r="F317" i="165" s="1"/>
  <c r="P151" i="165"/>
  <c r="E292" i="165"/>
  <c r="P293" i="165"/>
  <c r="E65" i="170"/>
  <c r="E64" i="170"/>
  <c r="P23" i="165"/>
  <c r="P86" i="165"/>
  <c r="O69" i="165"/>
  <c r="J70" i="165"/>
  <c r="P42" i="165"/>
  <c r="S91" i="165"/>
  <c r="Q91" i="165"/>
  <c r="G118" i="167"/>
  <c r="G117" i="167" s="1"/>
  <c r="J149" i="165"/>
  <c r="I61" i="167"/>
  <c r="G61" i="167"/>
  <c r="J192" i="167"/>
  <c r="J240" i="167" s="1"/>
  <c r="G192" i="167"/>
  <c r="G15" i="167"/>
  <c r="I191" i="167"/>
  <c r="G87" i="167"/>
  <c r="G86" i="167" s="1"/>
  <c r="I15" i="167"/>
  <c r="P131" i="165"/>
  <c r="P40" i="165"/>
  <c r="P90" i="165"/>
  <c r="P149" i="165"/>
  <c r="P260" i="165"/>
  <c r="E316" i="165" l="1"/>
  <c r="E317" i="165"/>
  <c r="E325" i="165"/>
  <c r="Q293" i="165"/>
  <c r="P292" i="165"/>
  <c r="P70" i="165"/>
  <c r="J69" i="165"/>
  <c r="L61" i="167" s="1"/>
  <c r="J304" i="165"/>
  <c r="J316" i="165" s="1"/>
  <c r="G191" i="167"/>
  <c r="M192" i="167"/>
  <c r="J191" i="167"/>
  <c r="Q70" i="165" l="1"/>
  <c r="P304" i="165"/>
  <c r="P317" i="165" s="1"/>
  <c r="P69" i="165"/>
  <c r="R304" i="165" l="1"/>
  <c r="F319" i="165"/>
  <c r="K177" i="153"/>
  <c r="I150" i="167" l="1"/>
  <c r="G150" i="167" l="1"/>
  <c r="G135" i="167" s="1"/>
  <c r="G240" i="167" s="1"/>
  <c r="I135" i="167"/>
  <c r="I240" i="167" s="1"/>
  <c r="K240" i="167" l="1"/>
  <c r="I134" i="167"/>
  <c r="G134" i="167"/>
  <c r="M19" i="107" l="1"/>
  <c r="O19" i="107"/>
  <c r="K13" i="107" l="1"/>
  <c r="Q19" i="107"/>
  <c r="G139" i="107" l="1"/>
  <c r="F135" i="108"/>
  <c r="G138" i="107"/>
  <c r="F134" i="108"/>
  <c r="G136" i="107"/>
  <c r="F132" i="108"/>
  <c r="F133" i="108"/>
  <c r="G137" i="107"/>
  <c r="G134" i="107"/>
  <c r="F130" i="108"/>
  <c r="G135" i="107"/>
  <c r="F131" i="108"/>
  <c r="G132" i="107"/>
  <c r="F128" i="108"/>
  <c r="G131" i="107"/>
  <c r="F127" i="108"/>
  <c r="G130" i="107"/>
  <c r="F126" i="108"/>
  <c r="G129" i="107"/>
  <c r="F125" i="108"/>
  <c r="G128" i="107"/>
  <c r="F124" i="108"/>
  <c r="G127" i="107"/>
  <c r="F123" i="108"/>
  <c r="G126" i="107"/>
  <c r="F122" i="108"/>
  <c r="G125" i="107"/>
  <c r="F121" i="108"/>
  <c r="G124" i="107"/>
  <c r="F120" i="108"/>
  <c r="G123" i="107"/>
  <c r="F119" i="108"/>
  <c r="G122" i="107"/>
  <c r="F118" i="108"/>
  <c r="G120" i="107"/>
  <c r="F116" i="108"/>
  <c r="G80" i="107"/>
  <c r="G78" i="107"/>
  <c r="G77" i="107"/>
  <c r="G76" i="107"/>
  <c r="G75" i="107"/>
  <c r="G73" i="107"/>
  <c r="G72" i="107"/>
  <c r="G71" i="107"/>
  <c r="G70" i="107"/>
  <c r="G69" i="107"/>
  <c r="G68" i="107"/>
  <c r="G67" i="107"/>
  <c r="G66" i="107"/>
  <c r="G65" i="107"/>
  <c r="G64" i="107"/>
  <c r="G63" i="107"/>
  <c r="G62" i="107"/>
  <c r="G61" i="107"/>
  <c r="G60" i="107"/>
  <c r="G59" i="107"/>
  <c r="G58" i="107"/>
  <c r="G57" i="107"/>
  <c r="G56" i="107"/>
  <c r="G55" i="107"/>
  <c r="G53" i="107"/>
  <c r="G31" i="107"/>
  <c r="G30" i="107"/>
  <c r="G29" i="107"/>
  <c r="G28" i="107"/>
  <c r="G27" i="107"/>
  <c r="G18" i="107"/>
  <c r="G16" i="107" s="1"/>
  <c r="G15" i="107" s="1"/>
  <c r="G14" i="107" s="1"/>
  <c r="G147" i="107"/>
  <c r="F143" i="108"/>
  <c r="K166" i="107"/>
  <c r="J162" i="108"/>
  <c r="K12" i="107" l="1"/>
  <c r="K20" i="107" s="1"/>
  <c r="L13" i="107"/>
  <c r="L12" i="107" s="1"/>
  <c r="L20" i="107" s="1"/>
  <c r="J13" i="107"/>
  <c r="J12" i="107" s="1"/>
  <c r="J20" i="107" s="1"/>
  <c r="G13" i="107"/>
  <c r="G12" i="107" s="1"/>
  <c r="H13" i="107"/>
  <c r="H12" i="107" s="1"/>
  <c r="F13" i="107"/>
  <c r="O17" i="107"/>
  <c r="N17" i="107"/>
  <c r="M17" i="107"/>
  <c r="O20" i="107" l="1"/>
  <c r="O16" i="107"/>
  <c r="O15" i="107" s="1"/>
  <c r="O14" i="107" s="1"/>
  <c r="L134" i="167"/>
  <c r="G20" i="107"/>
  <c r="M134" i="167"/>
  <c r="H20" i="107"/>
  <c r="O13" i="107"/>
  <c r="O12" i="107" s="1"/>
  <c r="Q17" i="107"/>
  <c r="N18" i="107" l="1"/>
  <c r="N20" i="107" l="1"/>
  <c r="N16" i="107"/>
  <c r="N15" i="107" s="1"/>
  <c r="N14" i="107" s="1"/>
  <c r="N13" i="107"/>
  <c r="N12" i="107" s="1"/>
  <c r="F12" i="107"/>
  <c r="K134" i="167" s="1"/>
  <c r="F20" i="107" l="1"/>
  <c r="D18" i="108"/>
  <c r="D21" i="108" s="1"/>
  <c r="E32" i="108" s="1"/>
  <c r="P316" i="165" l="1"/>
  <c r="M18" i="107"/>
  <c r="Q306" i="165" l="1"/>
  <c r="M13" i="107"/>
  <c r="M12" i="107" s="1"/>
  <c r="M20" i="107" s="1"/>
  <c r="M16" i="107"/>
  <c r="M15" i="107" s="1"/>
  <c r="M14" i="107" s="1"/>
  <c r="Q18" i="107"/>
  <c r="Q16" i="107" s="1"/>
  <c r="Q15" i="107" s="1"/>
  <c r="Q14" i="107" s="1"/>
  <c r="Q13" i="107" l="1"/>
  <c r="Q12" i="107" s="1"/>
  <c r="Q20" i="107"/>
  <c r="D20" i="170"/>
  <c r="E36" i="170"/>
  <c r="E37" i="170"/>
  <c r="D34" i="170"/>
  <c r="E35" i="170" l="1"/>
</calcChain>
</file>

<file path=xl/sharedStrings.xml><?xml version="1.0" encoding="utf-8"?>
<sst xmlns="http://schemas.openxmlformats.org/spreadsheetml/2006/main" count="3974" uniqueCount="1325">
  <si>
    <t>Департамент освіти та науки Хмельницької міської ради (головний розпорядник)</t>
  </si>
  <si>
    <t>Департамент освіти та науки Хмельницької міської ради (відповідальний виконавець)</t>
  </si>
  <si>
    <t>1</t>
  </si>
  <si>
    <t>2</t>
  </si>
  <si>
    <t>Проведення навчально-тренувальних зборів і змагань з неолімпійських видів спорту</t>
  </si>
  <si>
    <t>4</t>
  </si>
  <si>
    <t>Надання пільг окремим категоріям громадян з оплати послуг зв'язку</t>
  </si>
  <si>
    <t>Компенсаційні виплати на пільговий проїзд автомобільним транспортом окремим категоріям громадян</t>
  </si>
  <si>
    <t>Компенсаційні виплати за пільговий проїзд окремих категорій громадян на залізничному транспорті</t>
  </si>
  <si>
    <t>Компенсаційні виплати на пільговий проїзд електротранспортом окремим категоріям громадян</t>
  </si>
  <si>
    <t>Утримання клубів для підлітків за місцем проживання</t>
  </si>
  <si>
    <t>Разом</t>
  </si>
  <si>
    <t>Загальний фонд</t>
  </si>
  <si>
    <t>з них</t>
  </si>
  <si>
    <t>3</t>
  </si>
  <si>
    <t>комунальні послуги та енергоносії</t>
  </si>
  <si>
    <t>Код ФКВКБ</t>
  </si>
  <si>
    <t>Забезпечення соціальними послугами за місцем проживання громадян, які не здатні до самообслуговування у зв'язку з похилим віком, хворобою, інвалідністю</t>
  </si>
  <si>
    <t>Управління охорони здоров'я Хмельницької міської ради (головний розпорядник)</t>
  </si>
  <si>
    <t>Багатопрофільна стаціонарна медична допомога населенню</t>
  </si>
  <si>
    <t>Код ТПКВКМБ /
ТКВКБМС</t>
  </si>
  <si>
    <t>1110000</t>
  </si>
  <si>
    <t>1100000</t>
  </si>
  <si>
    <t>Управління молоді та спорту Хмельницької міської ради (головний розпорядник)</t>
  </si>
  <si>
    <t>Управління культури і туризму Хмельницької міської ради (головний розпорядник)</t>
  </si>
  <si>
    <t>1500000</t>
  </si>
  <si>
    <t>1510000</t>
  </si>
  <si>
    <t>Фінансове управління Хмельницької міської ради (головний розпорядник)</t>
  </si>
  <si>
    <t>1115031</t>
  </si>
  <si>
    <t>1115032</t>
  </si>
  <si>
    <t>1115061</t>
  </si>
  <si>
    <t>Забезпечення діяльності місцевих центрів фізичного здоров'я населення "Спорт для всіх" та проведення фізкультурно-масових заходів серед населення регіону</t>
  </si>
  <si>
    <t>1115063</t>
  </si>
  <si>
    <t>Забезпечення діяльності централізованої бухгалтерії</t>
  </si>
  <si>
    <t>Проведення інформаційних заходів з організації проведення аукціонів</t>
  </si>
  <si>
    <t>Виготовлення документації із землеустрою</t>
  </si>
  <si>
    <t>Внески до статутного капіталу суб’єктів господарювання</t>
  </si>
  <si>
    <t>Управління молоді та спорту Хмельницької міської ради (відповідальний виконавець)</t>
  </si>
  <si>
    <t>Управління охорони здоров'я Хмельницької міської ради (відповідальний виконавець)</t>
  </si>
  <si>
    <t>Управління праці та соціального захисту населення Хмельницької міської ради (головний розпорядник)</t>
  </si>
  <si>
    <t>Управління праці та соціального захисту населення Хмельницької міської ради (відповідальний виконавець)</t>
  </si>
  <si>
    <t>Управління культури і туризму Хмельницької міської ради (відповідальний виконавець)</t>
  </si>
  <si>
    <t>Фінансове управління Хмельницької міської ради (відповідальний виконавець)</t>
  </si>
  <si>
    <t>Заходи з енергозбереження</t>
  </si>
  <si>
    <t>0133</t>
  </si>
  <si>
    <t>0180</t>
  </si>
  <si>
    <t>1115011</t>
  </si>
  <si>
    <t>Проведення навчально-тренувальних зборів і змагань з олімпійських видів спорту</t>
  </si>
  <si>
    <t>1115012</t>
  </si>
  <si>
    <t>1115022</t>
  </si>
  <si>
    <t>Утримання та навчально-тренувальна робота комунальних дитячо-юнацьких спортивних шкіл</t>
  </si>
  <si>
    <t>Фінансова підтримка дитячо-юнацьких спортивних шкіл фізкультурно-спортивних товариств</t>
  </si>
  <si>
    <t>1060</t>
  </si>
  <si>
    <t>Всього, в т.ч.:</t>
  </si>
  <si>
    <t>0511</t>
  </si>
  <si>
    <t>Охорона та раціональне використання природних ресурсів</t>
  </si>
  <si>
    <t>0540</t>
  </si>
  <si>
    <t>Спеціальний фонд</t>
  </si>
  <si>
    <t>видатки споживання</t>
  </si>
  <si>
    <t>оплата праці</t>
  </si>
  <si>
    <t>видатки розвитку</t>
  </si>
  <si>
    <t>Капітальні видатки</t>
  </si>
  <si>
    <t>Додаток 1</t>
  </si>
  <si>
    <t>( грн.)</t>
  </si>
  <si>
    <t>Код</t>
  </si>
  <si>
    <t>Найменування згідно
 з класифікацією доходів бюджету</t>
  </si>
  <si>
    <t>Податкові надходження</t>
  </si>
  <si>
    <t>Податки на доходи, податки на прибуток, податки на збільшення ринкової вартості</t>
  </si>
  <si>
    <t xml:space="preserve">Податок на доходи фізичних осіб </t>
  </si>
  <si>
    <t xml:space="preserve">Податок на  доходи фізичних осіб, що сплачуються податковими агентами, із доходів платника податку у вигляді заробітної плати </t>
  </si>
  <si>
    <t xml:space="preserve">Податок на  доходи  фізичних осіб з грошового забезпечення, грошових винагород та інших виплат, одержаних військовослужбовцями та особами рядового і начальницького складу, що сплачується податковими агентами </t>
  </si>
  <si>
    <t xml:space="preserve">Податок на доходи фізичних осіб, що сплачується податковими агентами, із доходів платника податку інших ніж заробітна плата </t>
  </si>
  <si>
    <t xml:space="preserve">Податок на доходи доходів фізичних осіб, що сплачуються фізичними особами за результатами річного декларування </t>
  </si>
  <si>
    <t>Податок на прибуток підприємств</t>
  </si>
  <si>
    <t xml:space="preserve"> Податок на прибуток підприємств та фінансових установ комунальної власності </t>
  </si>
  <si>
    <t xml:space="preserve">Акцизний податок з реалізації суб"єктами господарювання роздрібної торгівлі підакцизних товарів </t>
  </si>
  <si>
    <t>Місцеві  податки і збори</t>
  </si>
  <si>
    <t>Податок на майно</t>
  </si>
  <si>
    <t xml:space="preserve">Податок на нерухоме майно, відмінне від земельної ділянки, сплачений юридичними особами, які є власниками об"єктів житлової нерухомості   </t>
  </si>
  <si>
    <t xml:space="preserve">Податок на нерухоме майно, відмінне від земельної ділянки, сплачений фізичними  особами, які є власниками об"єктів житлової нерухомості   </t>
  </si>
  <si>
    <t xml:space="preserve">Податок на нерухоме майно, відмінне від земельної ділянки, сплачений фізичними  особами, які є власниками об"єктів нежитлової нерухомості   </t>
  </si>
  <si>
    <t xml:space="preserve">Податок на нерухоме майно, відмінне від земельної ділянки, сплачений юридичними особами, які є власниками об"єктів нежитлової нерухомості   </t>
  </si>
  <si>
    <t>Земельний податок з юридичних осіб</t>
  </si>
  <si>
    <t>Орендна плата з юридичних осіб</t>
  </si>
  <si>
    <t>Земельний податок з фізичних осіб</t>
  </si>
  <si>
    <t>Орендна плата з фізичних осіб</t>
  </si>
  <si>
    <t>Транспортний податок з фізичних  осіб</t>
  </si>
  <si>
    <t>Транспортний податок з юридичних осіб</t>
  </si>
  <si>
    <t xml:space="preserve">Туристичний збір </t>
  </si>
  <si>
    <t xml:space="preserve">Туристичний збір, сплачений юридичними особами  </t>
  </si>
  <si>
    <t xml:space="preserve">Туристичний збір, сплачений фізичними особами  </t>
  </si>
  <si>
    <t xml:space="preserve">Єдиний податок  </t>
  </si>
  <si>
    <t xml:space="preserve">Єдиний податок  з юридичних осіб
</t>
  </si>
  <si>
    <t>Єдиний податок  з фізичних осіб</t>
  </si>
  <si>
    <t xml:space="preserve">Екологічний податок </t>
  </si>
  <si>
    <t>Надходження від скидів забруднюючих речовин безпосередньо у водні об"єкти</t>
  </si>
  <si>
    <t xml:space="preserve">Надходження від розміщення відходів у спеціально відведених місцях чи на об"єктах, крім розміщення окремих видів відходів як вторинної сировини </t>
  </si>
  <si>
    <t>Неподаткові надходження</t>
  </si>
  <si>
    <t>Частина чистого прибутку (доходу)  комунальних унітарних підприємств та їх об"єднань, що вилучається до відповідного місцевого бюджету</t>
  </si>
  <si>
    <t xml:space="preserve">Плата за розміщення тимчасово вільних коштів </t>
  </si>
  <si>
    <t xml:space="preserve">Надходження від штрафів та фінансових санкцій </t>
  </si>
  <si>
    <t>Адміністративні штрафи та інші санкції</t>
  </si>
  <si>
    <t>Адміністративні штрафи та штрафні санкції за порушення законодавства у сфері виробництва та обігу алкогольних напоїв та тютюнових виробів</t>
  </si>
  <si>
    <t>Адміністративні збори та платежі, доходи від некомерційної господарської діяльності</t>
  </si>
  <si>
    <t xml:space="preserve">Адміністративний збір за державну реєстрацію речових прав на нерухоме майно та їх обтяжень </t>
  </si>
  <si>
    <t xml:space="preserve">Плата за надання інших адміністративних послуг </t>
  </si>
  <si>
    <t xml:space="preserve">Надходження від орендної плати за користування цілісним майновим комплексом та іншим майном, що перебуває в комунальній власності </t>
  </si>
  <si>
    <t xml:space="preserve">Державне мито </t>
  </si>
  <si>
    <t>Державне мито, що сплачується за місцем розгляду та оформлення документів, у тому числі за оформлення документів на спадщину і дарування</t>
  </si>
  <si>
    <t>Державне мито, пов`язане з видачею та оформленням закордонних паспортів (посвідок) та паспортів громадян України</t>
  </si>
  <si>
    <t>Інші неподаткові надходження</t>
  </si>
  <si>
    <t xml:space="preserve">Інші надходження </t>
  </si>
  <si>
    <t xml:space="preserve">Надходження коштів пайової участі у розвитку інфраструктури населеного пункту </t>
  </si>
  <si>
    <t>Власні надходження бюджетних установ</t>
  </si>
  <si>
    <t>Надходження від плати за послуги, що надаються бюджетними установами згідно із законодавством</t>
  </si>
  <si>
    <t>Плата за послуги, що надаються бюджетними установами згідно з їх основною діяльністю</t>
  </si>
  <si>
    <t>Надходження бюджетних установ від додаткової (господарської)  діяльності</t>
  </si>
  <si>
    <t>Плата за оренду майна бюджетних установ</t>
  </si>
  <si>
    <t>Надходження  бюджетних установ від реалізації в установленому порядку майна (крім нерухомого майна)</t>
  </si>
  <si>
    <t>Доходи від операцій з капіталом</t>
  </si>
  <si>
    <t>Надходження від продажу основного капіталу</t>
  </si>
  <si>
    <t xml:space="preserve">Кошти від реалізації безхазяйного майна,знахідок, спадкового майна, майна, одержаного територіальною громадою в порядку спадкування чи дарування, а також валютні цінності і грошові кошти, власники яких невідомі </t>
  </si>
  <si>
    <t xml:space="preserve">Кошти  від відчуження майна, яке належить  Автономній Республіці Крим та майна, що знаходиться у комунальній власності </t>
  </si>
  <si>
    <t>Надходження від продажу землі і нематеріальних активів</t>
  </si>
  <si>
    <t xml:space="preserve">Кошти від продажу землі </t>
  </si>
  <si>
    <t>Кошти від продажу прав на земельні ділянки несільськогосподарського призначення, що перебувають у державній або комунальній власності</t>
  </si>
  <si>
    <t xml:space="preserve">Цільові фонди, утворені Верховною радою Автономної Республіки Крим, органами місцевого самоврядування та місцевими органами виконавчої влади </t>
  </si>
  <si>
    <t xml:space="preserve">Субвенції  </t>
  </si>
  <si>
    <t xml:space="preserve">Освітня субвенція з державного бюджету місцевим бюджетам </t>
  </si>
  <si>
    <t>Додаток 2</t>
  </si>
  <si>
    <t>200000</t>
  </si>
  <si>
    <t>Внутрішнє фінансування</t>
  </si>
  <si>
    <t>208100</t>
  </si>
  <si>
    <t>На початок періоду</t>
  </si>
  <si>
    <t>Передача коштів із загального до бюджету розвитку (спеціального фонду)</t>
  </si>
  <si>
    <t xml:space="preserve">Фінансування за борговими операціями </t>
  </si>
  <si>
    <t xml:space="preserve">Запозичення </t>
  </si>
  <si>
    <t>600000</t>
  </si>
  <si>
    <t>Фінансування за активними операціями</t>
  </si>
  <si>
    <t>Надання кредитів</t>
  </si>
  <si>
    <t>Повернення кредитів</t>
  </si>
  <si>
    <t>Хмельницької міської ради</t>
  </si>
  <si>
    <t xml:space="preserve">Пункти Положення </t>
  </si>
  <si>
    <t>Джерела доходів</t>
  </si>
  <si>
    <t>2.1.1.</t>
  </si>
  <si>
    <t>Кошти за надлишки загальної житлової площі при приватизації державного житлового фонду</t>
  </si>
  <si>
    <t>2.1.2.</t>
  </si>
  <si>
    <t>Кошти за тимчасове користування місцями для розміщення зовнішньої реклами</t>
  </si>
  <si>
    <t>2.1.3.</t>
  </si>
  <si>
    <t>Надходження коштів від забудовників, які без відповідного дозволу здійснили або здійснюють роботи по будівництву, реконструкції, реставрації, капітальному ремонту об"єктів містобудування</t>
  </si>
  <si>
    <t>2.1.5.</t>
  </si>
  <si>
    <t xml:space="preserve">Надходження плати за виготовлення бланків і видачу свідоцтв про право власності на житлове (житлові) приміщення у гуртожитку </t>
  </si>
  <si>
    <t xml:space="preserve">Всього по джерелах доходів : </t>
  </si>
  <si>
    <t>Видатки</t>
  </si>
  <si>
    <t>3.2.1.</t>
  </si>
  <si>
    <t>Фінансове забезпечення проведення міських заходів виконавчим комітетом Хмельницької міської ради та управліннями і відділами міської ради</t>
  </si>
  <si>
    <t>3.2.3.</t>
  </si>
  <si>
    <t>Матеріальне забезпечення проведення сесій міської ради, депутатських днів та інших організаційних заходів з діяльності депутатів міської ради</t>
  </si>
  <si>
    <t>3.2.5.</t>
  </si>
  <si>
    <t>3.2.6.</t>
  </si>
  <si>
    <t>Виплата винагороди головам квартальних комітетів</t>
  </si>
  <si>
    <t>3.2.7.</t>
  </si>
  <si>
    <t xml:space="preserve">Спрямування коштів на житлове будівництво, реконструкцію та на ремонт житла всіх форм власності, в т.ч. будинків житлово-будівельних кооперативів (ТОВ "ЖЕО"), об'є́днань співвла́сників багатокварти́рних буди́нків, Будинкоуправління №2  КЕВ м. Хмельницький та будівель і споруд  комунальної власності </t>
  </si>
  <si>
    <t>Здійснення заходів з приватизації, відчуження та передачі в оренду майна комунальної власності</t>
  </si>
  <si>
    <t>Адміністративний збір з проведення державної реєстрації юридичних осіб, фізичних осіб - підприємців та громадських формувань</t>
  </si>
  <si>
    <t>0200000</t>
  </si>
  <si>
    <t>0210000</t>
  </si>
  <si>
    <t>Виконавчий комітет Хмельницької міської ради (головний розпорядник)</t>
  </si>
  <si>
    <t>Виконавчий комітет Хмельницької міської ради  (відповідальний виконавець)</t>
  </si>
  <si>
    <t>0600000</t>
  </si>
  <si>
    <t>0610000</t>
  </si>
  <si>
    <t>0700000</t>
  </si>
  <si>
    <t>0710000</t>
  </si>
  <si>
    <t>0800000</t>
  </si>
  <si>
    <t>0810000</t>
  </si>
  <si>
    <t>1200000</t>
  </si>
  <si>
    <t>1210000</t>
  </si>
  <si>
    <t>1600000</t>
  </si>
  <si>
    <t>1610000</t>
  </si>
  <si>
    <t>3600000</t>
  </si>
  <si>
    <t>3610000</t>
  </si>
  <si>
    <t>2800000</t>
  </si>
  <si>
    <t>2810000</t>
  </si>
  <si>
    <t>2700000</t>
  </si>
  <si>
    <t>2710000</t>
  </si>
  <si>
    <t>3700000</t>
  </si>
  <si>
    <t>3710000</t>
  </si>
  <si>
    <t>0490</t>
  </si>
  <si>
    <t>1014010</t>
  </si>
  <si>
    <t>4010</t>
  </si>
  <si>
    <t>4060</t>
  </si>
  <si>
    <t>0821</t>
  </si>
  <si>
    <t>Фінансова підтримка театрів</t>
  </si>
  <si>
    <t>1014030</t>
  </si>
  <si>
    <t>4030</t>
  </si>
  <si>
    <t>0824</t>
  </si>
  <si>
    <t>Забезпечення діяльності бібліотек</t>
  </si>
  <si>
    <t>1014040</t>
  </si>
  <si>
    <t>4040</t>
  </si>
  <si>
    <t>1014060</t>
  </si>
  <si>
    <t>0828</t>
  </si>
  <si>
    <t>Забезпечення діяльності палаців i будинків культури, клубів, центрів дозвілля та iнших клубних закладів</t>
  </si>
  <si>
    <t>0960</t>
  </si>
  <si>
    <t>0829</t>
  </si>
  <si>
    <t>1113121</t>
  </si>
  <si>
    <t>3121</t>
  </si>
  <si>
    <t>1040</t>
  </si>
  <si>
    <t>5011</t>
  </si>
  <si>
    <t>5012</t>
  </si>
  <si>
    <t>5022</t>
  </si>
  <si>
    <t>1113132</t>
  </si>
  <si>
    <t>3132</t>
  </si>
  <si>
    <t>1090</t>
  </si>
  <si>
    <t>5031</t>
  </si>
  <si>
    <t>5032</t>
  </si>
  <si>
    <t>5061</t>
  </si>
  <si>
    <t>0810</t>
  </si>
  <si>
    <t>5063</t>
  </si>
  <si>
    <t>7670</t>
  </si>
  <si>
    <t>0611010</t>
  </si>
  <si>
    <t>1010</t>
  </si>
  <si>
    <t>1020</t>
  </si>
  <si>
    <t>0910</t>
  </si>
  <si>
    <t>Надання дошкільної освіти</t>
  </si>
  <si>
    <t>0611020</t>
  </si>
  <si>
    <t>0921</t>
  </si>
  <si>
    <t>1030</t>
  </si>
  <si>
    <t>1070</t>
  </si>
  <si>
    <t>0922</t>
  </si>
  <si>
    <t>0611090</t>
  </si>
  <si>
    <t>0930</t>
  </si>
  <si>
    <t>0990</t>
  </si>
  <si>
    <t>2010</t>
  </si>
  <si>
    <t>7640</t>
  </si>
  <si>
    <t>0470</t>
  </si>
  <si>
    <t>0712010</t>
  </si>
  <si>
    <t>0731</t>
  </si>
  <si>
    <t>0712030</t>
  </si>
  <si>
    <t>2030</t>
  </si>
  <si>
    <t>0733</t>
  </si>
  <si>
    <t>Лікарсько-акушерська допомога вагітним, породіллям та новонародженим</t>
  </si>
  <si>
    <t>0712080</t>
  </si>
  <si>
    <t>2080</t>
  </si>
  <si>
    <t>0721</t>
  </si>
  <si>
    <t>0712100</t>
  </si>
  <si>
    <t>2100</t>
  </si>
  <si>
    <t>0722</t>
  </si>
  <si>
    <t>Стоматологічна допомога населенню</t>
  </si>
  <si>
    <t>0712111</t>
  </si>
  <si>
    <t>2111</t>
  </si>
  <si>
    <t>Первинна медична допомога населенню, що надається центрами первинної медичної (медико-санітарної) допомоги</t>
  </si>
  <si>
    <t>0763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</si>
  <si>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</si>
  <si>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0210150</t>
  </si>
  <si>
    <t>0150</t>
  </si>
  <si>
    <t>0111</t>
  </si>
  <si>
    <t>Керівництво і управління у відповідній сфері у містах (місті Києві), селищах, селах, об’єднаних територіальних громадах</t>
  </si>
  <si>
    <t>0160</t>
  </si>
  <si>
    <t>Реалізація Національної програми інформатизації</t>
  </si>
  <si>
    <t>0217520</t>
  </si>
  <si>
    <t>7520</t>
  </si>
  <si>
    <t>0460</t>
  </si>
  <si>
    <t>0218410</t>
  </si>
  <si>
    <t>8410</t>
  </si>
  <si>
    <t>0830</t>
  </si>
  <si>
    <t>Фінансова підтримка засобів масової інформації</t>
  </si>
  <si>
    <t>0219710</t>
  </si>
  <si>
    <t>9710</t>
  </si>
  <si>
    <t>0210180</t>
  </si>
  <si>
    <t>Інша діяльність у сфері державного управління</t>
  </si>
  <si>
    <t>Заходи з організації рятування на водах</t>
  </si>
  <si>
    <t>8120</t>
  </si>
  <si>
    <t>0320</t>
  </si>
  <si>
    <t>2717630</t>
  </si>
  <si>
    <t>Реалізація програм і заходів в галузі зовнішньоекономічної діяльності</t>
  </si>
  <si>
    <t>7630</t>
  </si>
  <si>
    <t>Інші заходи, пов'язані з економічною діяльністю</t>
  </si>
  <si>
    <t>2717693</t>
  </si>
  <si>
    <t>7693</t>
  </si>
  <si>
    <t>Сприяння розвитку малого та середнього підприємництва</t>
  </si>
  <si>
    <t>0411</t>
  </si>
  <si>
    <t>2717610</t>
  </si>
  <si>
    <t>7610</t>
  </si>
  <si>
    <t>Реалізація інших заходів щодо соціально-економічного розвитку територій</t>
  </si>
  <si>
    <t>0813160</t>
  </si>
  <si>
    <t>3160</t>
  </si>
  <si>
    <t>3104</t>
  </si>
  <si>
    <t>3105</t>
  </si>
  <si>
    <t>0813104</t>
  </si>
  <si>
    <t>0813105</t>
  </si>
  <si>
    <t>0813031</t>
  </si>
  <si>
    <t>3031</t>
  </si>
  <si>
    <t>Надання інших пільг окремим категоріям громадян відповідно до законодавства</t>
  </si>
  <si>
    <t>0813032</t>
  </si>
  <si>
    <t>3032</t>
  </si>
  <si>
    <t>3035</t>
  </si>
  <si>
    <t>0813033</t>
  </si>
  <si>
    <t>3033</t>
  </si>
  <si>
    <t>0813035</t>
  </si>
  <si>
    <t>0813036</t>
  </si>
  <si>
    <t>3036</t>
  </si>
  <si>
    <t>1216011</t>
  </si>
  <si>
    <t>6011</t>
  </si>
  <si>
    <t>Експлуатація та технічне обслуговування житлового фонду</t>
  </si>
  <si>
    <t>0620</t>
  </si>
  <si>
    <t>1216017</t>
  </si>
  <si>
    <t>6017</t>
  </si>
  <si>
    <t>6013</t>
  </si>
  <si>
    <t>Забезпечення діяльності водопровідно-каналізаційного господарства</t>
  </si>
  <si>
    <t>1216030</t>
  </si>
  <si>
    <t>6030</t>
  </si>
  <si>
    <t>Організація благоустрою населених пунктів</t>
  </si>
  <si>
    <t>7426</t>
  </si>
  <si>
    <t>Інші заходи у сфері електротранспорту</t>
  </si>
  <si>
    <t>0453</t>
  </si>
  <si>
    <t>7461</t>
  </si>
  <si>
    <t>Утримання та розвиток автомобільних доріг та дорожньої інфраструктури за рахунок коштів місцевого бюджету</t>
  </si>
  <si>
    <t>0456</t>
  </si>
  <si>
    <t>1217640</t>
  </si>
  <si>
    <t>6020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</si>
  <si>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</si>
  <si>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0217680</t>
  </si>
  <si>
    <t>7680</t>
  </si>
  <si>
    <t>1216015</t>
  </si>
  <si>
    <t>6015</t>
  </si>
  <si>
    <t>Забезпечення надійної та безперебійної експлуатації ліфтів</t>
  </si>
  <si>
    <t>0443</t>
  </si>
  <si>
    <t>7310</t>
  </si>
  <si>
    <t>3617130</t>
  </si>
  <si>
    <t>7130</t>
  </si>
  <si>
    <t>0421</t>
  </si>
  <si>
    <t>2818311</t>
  </si>
  <si>
    <t>8311</t>
  </si>
  <si>
    <t>2818330</t>
  </si>
  <si>
    <t>8330</t>
  </si>
  <si>
    <t>Будівництвоˈ  освітніх установ та закладів</t>
  </si>
  <si>
    <t>1517321</t>
  </si>
  <si>
    <t>7321</t>
  </si>
  <si>
    <t>1517325</t>
  </si>
  <si>
    <t>7325</t>
  </si>
  <si>
    <t>1517330</t>
  </si>
  <si>
    <t>7330</t>
  </si>
  <si>
    <t>№ п/п</t>
  </si>
  <si>
    <t>Код КПКВ</t>
  </si>
  <si>
    <t>Заходи, на які виділяються кошти</t>
  </si>
  <si>
    <t>Проведення експертної грошової оцінки земельної ділянки несільськогосподарського призначення</t>
  </si>
  <si>
    <t>%</t>
  </si>
  <si>
    <t>Забезпечення діяльності інших закладів у сфері охорони здоров’я</t>
  </si>
  <si>
    <t>Інші програми та заходи у сфері охорони здоров’я</t>
  </si>
  <si>
    <t>0712151</t>
  </si>
  <si>
    <t>0712152</t>
  </si>
  <si>
    <t>2151</t>
  </si>
  <si>
    <t>2152</t>
  </si>
  <si>
    <t>0813192</t>
  </si>
  <si>
    <t>3192</t>
  </si>
  <si>
    <t>0813241</t>
  </si>
  <si>
    <t>0813242</t>
  </si>
  <si>
    <t>3241</t>
  </si>
  <si>
    <t>3242</t>
  </si>
  <si>
    <t>Забезпечення діяльності інших закладів у сфері соціального захисту і соціального забезпечення</t>
  </si>
  <si>
    <t>Інші заходи у сфері соціального захисту і соціального забезпечення</t>
  </si>
  <si>
    <t>1014081</t>
  </si>
  <si>
    <t>4081</t>
  </si>
  <si>
    <t>1014082</t>
  </si>
  <si>
    <t>4082</t>
  </si>
  <si>
    <t>Інші програми та заходи у сфері освіти</t>
  </si>
  <si>
    <t>7691</t>
  </si>
  <si>
    <t>0217691</t>
  </si>
  <si>
    <t>0610</t>
  </si>
  <si>
    <t>6084</t>
  </si>
  <si>
    <t>1116084</t>
  </si>
  <si>
    <t xml:space="preserve">Кошти від продажу земельних ділянок  несільськогосподарського призначення, що перебувають у державній або комунальній власності </t>
  </si>
  <si>
    <t xml:space="preserve">Дотація з місцевого бюджету на здійснення  переданих з державного бюджету видатків з утримання закладів освіти та охорони здоров"я за рахунок відповідної дотації з державного бюджету </t>
  </si>
  <si>
    <t xml:space="preserve">Дотації з місцевих бюджетів іншим місцевим бюджетам </t>
  </si>
  <si>
    <t>Амбулаторно-поліклінічна допомога населенню, крім первинної медичної допомоги</t>
  </si>
  <si>
    <t>0726</t>
  </si>
  <si>
    <t>3180</t>
  </si>
  <si>
    <t>0813180</t>
  </si>
  <si>
    <t>Проведення навчально-тренувальних зборів і змагань та заходів зі спорту осіб з інвалідністю</t>
  </si>
  <si>
    <t>7370</t>
  </si>
  <si>
    <t>1113133</t>
  </si>
  <si>
    <t>3133</t>
  </si>
  <si>
    <t>Інші заходи та заклади молодіжної політики</t>
  </si>
  <si>
    <t>Управління економіки Хмельницької міської ради (головний розпорядник)</t>
  </si>
  <si>
    <t>Управління економіки Хмельницької міської ради (відповідальний виконавець)</t>
  </si>
  <si>
    <t xml:space="preserve">Зовнішнє фінансування </t>
  </si>
  <si>
    <t xml:space="preserve">Позики, надані міжнародними організаціями </t>
  </si>
  <si>
    <t>Одержано позик</t>
  </si>
  <si>
    <t xml:space="preserve">Погашено позик </t>
  </si>
  <si>
    <t>Зовнішні запозичення</t>
  </si>
  <si>
    <t xml:space="preserve">Погашення </t>
  </si>
  <si>
    <t>0170</t>
  </si>
  <si>
    <t>9770</t>
  </si>
  <si>
    <t>Інші субвенції з місцевого бюджету</t>
  </si>
  <si>
    <t>6082</t>
  </si>
  <si>
    <t>Придбання житла для окремих категорій населення відповідно до законодавства</t>
  </si>
  <si>
    <t>0816082</t>
  </si>
  <si>
    <t>3617650</t>
  </si>
  <si>
    <t>7650</t>
  </si>
  <si>
    <t>Проведення експертної грошової оцінки земельної ділянки чи права на неї</t>
  </si>
  <si>
    <t>Організація та проведення громадських робіт</t>
  </si>
  <si>
    <t>3210</t>
  </si>
  <si>
    <t>1050</t>
  </si>
  <si>
    <t>Управління капітального будівництва Департаменту архітектури, містобудування та земельних ресурсів Хмельницької міської ради (головний розпорядник)</t>
  </si>
  <si>
    <t xml:space="preserve">Плата за встановлення земельного сервітуту </t>
  </si>
  <si>
    <t xml:space="preserve">Кошти за шкоду, що заподіяна на земельних ділянках державної та комунальної власності, які не надані у користування та не передані у власність, внаслідок їх самовільного зайняття, використання не за цільовим призначенням </t>
  </si>
  <si>
    <t>6012</t>
  </si>
  <si>
    <t>Забезпечення діяльності з виробництва, транспортування, постачання теплової енергії</t>
  </si>
  <si>
    <t>Найменування згідно з Класифікацією фінансування бюджету</t>
  </si>
  <si>
    <t xml:space="preserve">Фінансування за типом кредитора </t>
  </si>
  <si>
    <t>Загальне фінансування</t>
  </si>
  <si>
    <t>Х</t>
  </si>
  <si>
    <t xml:space="preserve">Фінансування за типом боргового зобов'язання </t>
  </si>
  <si>
    <t>Усього</t>
  </si>
  <si>
    <t>усього</t>
  </si>
  <si>
    <t>у тому числі бюджет розвитку</t>
  </si>
  <si>
    <t>загальний фонд</t>
  </si>
  <si>
    <t>спеціальний фонд</t>
  </si>
  <si>
    <t>разом</t>
  </si>
  <si>
    <t>Кредитування, усього</t>
  </si>
  <si>
    <t>Код Функціональної класифікації видатків та кредитування бюджету</t>
  </si>
  <si>
    <t>УСЬОГО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</si>
  <si>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</si>
  <si>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</si>
  <si>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</si>
  <si>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</si>
  <si>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</si>
  <si>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</si>
  <si>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</si>
  <si>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</si>
  <si>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</si>
  <si>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</si>
  <si>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</si>
  <si>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</si>
  <si>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(грн)</t>
  </si>
  <si>
    <t>Сума, грн</t>
  </si>
  <si>
    <t>Проведення науково-технічних конференцій і семінарів, організація виставок, фестивалів та інших заходів щодо пропаганди охорони навколишнього природного середовища, видання поліграфічної продукції з екологічної тематики тощо</t>
  </si>
  <si>
    <t>Рішення 19-ї сесії Хмельницької міської ради від 21.02.2001 року №6</t>
  </si>
  <si>
    <t>Рішення 11-ї сесії Хмельницької міської ради від 25.01.2017 року №20</t>
  </si>
  <si>
    <t>Рішення позачергової 10-ї сесії Хмельницької міської ради від 29.12.2016 року №1</t>
  </si>
  <si>
    <t>Оформлення передплати на газети організаціям інвалідів, ветеранів війни і праці, окремим категоріям громадян</t>
  </si>
  <si>
    <t>Рішення позачергової 10-ї сесії Хмельницької міської ради від 29.12.2016 року №4</t>
  </si>
  <si>
    <t>Рішення позачергової 10-ї сесії Хмельницької міської ради від 29.12.2016 року №2</t>
  </si>
  <si>
    <t>7413</t>
  </si>
  <si>
    <t>0451</t>
  </si>
  <si>
    <t>Інші заходи у сфері автотранспорту</t>
  </si>
  <si>
    <t>0810160</t>
  </si>
  <si>
    <t>0710160</t>
  </si>
  <si>
    <t>1510160</t>
  </si>
  <si>
    <t>3610160</t>
  </si>
  <si>
    <t>1610160</t>
  </si>
  <si>
    <t>3710160</t>
  </si>
  <si>
    <t>1210160</t>
  </si>
  <si>
    <t>2810160</t>
  </si>
  <si>
    <t>0817691</t>
  </si>
  <si>
    <t>1217691</t>
  </si>
  <si>
    <t>Рішення 21-ї сесії Хмельницької міської ради від 11.04.2018 року №11</t>
  </si>
  <si>
    <t>у тому числі  бюджет розвитку</t>
  </si>
  <si>
    <t>Офіційні трансферти</t>
  </si>
  <si>
    <t>0813210</t>
  </si>
  <si>
    <t>Рішення 27-ї сесії Хмельницької міської ради від 14.12.2018 року №16</t>
  </si>
  <si>
    <t>Рішення 27-ї сесії Хмельницької міської ради від 14.12.2018 року №13</t>
  </si>
  <si>
    <t>Забезпечення діяльності інклюзивно-ресурсних центрів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</si>
  <si>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</si>
  <si>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0613140</t>
  </si>
  <si>
    <t>3140</t>
  </si>
  <si>
    <t>1515043</t>
  </si>
  <si>
    <t>Створення нових, будівельно-ремонтні роботи існуючих палаців спорту та завершення розпочатих у попередньому періоді робіт з будівництва/реконструкції палаців спорту</t>
  </si>
  <si>
    <t>5043</t>
  </si>
  <si>
    <t>0717670</t>
  </si>
  <si>
    <t>Програма «Здоров’я хмельничан» на 2017-2021 роки (із змінами і доповненнями)</t>
  </si>
  <si>
    <t>2018 - 2022 роки</t>
  </si>
  <si>
    <t>1517370</t>
  </si>
  <si>
    <t xml:space="preserve">Субвенції з державного бюджету місцевим бюджетам </t>
  </si>
  <si>
    <t>Залишок коштів на 01.01.2020 року</t>
  </si>
  <si>
    <t>Видатки, що здійснюються згідно розпоряджень міського голови, рішень міської ради та її виконавчого комітету (в т.ч. оплата подарунків, квітів, сувенірної продукції, рамок, грамот, подяк, кубків і т.д)</t>
  </si>
  <si>
    <t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</t>
  </si>
  <si>
    <t>Республіки Крим, органами місцевого самоврядування і місцевими органами виконавчої влади</t>
  </si>
  <si>
    <t>Членські внески до асоціацій органів місцевого самоврядування</t>
  </si>
  <si>
    <t>Субвенція з місцевого бюджету на утримання об'єктів спільного користування чи ліквідацію негативних наслідків діяльності об'єктів спільного користування</t>
  </si>
  <si>
    <t>1900000</t>
  </si>
  <si>
    <t>1910000</t>
  </si>
  <si>
    <t>Управління транспорту та зв'язку Хмельницької міської ради (головний розпорядник)</t>
  </si>
  <si>
    <t>Управління транспорту та зв'язку Хмельницької міської ради (відповідальний виконавець)</t>
  </si>
  <si>
    <t>1910160</t>
  </si>
  <si>
    <t>Програма фінансової підтримки комунальної установи Хмельницької міської ради "Агенція розвитку Хмельницького" на 2019-2021 роки  (із змінами і доповненнями)</t>
  </si>
  <si>
    <t>Програма розвитку підприємництва міста Хмельницького на 2019-2021 роки  (із змінами і доповненнями)</t>
  </si>
  <si>
    <t>Програма створення та розвитку індустріального парку "Хмельницький"  (із змінами і доповненнями)</t>
  </si>
  <si>
    <t>Програма
бюджетування за участі громадськості (Бюджет участі) міста Хмельницького на 2020 - 2022 роки</t>
  </si>
  <si>
    <t>Рішення 32-ї сесії Хмельницької міської ради від 26.06.2019 року №9</t>
  </si>
  <si>
    <t>Реверсна дотація</t>
  </si>
  <si>
    <t>Обслуговування місцевого боргу</t>
  </si>
  <si>
    <t xml:space="preserve"> 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</si>
  <si>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Надання пільг населенню (крім ветеранів війни і праці, військової служби, органів внутрішніх справ та громадян, які постраждали внаслідок Чорнобильської катастрофи) на оплату житлово-комунальних послуг</t>
  </si>
  <si>
    <t>Надання реабілітаційних послуг особам з інвалідністю та дітям з інвалідністю</t>
  </si>
  <si>
    <t>Надання пільгових довгострокових кредитів молодим сім'ям та одиноким молодим громадянам на будівництво/придбання житла</t>
  </si>
  <si>
    <t>1118821</t>
  </si>
  <si>
    <t>1118822</t>
  </si>
  <si>
    <t>8821</t>
  </si>
  <si>
    <t>8822</t>
  </si>
  <si>
    <t>Здійснення заходів із землеустрою</t>
  </si>
  <si>
    <t>Будівництво Палацу спорту по вул.Прибузькій, 5/1а у м.Хмельницькому</t>
  </si>
  <si>
    <t>Будівництвоˈ інших об'єктів комунальної власності</t>
  </si>
  <si>
    <t>Забезпечення діяльності музеїв i виставок</t>
  </si>
  <si>
    <t>Забезпечення діяльності інших закладів в галузі культури і мистецтва</t>
  </si>
  <si>
    <t>Інші заходи в галузі культури і мистецтва</t>
  </si>
  <si>
    <t>Інша діяльність, пов’язана з експлуатацією об’єктів житлово-комунального господарства</t>
  </si>
  <si>
    <t>1917413</t>
  </si>
  <si>
    <t>1917426</t>
  </si>
  <si>
    <t>Будівництвоˈ об'єктів житлово-комунального господарства</t>
  </si>
  <si>
    <t>0512</t>
  </si>
  <si>
    <t>2818312</t>
  </si>
  <si>
    <t>8312</t>
  </si>
  <si>
    <t>Утилізація відходів</t>
  </si>
  <si>
    <t>Інша діяльність у сфері екології та охорони природних ресурсів</t>
  </si>
  <si>
    <t xml:space="preserve">     Виплата грошової винагороди у розмірі, передбаченому Положенням про звання "Почесний громадянин міста Хмельницького", Положенням "Про почесну відзнаку міської громади "Мужність і відвага""</t>
  </si>
  <si>
    <t>Надання грошової допомоги за поданням секретаря ради, або керуючого справами виконавчого комітету на підставі рішення виконавчого комітету Хмельницької міської ради для поховання:   загиблих та померлих учасників ООС; Почесних громадян міста; інших осіб.</t>
  </si>
  <si>
    <t>3.2.4.</t>
  </si>
  <si>
    <t>3.2.10.</t>
  </si>
  <si>
    <t>3.2.15.</t>
  </si>
  <si>
    <t xml:space="preserve">Субвенції з місцевих бюджетів іншим місцевим бюджетам </t>
  </si>
  <si>
    <t>Субвенція з місцевого бюджету на здійснення переданих видатків у сфері освіти за рахунок коштів освітньої субвенції</t>
  </si>
  <si>
    <t>0712144</t>
  </si>
  <si>
    <t>2144</t>
  </si>
  <si>
    <t>Централізовані заходи з лікування хворих на цукровий та нецукровий діабет</t>
  </si>
  <si>
    <t>0813050</t>
  </si>
  <si>
    <t>3050</t>
  </si>
  <si>
    <t>Пільгове медичне обслуговування осіб, які постраждали внаслідок Чорнобильської катастрофи</t>
  </si>
  <si>
    <t>0813090</t>
  </si>
  <si>
    <t>3090</t>
  </si>
  <si>
    <t>Видатки на поховання учасників бойових дій та осіб з інвалідністю внаслідок війни</t>
  </si>
  <si>
    <t>0813171</t>
  </si>
  <si>
    <t>3171</t>
  </si>
  <si>
    <t>Компенсаційні виплати особам з інвалідністю на бензин, ремонт, технічне обслуговування автомобілів, мотоколясок і на транспортне обслуговування</t>
  </si>
  <si>
    <t>2020 - 2021 роки</t>
  </si>
  <si>
    <t xml:space="preserve">Цільові фонди </t>
  </si>
  <si>
    <t>Усього доходів (без врахування міжбюджетних трансфертів)</t>
  </si>
  <si>
    <t>Рішення 34-ї сесії Хмельницької міської ради від 09.10.2019 року №38</t>
  </si>
  <si>
    <t>(код бюджету)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</si>
  <si>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</si>
  <si>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</si>
  <si>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Додаток 3</t>
  </si>
  <si>
    <t>УСЬОГО:</t>
  </si>
  <si>
    <t>Найменування місцевої / регіональної програми</t>
  </si>
  <si>
    <t>Дата і номер документа, яким затверджено місцеву / регіональну програму</t>
  </si>
  <si>
    <r>
      <t xml:space="preserve">1 </t>
    </r>
    <r>
      <rPr>
        <sz val="20"/>
        <rFont val="Times New Roman"/>
        <family val="1"/>
        <charset val="204"/>
      </rPr>
      <t>Будівни́цтво — будівництво, реконструкція і реставрація, капітальний ремонт об'єктів виробничої, комунікаційної та соціальної інфраструктури за рахунок власних коштів місцевих бюджетів.</t>
    </r>
  </si>
  <si>
    <t>Надання загальної середньої освіти спеціальними закладами загальної середньої освіти для дітей, які потребують корекції фізичного та/або розумового розвитку</t>
  </si>
  <si>
    <t>0611030</t>
  </si>
  <si>
    <t>Надання позашкільної освіти закладами позашкільної освіти, заходи із позашкільної роботи з дітьми</t>
  </si>
  <si>
    <t>Надання спеціальної освіти мистецькими школами</t>
  </si>
  <si>
    <t>Підготовка кадрів закладами професійної (професійно-технічної) освіти та іншими закладами освіти</t>
  </si>
  <si>
    <t>Забезпечення діяльності інших закладів у сфері освіти</t>
  </si>
  <si>
    <t>Повернення довгострокових кредитів, наданих громадянам на будівництво/реконструкцію/придбання житла</t>
  </si>
  <si>
    <t>1118842</t>
  </si>
  <si>
    <t>8842</t>
  </si>
  <si>
    <t>0712020</t>
  </si>
  <si>
    <t>Спеціалізована стаціонарна медична допомога населенню</t>
  </si>
  <si>
    <t>0732</t>
  </si>
  <si>
    <t>2020</t>
  </si>
  <si>
    <t>0719770</t>
  </si>
  <si>
    <t>5062</t>
  </si>
  <si>
    <t>Підтримка спорту вищих досягнень та організацій, які здійснюють фізкультурно-спортивну діяльність в регіоні</t>
  </si>
  <si>
    <t>1115062</t>
  </si>
  <si>
    <t>0219800</t>
  </si>
  <si>
    <t>9800</t>
  </si>
  <si>
    <t>Субвенція з місцевого бюджету державному бюджету на виконання програм соціально-економічного розвитку регіонів</t>
  </si>
  <si>
    <t>1517324</t>
  </si>
  <si>
    <t>7324</t>
  </si>
  <si>
    <t>8110</t>
  </si>
  <si>
    <t>Заходи із запобігання та ліквідації надзвичайних ситуацій та наслідків стихійного лиха</t>
  </si>
  <si>
    <t>8320</t>
  </si>
  <si>
    <t>Збереження природно-заповідного фонду</t>
  </si>
  <si>
    <t>2818320</t>
  </si>
  <si>
    <t>0520</t>
  </si>
  <si>
    <t>Біологічна меліорація водойм</t>
  </si>
  <si>
    <t>Найменування об’єкта будівництва / вид будівельних робіт, у тому числі проектні роботи</t>
  </si>
  <si>
    <t>Загальна тривалість будівництва (рік початку і завершення)</t>
  </si>
  <si>
    <t>Загальна вартість будівництва, гривень</t>
  </si>
  <si>
    <t>Рівень виконання робіт на початок бюджетного періоду, %</t>
  </si>
  <si>
    <t>Обсяг видатків бюджету розвитку, які спрямовуються на будівництво об'єкта у бюджетному періоді, гривень</t>
  </si>
  <si>
    <t>Рівень готовності об'єкта на кінець бюджетного періоду, %</t>
  </si>
  <si>
    <t>Придбання обладнання і предметів довгострокового користування</t>
  </si>
  <si>
    <t>Капітальний ремонт (зовнішнє опорядження та утеплення фасадів, заміна покрівлі) Хмельницького ДНЗ №21 "Ластівка" за адресою: вул. Сковороди, 31, м. Хмельницький</t>
  </si>
  <si>
    <t>Капітальний ремонт огорожі Хмельницького дошкільного навчального закладу №24 "Барвінок" по вул. Купріна, 54/1 в м. Хмельницькому</t>
  </si>
  <si>
    <t>2016 - 2020 роки</t>
  </si>
  <si>
    <t>Внески до статутного капіталу комунального підприємства "Хмельницька міська дитяча лікарня" Хмельницької міської ради (Придбання обладнання і предметів довгострокового користування)</t>
  </si>
  <si>
    <t>Внески до статутного капіталу комунального підприємства "Хмельницький міський лікувально-діагностичний центр" Хмельницької міської ради (Придбання обладнання і предметів довгострокового користування)</t>
  </si>
  <si>
    <t>Капітальний ремонт житлового фонду (приміщень)</t>
  </si>
  <si>
    <t>Капітальні трансферти населенню</t>
  </si>
  <si>
    <t>2017 - 2022 роки</t>
  </si>
  <si>
    <t>2018 - 2021 роки</t>
  </si>
  <si>
    <t xml:space="preserve">Капітальний ремонт житлового фонду </t>
  </si>
  <si>
    <t>Капітальні видатки, в т.ч.:</t>
  </si>
  <si>
    <t>капітальний ремонт прибудинкових територій</t>
  </si>
  <si>
    <t xml:space="preserve"> Капітальний ремонт зелених насаджень (омолодження дерев на вулицях міста)</t>
  </si>
  <si>
    <t xml:space="preserve"> </t>
  </si>
  <si>
    <t>Капітальний ремонт об’єктів благоустрою (мереж зовнішнього освітлення)</t>
  </si>
  <si>
    <t>Капітальний ремонт контейнерних майданчиків із встановленням підземних контейнерів</t>
  </si>
  <si>
    <t>Капітальний ремонт-розчистка русла річки Південний Буг від намулу, відкладів, завалів в межах міста Хмельницький  від вул.Трудової до вул.С.Бандери</t>
  </si>
  <si>
    <t>2019 - 2021 роки</t>
  </si>
  <si>
    <t>Внески до статутного капіталу МКП "Хмельницькводоканал" (Реконструкція ділянки водопроводу по вул. Північна в м.Хмельницький)</t>
  </si>
  <si>
    <t>Реставрація Хмельницького міського будинку культури по вул.Проскурівській, 43 в м. Хмельницькому</t>
  </si>
  <si>
    <r>
      <t xml:space="preserve">1 </t>
    </r>
    <r>
      <rPr>
        <sz val="10"/>
        <rFont val="Times New Roman"/>
        <family val="1"/>
        <charset val="204"/>
      </rPr>
      <t>Будівни́цтво — будівництво, реконструкція і реставрація, капітальний ремонт об'єктів виробничої, комунікаційної та соціальної інфраструктури за рахунок власних коштів місцевих бюджетів.</t>
    </r>
  </si>
  <si>
    <t>Внески до статутного капіталу комунального підприємства "Хмельницька інфекційна лікарня" Хмельницької міської ради (Придбання обладнання і предметів довгострокового користування)</t>
  </si>
  <si>
    <t>капітальний ремонт дитячих та спортивних майданчиків</t>
  </si>
  <si>
    <t>Реалізація громадських проєктів</t>
  </si>
  <si>
    <t>Внески до статутного капіталу ХКП "Спецкомунтранс" (Реконструкція полігону твердих побутових відходів з метою запобігання виникнення надзвичайної екологічної ситуації за адресою м. Хмельницький, вул. Проспект Миру, 7 розробка розділу "Проект  організації будівництва")</t>
  </si>
  <si>
    <t>2015 - 2022 роки</t>
  </si>
  <si>
    <t>Капітальний ремонт, відновлення зовнішньої штукатурки з подальшим оздобленням фасаду на вул. Курчатова, 1 Д, в м. Хмельницькому</t>
  </si>
  <si>
    <t>Капітальний ремонт ліфтів</t>
  </si>
  <si>
    <t xml:space="preserve">М. КРИВАК </t>
  </si>
  <si>
    <t xml:space="preserve">Начальник фінансового управління </t>
  </si>
  <si>
    <t xml:space="preserve">С. ЯМЧУК </t>
  </si>
  <si>
    <t xml:space="preserve">Начальник фінансового управління                                                                                                                                                                           С. ЯМЧУК </t>
  </si>
  <si>
    <t xml:space="preserve">Начальник фінансового управління                                                                                                                                                                                                            С. ЯМЧУК </t>
  </si>
  <si>
    <t xml:space="preserve">                    Секретар міської ради </t>
  </si>
  <si>
    <t xml:space="preserve">                                   Начальник фінансового управління                                                                                            Ю. САБІЙ</t>
  </si>
  <si>
    <t>2017-2021</t>
  </si>
  <si>
    <t>Програма поводження з побутовими відходами у м. Хмельницькому - Програма "Розумне довкілля Хмельницький" на 2020р.</t>
  </si>
  <si>
    <t>Рішення 36-ї сесії Хмельницької міської ради від 24.12.2019р (зі змінами)</t>
  </si>
  <si>
    <t>Доходи  бюджету Хмельницької міської територіальної громади  на 2021 рік</t>
  </si>
  <si>
    <t xml:space="preserve">Рентна плата та плата за використання ішших природних ресурсів </t>
  </si>
  <si>
    <t xml:space="preserve">Рентна плата за спеціальне використання лісових ресурсів </t>
  </si>
  <si>
    <t>Рентна плата за використання лісових ресурсів (крім рентної плати за спеціальне використання лісових ресурсів в частині деревини, заготовленої в порядку рубок головного користування)</t>
  </si>
  <si>
    <t xml:space="preserve">Рентна плата за користування надрами </t>
  </si>
  <si>
    <t xml:space="preserve">Рентна плата за користуваання надрами для видобудування корисних копалин загальнодержавного значення </t>
  </si>
  <si>
    <t>на 2021 рік</t>
  </si>
  <si>
    <t>Вільний залишок коштів на 01.01.2021  року:</t>
  </si>
  <si>
    <t>Внутрішні податки на товари та послуги</t>
  </si>
  <si>
    <t>Інші податки та збори</t>
  </si>
  <si>
    <t>Надходження  від викидів забруднюючих речовин в атмосферне повітря стаціонарними джерелами забруднення (за винятком викидів в атмосферне повітря двоокису вуглецю)</t>
  </si>
  <si>
    <t>Доходи від власності та підприємницької діяльності</t>
  </si>
  <si>
    <t>Частина чистого прибутку (доходу)  державних або кумунальних унітраних підприємств та їх обєднань, що вилучається до відповідного бюджету</t>
  </si>
  <si>
    <t>Плата за надання адміністративних послуг</t>
  </si>
  <si>
    <t>Надходження від орендної плати за користування цілісним майновим комплексом та іншим державним майном</t>
  </si>
  <si>
    <t xml:space="preserve">Кошти від реалізації скарбів, майна, одержаного державною або територіальною громадою  в порядку спадкування чи дарування, а також валютні цінності і грошові кошти, власники яких невідомі </t>
  </si>
  <si>
    <t xml:space="preserve">Єдиний податок з сільськогосподарських товаровиробників, у яких частка сільськогосподарського виробництва за попередній податковий (звітний) рік дорівнює або перевищує 75 відсотків </t>
  </si>
  <si>
    <t>Код бюджету - 22564000000</t>
  </si>
  <si>
    <t>Забезпечення екологічно безпечного збирання, перевезення, зберігання, оброблення, утилізації, видалення, знешкодження і захоронення відходів та небезпечних хімічних речовин, в тому числі ліквідація стихійних сміттєзвалищ</t>
  </si>
  <si>
    <t>Встановлення (поновлення) знаків - аншлагів, межових знаків на території об‘єктів природно-заповідного фонду</t>
  </si>
  <si>
    <t>Розроблення проекту організації території дендрологічного парку місцевого значення "Поділля"</t>
  </si>
  <si>
    <t>Наукові дослідження (лабораторні дослідження води водних об‘єктів)</t>
  </si>
  <si>
    <t>Розроблення програми моніторингу в галузі охорони атмосферного повітря</t>
  </si>
  <si>
    <t>Виготовлення та розміщення інформаційних листівок, екологічної реклами, відеороликів на тему "Розумне поводження з відходами"</t>
  </si>
  <si>
    <t xml:space="preserve">Реконструкція з надбудовою приміщень навчально-виховного комплексу №10 по вул. Водопровідній, 9А в м. Хмельницькому </t>
  </si>
  <si>
    <t>2018 - 2022роки</t>
  </si>
  <si>
    <t>2013 - 2022 роки</t>
  </si>
  <si>
    <t>1400000</t>
  </si>
  <si>
    <t>1410000</t>
  </si>
  <si>
    <t>1410160</t>
  </si>
  <si>
    <t>1410180</t>
  </si>
  <si>
    <t>1416012</t>
  </si>
  <si>
    <t>1416013</t>
  </si>
  <si>
    <t>1416020</t>
  </si>
  <si>
    <t>1416030</t>
  </si>
  <si>
    <t>1417310</t>
  </si>
  <si>
    <t>1417461</t>
  </si>
  <si>
    <t>1417640</t>
  </si>
  <si>
    <t>1417670</t>
  </si>
  <si>
    <t>1417691</t>
  </si>
  <si>
    <t>1418110</t>
  </si>
  <si>
    <t>1418120</t>
  </si>
  <si>
    <t>1418130</t>
  </si>
  <si>
    <t>8130</t>
  </si>
  <si>
    <t>Забезпечення діяльності місцевої пожежної охорони</t>
  </si>
  <si>
    <t>2020-2021 роки</t>
  </si>
  <si>
    <t>Капітальний ремонт прибудинкових територій</t>
  </si>
  <si>
    <t xml:space="preserve">Капітальний ремонт зони відпочинку навколо водойми в мікрорайоні "Озерна" в м.Хмельницький </t>
  </si>
  <si>
    <t>Капітальний ремонт атракціону "Колесо огляду" в парку культури та відпочинку ім. М. Чекмана м.Хмельницький</t>
  </si>
  <si>
    <t>Капітальний ремонт комунальних майданчиків для вигулу собак на території м. Хмельницького (в т.ч. ПКД та експертиза)</t>
  </si>
  <si>
    <t xml:space="preserve"> Реконструкція парку-пам"ятки садово-паркового мистецтва місцевого значення "Парк ім. М.Чекмана. Ділянка колеса огляду. </t>
  </si>
  <si>
    <t>2021р-</t>
  </si>
  <si>
    <t>Реставрація водонапірної бшти на вул. Балбачана, 18/1 в м.Хмельницькому</t>
  </si>
  <si>
    <t>Внески до статутного капіталу ХКП "Спецкомунтранс" (Реконструкція "Винос газопроводу високого тиску з тіла полігону твердих побутових відходів м.Хмельницького")</t>
  </si>
  <si>
    <t>2019-2021 роки</t>
  </si>
  <si>
    <t>2021 рік</t>
  </si>
  <si>
    <t>Внески до статутного капіталу ХКП "Спецкомунтранс"( "Капітальний ремонт частини нежитлового приміщення за адресою м. Хмельницький, вул. Марка Кропивницького, 6А")</t>
  </si>
  <si>
    <t>Внески до статутного капіталу МКП "Хмельницькводоканал" (Реконструкція каналізаційної мережі від ж.б.№4, 6 по вул.Деповська та ж.б. №63/2 по вул.Курчатова м.Хмельницький)</t>
  </si>
  <si>
    <t>Внески до статутного капіталу МКП "Хмельницькводоканал" (Будівництво зовнішніх мереж водопостачання вул.Ващука, вул.Ігнатенка, вул.Правика, вул.Кібенка, пров.Правика, пров, Ващука, пров. Кібенка житлового масиву"Прометей" в м.Хмельницький)</t>
  </si>
  <si>
    <t>Внески до статутного капіталу МКП "Хмельницькводоканал" (Будівництво вуличних мереж водовідведення по вул Черняховського у м.Хмельницький)</t>
  </si>
  <si>
    <t>Управління комунальної інфраструктури Хмельницької міської ради (головний розпорядник)</t>
  </si>
  <si>
    <t>Управління комунальної інфраструктури Хмельницької міської ради (відповідальний виконавець)</t>
  </si>
  <si>
    <t>Управління житлової політики і майна Хмельницької міської ради (головний розпорядник)</t>
  </si>
  <si>
    <t>Управління житлової політики і майна Хмельницької міської ради (відповідальний виконавець)</t>
  </si>
  <si>
    <t>Нове будівництво парку "Молодіжний" по вул. Бандери в м. Хмельницькому</t>
  </si>
  <si>
    <t>Індивідуальне навчання, оляг сиротам, субвенція на інелюзію</t>
  </si>
  <si>
    <t>Індивідуальне навчання, одяг сиротам</t>
  </si>
  <si>
    <t>Виплата 1810 грн сиротам при досягненні 18 років</t>
  </si>
  <si>
    <t>видатків бюджету Хмельницької міської територіальної громади на 2021 рік</t>
  </si>
  <si>
    <t>РОЗПОДІЛ</t>
  </si>
  <si>
    <t>витрат бюджету Хмельницької міської територіальної громади на реалізацію місцевих/регіональних програм у 2021 році</t>
  </si>
  <si>
    <t>Найменування головного розпорядника коштів бюджету  Хмельницької міської територіальної громади 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</si>
  <si>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доходів та видатків цільового фонду</t>
  </si>
  <si>
    <t>КОШТОРИС</t>
  </si>
  <si>
    <t>природоохоронних заходів,</t>
  </si>
  <si>
    <t>ПЕРЕЛІК</t>
  </si>
  <si>
    <t>бюджету Хмельницької міської територіальної громади у 2021 році</t>
  </si>
  <si>
    <t>КРЕДИТУВАННЯ</t>
  </si>
  <si>
    <t>ФІНАНСУВАННЯ</t>
  </si>
  <si>
    <t>бюджету Хмельницької міської територіальної громади на 2021 рік</t>
  </si>
  <si>
    <t>Найменування головного розпорядника коштів бюджету Хмельницької міської територіальної громади 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</si>
  <si>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22530000000</t>
  </si>
  <si>
    <t>Державний бюджет України</t>
  </si>
  <si>
    <t>МІЖБЮДЖЕТНІ ТРАНСФЕРТИ</t>
  </si>
  <si>
    <t>0219770</t>
  </si>
  <si>
    <t>22317200000</t>
  </si>
  <si>
    <t>Районний бюджет Хмельницького району</t>
  </si>
  <si>
    <t>Бюджет Красилівської міської територіальної громади</t>
  </si>
  <si>
    <t>22548000000</t>
  </si>
  <si>
    <t>Бюджет Заслучненської сільської територіальної громади</t>
  </si>
  <si>
    <t>22522000000</t>
  </si>
  <si>
    <t>Бюджет Чорноострівської селищної територіальної громади</t>
  </si>
  <si>
    <t xml:space="preserve">Капітальний ремонт водопостачання Хмельницької спеціалізованої загальноосвітньої школи №19 І-ІІІ ступенів імені академіка Михайла Павловського (в тому числі виготовлення проектно-кошторисної документації) </t>
  </si>
  <si>
    <t>Програма розвитку освіти Хмельницької міської територіальної громади на 2017-2021 роки (із змінами і доповненнями)</t>
  </si>
  <si>
    <t>Комплексна програма «Піклування» в Хмельницькій міській територіальній громаді на 2017 - 2021 роки (із змінами і доповненнями)</t>
  </si>
  <si>
    <t>Внески до статутного капіталу комунального підприємства "Хмельницька міська лікарня" Хмельницької міської ради (Капітальний ремонт приміщення другого поверху та центрального входу  відділення амбулаторного гемодіалізу  корпусу №4 комунального підприємства "Хмельницька міська лікарня" Хмельницької міської ради, за адресою: провулок  Проскурівський,1 м.Хмельницький)</t>
  </si>
  <si>
    <t xml:space="preserve">Внески до статутного капіталу комунального підприємства "Хмельницька інфекційна лікарня" Хмельницької міської ради (Капітальний ремонт (з замміною дверей) тераси корпусу №3 Хмельницької міської інфекційної лікарні по вул. Сковороди, 17)  (в тому числі виготовлення проектно-кошторисної документації) </t>
  </si>
  <si>
    <t>Внески до статутного капіталу комунального підприємства "Хмельницька міська дитяча лікарня" Хмельницької міської ради (Капітальний ремонт (заміна) двох лікарняних ліфтів в головному корпусі комунального підприємства "Хмельницька міська дитяча лікарня" Хмельницької міської ради за адресою: м.Хмельницький, вул. Степана Разіна,1)</t>
  </si>
  <si>
    <t>0210160</t>
  </si>
  <si>
    <t>Програма утримання та розвитку житлово-комунального господарства та благоустрою Хмельницької міської територіальної громади на 2017-2021 роки. (зі змінами)</t>
  </si>
  <si>
    <t>Рішення позачергової 10-ї сесії  Хмельницької міської ради від 29.12.2016 року № 6</t>
  </si>
  <si>
    <t>Рішення 42-ї сесії Хмельницької міської ради від 17.06.2020 року №39</t>
  </si>
  <si>
    <t xml:space="preserve"> Програма відшкодування частини відсоткових ставок та кредитів, отриманих ОСББ, ЖБК на впровадження відновлювальних джерел енергії та заходів з енергозбереження, термомодернізації багатоквартирних житлових будинків у м. Хмельницькому на 2019-2022 роки. </t>
  </si>
  <si>
    <t>Програма підтримки ОСББ Хмельницької міської територіальної громади на 2020 – 2023 роки.(зі змінами)</t>
  </si>
  <si>
    <t>Програма популяризації та ефективного впрвадження програм у сфері житлово-комунального господарства на 2019-2023 роки</t>
  </si>
  <si>
    <t>Громадський проєкт «МІКРО": Мобільна Інтерактивна Кімната Розвитку Особистості у бібліотеці» (видатки на капітальний ремонт приміщення бібліотеки-філії №9)</t>
  </si>
  <si>
    <t>Громадський проєкт «Творчий проєкт "ProArt"» (видатки на капітальний ремонт підлоги бібліотеки-філії №12)</t>
  </si>
  <si>
    <t>1019770</t>
  </si>
  <si>
    <t>Програма
підтримки обдарованих дітей м.Хмельницького</t>
  </si>
  <si>
    <t>Капітальний ремонт підліткового клубу "Мустанг" по вул. Старокостянтинівське шосе, 8</t>
  </si>
  <si>
    <t>Комплексна програма реалізації молодіжної політики та розвитку фізичної культури і спорту у Хмельницькій міській територіальній громаді на 2017 - 2021 роки (із змінами і доповненнями)</t>
  </si>
  <si>
    <t>Рішення 29-ї сесії Хмельницької міської ради від 13.02.2019 року №31</t>
  </si>
  <si>
    <t>Рішення 42-ї сесії Хмельницької міської ради від 17.06.2020 року №40</t>
  </si>
  <si>
    <t>Програма 
«Громадські ініціативи» м.Хмельницького на 2021-2025 роки</t>
  </si>
  <si>
    <t>Рішення позачергової 46-ї сесії Хмельницької міської ради від 07.10.2020 року №3</t>
  </si>
  <si>
    <t>Плата за гарантії, надані Верховною Радою Автономної Республіки    Крим та міськими радами</t>
  </si>
  <si>
    <t>коштів бюджету розвитку на здійснення заходів на будівництво, реконструкцію і реставрацію, капітальний ремонт об'єктів виробничої, комунікаційної та соціальної інфраструктури за об'єктами у 2021 році</t>
  </si>
  <si>
    <t>Додаток №5</t>
  </si>
  <si>
    <t>Додаток №7</t>
  </si>
  <si>
    <t>Додаток 8</t>
  </si>
  <si>
    <t>Додаток  9</t>
  </si>
  <si>
    <t>1. Показники міжбюджетних трансфертів з інших бюджетів</t>
  </si>
  <si>
    <t>Найменування трансферту /
Найменування бюджету – надавача міжбюджетного трансферту</t>
  </si>
  <si>
    <t>Код Класифікації доходу бюджету /
Код бюджету</t>
  </si>
  <si>
    <t>І. Трансферти до загального фонду бюджету</t>
  </si>
  <si>
    <t>ІІ. Трансферти до спеціального фонду бюджету</t>
  </si>
  <si>
    <t>УСЬОГО за розділами І, ІІ, у тому числі:</t>
  </si>
  <si>
    <t>2. Показники міжбюджетних трансфертів іншим бюджетам</t>
  </si>
  <si>
    <t>Код Програмної класифікації видатків та кредитування місцевого бюджету /
Код бюджету</t>
  </si>
  <si>
    <t>Найменування трансферту /
Найменування бюджету – отримувача міжбюджетного трансферту</t>
  </si>
  <si>
    <t>І. Трансферти із загального фонду бюджету</t>
  </si>
  <si>
    <t>ІІ. Трансферти із спеціального фонду бюджету</t>
  </si>
  <si>
    <t>3719110</t>
  </si>
  <si>
    <t>9110</t>
  </si>
  <si>
    <t>41033900</t>
  </si>
  <si>
    <t>41030000</t>
  </si>
  <si>
    <t>Програма розвитку та вдосконалення міського пасажирського транспорту  Хмельницької міської територіальної громади  на 2019 - 2023 роки</t>
  </si>
  <si>
    <t>1117670</t>
  </si>
  <si>
    <t>Виготовлення проєктно-кошторисної документації на реконструкцію футбольного поля під штучним покриттям по вул. Спортивній, 17</t>
  </si>
  <si>
    <t>Виготовлення проєктно-кошторисної документації на реконструкцію спортивного майданчика по вул.Кармелюка в м. Хмельницькому</t>
  </si>
  <si>
    <t>Капітальний ремонт огорожі ДНЗ №35 (в тому числі виготовлення проектно-кошторисної документації)</t>
  </si>
  <si>
    <t>Внески до статутного капіталу комунального підприємства "Хмельницька міська дитяча лікарня" Хмельницької міської ради (Реконструкція відділення невідкладної допомоги та реанімації комунального підприємства "Хмельницька міська дитяча лікарня" Хмельницької міської ради за адресою: м. Хмельницький, вул. Степана Разіна, 1)</t>
  </si>
  <si>
    <t>2019 - 2023 роки</t>
  </si>
  <si>
    <t>Внески до статутного капіталу комунального підприємства "Хмельницький міський лікувально-діагностичний центр" Хмельницької міської ради (Капітальний ремонт санвузла першого поверху Поліклініки №1 КП "Хмельницький міський лікувально-діагностичний центр" Хмельницької міської ради по вул. Подільська, 54 у м. Хмельницькому)</t>
  </si>
  <si>
    <t>Внески до статутного капіталу комунального підприємства "Хмельницька міська лікарня" Хмельницької міської ради (Придбання обладнання і предметів довгострокового користування)</t>
  </si>
  <si>
    <t>Внески до статутного капіталу комунального підприємства "Хмельницька міська лікарня" Хмельницької міської ради (Капітальний ремонт сантехнічних вузлів першого поверху корпусу №1 комунального підприємства "Хмельницька міська лікарня" за адресою: м.Хмельницький, пров. Проскурівський, 1)</t>
  </si>
  <si>
    <t>22100000000</t>
  </si>
  <si>
    <t>Обласний бюджет Хмельницької області</t>
  </si>
  <si>
    <t>41040000</t>
  </si>
  <si>
    <t>41040200</t>
  </si>
  <si>
    <t>41050000</t>
  </si>
  <si>
    <t xml:space="preserve">Субвеції з місцевих бюджетів іншим місцевим бюджетам </t>
  </si>
  <si>
    <t>41051000</t>
  </si>
  <si>
    <t xml:space="preserve">Субвенції з місцевого бюджету на здійснення переданих видатків у сфері освіти за рахунок коштів освітньої субвенції </t>
  </si>
  <si>
    <t>41051200</t>
  </si>
  <si>
    <t>41055000</t>
  </si>
  <si>
    <t xml:space="preserve">Освітня субвенція  </t>
  </si>
  <si>
    <t xml:space="preserve">Дотація з місцевого бюджету на здійснення переданих з державного бюджету видатків з утримання закладів освіти та охорони здоров'я за рахунок відповідної дотації з державного бюджету </t>
  </si>
  <si>
    <t xml:space="preserve">Субвенції з місцевого бюджету на здійснення підтримки окремих закладів та заходів у системі охорони здоров'я за рахунок відповідної субвенції з державного бюджету </t>
  </si>
  <si>
    <t>Капітальний ремонт спортивного майданчика біля водойми в мікрорайоні Озерна м.Хмельницький</t>
  </si>
  <si>
    <t>Капітальний ремонт дитячого майданчика в парку мікрорайону Ракове м. Хмельницький</t>
  </si>
  <si>
    <t>Капітальний ремонт дитячого майданчикабіля житлового будинку №12 на вул.Кармелюка в м.Хмельницькому</t>
  </si>
  <si>
    <t>Внески до статутного капіталу МКП "Хмельницькводоканал" (Будівництво вуличних мереж водопостачання, мікрорайон "Лезневе" у м.Хмельницький)</t>
  </si>
  <si>
    <t>Внески до статутного капіталу МКП "Хмельницькводоканал" (Капітальний ремонт вуличних мереж водопроводу центральної частини с.Пирогівці Хмельницької міської територіальної громади)</t>
  </si>
  <si>
    <t>Внески до статутного капіталу МКП "Хмельницькводоканал" (Реконструкція очисних споруд продуктивністю 200 куб.м. /добу ст. Богданівці Хмельницької міської територіальної громади)</t>
  </si>
  <si>
    <t xml:space="preserve">Субвенція з місцевого бюджету на здійснення підтримки окремих закладів та заходів у системі охорони здоров"я за рахунок відповідної субвенції з державного бюджету </t>
  </si>
  <si>
    <r>
      <t>Разом  доходів (</t>
    </r>
    <r>
      <rPr>
        <b/>
        <sz val="12"/>
        <rFont val="Times New Roman"/>
        <family val="1"/>
        <charset val="204"/>
      </rPr>
      <t>з врахуванням міжбюджетних трансфертів)</t>
    </r>
  </si>
  <si>
    <t xml:space="preserve">Витрати на виконання Програми підтримки ОСББ Хмельницької міської територіальної громади  на 2020-2023 роки </t>
  </si>
  <si>
    <t xml:space="preserve"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 </t>
  </si>
  <si>
    <t>Внески до статутного капіталу комунального підприємства "Хмельницький міський перинатальний центр" Хмельницької міської ради (Придбання обладнання і предметів довгострокового користування)</t>
  </si>
  <si>
    <t xml:space="preserve">Пальне </t>
  </si>
  <si>
    <t>Акцизний податок з вироблених в Україні підакцизних товарів (продукції)</t>
  </si>
  <si>
    <t>Акцизний податок з ввезених на митну територію  України підакцизних товарів (продукції)</t>
  </si>
  <si>
    <t>0210170</t>
  </si>
  <si>
    <t>0131</t>
  </si>
  <si>
    <t>Підвищення кваліфікації депутатів місцевих рад та посадових осіб місцевого самоврядування</t>
  </si>
  <si>
    <r>
      <t>Будівництво</t>
    </r>
    <r>
      <rPr>
        <b/>
        <vertAlign val="superscript"/>
        <sz val="36"/>
        <rFont val="Times New Roman"/>
        <family val="1"/>
        <charset val="204"/>
      </rPr>
      <t>1</t>
    </r>
    <r>
      <rPr>
        <sz val="36"/>
        <rFont val="Times New Roman"/>
        <family val="1"/>
        <charset val="204"/>
      </rPr>
      <t>  об'єктів житлово-комунального господарства</t>
    </r>
  </si>
  <si>
    <r>
      <t>Будівництво</t>
    </r>
    <r>
      <rPr>
        <b/>
        <vertAlign val="superscript"/>
        <sz val="36"/>
        <rFont val="Times New Roman"/>
        <family val="1"/>
        <charset val="204"/>
      </rPr>
      <t>1</t>
    </r>
    <r>
      <rPr>
        <sz val="36"/>
        <rFont val="Times New Roman"/>
        <family val="1"/>
        <charset val="204"/>
      </rPr>
      <t>  освітніх установ та закладів</t>
    </r>
  </si>
  <si>
    <r>
      <t>Будівництво</t>
    </r>
    <r>
      <rPr>
        <b/>
        <vertAlign val="superscript"/>
        <sz val="36"/>
        <rFont val="Times New Roman"/>
        <family val="1"/>
        <charset val="204"/>
      </rPr>
      <t>1</t>
    </r>
    <r>
      <rPr>
        <sz val="36"/>
        <rFont val="Times New Roman"/>
        <family val="1"/>
        <charset val="204"/>
      </rPr>
      <t>  установ та закладів культури</t>
    </r>
  </si>
  <si>
    <r>
      <t>Будівництво</t>
    </r>
    <r>
      <rPr>
        <b/>
        <vertAlign val="superscript"/>
        <sz val="36"/>
        <rFont val="Times New Roman"/>
        <family val="1"/>
        <charset val="204"/>
      </rPr>
      <t>1</t>
    </r>
    <r>
      <rPr>
        <sz val="36"/>
        <rFont val="Times New Roman"/>
        <family val="1"/>
        <charset val="204"/>
      </rPr>
      <t>  споруд, установ та закладів фізичної культури і спорту</t>
    </r>
  </si>
  <si>
    <r>
      <t>Будівництво</t>
    </r>
    <r>
      <rPr>
        <b/>
        <vertAlign val="superscript"/>
        <sz val="36"/>
        <rFont val="Times New Roman"/>
        <family val="1"/>
        <charset val="204"/>
      </rPr>
      <t>1</t>
    </r>
    <r>
      <rPr>
        <sz val="36"/>
        <rFont val="Times New Roman"/>
        <family val="1"/>
        <charset val="204"/>
      </rPr>
      <t> інших об'єктів комунальної власності</t>
    </r>
  </si>
  <si>
    <t>1210170</t>
  </si>
  <si>
    <t>0810170</t>
  </si>
  <si>
    <t>1410170</t>
  </si>
  <si>
    <t>1510170</t>
  </si>
  <si>
    <t>1610170</t>
  </si>
  <si>
    <t>1910170</t>
  </si>
  <si>
    <t>2810170</t>
  </si>
  <si>
    <t>3710170</t>
  </si>
  <si>
    <t>Надання фінансової підтримки громадським об'єднанням ветеранів і осіб з інвалідністю, діяльність яких має соціальну спрямованість</t>
  </si>
  <si>
    <t>1011080</t>
  </si>
  <si>
    <t>1080</t>
  </si>
  <si>
    <t>Утримання та забезпечення діяльності центрів соціальних служб</t>
  </si>
  <si>
    <t>Витрати, пов’язані з наданням та обслуговуванням пільгових довгострокових кредитів, наданих громадянам на будівництво/реконструкцію/ придбання житла</t>
  </si>
  <si>
    <t>Резервний фонд місцевого бюджету</t>
  </si>
  <si>
    <t>0611021</t>
  </si>
  <si>
    <t>1021</t>
  </si>
  <si>
    <t>Надання загальної середньої освіти закладами загальної середньої освіти</t>
  </si>
  <si>
    <t>Надання загальної середньої освіти за рахунок коштів місцевого бюджету</t>
  </si>
  <si>
    <t>0611200</t>
  </si>
  <si>
    <t>1200</t>
  </si>
  <si>
    <t>Надання освіти за рахунок субвенції з державного бюджету місцевим бюджетам на надання державної підтримки особам з особливими освітніми потребами</t>
  </si>
  <si>
    <t>0611160</t>
  </si>
  <si>
    <t>1160</t>
  </si>
  <si>
    <t>Забезпечення діяльності центрів професійного розвитку педагогічних працівників</t>
  </si>
  <si>
    <t>0611022</t>
  </si>
  <si>
    <t>1022</t>
  </si>
  <si>
    <t>0611180</t>
  </si>
  <si>
    <t>1180</t>
  </si>
  <si>
    <t>Виконання заходів, спрямованих на забезпечення якісної, сучасної та доступної загальної середньої освіти «Нова українська школа»</t>
  </si>
  <si>
    <t>0611181</t>
  </si>
  <si>
    <t>1181</t>
  </si>
  <si>
    <t>Співфінансування заходів, що реалізуються за рахунок субвенції з державного бюджету місцевим бюджетам на забезпечення якісної, сучасної та доступної загальної середньої освіти "Нова українська школа"</t>
  </si>
  <si>
    <t>Надання загальної середньої освіти за рахунок освітньої субвенції</t>
  </si>
  <si>
    <t>0611031</t>
  </si>
  <si>
    <t>1031</t>
  </si>
  <si>
    <t>0611070</t>
  </si>
  <si>
    <t>0611091</t>
  </si>
  <si>
    <t>1091</t>
  </si>
  <si>
    <t>Підготовка кадрів закладами професійної (професійно-технічної) освіти та іншими закладами освіти за рахунок коштів місцевого бюджету</t>
  </si>
  <si>
    <t>1092</t>
  </si>
  <si>
    <t>0611092</t>
  </si>
  <si>
    <t>Підготовка кадрів закладами професійної (професійно-технічної) освіти та іншими закладами освіти за рахунок освітньої субвенції</t>
  </si>
  <si>
    <t>1140</t>
  </si>
  <si>
    <t>0611140</t>
  </si>
  <si>
    <t>Інші програми, заклади та заходи у сфері освіти</t>
  </si>
  <si>
    <t>0611141</t>
  </si>
  <si>
    <t>1141</t>
  </si>
  <si>
    <t>0611142</t>
  </si>
  <si>
    <t>1142</t>
  </si>
  <si>
    <t>0611150</t>
  </si>
  <si>
    <t>1150</t>
  </si>
  <si>
    <t>0611151</t>
  </si>
  <si>
    <t>1151</t>
  </si>
  <si>
    <t>Забезпечення діяльності інклюзивно-ресурсних центрів за рахунок коштів місцевого бюджету</t>
  </si>
  <si>
    <t>0611152</t>
  </si>
  <si>
    <t>1152</t>
  </si>
  <si>
    <t>Забезпечення діяльності інклюзивно-ресурсних центрів за рахунок освітньої субвенції</t>
  </si>
  <si>
    <t>0210100</t>
  </si>
  <si>
    <t>0100</t>
  </si>
  <si>
    <t>Державне управління</t>
  </si>
  <si>
    <t>0217500</t>
  </si>
  <si>
    <t>7500</t>
  </si>
  <si>
    <t>Зв'язок, телекомунікації та інформатика</t>
  </si>
  <si>
    <t>Інші програми та заходи, пов'язані з економічною діяльністю</t>
  </si>
  <si>
    <t>0217600</t>
  </si>
  <si>
    <t>7600</t>
  </si>
  <si>
    <t>Інша економічна діяльність</t>
  </si>
  <si>
    <t>0217690</t>
  </si>
  <si>
    <t>7690</t>
  </si>
  <si>
    <t>0218000</t>
  </si>
  <si>
    <t>8000</t>
  </si>
  <si>
    <t>Інша діяльність</t>
  </si>
  <si>
    <t>0218400</t>
  </si>
  <si>
    <t>8400</t>
  </si>
  <si>
    <t>Засоби масової інформації</t>
  </si>
  <si>
    <t>0219000</t>
  </si>
  <si>
    <t>9000</t>
  </si>
  <si>
    <t>Міжбюджетні трансферти</t>
  </si>
  <si>
    <t>0219700</t>
  </si>
  <si>
    <t>9700</t>
  </si>
  <si>
    <t>Субвенції з місцевого бюджету іншим місцевим бюджетам на здійснення програм та заходів за рахунок коштів місцевих бюджетів</t>
  </si>
  <si>
    <t>0611000</t>
  </si>
  <si>
    <t>1000</t>
  </si>
  <si>
    <t>Освіта</t>
  </si>
  <si>
    <t>0613000</t>
  </si>
  <si>
    <t>3000</t>
  </si>
  <si>
    <t>Соціальний захист та соціальне забезпечення</t>
  </si>
  <si>
    <t>0710100</t>
  </si>
  <si>
    <t>0712000</t>
  </si>
  <si>
    <t>2000</t>
  </si>
  <si>
    <t>Охорона здоров’я</t>
  </si>
  <si>
    <t>0712110</t>
  </si>
  <si>
    <t>2110</t>
  </si>
  <si>
    <t>Первинна медична допомога населенню</t>
  </si>
  <si>
    <t>0712140</t>
  </si>
  <si>
    <t>2140</t>
  </si>
  <si>
    <t>Програми і централізовані заходи у галузі охорони здоров’я</t>
  </si>
  <si>
    <t>0712150</t>
  </si>
  <si>
    <t>2150</t>
  </si>
  <si>
    <t>Інші програми, заклади та заходи у сфері охорони здоров’я</t>
  </si>
  <si>
    <t>0717600</t>
  </si>
  <si>
    <r>
      <t>Будівництво</t>
    </r>
    <r>
      <rPr>
        <b/>
        <vertAlign val="superscript"/>
        <sz val="11"/>
        <rFont val="Times New Roman"/>
        <family val="1"/>
        <charset val="204"/>
      </rPr>
      <t>1</t>
    </r>
    <r>
      <rPr>
        <sz val="11"/>
        <rFont val="Times New Roman"/>
        <family val="1"/>
        <charset val="204"/>
      </rPr>
      <t>  установ та закладів культури</t>
    </r>
  </si>
  <si>
    <t>0810100</t>
  </si>
  <si>
    <t>0813000</t>
  </si>
  <si>
    <t>0813030</t>
  </si>
  <si>
    <t>3030</t>
  </si>
  <si>
    <t>Надання пільг з оплати послуг зв’язку, інших передбачених законодавством пільг окремим категоріям громадян та компенсації за пільговий проїзд окремих категорій громадян</t>
  </si>
  <si>
    <t>0813100</t>
  </si>
  <si>
    <t>3100</t>
  </si>
  <si>
    <t>Надання соціальних та реабілітаційних послуг громадянам похилого віку, особам з інвалідністю, дітям з інвалідністю в установах соціального обслуговування</t>
  </si>
  <si>
    <t>0813190</t>
  </si>
  <si>
    <t>3190</t>
  </si>
  <si>
    <t>Соціальний захист ветеранів війни та праці</t>
  </si>
  <si>
    <t>0813200</t>
  </si>
  <si>
    <t>3200</t>
  </si>
  <si>
    <t>Забезпечення обробки інформації з нарахування та виплати допомог і компенсацій</t>
  </si>
  <si>
    <t>0813240</t>
  </si>
  <si>
    <t>3240</t>
  </si>
  <si>
    <t xml:space="preserve"> Інші заклади та заходи</t>
  </si>
  <si>
    <t>0816000</t>
  </si>
  <si>
    <t>6000</t>
  </si>
  <si>
    <t>Житлово-комунальне господарство</t>
  </si>
  <si>
    <t>0816080</t>
  </si>
  <si>
    <t>6080</t>
  </si>
  <si>
    <t>Реалізація державних та місцевих житлових програм</t>
  </si>
  <si>
    <t>0217000</t>
  </si>
  <si>
    <t>7000</t>
  </si>
  <si>
    <t xml:space="preserve"> Економічна діяльність</t>
  </si>
  <si>
    <t>0717000</t>
  </si>
  <si>
    <t>0817000</t>
  </si>
  <si>
    <t>0817690</t>
  </si>
  <si>
    <t>0817600</t>
  </si>
  <si>
    <t>1011000</t>
  </si>
  <si>
    <t>1014000</t>
  </si>
  <si>
    <t>4000</t>
  </si>
  <si>
    <t>Культура i мистецтво</t>
  </si>
  <si>
    <t>1014080</t>
  </si>
  <si>
    <t>4080</t>
  </si>
  <si>
    <t>Інші заклади та заходи в галузі культури і мистецтва</t>
  </si>
  <si>
    <t>1019000</t>
  </si>
  <si>
    <t>1019700</t>
  </si>
  <si>
    <t>1113000</t>
  </si>
  <si>
    <t>1113120</t>
  </si>
  <si>
    <t>3120</t>
  </si>
  <si>
    <t>Здійснення соціальної роботи з вразливими категоріями населення</t>
  </si>
  <si>
    <t>1113130</t>
  </si>
  <si>
    <t>3130</t>
  </si>
  <si>
    <t>Реалізація державної політики у молодіжній сфері</t>
  </si>
  <si>
    <t>1115000</t>
  </si>
  <si>
    <t>5000</t>
  </si>
  <si>
    <t xml:space="preserve"> Фiзична культура i спорт</t>
  </si>
  <si>
    <t>1115010</t>
  </si>
  <si>
    <t>5010</t>
  </si>
  <si>
    <t>Проведення спортивної роботи в регіоні</t>
  </si>
  <si>
    <t>1115020</t>
  </si>
  <si>
    <t>5020</t>
  </si>
  <si>
    <t>Здійснення фізкультурно-спортивної та реабілітаційної роботи серед осіб з інвалідністю</t>
  </si>
  <si>
    <t>1115030</t>
  </si>
  <si>
    <t>5030</t>
  </si>
  <si>
    <t xml:space="preserve"> Розвиток дитячо-юнацького та резервного спорту</t>
  </si>
  <si>
    <t>1115060</t>
  </si>
  <si>
    <t>5060</t>
  </si>
  <si>
    <t>Інші заходи з розвитку фізичної культури та спорту</t>
  </si>
  <si>
    <t>1116000</t>
  </si>
  <si>
    <t>1116080</t>
  </si>
  <si>
    <t>1117000</t>
  </si>
  <si>
    <t>1117600</t>
  </si>
  <si>
    <t>1210100</t>
  </si>
  <si>
    <t>1216000</t>
  </si>
  <si>
    <t>1216010</t>
  </si>
  <si>
    <t>6010</t>
  </si>
  <si>
    <t>Утримання та ефективна експлуатація об’єктів житлово-комунального господарства</t>
  </si>
  <si>
    <t>1217000</t>
  </si>
  <si>
    <t>Економічна діяльність</t>
  </si>
  <si>
    <t>1217600</t>
  </si>
  <si>
    <t>1217690</t>
  </si>
  <si>
    <t xml:space="preserve"> Інша економічна діяльність</t>
  </si>
  <si>
    <t>1410100</t>
  </si>
  <si>
    <t>1416000</t>
  </si>
  <si>
    <t>1416010</t>
  </si>
  <si>
    <t>1417000</t>
  </si>
  <si>
    <t>1417300</t>
  </si>
  <si>
    <t>7300</t>
  </si>
  <si>
    <t>Будівництво та регіональний розвиток</t>
  </si>
  <si>
    <t>1417400</t>
  </si>
  <si>
    <t>7400</t>
  </si>
  <si>
    <t>Транспорт та транспортна інфраструктура, дорожнє господарство</t>
  </si>
  <si>
    <t>1417600</t>
  </si>
  <si>
    <t>1417690</t>
  </si>
  <si>
    <t>1418000</t>
  </si>
  <si>
    <t>Захист населення і територій від надзвичайних ситуацій техногенного та природного характеру</t>
  </si>
  <si>
    <t>1418100</t>
  </si>
  <si>
    <t>8100</t>
  </si>
  <si>
    <t>1510100</t>
  </si>
  <si>
    <t>1515000</t>
  </si>
  <si>
    <t>1515040</t>
  </si>
  <si>
    <t>5040</t>
  </si>
  <si>
    <t>Підтримка і розвиток спортивної інфраструктури</t>
  </si>
  <si>
    <t>1517000</t>
  </si>
  <si>
    <t>1517300</t>
  </si>
  <si>
    <t>1517320</t>
  </si>
  <si>
    <t>7320</t>
  </si>
  <si>
    <r>
      <t>Будівництво</t>
    </r>
    <r>
      <rPr>
        <b/>
        <i/>
        <vertAlign val="superscript"/>
        <sz val="36"/>
        <rFont val="Times New Roman"/>
        <family val="1"/>
        <charset val="204"/>
      </rPr>
      <t>1</t>
    </r>
    <r>
      <rPr>
        <i/>
        <sz val="36"/>
        <rFont val="Times New Roman"/>
        <family val="1"/>
        <charset val="204"/>
      </rPr>
      <t>  об'єктів соціально-культурного призначення</t>
    </r>
  </si>
  <si>
    <t>1610100</t>
  </si>
  <si>
    <t>1910100</t>
  </si>
  <si>
    <t>1917000</t>
  </si>
  <si>
    <t>1917400</t>
  </si>
  <si>
    <t>1917420</t>
  </si>
  <si>
    <t>7420</t>
  </si>
  <si>
    <t>Забезпечення надання послуг з перевезення пасажирів електротранспортом</t>
  </si>
  <si>
    <t>2717000</t>
  </si>
  <si>
    <t>2717600</t>
  </si>
  <si>
    <t>2717690</t>
  </si>
  <si>
    <t>2810100</t>
  </si>
  <si>
    <t>2818000</t>
  </si>
  <si>
    <t>2818300</t>
  </si>
  <si>
    <t>8300</t>
  </si>
  <si>
    <t>Охорона навколишнього природного середовища</t>
  </si>
  <si>
    <t>2818310</t>
  </si>
  <si>
    <t>8310</t>
  </si>
  <si>
    <t xml:space="preserve"> Запобігання та ліквідація забруднення навколишнього природного середовища</t>
  </si>
  <si>
    <t>3610100</t>
  </si>
  <si>
    <t>3617000</t>
  </si>
  <si>
    <t>3617100</t>
  </si>
  <si>
    <t>7100</t>
  </si>
  <si>
    <t>Сільське, лісове, рибне господарство та мисливство</t>
  </si>
  <si>
    <t>3617600</t>
  </si>
  <si>
    <t xml:space="preserve"> Інші програми та заходи, пов'язані з економічною діяльністю</t>
  </si>
  <si>
    <t>3710100</t>
  </si>
  <si>
    <t>3718000</t>
  </si>
  <si>
    <t>Резервний фонд</t>
  </si>
  <si>
    <t>3719000</t>
  </si>
  <si>
    <t>Дотації з місцевого бюджету іншим бюджетам</t>
  </si>
  <si>
    <t>9100</t>
  </si>
  <si>
    <t>1118000</t>
  </si>
  <si>
    <t xml:space="preserve"> Інша діяльність</t>
  </si>
  <si>
    <t>1118800</t>
  </si>
  <si>
    <t>8800</t>
  </si>
  <si>
    <t>Кредитування</t>
  </si>
  <si>
    <t>1118820</t>
  </si>
  <si>
    <t>8820</t>
  </si>
  <si>
    <t>Внески до статутного капіталу МКП "Хмельницькводоканал" (Придбання поліетиленових труб )</t>
  </si>
  <si>
    <t>Програма цифрового розвитку на 2021-2025 роки</t>
  </si>
  <si>
    <t>Рішення 2-ї сесії Хмельницької міської ради від 23.12.2020 року №22</t>
  </si>
  <si>
    <t>Програма висвітлення діяльності Хмельницької міської ради та її виконавчих органів на 2021 рік</t>
  </si>
  <si>
    <t>Рішення 2-ї сесії Хмельницької міської ради від 23.12.2020 року №7</t>
  </si>
  <si>
    <t xml:space="preserve">Цільова програма попередження виникнення надзвичайних ситуацій та забезпечення  пожежної і техногенної безпеки об'єктів усіх форм власності, розвитку інфраструктури пожежно-рятувальних підрозділів на території Хмельницької міської територіальної громади на 2021-2025 роки </t>
  </si>
  <si>
    <t>Рішення 2-ї сесії Хмельницької міської ради від 23.12.2020 року №9</t>
  </si>
  <si>
    <t>Програма економічного і соціального розвитку Хмельницької міської територіальної громади на 2021 рік</t>
  </si>
  <si>
    <t>Рішення 2-ї сесії Хмельницької міської ради від 23.12.2020 року №10</t>
  </si>
  <si>
    <t>Програма міжнародного співробітництва та промоції Хмельницької міської територіальної громади на 2021-2025 роки</t>
  </si>
  <si>
    <t>Рішення 2-ї сесії Хмельницької міської ради від 23.12.2020 року №11</t>
  </si>
  <si>
    <t>Програма підтримки книговидання та читацької культури у Хмельницькій міській територіальній громаді на 2021-2025 роки «#ЩодняЧитай українською»</t>
  </si>
  <si>
    <t>Рішення 2-ї сесії Хмельницької міської ради від 23.12.2020 року №31</t>
  </si>
  <si>
    <t>Програма розвитку Хмельницької міської територіальної громади у сфері культури на 2021-2025 роки "Нова лінія культурних змін"</t>
  </si>
  <si>
    <t>Рішення 2-ї сесії Хмельницької міської ради від 23.12.2020 року №32</t>
  </si>
  <si>
    <t>Програма 
підтримки сім'ї на 2021-2025 рр.</t>
  </si>
  <si>
    <t>Рішення 2-ї сесії Хмельницької міської ради від 23.12.2020 року №33</t>
  </si>
  <si>
    <t>Програма соціальної підтримки учасників АТО/ООС, учасників Революції Гідності та членів їх сімей на 2021 - 2025 роки</t>
  </si>
  <si>
    <t>Рішення 2-ї сесії Хмельницької міської ради від 23.12.2020 року №36</t>
  </si>
  <si>
    <t>Рішення 2-ї сесії Хмельницької міської ради від 23.12.2020 року №47</t>
  </si>
  <si>
    <t>Програма забезпечення діяльності Хмельницького міського комунального підприємства "Муніципальна дружина" на 2021 - 2022 роки</t>
  </si>
  <si>
    <t>Програма розвитку, підтримки комунальних закладів охорони здоров’я та надання 
медичних послуг понад обсяг, передбачений програмою державних гарантій медичного обслуговування населення Хмельницької міської 
територіальної громади на 2021 - 2023 роки</t>
  </si>
  <si>
    <t>Рішення 2-ї сесії Хмельницької міської ради від 23.12.2020 року №50</t>
  </si>
  <si>
    <t>Програма забезпечення надання адміністративних послуг територіальних органів Міністерства внутрішніх справ України через управління адміністративних послуг Хмельницької міської ради на 2021 рік</t>
  </si>
  <si>
    <t>Рішення 2-ї сесії Хмельницької міської ради від 23.12.2020 року №57</t>
  </si>
  <si>
    <t>Рішення 30-ї сесії Хмельницької  міської  ради від 17.04.2019 року №48</t>
  </si>
  <si>
    <t>Рішення 2-ї сесії Хмельницької міської ради від 23.12.2020 року №67</t>
  </si>
  <si>
    <t>Програма розвитку велоінфраструктури м.Хмельницького на 2017-2025 роки</t>
  </si>
  <si>
    <t>Програма поводження з побутовими відходами "Розумне Довкілля.  Хмельницький" на 2021 - 2022 роки</t>
  </si>
  <si>
    <t>Пільгові довгострокові кредити молодим сім'ям та одиноким молодим громадянам на будівництво/реконструкцію/придбання житла та їх повернення</t>
  </si>
  <si>
    <t>Повернення пільгових довгострокових кредитів, наданих молодим сім'ям та одиноким молодим громадянам на будівництво/реконструкцію/придбання житла</t>
  </si>
  <si>
    <t xml:space="preserve"> Надання пільгових довгострокових кредитів молодим сім'ям та одиноким молодим громадянам на будівництво/реконструкцію/придбання житла</t>
  </si>
  <si>
    <t>99000000000</t>
  </si>
  <si>
    <t>0813170</t>
  </si>
  <si>
    <t>3170</t>
  </si>
  <si>
    <t>Забезпечення реалізації окремих програм для осіб з інвалідністю</t>
  </si>
  <si>
    <t>Програма навчання, підготовки та підвищення кваліфікації посадових осіб місцевого самоврядування, керівних працівників підприємств, установ і організацій Хмельницької міської територіальної громади, членів виконавчого комітету та депутатів міської ради на 2021 рік</t>
  </si>
  <si>
    <t>Рішення 4-ї сесії Хмельницької міської ради від 17.02.2021 року №7</t>
  </si>
  <si>
    <t xml:space="preserve">Управління з питань екології та контролю за благоустроєм  Хмельницької міської ради  (відповідальний виконавець) </t>
  </si>
  <si>
    <t xml:space="preserve">Управління з питань екології та контролю за благоустроєм  Хмельницької міської ради  (головний розпорядник) </t>
  </si>
  <si>
    <t xml:space="preserve">Управління з питань екології та контролю за благоустроєм Хмельницької міської ради  (головний розпорядник) </t>
  </si>
  <si>
    <t xml:space="preserve">Управління з питань екології та контролю за благоустроєм Хмельницької міської ради  (відповідальний виконавець) </t>
  </si>
  <si>
    <t>Програма розвитку міського комунального підприємства «Муніципальна телерадіокомпанія «Місто» на 2021-2023 роки</t>
  </si>
  <si>
    <t>Рішення 4-ї сесії Хмельницької міської ради від 17.02.2021 року №24</t>
  </si>
  <si>
    <t>Рішення 13-ї сесії Хмельницької міської ради від 22.03.2017 року №33</t>
  </si>
  <si>
    <t>Управління капітального будівництва Хмельницької міської ради (головний розпорядник)</t>
  </si>
  <si>
    <t>Управління капітального будівництва Хмельницької міської ради (відповідальний виконавець)</t>
  </si>
  <si>
    <t>Управління архітектури та містобудування Хмельницької міської ради (головний розпорядник)</t>
  </si>
  <si>
    <t>Управління архітектури та містобудування  Хмельницької міської ради  (відповідальний виконавець)</t>
  </si>
  <si>
    <t>Управління земельних ресурсів  Хмельницької міської ради (головний розпорядник)</t>
  </si>
  <si>
    <t>Управління земельних ресурсів Хмельницької міської ради (відповідальний розпорядник)</t>
  </si>
  <si>
    <t>Управління земельних ресурсів Хмельницької міської ради (головний розпорядник)</t>
  </si>
  <si>
    <t>Хмельницької міської територіальної громади у 2021 році</t>
  </si>
  <si>
    <t xml:space="preserve">які будуть фінансуватися з Фонду охорони навколишнього природного середовища </t>
  </si>
  <si>
    <t>Підвищення енергоефективності систем водопостачання та водоочищення: Реконструкція каналізаційних насосних станцій №2, 7, 12 у місті Хмельницькому</t>
  </si>
  <si>
    <t>Внески до статутного капіталу КП "Південно-Західні тепломережі" (Реконструкція котельні по вул. Івана Павла ІІ, 1 в м. Хмельницькому з установленням обладнання для очищення газопилового потоку від забруднюючих речовин, що викидається в атмосферне повітря)</t>
  </si>
  <si>
    <t>Внески до статутного капіталу МКП "Хмельницьктеплокомуненерго" (Капітальний ремонт теплової мережі по прс. Миру, 62А, м. Хмельницький)</t>
  </si>
  <si>
    <t>Внески до статутного капіталу МКП "Хмельницьктеплокомуненерго" (Капітальний ремонт когенераційної установки в котельні по вул. Бандери, 32/1, м. Хмельницький)</t>
  </si>
  <si>
    <t>Внески до статутного капіталу ХКП "Спецкомунтранс"(Придбання шприцементу)</t>
  </si>
  <si>
    <t>Внески до статутного капіталу ХКП "Спецкомунтранс"(Придбання накидного кільця)</t>
  </si>
  <si>
    <t>Внески до статутного капіталу КП "Парки і сквери міста Хмельницького" (Придбання модульної вбиральні)</t>
  </si>
  <si>
    <t>Внески до статутного капіталу ХМКП "Муніципальна дружина" (Придбання квадрокоптера)</t>
  </si>
  <si>
    <t>Внески до статутного капіталу КП по будівництву, ремонту та експлуатації доріг (Придбання навантажувача)</t>
  </si>
  <si>
    <t xml:space="preserve">Виготовлення проєктно-кошторисної документації на  реконструкцію під`їздної дороги від вул. Вінницьке шосе до вул. Вінницьке шосе, 18 (індустріальний парк) </t>
  </si>
  <si>
    <t>Капітальний ремонт дитячого автомістечка в парку культури і відпочинку ім. М. Чекмана в м. Хмельницькому (ПКД, геодезія, експертиза)</t>
  </si>
  <si>
    <t>Капітальний ремонт – встановлення флагштоків на в’їздах в місто</t>
  </si>
  <si>
    <t>Внески до статутного капіталу МКП "Хмельницькводоканал" (Нове будівництво зовнішніх мереж водопостачання вул. Чеботарьова, проїздів Заярний, 2, Заярний, 8, Заярний, 9, Заярний, 10, Заярний, 11 мікрорайону Книжківці в м. Хмельницький)</t>
  </si>
  <si>
    <t>Управління архітектури та містобудування Хмельницької міської ради (відповідальний виконавець)</t>
  </si>
  <si>
    <t>Управління архітектури та містобудування Хмельницької міської ради  (відповідальний виконавець)</t>
  </si>
  <si>
    <t>Управління земельних ресурсів та земельної реформи Хмельницької міської ради (головний розпорядник)</t>
  </si>
  <si>
    <t>Управління земельних ресурсів та земельної реформи  Хмельницької міської ради (відповідальний розпорядник)</t>
  </si>
  <si>
    <t>Інші субвенції з місцевого бюджету, в тому числі:</t>
  </si>
  <si>
    <t xml:space="preserve"> - пільгове медичне обслуговування осіб, які постраждали внаслідок Чорнобильської катастрофи </t>
  </si>
  <si>
    <t xml:space="preserve"> - компенсаційні виплати особам з інвалідністю на бензин, ремонт, технічне обслуговування автомобілів, мотоколясок і на транспортне обслуговування</t>
  </si>
  <si>
    <t xml:space="preserve">  - поховання учасників бойових дій та осіб з інвалідністю внаслідок війни</t>
  </si>
  <si>
    <t>Внески до статутного капіталу ХКП "Міськсвітло" (Придбання святкової ілюмінації для "Різдвяного ярмарку")</t>
  </si>
  <si>
    <t>2021-</t>
  </si>
  <si>
    <t>Внески до статутного капіталу МКП "Хмельницькводоканал" (Реконструкція водопроводу від  вул.Проскурівська по пров. Проскурівський, вул. Пилипчука до пров. Шевченка в м. Хмельницький)</t>
  </si>
  <si>
    <t>Виготовлення проєктно-кошторисної документації на капітальний ремонт даху спортивного комплексу по вул. Спортивна, 16, м. Хмельницький</t>
  </si>
  <si>
    <t>ДЮСШ №3</t>
  </si>
  <si>
    <t>Внески до статутного капіталу комунального підприємства "Спортивно-культурний центр "Плоскирів"" (Капітальний ремонт даху будівлі спортивно-культурного центру "Плоскирів" по вул. Курчатова, 90, м. Хмельницький, Хмельницької області (в тому числі виготовлення проєктно-кошторисної документації)</t>
  </si>
  <si>
    <t>2017 - 2021 роки</t>
  </si>
  <si>
    <t>2719000</t>
  </si>
  <si>
    <t>2719700</t>
  </si>
  <si>
    <t>2719770</t>
  </si>
  <si>
    <t>Розробка проектно-кошторисної документації на "Реконструкцію аеродромного комплексу КП «Аеропорт Хмельницький» з подовженням штучної злітно-посадкової смуги на 500 метрів"</t>
  </si>
  <si>
    <t>Реконструкція котельні під спортивні приміщення на території СК "Поділля" ДЮСШ №1 по вул. Проскурівській, 81 в м.Хмельницькому</t>
  </si>
  <si>
    <t xml:space="preserve">Заходи з озеленення </t>
  </si>
  <si>
    <t>Проведення робіт, пов‘язаних з поліпшенням технічного стану та благоустрою поверхневих водойм  - благоустрій струмка в районі будинків 8-10 по вул.Хотовицького</t>
  </si>
  <si>
    <t>Обстеження  та паспортизація гідротехнічних споруд</t>
  </si>
  <si>
    <t>Продовження практики сортування сміття у закладах освіти Хмельницької міської територіальної громади (придбання контейнерів для роздільного збирання  відходів)</t>
  </si>
  <si>
    <t>Проведення    спеціальних    заходів,    спрямованих   на запобігання знищенню чи пошкодженню природних комплексів територій та об'єктів природно-заповідного фонду</t>
  </si>
  <si>
    <t>Заходи  щодо  запобігання  інтродукції  та  поширення 
чужорідних видів рослин, які загрожують природним екосистемам</t>
  </si>
  <si>
    <t>Організація  проведення  оцінки  впливу на довкілля та стратегічної екологічної оцінки</t>
  </si>
  <si>
    <t>Відкриття навчального центру поводження з відходами в  м. Хмельницькому</t>
  </si>
  <si>
    <t>1617000</t>
  </si>
  <si>
    <t>1617300</t>
  </si>
  <si>
    <t>1617350</t>
  </si>
  <si>
    <t>7350</t>
  </si>
  <si>
    <t>Розроблення схем планування та забудови територій (містобудівної документації)</t>
  </si>
  <si>
    <t>Розроблення звіту про стратегічну екологічну оцінку проєкту містобудівної документації "Коригування (внесення змін) генерального плану м.Хмельтницький"</t>
  </si>
  <si>
    <t>Доопрацювання проєкту містобудівної документації "Коригування (внесення змін) генерального плану м.Хмельницький"</t>
  </si>
  <si>
    <t>0217693</t>
  </si>
  <si>
    <t>Вартість по ПКД Уточнити пісдя коригування</t>
  </si>
  <si>
    <t>1017000</t>
  </si>
  <si>
    <t>1017600</t>
  </si>
  <si>
    <t>1017670</t>
  </si>
  <si>
    <t>Внески до статутного капіталу комунального підприємства "Медичний стоматологічний центр" Хмельницької міської ради (Капітальний ремонт вхідного ганку з облаштуванням підйомника для маломобільних груп населення в КП "Медичний стоматологічний центр" по вул.Прибузька, 18 в м. Хмельницькому)</t>
  </si>
  <si>
    <t>Внески до статутного капіталу міського комунального підприємства по утриманню нежитлових приміщень (капітальний ремонт системи пожежної сигналізації, системи керування евакуюванням, системи централізованого пожежного спостерігання, будинку побуту "Південний Буг", за адресою: м. Хмельницький , вул. Кам"янецька,2 )</t>
  </si>
  <si>
    <t>1217670</t>
  </si>
  <si>
    <t>Капітальний ремонт дитячого майданчика в с. Олешин</t>
  </si>
  <si>
    <t>Капітальний ремонт дитячого майданчика в с. Богданівці</t>
  </si>
  <si>
    <t xml:space="preserve">Капітальний ремонт пішохідної зони біля водонапірної вежі на вул. Болбачана, 18/1 в м. Хмельницькому </t>
  </si>
  <si>
    <t>Внески до статутного капіталу ХКП "Спецкомунтранс"(Нове будівництво нежитлового приміщення за адресою:  вул. Заводській, 165 в м.Хмельницькому)</t>
  </si>
  <si>
    <t>2021-2022 роки</t>
  </si>
  <si>
    <t>Внески до статутного капіталу МКП "Хмельницькводоканал" (Нове будівництво зовнішніх мереж водопроводу в  с. Шаровечка Хмельницького району, Хмельницької області (І черга))</t>
  </si>
  <si>
    <t>Внески до статутного капіталу МКП "Хмельницькводоканал"  (Нове будівництво вуличних мереж водопостачання житлових будинків по вул. Глушенкова (мікрорайон Ружична) в м. Хиельницький)</t>
  </si>
  <si>
    <t>Внески до статутного капіталу МКП "Хмельницькводоканал" (Придбання насосного агрегату)</t>
  </si>
  <si>
    <t>0810180</t>
  </si>
  <si>
    <t>0813060</t>
  </si>
  <si>
    <t>3060</t>
  </si>
  <si>
    <t>Оздоровлення громадян, які постраждали внаслідок Чорнобильської катастрофи</t>
  </si>
  <si>
    <t>Капітальний ремонт, для облаштування архіву, в підвальному приміщенні Центру надання соціальних послуг "Прозорий офіс" за адресою вул. Перемоги, 10Б в м.Хмельницькому</t>
  </si>
  <si>
    <t>2012 - 2022 роки</t>
  </si>
  <si>
    <t>0817320</t>
  </si>
  <si>
    <t>0817323</t>
  </si>
  <si>
    <t>7323</t>
  </si>
  <si>
    <r>
      <t>Будівництво</t>
    </r>
    <r>
      <rPr>
        <b/>
        <vertAlign val="superscript"/>
        <sz val="36"/>
        <rFont val="Times New Roman"/>
        <family val="1"/>
        <charset val="204"/>
      </rPr>
      <t>1</t>
    </r>
    <r>
      <rPr>
        <sz val="36"/>
        <rFont val="Times New Roman"/>
        <family val="1"/>
        <charset val="204"/>
      </rPr>
      <t>  установ та закладів соціальної сфери</t>
    </r>
  </si>
  <si>
    <t>0817300</t>
  </si>
  <si>
    <r>
      <t>Будівництво</t>
    </r>
    <r>
      <rPr>
        <b/>
        <vertAlign val="superscript"/>
        <sz val="11"/>
        <rFont val="Times New Roman"/>
        <family val="1"/>
        <charset val="204"/>
      </rPr>
      <t>1</t>
    </r>
    <r>
      <rPr>
        <sz val="11"/>
        <rFont val="Times New Roman"/>
        <family val="1"/>
        <charset val="204"/>
      </rPr>
      <t>  установ та закладів соціальної сфери</t>
    </r>
  </si>
  <si>
    <t>Будівництво приміщення відділення тимчасового цілодобового перебування Хмельницького міського територіального центру соціального обслуговування (надання соціальних послуг) по вул. Перемоги, 7-А в м.Хмельницькому</t>
  </si>
  <si>
    <t>Проєктні і вишукувальні роботи на реконструкцію станції очищення господарсько-побутових стічних вод продуктивністю БІО-3І 30 м3/доб в с.Пирогівці Хмельницького району, Хмельницької області</t>
  </si>
  <si>
    <t>Проєктні і вишукувальні роботи на будівництво станції очищення господарсько-побутових стічних вод продуктивністю БІО-ЗІ 20  м3/доб  ст. Богданівці, Хмельницького району, Хмельницької області</t>
  </si>
  <si>
    <t>Проєктні і вишукувальні роботи на будівництво на станції очищення господарсько-побутових стічних вод продуктивністю БІО-ЗІ 150 м3/доб   ст.Богданівці, Хмельницького району, Хмельницької області</t>
  </si>
  <si>
    <t>Будівництво артезіанської свердловини, водонапірної башти та водогону в с.Малашівці Хмельницького району Хмельницької області (кредиторська заборгованість, яка передається з балансу Шаровечківської сільської ради на баланс управління капітального будівництва Хмельницької міської ради)</t>
  </si>
  <si>
    <t>1517310</t>
  </si>
  <si>
    <t>1510180</t>
  </si>
  <si>
    <t>Капітальний ремонт системи пожежної сигналізації, системи керування евакуюванням, системою централізованого пожежного спостерігання на об'єкті: навчальні корпуси №1, № 2 та майстерні Державного навчального закладу  "Хмельницький центр професійно-технічної освіти сфери послуг" за адресою: м.Хмельницький, вул. Панаса Мирного, 5</t>
  </si>
  <si>
    <t xml:space="preserve">Капітальний ремонт систем пожежної сигналізації, оповіщування про пожежу та управління евакуацією людей, устаткування передавання тривожних сповіщень на об'єкті: адміністративна будівля, майстерня та навчальний корпус ВПУ №4 м. Хмельницького, що знаходиться за адресою: 29016, Хмельницька обл., місто Хмельницький, вулиця Інститутська, будинок, 10 (в тому числі виготовлення проєктно-кошторисної документації) </t>
  </si>
  <si>
    <t>Нове будівництво діючої теплиці, як навчальної лабораторії та збірно-розбірного макету тепличного господарства "ДНЗ ВПУ №11 м.Хмельницького"</t>
  </si>
  <si>
    <t>1216020</t>
  </si>
  <si>
    <t>Капітальний ремонт пожежної сигналізації на об'єкті: ДНЗ №18 "Зірочка", що знаходиться за адресою: Хмельницька область, м.Хмельницький, вул. Кам'янецька 65/1 (в тому числі виготовлення проєктно-кошторисної документації)</t>
  </si>
  <si>
    <t xml:space="preserve">Капітальний ремонт спортивного майданчика НВК №2 (в тому числі виготовлення проєктно-кошторисної документації) </t>
  </si>
  <si>
    <t xml:space="preserve">Капітальний ремонт спортзалу СЗОШ №19 (в тому числі виготовлення проєктно-кошторисної документації) </t>
  </si>
  <si>
    <t xml:space="preserve">Реконструкція плоского покриття з улаштуванням шатрового даху над приміщеннями спортивного та актового залу Хмельницької спеціалізованої загальноосвітньої школи №19 І-ІІІ ступенів ім. академіка М. Павловського по вул.Кам'янецькій, 164 в м. Хмельницькому  (в тому числі виготовлення проєктно-кошторисної документації) </t>
  </si>
  <si>
    <t>Капітальний ремонт даху Давидковецької загальноосвітньої школи I-III ступенів Хмельницької районної ради Хмельницької області (в тому числі виготовлення проєктно-кошторисної документації)</t>
  </si>
  <si>
    <t xml:space="preserve">Капітальний ремонт сантехнічних мереж приміщення СЗОШ №7 (в тому числі виготовлення проєктно-кошторисної документації) </t>
  </si>
  <si>
    <t xml:space="preserve">Капітальний ремонт сантехнічних мереж приміщення СЗОШ №8 (в тому числі виготовлення проєктно-кошторисної документації) </t>
  </si>
  <si>
    <t xml:space="preserve">Капітальний ремонт сантехнічних мереж приміщення СЗОШ №14 (в тому числі виготовлення проєктно-кошторисної документації) </t>
  </si>
  <si>
    <t>Виготовлення проєктно-кошторисної документації на реконструкцію спортивного майданчика під мультифункціональний  майданчик для занять ігровими видами спорту на території Хмельницької середньої загальноосвітньої школи №18 І-ІІІ ступенів ім.В.Чорновола за адресою: м.Хмельницький, вул. Купріна, 12</t>
  </si>
  <si>
    <t>Виготовлення проєктно-кошторисної документації на реконструкцію плоского покриття з улаштуванням шатрового даху над приміщеннями спортивного залу та їдальні Хмельницької середньої загальноосвітньої школи І-ІІІ ступенів №21 за адресою: м.Хмельницький, просп. Миру, 76/5</t>
  </si>
  <si>
    <t>Реконструкція будівлі Шаровечківської ЗОШ І-ІІІ ст. за адресою: с. Шаровечка, вул. Шкільна, 10 Хмельницького району Хмельницької  області</t>
  </si>
  <si>
    <t xml:space="preserve">Капітальний ремонт сантехнічних мереж приміщення НВК №2 (в тому числі виготовлення проєктно-кошторисної документації) </t>
  </si>
  <si>
    <t xml:space="preserve">Капітальний ремонт ігрового майданчика СЗОШ №32 (в тому числі виготовлення проєктно-кошторисної документації) </t>
  </si>
  <si>
    <t>0611060</t>
  </si>
  <si>
    <t>0611061</t>
  </si>
  <si>
    <t>1061</t>
  </si>
  <si>
    <t xml:space="preserve">Надання загальної середньої освіти за рахунок залишку коштів за освітньою субвенцією (крім залишку коштів, що мають цільове призначення, виділених відповідно до рішень Кабінету Міністрів України у попередньому бюджетному періоді, а також коштів, необхідних для </t>
  </si>
  <si>
    <t>забезпечення безпечного навчального процесу у закладах загальної середньої освіти)</t>
  </si>
  <si>
    <t xml:space="preserve"> Надання загальної середньої освіти закладами загальної середньої освіти</t>
  </si>
  <si>
    <t>Капітальний ремонт пожежної сигналізації на об'єкті: Спеціалізована загальноосвітня школа І-ІІІ ступенів № 29 м.Хмельницького, що знаходиться за адресою: Хмельницька область, м.Хмельницький, вул. Вокзальна, 16 (в тому числі виготовлення проєктно-кошторисної документації)</t>
  </si>
  <si>
    <t xml:space="preserve">Капітальний ремонт сантехнічних мереж приміщення Хмельницького колегіуму імені Володимира Козубняка (в тому числі виготовлення проєктно-кошторисної документації) </t>
  </si>
  <si>
    <t xml:space="preserve">Капітальний ремонт сантехнічних мереж приміщення НВО №28 (в тому числі виготовлення проєктно-кошторисної документації) </t>
  </si>
  <si>
    <t>Капітальний ремонт інженерних систем, улаштування дашків та відмостки в ДНЗ №54 "Пізнайко" по просп. Миру, 51/2 в м.Хмельницькому (в тому числі виготовлення проєктно-кошторисної документації)</t>
  </si>
  <si>
    <t>Капітальний ремонт огорожі дошкільного навчального закладу №55 "Сонечко" по пров. Козацькому, 47/2 в м.Хмельницькому  (в тому числі виготовлення проєктно-кошторисної документації)</t>
  </si>
  <si>
    <t>Виготовлення проєктно-кошторисної документації на утеплення дошкільного навчального закладу №55 "Сонечко" по пров. Козацькому, 47/2 в м.Хмельницькому</t>
  </si>
  <si>
    <t>Капітальний ремонт існуючих приміщень корпусу №1 ДНЗ №25 "Калинонька", по провулку Маяковського, 17 в м.Хмельницькому</t>
  </si>
  <si>
    <t>Внески до статутного капіталу ХКП "Міськсвітло" (Капітальний ремонт мереж зовнішнього освітлення)</t>
  </si>
  <si>
    <t>Внески до статутного капіталу ХКП "Спецкомунтранс" (Нове будівництво самопливного каналізаційного колектора Хмельницького полігону ТПВ  за адресою м.Хмельницький проспект Миру,7)</t>
  </si>
  <si>
    <t xml:space="preserve">Капітальний ремонт стадіону Спеціалізованої загальноосвітньої школи №12 за адресою: вулиця Довженка, буд.6, м. Хмельницький (в тому числі виготовлення проєктно-кошторисної документації) </t>
  </si>
  <si>
    <t>Внески до статутного капіталу ХКП "Спецкомунтранс" (розробка проекту: Нове будівництво самопливного каналізаційного колектора Хмельницького полігону ТПВ  за адресою м. Хмельницький проспект Миру,7)</t>
  </si>
  <si>
    <t>Капітальний ремонт з теплоізоляції (термомодернізації) цоколя Хмельницької середньої загальноосвітньої школи І-ІІІ ступенів №14 за адресою: вул. Спортивна, 17, в м.Хмельницькому (в тому числі виготовлення проєктно-кошторисної документації)</t>
  </si>
  <si>
    <t>Капітальний ремонт приміщення Хмельницької середньої загальноосвітньої школи №18 І-ІІІ ступенів ім. В.Чорновола по вул. Купріна, 12 в м. Хмельницький</t>
  </si>
  <si>
    <t>Реконструкція існуючого приміщення Хмельницького НВК №4 по вул.Перемоги, 9 під спортивну залу для початкових класів та шкільний буфет (в тому числі виготовлення проєктно-кошторисної документації)</t>
  </si>
  <si>
    <t>Реконструкція будівлі №45/312 (контрольно-технічний пункт), військового містечка №45 військової частини А0661</t>
  </si>
  <si>
    <t>Рішення 42-ї сесії Хмельницької міської ради від 17.06.2020 року №8</t>
  </si>
  <si>
    <t>Цільова Програма попередження виникнення надзвичайних ситуацій та забезпечення пожежної і техногенної безпеки об’єктів усіх форм власності, розвитку інфраструктури пожежно-рятувальних підрозділів на території Хмельницької міської територіальної громади на 2021-2025 роки</t>
  </si>
  <si>
    <t>Програма забезпечення охорони прав і свобод людини, профілактики злочинності та підтримання публічної безпеки і порядку на території Хмельницької міської територіальної громади на 2021 – 2025 роки</t>
  </si>
  <si>
    <t>Рішення 4-ї сесії Хмельницької міської ради від 17.02.2021 року №2</t>
  </si>
  <si>
    <t>Програма розвитку  електротранспорту Хмельницької міської територіальної громади  на 2021 - 2025 роки</t>
  </si>
  <si>
    <t>Рішення 3-ї сесії Хмельницької міської ради від 14.01.2021 року №1</t>
  </si>
  <si>
    <t xml:space="preserve"> Виготовлення проєктно-кошторисної документації на капітальний ремонт приміщення  НВК №10 м.Хмельницького (приміщення тиру)</t>
  </si>
  <si>
    <t>Внески до статутного капіталу комунального підприємства "Хмельницький міський лікувально-діагностичний центр" Хмельницької міської ради (Реконструкція кабінету №9 під санвузол для МГН Поліклініки №2 КП "Хмельницький міський лікувально-діагностичний центр" Хмельницької міської ради по проспекту Миру, 61 в м.Хмельницькому)</t>
  </si>
  <si>
    <t>Реконструкція існуючої будівлі краєзнавчого музею під музейний комплекс історії та культури по вул.Свободи, 22 в м.Хмельницькому</t>
  </si>
  <si>
    <t>Виготовлення проєктно-кошторисної документації на капітальний ремонт системи освітлення футбольного поля на території  СК "Поділля" ДЮСШ №1 по вул. Проскурівській, 81 в м.Хмельницькому</t>
  </si>
  <si>
    <t>Внески до статутного капіталу КП "Елеватор" (придбання лічильників)</t>
  </si>
  <si>
    <t>Внески до статутного капіталу МКП "Хмельницькводоканал" (Реконструкція ділянки самопливного каналізаійного колектора по вул. Заводська в м.Хмельницький)</t>
  </si>
  <si>
    <t>Внески до статутного капіталу МКП "Хмельницькводоканал" (Реконструкція сомопливної каналізаційної мережі через вул. Шевченка до КНС-1 в м.Хмельницький)</t>
  </si>
  <si>
    <t>Внески до статутного капіталу МКП "Хмельницькводоканал" (Будівництво вуличного водопроводу по вул. Достоєвського від вул. Київська до прв.Достоєвського в м. Хмельницький)</t>
  </si>
  <si>
    <t>Внески до статутного капіталу МКП "Хмельницьктеплокомуненерго" (Реконструкція теплової мережі по вул.Зарічанській, 24, м. Хмельницький)</t>
  </si>
  <si>
    <t>Внески до статутного капіталу МКП "Хмельницьктеплокомуненерго" (Реконструкція теплової мережі по вул.Перемоги, 12, м Хмельницький)</t>
  </si>
  <si>
    <t xml:space="preserve">Реконструкція з добудовою їдальні до існуючого приміщення спеціалізованої загальноосвітньої школи І-ІІІ ступенів №8 по вул. Я. Гальчевського, 34 в м.Хмельницькому </t>
  </si>
  <si>
    <t xml:space="preserve"> Реконструкція з добудовою приміщень Хмельницького ліцею №17 під спортивну залу на вул. Героїв Майдану, 5 в м.Хмельницькому</t>
  </si>
  <si>
    <t>Нове будівництво закладу загальної середньої освіти на вул. Січових стрільців, 8-А в м. Хмельницькому, в тому числі виготовлення проєктно-кошторисної документації</t>
  </si>
  <si>
    <t xml:space="preserve"> Нове будівництво вулиці від вулиці Степана Бандери до вулиці Західно-Окружної в м. Хмельницькому,  в тому числі виготовлення проєктно-кошторисної документації </t>
  </si>
  <si>
    <t>Нове будівництво зовнішніх  мереж газопостачання індустріального парку  "Хмельницький" по вул. Вінницьке шосе, 18 в м. Хмельницькому,  в тому числі виготовлення проєктно-кошторисної документації</t>
  </si>
  <si>
    <t xml:space="preserve"> Нове будівництво зовнішніх мереж  водопостачання та каналізації індустріального парку  "Хмельницький" по  вул. Вінницьке шосе, 18 в м.Хмельницькому, в тому числі  виготовлення проєктно-кошторисної документації </t>
  </si>
  <si>
    <t xml:space="preserve"> Нове будівництво зовнішніх мереж  водовідведення індустріального парку  "Хмельницький" по  вул. Вінницьке шосе, 18 в м.Хмельницькому, в тому числі  виготовлення проєктно-кошторисної документації </t>
  </si>
  <si>
    <t>2017 - 2025 роки</t>
  </si>
  <si>
    <t>2020 - 2025 роки</t>
  </si>
  <si>
    <t>2015 - 2025 роки</t>
  </si>
  <si>
    <t>Внески до статутного капіталу ХКП "Спецкомунтранс" (Розробка техніко-економічного обґрунтування з поділом на черги реконструкції полігону твердих побутових відходів з метою запобігання виникнення надзвичайної екологічної ситуації за адресою м. Хмельницький, вул. Проспект Миру, 7)</t>
  </si>
  <si>
    <t>0611210</t>
  </si>
  <si>
    <t>1210</t>
  </si>
  <si>
    <t>Надання освіти за рахунок залишку коштів за субвенцією з державного бюджету місцевим бюджетам на надання державної підтримки особам з особливими освітніми потребами</t>
  </si>
  <si>
    <t>Внески до статутного капіталу міського комунального підприємства - Кінотеатр ім. Т.Г.Шевченка (Капітальний ремонт сходової частини кінотеатру ім.Т.Г.Шевченка (в тому числі виготовлення проектно-кошторисної документації))</t>
  </si>
  <si>
    <t>Внески до статутного капіталу міського комунального підприємства - Кінотеатр ім. Т.Г.Шевченка (Виготовлення науково-проектної документації «Реставрація будівлі кінотеатру ім. Т. Г. Шевченка (щойно виявлений об’єкт культурної спадщини) по вул. Проскурівській, 40 у м. Хмельницькому)</t>
  </si>
  <si>
    <t>41051700</t>
  </si>
  <si>
    <t>Субвенція з місцевого бюджету за рахунок залишку коштів субвенції на надання державної підтримки особам з особливими освітніми потребами, що утворився на початок бюджетного періоду</t>
  </si>
  <si>
    <t>41053600</t>
  </si>
  <si>
    <t>Субвенція з місцевого бюджету на здійснення природоохоронних заходів</t>
  </si>
  <si>
    <t xml:space="preserve"> - соціально-економічний розвиток</t>
  </si>
  <si>
    <t>Субвенція з місцевого бюджету на здійснення природоохоронних заходів  (Обласний фонд охорони навколишнього природного середовища)</t>
  </si>
  <si>
    <t>Інші субвенції з місцевого бюджету (соціально-економічний розвиток)</t>
  </si>
  <si>
    <t>Програма національно-патріотичного виховання мешканців Хмельницької міської територіальної громади на 2021-2022 роки</t>
  </si>
  <si>
    <t>Рішення 5-ї сесії Хмельницької міської ради від 21.04.2021 року №6</t>
  </si>
  <si>
    <t>Програма забезпечення антитерористичного та протидиверсійного захисту важливих державних об’єктів, місць масового перебування людей, об’єктів критичної та транспортної інфраструктури Хмельницької міської територіальної громади  на 2021-2022 роки</t>
  </si>
  <si>
    <t>Рішення 5-ї сесії Хмельницької міської ради від 21.04.2021 року №5</t>
  </si>
  <si>
    <t>Рішення 5-ї сесії Хмельницької міської ради від 21.04.2021 року №8</t>
  </si>
  <si>
    <t>Програма організаційно-практичних заходів щодо комплексної підтримки державної установи «Хмельницький слідчий ізолятор» на 2021 – 2025 роки</t>
  </si>
  <si>
    <t>Рішення 5-ї сесії Хмельницької міської ради від 21.04.2021 року №7</t>
  </si>
  <si>
    <t>Програма шефської допомоги військовим частинам Збройних Сил України, Національної гвардії України, які розташовані на території м. Хмельницького на 2020 – 2021 роки (із змінами)</t>
  </si>
  <si>
    <t>Рішення 5-ї сесії Хмельницької міської ради від 21.04.2021 року №57</t>
  </si>
  <si>
    <t xml:space="preserve">Програма зайнятості населення Хмельницької міської територіальної громади на 2021-2023 роки </t>
  </si>
  <si>
    <t>Рішення 5-ї сесії Хмельницької міської ради від 21.04.2021 року №55</t>
  </si>
  <si>
    <t>Програма охорони довкілля Хмельницької міської територіальної громади на 2021-2025 роки</t>
  </si>
  <si>
    <t>Рішення 5-ї сесії Хмельницької міської ради від 21.04.2021 року №69</t>
  </si>
  <si>
    <t>Програма розвитку та фінансової підтримки комунального підприємства «Чайка» Хмельницької міської ради на 2021-2022 роки</t>
  </si>
  <si>
    <t>Рішення 5-ї сесії Хмельницької міської ради від 21.04.2021 року №74</t>
  </si>
  <si>
    <t>Програма профілактики адміністративних правопорушень та покращення забезпечення громадського правопорядку для жителів Хмельницької міської територіальної громади на 2021 - 2022 роки</t>
  </si>
  <si>
    <t>Програма для забезпечення виконання судових рішень на 2021-2025 роки</t>
  </si>
  <si>
    <t>1417460</t>
  </si>
  <si>
    <t>7460</t>
  </si>
  <si>
    <t>Утримання та розвиток автомобільних доріг та дорожньої інфраструктури</t>
  </si>
  <si>
    <t>Будівництво навчально-виховного комплексу на вул. Залізняка, 32 в м.Хмельницькому (коригування)</t>
  </si>
  <si>
    <t>Реконструкція приміщень НВО №1 по вул. Старокостянтинівське шосе, 3Б в м.Хмельницькому (коригування)</t>
  </si>
  <si>
    <t>Програма співфінансування робіт з ремонту багатоквартирних житлових будинків Хмельницької міської територіальної громади на 2020 - 2024 роки</t>
  </si>
  <si>
    <t>Будівництво внутрішньоквартального проїзду між земельними ділянками по вул.Старокостянтинівське шосе, 2/1 "З" в м.Хмельницькому</t>
  </si>
  <si>
    <t>Реконструкція  вбудовано-прибудованої аптеки під адміністративне приміщення управління адміністративних послуг Хмельницької міської ради  по вул.Кам'янецькій, 38 в м. Хмельницькому</t>
  </si>
  <si>
    <t>Будівництво каналізаційних мереж в мікрорайоні "Озерна" в м.Хмельницькому (в тому числі коригування проєктно-кошторисної документації)</t>
  </si>
  <si>
    <t>Реконструкція мереж водопроводу та каналізації в мікрорайоні "Лезнево" м.Хмельницький  (коригування)</t>
  </si>
  <si>
    <t>Будівництво самопливного і напірного колекторів та каналізаційної насосної станції продуктивністю 1500 куб.м/добу на житловому масиві "Лезнево 1,2" в м.Хмельницькому (коригування)</t>
  </si>
  <si>
    <t>2016 - 2022 роки</t>
  </si>
  <si>
    <t>Будівництво вулиці Мельникова (від вул.Зарічанської до вул. Трудової) в м.Хмельницькому (коригування)</t>
  </si>
  <si>
    <t>до рішення №</t>
  </si>
  <si>
    <t>від                   2021</t>
  </si>
  <si>
    <t>до рішення №   від               2021 року</t>
  </si>
  <si>
    <t xml:space="preserve">до рішення  №       від                    2021 року </t>
  </si>
  <si>
    <t>Додаток 4
до рішення  №    від               2021 року</t>
  </si>
  <si>
    <t>до рішення №    від            2021 року</t>
  </si>
  <si>
    <t xml:space="preserve">Додаток 6
до рішення №         від               2021 року
</t>
  </si>
  <si>
    <t xml:space="preserve">до рішення  №      від            2021 року </t>
  </si>
  <si>
    <t xml:space="preserve">до рішення №  </t>
  </si>
  <si>
    <t xml:space="preserve"> від          .2021</t>
  </si>
  <si>
    <t xml:space="preserve">до рішення №      </t>
  </si>
  <si>
    <t>від                 2021</t>
  </si>
  <si>
    <t>Зовнішні зобов'язання</t>
  </si>
  <si>
    <t xml:space="preserve">Довгострокові зобов'язання </t>
  </si>
  <si>
    <t xml:space="preserve">Середньострокові зобов'язання </t>
  </si>
  <si>
    <t xml:space="preserve">Нове будівництво вулиці Лісогринівецької (від вул. Степана Бандери до Старокостянтинівського шосе) в м.Хмельницькому,  в тому числі виготовлення проєктно-кошторисної документації </t>
  </si>
  <si>
    <t>Керуючий справами виконавчого комітету</t>
  </si>
  <si>
    <t>Ю. САБІЙ</t>
  </si>
  <si>
    <t>+</t>
  </si>
  <si>
    <t>Капітальний ремонт прилеглої території Хмельницької дитячої школи мистецтв "Райдуга" по вул. Курчатова, 9 в м.Хмельницькому (коригування)</t>
  </si>
  <si>
    <t>Капітальний ремонт підвальних приміщень з влаштуванням дренажної системи дошкільного навчального закладу №6 "Колобок" по вул. Львівське шосе,43/2 в м.Хмельницькому</t>
  </si>
  <si>
    <t>Капітальний ремонт системи пожежної сигналізації, оповіщення про пожежу та управління евакуацією людей, устаткування передавання тривожних сповіщень на об'єкті: корпус №1 Хмельницького навчально-виховного комплексу №4, що знаходиться за адресою: Хмельницька область, м.Хмельницький, вул. Перемоги, 9 (в тому числі виготовлення проєктно-кошторисної документації)</t>
  </si>
  <si>
    <t xml:space="preserve">Капітальний ремонт спортивного майданчика СЗОШ №22 (в тому числі виготовлення проєктно-кошторисної документації) </t>
  </si>
  <si>
    <t>Капітальний ремонт огорожі Хмельницького навчально-виховного комплексу №31 "Дошкільний навчальний заклад - загальноосвітній навчальний заклад І ступеня" по вул. Миколи Мазура, 17 в м. Хмельницькому</t>
  </si>
  <si>
    <t xml:space="preserve">Капітальний ремонт спортивного майданчика на території Пироговецького ліцею Хмельницької районної ради Хмельницької області, за адресою: вул. Центральна, 29 в с.Пирогівці Хмельницького району Хмельницької області (в тому числі виготовлення проєктно-кошторисної документації) </t>
  </si>
  <si>
    <t>Реконструкція спортивного майданчика під мультифункціональний  майданчик для занять ігровими видами спорту на території Хмельницької спеціалізованої середньої загальноосвітньої школи І-ІІІ ступенів №13 імені М.К.Чекмана за адресою вул. Профспілковій, 39 в м.Хмельницькому</t>
  </si>
  <si>
    <t>Реконструкція спортивного майданчика під мультифункціональний  майданчик для занять ігровими видами спорту на території Хмельницького навчально-виховного комплексу №31 за адресою вул.Миколи Мазура, 17 в м. Хмельницькому</t>
  </si>
  <si>
    <t>Капітальний ремонт системи пожежної сигналізації, оповіщення про пожежу та управління евакуацією людей, устаткування передавання тривожних сповіщень на об'єкті: корпус №2 Хмельницького навчально-виховного комплексу №4, що знаходиться за адресою: Хмельницька область, м.Хмельницький, вул. Перемоги, 9 (в тому числі виготовлення проєктно-кошторисної документації)</t>
  </si>
  <si>
    <t>Реконструкція спортивного майданчика під мультифункціональний  майданчик для занять ігровими видами спорту на території Хмельницького навчально-виховного комплексу №31 за адресою вул. Миколи Мазура, 17 в м. Хмельницькому</t>
  </si>
  <si>
    <t>Капітальний ремонт утеплення фасаду та сходового майданчика перед палацом творчості дітей та юнацтва по вул. Свободи, 2/1 в м.Хмельницькому, 1 та 2 черга</t>
  </si>
  <si>
    <t xml:space="preserve">Фінансування за рахунок позик банківських установ </t>
  </si>
  <si>
    <t xml:space="preserve"> Одержано позик </t>
  </si>
  <si>
    <t xml:space="preserve">Фінансування за рахунок інших банків </t>
  </si>
  <si>
    <t xml:space="preserve">Внутрішні запозичення </t>
  </si>
  <si>
    <t xml:space="preserve">Фінансування за рахунок зміни залишків коштів бюджетів </t>
  </si>
  <si>
    <t>Зміни обсягів бюджетних коштів</t>
  </si>
  <si>
    <t xml:space="preserve">На початок періоду </t>
  </si>
  <si>
    <t xml:space="preserve">Інші розрахунки </t>
  </si>
  <si>
    <t xml:space="preserve">Передача коштів із загального до спеціального фонду бюджету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</si>
</sst>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0.0"/>
    <numFmt numFmtId="166" formatCode="#,##0.00000"/>
    <numFmt numFmtId="167" formatCode="#,##0.0000"/>
  </numFmts>
  <fonts count="176" x14ac:knownFonts="1">
    <font>
      <sz val="10"/>
      <name val="Arial Cyr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MS Sans Serif"/>
      <family val="2"/>
      <charset val="204"/>
    </font>
    <font>
      <sz val="10"/>
      <name val="Times New Roman"/>
      <family val="1"/>
      <charset val="204"/>
    </font>
    <font>
      <sz val="10"/>
      <name val="Times New Roman Cyr"/>
      <family val="1"/>
      <charset val="204"/>
    </font>
    <font>
      <b/>
      <sz val="10"/>
      <name val="Times New Roman Cyr"/>
      <family val="1"/>
      <charset val="204"/>
    </font>
    <font>
      <b/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color indexed="6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Helv"/>
      <charset val="204"/>
    </font>
    <font>
      <sz val="10"/>
      <name val="Courier New"/>
      <family val="3"/>
      <charset val="204"/>
    </font>
    <font>
      <sz val="11"/>
      <color indexed="19"/>
      <name val="Calibri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36"/>
      <name val="Times New Roman"/>
      <family val="1"/>
      <charset val="204"/>
    </font>
    <font>
      <sz val="36"/>
      <name val="Times New Roman"/>
      <family val="1"/>
      <charset val="204"/>
    </font>
    <font>
      <b/>
      <sz val="37"/>
      <name val="Times New Roman"/>
      <family val="1"/>
      <charset val="204"/>
    </font>
    <font>
      <sz val="37"/>
      <name val="Times New Roman"/>
      <family val="1"/>
      <charset val="204"/>
    </font>
    <font>
      <sz val="36"/>
      <name val="Arial Cyr"/>
      <charset val="204"/>
    </font>
    <font>
      <b/>
      <sz val="18"/>
      <name val="Times New Roman"/>
      <family val="1"/>
      <charset val="204"/>
    </font>
    <font>
      <sz val="10"/>
      <color indexed="8"/>
      <name val="Arial"/>
      <family val="2"/>
      <charset val="204"/>
    </font>
    <font>
      <b/>
      <i/>
      <sz val="11"/>
      <name val="Times New Roman"/>
      <family val="1"/>
      <charset val="204"/>
    </font>
    <font>
      <sz val="10"/>
      <name val="Arial Cyr"/>
      <charset val="204"/>
    </font>
    <font>
      <sz val="11"/>
      <name val="Times New Roman Cyr"/>
      <charset val="204"/>
    </font>
    <font>
      <i/>
      <sz val="10"/>
      <name val="Arial Cyr"/>
      <charset val="204"/>
    </font>
    <font>
      <sz val="11"/>
      <name val="Arial Cyr"/>
      <charset val="204"/>
    </font>
    <font>
      <b/>
      <sz val="36"/>
      <name val="Times New Roman Cyr"/>
      <family val="1"/>
      <charset val="204"/>
    </font>
    <font>
      <b/>
      <sz val="16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9"/>
      <name val="Times New Roman"/>
      <family val="1"/>
      <charset val="204"/>
    </font>
    <font>
      <b/>
      <i/>
      <sz val="9"/>
      <color indexed="8"/>
      <name val="Times New Roman"/>
      <family val="1"/>
      <charset val="204"/>
    </font>
    <font>
      <b/>
      <i/>
      <sz val="8"/>
      <name val="Bookman Old Style"/>
      <family val="1"/>
      <charset val="204"/>
    </font>
    <font>
      <sz val="8"/>
      <name val="Bookman Old Style"/>
      <family val="1"/>
      <charset val="204"/>
    </font>
    <font>
      <b/>
      <i/>
      <sz val="9"/>
      <color indexed="62"/>
      <name val="Times New Roman"/>
      <family val="1"/>
      <charset val="204"/>
    </font>
    <font>
      <sz val="10"/>
      <name val="Arial"/>
      <family val="2"/>
      <charset val="204"/>
    </font>
    <font>
      <b/>
      <sz val="14"/>
      <color indexed="8"/>
      <name val="Times New Roman"/>
      <family val="1"/>
      <charset val="204"/>
    </font>
    <font>
      <sz val="10"/>
      <name val="Times New Roman CYR"/>
      <charset val="204"/>
    </font>
    <font>
      <sz val="9"/>
      <name val="Times New Roman CYR"/>
      <charset val="204"/>
    </font>
    <font>
      <b/>
      <sz val="12.5"/>
      <name val="Times New Roman"/>
      <family val="1"/>
      <charset val="204"/>
    </font>
    <font>
      <sz val="12"/>
      <name val="Arial Cyr"/>
      <charset val="204"/>
    </font>
    <font>
      <sz val="12.5"/>
      <name val="Times New Roman"/>
      <family val="1"/>
      <charset val="204"/>
    </font>
    <font>
      <b/>
      <i/>
      <sz val="12.5"/>
      <name val="Times New Roman"/>
      <family val="1"/>
      <charset val="204"/>
    </font>
    <font>
      <b/>
      <i/>
      <sz val="10"/>
      <name val="Arial"/>
      <family val="2"/>
      <charset val="204"/>
    </font>
    <font>
      <sz val="28"/>
      <name val="Arial Cyr"/>
      <charset val="204"/>
    </font>
    <font>
      <u/>
      <sz val="10"/>
      <color indexed="12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22"/>
      <name val="Times New Roman Cyr"/>
      <family val="1"/>
      <charset val="204"/>
    </font>
    <font>
      <b/>
      <sz val="48"/>
      <name val="Times New Roman Cyr"/>
      <family val="1"/>
      <charset val="204"/>
    </font>
    <font>
      <vertAlign val="superscript"/>
      <sz val="20"/>
      <name val="Times New Roman"/>
      <family val="1"/>
      <charset val="204"/>
    </font>
    <font>
      <sz val="20"/>
      <name val="Times New Roman"/>
      <family val="1"/>
      <charset val="204"/>
    </font>
    <font>
      <sz val="20"/>
      <name val="Arial Cyr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sz val="10"/>
      <name val="Arial Cyr"/>
      <family val="2"/>
      <charset val="204"/>
    </font>
    <font>
      <sz val="36"/>
      <name val="Times New Roman Cyr"/>
      <family val="1"/>
      <charset val="204"/>
    </font>
    <font>
      <i/>
      <sz val="10"/>
      <name val="Times New Roman"/>
      <family val="1"/>
      <charset val="204"/>
    </font>
    <font>
      <sz val="50"/>
      <name val="Arial Cyr"/>
      <charset val="204"/>
    </font>
    <font>
      <sz val="11"/>
      <name val="Times New Roman Cyr"/>
      <family val="1"/>
      <charset val="204"/>
    </font>
    <font>
      <b/>
      <sz val="11"/>
      <name val="Times New Roman Cyr"/>
      <family val="1"/>
      <charset val="204"/>
    </font>
    <font>
      <i/>
      <sz val="11"/>
      <name val="Times New Roman Cyr"/>
      <family val="1"/>
      <charset val="204"/>
    </font>
    <font>
      <sz val="22"/>
      <name val="Times New Roman"/>
      <family val="1"/>
      <charset val="204"/>
    </font>
    <font>
      <sz val="36"/>
      <color indexed="8"/>
      <name val="Times New Roman"/>
      <family val="1"/>
      <charset val="204"/>
    </font>
    <font>
      <sz val="72"/>
      <name val="Arial Cyr"/>
      <charset val="204"/>
    </font>
    <font>
      <sz val="11"/>
      <color theme="1"/>
      <name val="Calibri"/>
      <family val="2"/>
      <scheme val="minor"/>
    </font>
    <font>
      <sz val="9"/>
      <name val="Arial Cyr"/>
      <charset val="204"/>
    </font>
    <font>
      <u/>
      <sz val="9"/>
      <color indexed="8"/>
      <name val="Times New Roman"/>
      <family val="1"/>
      <charset val="204"/>
    </font>
    <font>
      <u/>
      <sz val="9"/>
      <name val="Arial Cyr"/>
      <charset val="204"/>
    </font>
    <font>
      <u/>
      <sz val="36"/>
      <color indexed="8"/>
      <name val="Times New Roman"/>
      <family val="1"/>
      <charset val="204"/>
    </font>
    <font>
      <u/>
      <sz val="36"/>
      <name val="Arial Cyr"/>
      <charset val="204"/>
    </font>
    <font>
      <u/>
      <sz val="10"/>
      <color indexed="8"/>
      <name val="Times New Roman"/>
      <family val="1"/>
      <charset val="204"/>
    </font>
    <font>
      <u/>
      <sz val="10"/>
      <name val="Arial Cyr"/>
      <charset val="204"/>
    </font>
    <font>
      <sz val="28"/>
      <name val="Times New Roman Cyr"/>
      <family val="1"/>
      <charset val="204"/>
    </font>
    <font>
      <b/>
      <sz val="36"/>
      <color rgb="FFFF0000"/>
      <name val="Times New Roman"/>
      <family val="1"/>
      <charset val="204"/>
    </font>
    <font>
      <sz val="10"/>
      <color rgb="FFFF0000"/>
      <name val="Arial Cyr"/>
      <charset val="204"/>
    </font>
    <font>
      <b/>
      <sz val="10"/>
      <color rgb="FFFF0000"/>
      <name val="Arial Cyr"/>
      <charset val="204"/>
    </font>
    <font>
      <b/>
      <i/>
      <sz val="36"/>
      <color rgb="FFFF0000"/>
      <name val="Times New Roman"/>
      <family val="1"/>
      <charset val="204"/>
    </font>
    <font>
      <sz val="36"/>
      <color rgb="FFFF0000"/>
      <name val="Times New Roman"/>
      <family val="1"/>
      <charset val="204"/>
    </font>
    <font>
      <sz val="37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2.5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37"/>
      <color rgb="FFFF0000"/>
      <name val="Times New Roman"/>
      <family val="1"/>
      <charset val="204"/>
    </font>
    <font>
      <b/>
      <i/>
      <sz val="36"/>
      <name val="Times New Roman"/>
      <family val="1"/>
      <charset val="204"/>
    </font>
    <font>
      <b/>
      <sz val="10"/>
      <name val="Times New Roman CYR"/>
      <charset val="204"/>
    </font>
    <font>
      <b/>
      <sz val="10"/>
      <color rgb="FFFF0000"/>
      <name val="Times New Roman"/>
      <family val="1"/>
      <charset val="204"/>
    </font>
    <font>
      <i/>
      <sz val="36"/>
      <color rgb="FFFF0000"/>
      <name val="Arial Cyr"/>
      <charset val="204"/>
    </font>
    <font>
      <i/>
      <sz val="10"/>
      <color rgb="FFFF0000"/>
      <name val="Arial Cyr"/>
      <charset val="204"/>
    </font>
    <font>
      <sz val="36"/>
      <color rgb="FFFF0000"/>
      <name val="Arial Cyr"/>
      <charset val="204"/>
    </font>
    <font>
      <b/>
      <sz val="36"/>
      <color rgb="FFFF0000"/>
      <name val="Arial Cyr"/>
      <charset val="204"/>
    </font>
    <font>
      <sz val="48"/>
      <color rgb="FFFF0000"/>
      <name val="Arial Cyr"/>
      <charset val="204"/>
    </font>
    <font>
      <b/>
      <sz val="48"/>
      <color rgb="FFFF0000"/>
      <name val="Times New Roman Cyr"/>
      <family val="1"/>
      <charset val="204"/>
    </font>
    <font>
      <b/>
      <sz val="36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i/>
      <sz val="10"/>
      <color rgb="FFFF0000"/>
      <name val="Times New Roman"/>
      <family val="1"/>
      <charset val="204"/>
    </font>
    <font>
      <sz val="10"/>
      <color rgb="FFFF0000"/>
      <name val="Times New Roman CYR"/>
      <charset val="204"/>
    </font>
    <font>
      <b/>
      <sz val="14"/>
      <color rgb="FFFF0000"/>
      <name val="Times New Roman CYR"/>
      <charset val="204"/>
    </font>
    <font>
      <sz val="12"/>
      <color rgb="FFFF0000"/>
      <name val="Arial"/>
      <family val="2"/>
      <charset val="204"/>
    </font>
    <font>
      <sz val="10"/>
      <color rgb="FFFF0000"/>
      <name val="Arial"/>
      <family val="2"/>
      <charset val="204"/>
    </font>
    <font>
      <b/>
      <sz val="14"/>
      <color rgb="FFFF0000"/>
      <name val="Times New Roman"/>
      <family val="1"/>
      <charset val="204"/>
    </font>
    <font>
      <b/>
      <i/>
      <sz val="37"/>
      <color rgb="FFFF0000"/>
      <name val="Times New Roman"/>
      <family val="1"/>
      <charset val="204"/>
    </font>
    <font>
      <sz val="48"/>
      <color rgb="FFFF0000"/>
      <name val="Times New Roman"/>
      <family val="1"/>
      <charset val="204"/>
    </font>
    <font>
      <b/>
      <i/>
      <sz val="37"/>
      <color rgb="FFFF0000"/>
      <name val="Arial Cyr"/>
      <charset val="204"/>
    </font>
    <font>
      <sz val="28"/>
      <color rgb="FFFF0000"/>
      <name val="Arial Cyr"/>
      <charset val="204"/>
    </font>
    <font>
      <sz val="36"/>
      <color theme="1"/>
      <name val="Times New Roman"/>
      <family val="1"/>
      <charset val="204"/>
    </font>
    <font>
      <b/>
      <i/>
      <sz val="37"/>
      <name val="Times New Roman"/>
      <family val="1"/>
      <charset val="204"/>
    </font>
    <font>
      <b/>
      <i/>
      <sz val="37"/>
      <name val="Arial Cyr"/>
      <charset val="204"/>
    </font>
    <font>
      <b/>
      <sz val="72"/>
      <name val="Times New Roman"/>
      <family val="1"/>
      <charset val="204"/>
    </font>
    <font>
      <b/>
      <sz val="37"/>
      <color theme="1"/>
      <name val="Times New Roman"/>
      <family val="1"/>
      <charset val="204"/>
    </font>
    <font>
      <sz val="26"/>
      <name val="Times New Roman Cyr"/>
      <family val="1"/>
      <charset val="204"/>
    </font>
    <font>
      <sz val="22"/>
      <name val="Arial Cyr"/>
      <charset val="204"/>
    </font>
    <font>
      <sz val="36"/>
      <color rgb="FF000099"/>
      <name val="Times New Roman"/>
      <family val="1"/>
      <charset val="204"/>
    </font>
    <font>
      <sz val="10"/>
      <color rgb="FFFF0000"/>
      <name val="Times New Roman Cyr"/>
      <family val="1"/>
      <charset val="204"/>
    </font>
    <font>
      <sz val="10"/>
      <color rgb="FF000099"/>
      <name val="Arial Cyr"/>
      <charset val="204"/>
    </font>
    <font>
      <sz val="48"/>
      <name val="Times New Roman Cyr"/>
      <family val="1"/>
      <charset val="204"/>
    </font>
    <font>
      <sz val="37"/>
      <color theme="1"/>
      <name val="Times New Roman"/>
      <family val="1"/>
      <charset val="204"/>
    </font>
    <font>
      <b/>
      <i/>
      <sz val="36"/>
      <color theme="1"/>
      <name val="Times New Roman"/>
      <family val="1"/>
      <charset val="204"/>
    </font>
    <font>
      <sz val="10"/>
      <color theme="1"/>
      <name val="Arial Cyr"/>
      <charset val="204"/>
    </font>
    <font>
      <sz val="36"/>
      <color theme="1"/>
      <name val="Arial Cyr"/>
      <charset val="204"/>
    </font>
    <font>
      <b/>
      <vertAlign val="superscript"/>
      <sz val="36"/>
      <name val="Times New Roman"/>
      <family val="1"/>
      <charset val="204"/>
    </font>
    <font>
      <i/>
      <sz val="36"/>
      <name val="Times New Roman"/>
      <family val="1"/>
      <charset val="204"/>
    </font>
    <font>
      <i/>
      <sz val="37"/>
      <name val="Times New Roman"/>
      <family val="1"/>
      <charset val="204"/>
    </font>
    <font>
      <i/>
      <sz val="11"/>
      <name val="Times New Roman"/>
      <family val="1"/>
      <charset val="204"/>
    </font>
    <font>
      <b/>
      <i/>
      <sz val="10"/>
      <name val="Arial Cyr"/>
      <charset val="204"/>
    </font>
    <font>
      <i/>
      <sz val="36"/>
      <color theme="1"/>
      <name val="Times New Roman"/>
      <family val="1"/>
      <charset val="204"/>
    </font>
    <font>
      <b/>
      <i/>
      <sz val="10"/>
      <color rgb="FFFF0000"/>
      <name val="Arial Cyr"/>
      <charset val="204"/>
    </font>
    <font>
      <b/>
      <i/>
      <sz val="36"/>
      <color rgb="FFFF0000"/>
      <name val="Arial Cyr"/>
      <charset val="204"/>
    </font>
    <font>
      <b/>
      <vertAlign val="superscript"/>
      <sz val="11"/>
      <name val="Times New Roman"/>
      <family val="1"/>
      <charset val="204"/>
    </font>
    <font>
      <i/>
      <sz val="36"/>
      <color rgb="FFFF0000"/>
      <name val="Times New Roman"/>
      <family val="1"/>
      <charset val="204"/>
    </font>
    <font>
      <b/>
      <i/>
      <sz val="10"/>
      <color rgb="FFFF0000"/>
      <name val="Times New Roman"/>
      <family val="1"/>
      <charset val="204"/>
    </font>
    <font>
      <i/>
      <sz val="37"/>
      <color theme="1"/>
      <name val="Times New Roman"/>
      <family val="1"/>
      <charset val="204"/>
    </font>
    <font>
      <b/>
      <i/>
      <vertAlign val="superscript"/>
      <sz val="36"/>
      <name val="Times New Roman"/>
      <family val="1"/>
      <charset val="204"/>
    </font>
    <font>
      <sz val="35"/>
      <name val="Times New Roman"/>
      <family val="1"/>
      <charset val="204"/>
    </font>
    <font>
      <sz val="34"/>
      <name val="Times New Roman"/>
      <family val="1"/>
      <charset val="204"/>
    </font>
    <font>
      <u/>
      <sz val="10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36"/>
      <color rgb="FF000000"/>
      <name val="Times New Roman"/>
      <family val="1"/>
      <charset val="204"/>
    </font>
    <font>
      <b/>
      <sz val="28"/>
      <name val="Times New Roman"/>
      <family val="1"/>
      <charset val="204"/>
    </font>
    <font>
      <b/>
      <sz val="48"/>
      <name val="Times New Roman"/>
      <family val="1"/>
      <charset val="204"/>
    </font>
  </fonts>
  <fills count="38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55"/>
      </patternFill>
    </fill>
    <fill>
      <patternFill patternType="solid">
        <fgColor indexed="45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  <fill>
      <patternFill patternType="solid">
        <fgColor rgb="FFFF9900"/>
        <bgColor indexed="64"/>
      </patternFill>
    </fill>
    <fill>
      <gradientFill type="path" left="0.5" right="0.5" top="0.5" bottom="0.5">
        <stop position="0">
          <color theme="0"/>
        </stop>
        <stop position="1">
          <color theme="9" tint="0.80001220740379042"/>
        </stop>
      </gradientFill>
    </fill>
    <fill>
      <gradientFill type="path" left="0.5" right="0.5" top="0.5" bottom="0.5">
        <stop position="0">
          <color theme="0"/>
        </stop>
        <stop position="1">
          <color rgb="FFCCFFCC"/>
        </stop>
      </gradientFill>
    </fill>
    <fill>
      <gradientFill degree="90">
        <stop position="0">
          <color theme="0"/>
        </stop>
        <stop position="1">
          <color rgb="FFCC99FF"/>
        </stop>
      </gradientFill>
    </fill>
    <fill>
      <gradientFill type="path" left="0.5" right="0.5" top="0.5" bottom="0.5">
        <stop position="0">
          <color theme="0"/>
        </stop>
        <stop position="1">
          <color theme="9" tint="0.59999389629810485"/>
        </stop>
      </gradientFill>
    </fill>
    <fill>
      <patternFill patternType="solid">
        <fgColor rgb="FFFF00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auto="1"/>
      </patternFill>
    </fill>
    <fill>
      <patternFill patternType="solid">
        <fgColor rgb="FFFFFFCC"/>
        <bgColor indexed="64"/>
      </patternFill>
    </fill>
    <fill>
      <gradientFill degree="270">
        <stop position="0">
          <color theme="0"/>
        </stop>
        <stop position="1">
          <color rgb="FFFFFFCC"/>
        </stop>
      </gradientFill>
    </fill>
    <fill>
      <gradientFill degree="90">
        <stop position="0">
          <color theme="0"/>
        </stop>
        <stop position="1">
          <color rgb="FFCFAFE7"/>
        </stop>
      </gradient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/>
      <bottom/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/>
      <diagonal/>
    </border>
    <border>
      <left style="double">
        <color theme="0" tint="-0.499984740745262"/>
      </left>
      <right style="double">
        <color theme="0" tint="-0.499984740745262"/>
      </right>
      <top/>
      <bottom style="double">
        <color theme="0" tint="-0.499984740745262"/>
      </bottom>
      <diagonal/>
    </border>
    <border>
      <left style="double">
        <color theme="0" tint="-0.499984740745262"/>
      </left>
      <right style="double">
        <color theme="0" tint="-0.499984740745262"/>
      </right>
      <top/>
      <bottom/>
      <diagonal/>
    </border>
    <border>
      <left/>
      <right style="double">
        <color theme="0" tint="-0.499984740745262"/>
      </right>
      <top/>
      <bottom style="double">
        <color theme="0" tint="-0.499984740745262"/>
      </bottom>
      <diagonal/>
    </border>
    <border>
      <left style="double">
        <color theme="0" tint="-0.499984740745262"/>
      </left>
      <right/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thin">
        <color indexed="64"/>
      </bottom>
      <diagonal/>
    </border>
    <border>
      <left/>
      <right/>
      <top style="double">
        <color theme="0" tint="-0.499984740745262"/>
      </top>
      <bottom style="double">
        <color theme="0" tint="-0.499984740745262"/>
      </bottom>
      <diagonal/>
    </border>
    <border>
      <left/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102">
    <xf numFmtId="0" fontId="0" fillId="0" borderId="0"/>
    <xf numFmtId="0" fontId="8" fillId="0" borderId="0"/>
    <xf numFmtId="0" fontId="21" fillId="2" borderId="1" applyNumberFormat="0" applyAlignment="0" applyProtection="0"/>
    <xf numFmtId="0" fontId="29" fillId="3" borderId="0" applyNumberFormat="0" applyBorder="0" applyAlignment="0" applyProtection="0"/>
    <xf numFmtId="0" fontId="22" fillId="0" borderId="2" applyNumberFormat="0" applyFill="0" applyAlignment="0" applyProtection="0"/>
    <xf numFmtId="0" fontId="23" fillId="0" borderId="3" applyNumberFormat="0" applyFill="0" applyAlignment="0" applyProtection="0"/>
    <xf numFmtId="0" fontId="24" fillId="0" borderId="4" applyNumberFormat="0" applyFill="0" applyAlignment="0" applyProtection="0"/>
    <xf numFmtId="0" fontId="24" fillId="0" borderId="0" applyNumberFormat="0" applyFill="0" applyBorder="0" applyAlignment="0" applyProtection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8" fillId="0" borderId="0"/>
    <xf numFmtId="0" fontId="50" fillId="0" borderId="0"/>
    <xf numFmtId="0" fontId="31" fillId="0" borderId="0"/>
    <xf numFmtId="0" fontId="8" fillId="0" borderId="0"/>
    <xf numFmtId="0" fontId="50" fillId="0" borderId="0"/>
    <xf numFmtId="0" fontId="8" fillId="0" borderId="0"/>
    <xf numFmtId="0" fontId="50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8" fillId="0" borderId="0">
      <alignment vertical="top"/>
    </xf>
    <xf numFmtId="0" fontId="25" fillId="5" borderId="5" applyNumberFormat="0" applyAlignment="0" applyProtection="0"/>
    <xf numFmtId="0" fontId="26" fillId="0" borderId="0" applyNumberFormat="0" applyFill="0" applyBorder="0" applyAlignment="0" applyProtection="0"/>
    <xf numFmtId="0" fontId="8" fillId="0" borderId="0"/>
    <xf numFmtId="0" fontId="50" fillId="0" borderId="0"/>
    <xf numFmtId="0" fontId="10" fillId="0" borderId="0"/>
    <xf numFmtId="0" fontId="63" fillId="0" borderId="0" applyNumberFormat="0" applyFont="0" applyFill="0" applyBorder="0" applyAlignment="0" applyProtection="0">
      <alignment vertical="top"/>
    </xf>
    <xf numFmtId="0" fontId="30" fillId="0" borderId="0"/>
    <xf numFmtId="0" fontId="9" fillId="0" borderId="0" applyNumberFormat="0" applyFont="0" applyFill="0" applyBorder="0" applyAlignment="0" applyProtection="0">
      <alignment vertical="top"/>
    </xf>
    <xf numFmtId="0" fontId="10" fillId="0" borderId="0"/>
    <xf numFmtId="0" fontId="30" fillId="0" borderId="0"/>
    <xf numFmtId="0" fontId="27" fillId="0" borderId="6" applyNumberFormat="0" applyFill="0" applyAlignment="0" applyProtection="0"/>
    <xf numFmtId="0" fontId="32" fillId="4" borderId="0" applyNumberFormat="0" applyBorder="0" applyAlignment="0" applyProtection="0"/>
    <xf numFmtId="0" fontId="30" fillId="0" borderId="0"/>
    <xf numFmtId="0" fontId="28" fillId="0" borderId="0" applyNumberFormat="0" applyFill="0" applyBorder="0" applyAlignment="0" applyProtection="0"/>
    <xf numFmtId="0" fontId="8" fillId="0" borderId="0"/>
    <xf numFmtId="0" fontId="74" fillId="7" borderId="0" applyNumberFormat="0" applyBorder="0" applyAlignment="0" applyProtection="0"/>
    <xf numFmtId="0" fontId="74" fillId="8" borderId="0" applyNumberFormat="0" applyBorder="0" applyAlignment="0" applyProtection="0"/>
    <xf numFmtId="0" fontId="74" fillId="9" borderId="0" applyNumberFormat="0" applyBorder="0" applyAlignment="0" applyProtection="0"/>
    <xf numFmtId="0" fontId="74" fillId="10" borderId="0" applyNumberFormat="0" applyBorder="0" applyAlignment="0" applyProtection="0"/>
    <xf numFmtId="0" fontId="74" fillId="3" borderId="0" applyNumberFormat="0" applyBorder="0" applyAlignment="0" applyProtection="0"/>
    <xf numFmtId="0" fontId="74" fillId="2" borderId="0" applyNumberFormat="0" applyBorder="0" applyAlignment="0" applyProtection="0"/>
    <xf numFmtId="0" fontId="74" fillId="11" borderId="0" applyNumberFormat="0" applyBorder="0" applyAlignment="0" applyProtection="0"/>
    <xf numFmtId="0" fontId="74" fillId="12" borderId="0" applyNumberFormat="0" applyBorder="0" applyAlignment="0" applyProtection="0"/>
    <xf numFmtId="0" fontId="74" fillId="13" borderId="0" applyNumberFormat="0" applyBorder="0" applyAlignment="0" applyProtection="0"/>
    <xf numFmtId="0" fontId="74" fillId="10" borderId="0" applyNumberFormat="0" applyBorder="0" applyAlignment="0" applyProtection="0"/>
    <xf numFmtId="0" fontId="74" fillId="11" borderId="0" applyNumberFormat="0" applyBorder="0" applyAlignment="0" applyProtection="0"/>
    <xf numFmtId="0" fontId="74" fillId="14" borderId="0" applyNumberFormat="0" applyBorder="0" applyAlignment="0" applyProtection="0"/>
    <xf numFmtId="0" fontId="75" fillId="15" borderId="0" applyNumberFormat="0" applyBorder="0" applyAlignment="0" applyProtection="0"/>
    <xf numFmtId="0" fontId="75" fillId="12" borderId="0" applyNumberFormat="0" applyBorder="0" applyAlignment="0" applyProtection="0"/>
    <xf numFmtId="0" fontId="75" fillId="13" borderId="0" applyNumberFormat="0" applyBorder="0" applyAlignment="0" applyProtection="0"/>
    <xf numFmtId="0" fontId="75" fillId="16" borderId="0" applyNumberFormat="0" applyBorder="0" applyAlignment="0" applyProtection="0"/>
    <xf numFmtId="0" fontId="75" fillId="17" borderId="0" applyNumberFormat="0" applyBorder="0" applyAlignment="0" applyProtection="0"/>
    <xf numFmtId="0" fontId="75" fillId="18" borderId="0" applyNumberFormat="0" applyBorder="0" applyAlignment="0" applyProtection="0"/>
    <xf numFmtId="0" fontId="75" fillId="19" borderId="0" applyNumberFormat="0" applyBorder="0" applyAlignment="0" applyProtection="0"/>
    <xf numFmtId="0" fontId="75" fillId="20" borderId="0" applyNumberFormat="0" applyBorder="0" applyAlignment="0" applyProtection="0"/>
    <xf numFmtId="0" fontId="75" fillId="21" borderId="0" applyNumberFormat="0" applyBorder="0" applyAlignment="0" applyProtection="0"/>
    <xf numFmtId="0" fontId="75" fillId="16" borderId="0" applyNumberFormat="0" applyBorder="0" applyAlignment="0" applyProtection="0"/>
    <xf numFmtId="0" fontId="75" fillId="17" borderId="0" applyNumberFormat="0" applyBorder="0" applyAlignment="0" applyProtection="0"/>
    <xf numFmtId="0" fontId="75" fillId="22" borderId="0" applyNumberFormat="0" applyBorder="0" applyAlignment="0" applyProtection="0"/>
    <xf numFmtId="0" fontId="21" fillId="2" borderId="1" applyNumberFormat="0" applyAlignment="0" applyProtection="0"/>
    <xf numFmtId="0" fontId="76" fillId="23" borderId="13" applyNumberFormat="0" applyAlignment="0" applyProtection="0"/>
    <xf numFmtId="0" fontId="77" fillId="23" borderId="1" applyNumberFormat="0" applyAlignment="0" applyProtection="0"/>
    <xf numFmtId="0" fontId="73" fillId="0" borderId="0" applyNumberFormat="0" applyFill="0" applyBorder="0" applyAlignment="0" applyProtection="0">
      <alignment vertical="top"/>
      <protection locked="0"/>
    </xf>
    <xf numFmtId="0" fontId="78" fillId="0" borderId="14" applyNumberFormat="0" applyFill="0" applyAlignment="0" applyProtection="0"/>
    <xf numFmtId="0" fontId="25" fillId="5" borderId="5" applyNumberFormat="0" applyAlignment="0" applyProtection="0"/>
    <xf numFmtId="0" fontId="26" fillId="0" borderId="0" applyNumberFormat="0" applyFill="0" applyBorder="0" applyAlignment="0" applyProtection="0"/>
    <xf numFmtId="0" fontId="79" fillId="4" borderId="0" applyNumberFormat="0" applyBorder="0" applyAlignment="0" applyProtection="0"/>
    <xf numFmtId="0" fontId="80" fillId="8" borderId="0" applyNumberFormat="0" applyBorder="0" applyAlignment="0" applyProtection="0"/>
    <xf numFmtId="0" fontId="81" fillId="0" borderId="0" applyNumberFormat="0" applyFill="0" applyBorder="0" applyAlignment="0" applyProtection="0"/>
    <xf numFmtId="0" fontId="74" fillId="24" borderId="15" applyNumberFormat="0" applyFont="0" applyAlignment="0" applyProtection="0"/>
    <xf numFmtId="0" fontId="27" fillId="0" borderId="6" applyNumberFormat="0" applyFill="0" applyAlignment="0" applyProtection="0"/>
    <xf numFmtId="0" fontId="28" fillId="0" borderId="0" applyNumberFormat="0" applyFill="0" applyBorder="0" applyAlignment="0" applyProtection="0"/>
    <xf numFmtId="0" fontId="29" fillId="9" borderId="0" applyNumberFormat="0" applyBorder="0" applyAlignment="0" applyProtection="0"/>
    <xf numFmtId="0" fontId="90" fillId="0" borderId="0"/>
    <xf numFmtId="0" fontId="8" fillId="0" borderId="0"/>
    <xf numFmtId="0" fontId="7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5" fillId="0" borderId="0"/>
    <xf numFmtId="0" fontId="100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995">
    <xf numFmtId="0" fontId="0" fillId="0" borderId="0" xfId="0"/>
    <xf numFmtId="0" fontId="11" fillId="0" borderId="0" xfId="0" applyFont="1" applyAlignment="1">
      <alignment vertical="center"/>
    </xf>
    <xf numFmtId="0" fontId="13" fillId="0" borderId="0" xfId="0" applyFont="1"/>
    <xf numFmtId="4" fontId="11" fillId="0" borderId="0" xfId="0" applyNumberFormat="1" applyFont="1" applyAlignment="1">
      <alignment vertical="center"/>
    </xf>
    <xf numFmtId="4" fontId="12" fillId="0" borderId="0" xfId="0" applyNumberFormat="1" applyFont="1" applyAlignment="1">
      <alignment vertical="center"/>
    </xf>
    <xf numFmtId="0" fontId="12" fillId="0" borderId="0" xfId="0" applyFont="1" applyAlignment="1">
      <alignment vertical="center"/>
    </xf>
    <xf numFmtId="0" fontId="43" fillId="0" borderId="0" xfId="0" applyFont="1" applyAlignment="1">
      <alignment horizontal="right" vertical="center"/>
    </xf>
    <xf numFmtId="0" fontId="14" fillId="0" borderId="0" xfId="35" applyFont="1"/>
    <xf numFmtId="0" fontId="10" fillId="0" borderId="0" xfId="35"/>
    <xf numFmtId="4" fontId="54" fillId="0" borderId="0" xfId="0" applyNumberFormat="1" applyFont="1" applyAlignment="1">
      <alignment vertical="center"/>
    </xf>
    <xf numFmtId="0" fontId="54" fillId="0" borderId="0" xfId="0" applyFont="1" applyAlignment="1">
      <alignment vertical="center"/>
    </xf>
    <xf numFmtId="0" fontId="10" fillId="0" borderId="0" xfId="39"/>
    <xf numFmtId="0" fontId="33" fillId="0" borderId="0" xfId="39" applyFont="1" applyAlignment="1">
      <alignment horizontal="center" vertical="center"/>
    </xf>
    <xf numFmtId="0" fontId="10" fillId="0" borderId="0" xfId="39" applyAlignment="1">
      <alignment vertical="center" wrapText="1"/>
    </xf>
    <xf numFmtId="0" fontId="33" fillId="0" borderId="0" xfId="39" applyFont="1" applyAlignment="1">
      <alignment wrapText="1"/>
    </xf>
    <xf numFmtId="0" fontId="34" fillId="0" borderId="0" xfId="39" applyFont="1" applyAlignment="1">
      <alignment wrapText="1"/>
    </xf>
    <xf numFmtId="0" fontId="56" fillId="0" borderId="0" xfId="39" applyFont="1" applyAlignment="1">
      <alignment wrapText="1"/>
    </xf>
    <xf numFmtId="0" fontId="10" fillId="0" borderId="0" xfId="39" applyAlignment="1">
      <alignment wrapText="1"/>
    </xf>
    <xf numFmtId="0" fontId="15" fillId="0" borderId="0" xfId="39" applyFont="1"/>
    <xf numFmtId="0" fontId="20" fillId="0" borderId="0" xfId="0" applyFont="1"/>
    <xf numFmtId="0" fontId="65" fillId="0" borderId="0" xfId="35" applyFont="1"/>
    <xf numFmtId="0" fontId="16" fillId="0" borderId="0" xfId="35" applyFont="1" applyAlignment="1">
      <alignment horizontal="center" vertical="center" wrapText="1"/>
    </xf>
    <xf numFmtId="0" fontId="19" fillId="0" borderId="0" xfId="35" applyFont="1" applyAlignment="1">
      <alignment horizontal="center" vertical="center" wrapText="1"/>
    </xf>
    <xf numFmtId="0" fontId="16" fillId="0" borderId="0" xfId="35" applyFont="1" applyAlignment="1">
      <alignment horizontal="center"/>
    </xf>
    <xf numFmtId="0" fontId="65" fillId="0" borderId="0" xfId="35" applyFont="1" applyAlignment="1">
      <alignment horizontal="center"/>
    </xf>
    <xf numFmtId="0" fontId="19" fillId="0" borderId="0" xfId="35" applyFont="1" applyAlignment="1">
      <alignment horizontal="right"/>
    </xf>
    <xf numFmtId="0" fontId="65" fillId="0" borderId="11" xfId="35" applyFont="1" applyBorder="1"/>
    <xf numFmtId="0" fontId="65" fillId="0" borderId="12" xfId="35" applyFont="1" applyBorder="1"/>
    <xf numFmtId="0" fontId="56" fillId="0" borderId="0" xfId="35" applyFont="1"/>
    <xf numFmtId="0" fontId="66" fillId="0" borderId="0" xfId="35" applyFont="1"/>
    <xf numFmtId="0" fontId="63" fillId="0" borderId="0" xfId="36">
      <alignment vertical="top"/>
    </xf>
    <xf numFmtId="0" fontId="15" fillId="0" borderId="0" xfId="36" applyFont="1" applyAlignment="1">
      <alignment horizontal="center" vertical="top"/>
    </xf>
    <xf numFmtId="2" fontId="63" fillId="0" borderId="0" xfId="36" applyNumberFormat="1" applyAlignment="1">
      <alignment horizontal="center" vertical="top"/>
    </xf>
    <xf numFmtId="0" fontId="69" fillId="0" borderId="0" xfId="36" applyFont="1" applyAlignment="1">
      <alignment horizontal="center" vertical="top" wrapText="1"/>
    </xf>
    <xf numFmtId="2" fontId="69" fillId="0" borderId="0" xfId="36" applyNumberFormat="1" applyFont="1" applyAlignment="1">
      <alignment horizontal="center" vertical="top" wrapText="1"/>
    </xf>
    <xf numFmtId="165" fontId="14" fillId="0" borderId="0" xfId="36" applyNumberFormat="1" applyFont="1" applyAlignment="1">
      <alignment horizontal="center" vertical="top"/>
    </xf>
    <xf numFmtId="0" fontId="71" fillId="0" borderId="0" xfId="38" applyFont="1" applyAlignment="1" applyProtection="1">
      <alignment horizontal="left" vertical="center" wrapText="1"/>
      <protection locked="0"/>
    </xf>
    <xf numFmtId="0" fontId="69" fillId="0" borderId="0" xfId="36" applyFont="1" applyAlignment="1">
      <alignment horizontal="left" vertical="top" wrapText="1"/>
    </xf>
    <xf numFmtId="4" fontId="83" fillId="0" borderId="0" xfId="0" applyNumberFormat="1" applyFont="1" applyAlignment="1">
      <alignment vertical="center"/>
    </xf>
    <xf numFmtId="0" fontId="52" fillId="0" borderId="0" xfId="0" applyFont="1"/>
    <xf numFmtId="0" fontId="10" fillId="0" borderId="0" xfId="0" applyFont="1"/>
    <xf numFmtId="0" fontId="14" fillId="0" borderId="0" xfId="0" applyFont="1"/>
    <xf numFmtId="2" fontId="14" fillId="0" borderId="0" xfId="36" applyNumberFormat="1" applyFont="1">
      <alignment vertical="top"/>
    </xf>
    <xf numFmtId="0" fontId="87" fillId="0" borderId="0" xfId="0" applyFont="1" applyAlignment="1">
      <alignment horizontal="center" vertical="center"/>
    </xf>
    <xf numFmtId="4" fontId="87" fillId="0" borderId="0" xfId="0" applyNumberFormat="1" applyFont="1" applyAlignment="1">
      <alignment horizontal="center" vertical="center"/>
    </xf>
    <xf numFmtId="4" fontId="91" fillId="0" borderId="0" xfId="0" applyNumberFormat="1" applyFont="1" applyAlignment="1">
      <alignment vertical="center"/>
    </xf>
    <xf numFmtId="4" fontId="13" fillId="0" borderId="0" xfId="0" applyNumberFormat="1" applyFont="1"/>
    <xf numFmtId="0" fontId="92" fillId="0" borderId="0" xfId="35" applyFont="1"/>
    <xf numFmtId="4" fontId="43" fillId="0" borderId="0" xfId="0" applyNumberFormat="1" applyFont="1" applyAlignment="1">
      <alignment horizontal="left" vertical="center"/>
    </xf>
    <xf numFmtId="0" fontId="49" fillId="0" borderId="0" xfId="39" applyFont="1" applyAlignment="1">
      <alignment wrapText="1"/>
    </xf>
    <xf numFmtId="0" fontId="93" fillId="0" borderId="0" xfId="0" applyFont="1"/>
    <xf numFmtId="0" fontId="45" fillId="0" borderId="0" xfId="0" applyFont="1"/>
    <xf numFmtId="0" fontId="33" fillId="0" borderId="0" xfId="35" applyFont="1" applyAlignment="1">
      <alignment horizontal="center" vertical="center" wrapText="1"/>
    </xf>
    <xf numFmtId="4" fontId="34" fillId="0" borderId="0" xfId="35" applyNumberFormat="1" applyFont="1" applyAlignment="1">
      <alignment horizontal="center" vertical="center"/>
    </xf>
    <xf numFmtId="0" fontId="94" fillId="0" borderId="0" xfId="0" applyFont="1" applyAlignment="1">
      <alignment vertical="center"/>
    </xf>
    <xf numFmtId="4" fontId="95" fillId="0" borderId="0" xfId="0" applyNumberFormat="1" applyFont="1" applyAlignment="1">
      <alignment vertical="center"/>
    </xf>
    <xf numFmtId="4" fontId="96" fillId="0" borderId="0" xfId="0" applyNumberFormat="1" applyFont="1" applyAlignment="1">
      <alignment vertical="center"/>
    </xf>
    <xf numFmtId="0" fontId="96" fillId="0" borderId="0" xfId="0" applyFont="1" applyAlignment="1">
      <alignment vertical="center"/>
    </xf>
    <xf numFmtId="4" fontId="94" fillId="0" borderId="0" xfId="0" applyNumberFormat="1" applyFont="1" applyAlignment="1">
      <alignment vertical="center"/>
    </xf>
    <xf numFmtId="0" fontId="95" fillId="0" borderId="0" xfId="0" applyFont="1" applyAlignment="1">
      <alignment vertical="center"/>
    </xf>
    <xf numFmtId="0" fontId="51" fillId="0" borderId="0" xfId="35" applyFont="1"/>
    <xf numFmtId="0" fontId="88" fillId="0" borderId="0" xfId="0" applyFont="1" applyAlignment="1">
      <alignment horizontal="center" vertical="center"/>
    </xf>
    <xf numFmtId="4" fontId="88" fillId="0" borderId="0" xfId="0" applyNumberFormat="1" applyFont="1" applyAlignment="1">
      <alignment horizontal="center" vertical="center"/>
    </xf>
    <xf numFmtId="4" fontId="88" fillId="0" borderId="0" xfId="0" applyNumberFormat="1" applyFont="1" applyAlignment="1">
      <alignment horizontal="left" vertical="center"/>
    </xf>
    <xf numFmtId="2" fontId="17" fillId="0" borderId="0" xfId="36" applyNumberFormat="1" applyFont="1">
      <alignment vertical="top"/>
    </xf>
    <xf numFmtId="0" fontId="17" fillId="0" borderId="0" xfId="36" applyFont="1">
      <alignment vertical="top"/>
    </xf>
    <xf numFmtId="0" fontId="14" fillId="0" borderId="0" xfId="39" applyFont="1"/>
    <xf numFmtId="0" fontId="41" fillId="0" borderId="0" xfId="0" applyFont="1" applyAlignment="1">
      <alignment horizontal="right"/>
    </xf>
    <xf numFmtId="0" fontId="91" fillId="0" borderId="0" xfId="0" applyFont="1" applyAlignment="1">
      <alignment vertical="center"/>
    </xf>
    <xf numFmtId="0" fontId="8" fillId="0" borderId="0" xfId="0" applyFont="1"/>
    <xf numFmtId="4" fontId="8" fillId="0" borderId="0" xfId="0" applyNumberFormat="1" applyFont="1"/>
    <xf numFmtId="0" fontId="99" fillId="0" borderId="0" xfId="0" applyFont="1"/>
    <xf numFmtId="0" fontId="99" fillId="0" borderId="0" xfId="36" applyFont="1">
      <alignment vertical="top"/>
    </xf>
    <xf numFmtId="0" fontId="99" fillId="0" borderId="0" xfId="35" applyFont="1"/>
    <xf numFmtId="0" fontId="45" fillId="0" borderId="0" xfId="36" applyFont="1">
      <alignment vertical="top"/>
    </xf>
    <xf numFmtId="0" fontId="45" fillId="0" borderId="0" xfId="35" applyFont="1"/>
    <xf numFmtId="0" fontId="63" fillId="0" borderId="0" xfId="36" applyAlignment="1">
      <alignment vertical="center"/>
    </xf>
    <xf numFmtId="0" fontId="14" fillId="0" borderId="0" xfId="36" applyFont="1" applyAlignment="1">
      <alignment horizontal="right" vertical="center"/>
    </xf>
    <xf numFmtId="4" fontId="42" fillId="30" borderId="7" xfId="36" applyNumberFormat="1" applyFont="1" applyFill="1" applyBorder="1" applyAlignment="1">
      <alignment horizontal="center" vertical="center" wrapText="1"/>
    </xf>
    <xf numFmtId="0" fontId="0" fillId="0" borderId="0" xfId="0" applyFont="1"/>
    <xf numFmtId="0" fontId="15" fillId="0" borderId="0" xfId="39" applyFont="1" applyAlignment="1">
      <alignment horizontal="center" vertical="center"/>
    </xf>
    <xf numFmtId="0" fontId="0" fillId="0" borderId="0" xfId="0" applyAlignment="1">
      <alignment vertical="center"/>
    </xf>
    <xf numFmtId="0" fontId="65" fillId="0" borderId="0" xfId="35" applyFont="1"/>
    <xf numFmtId="0" fontId="16" fillId="0" borderId="0" xfId="35" applyFont="1" applyAlignment="1">
      <alignment horizontal="center" vertical="center" wrapText="1"/>
    </xf>
    <xf numFmtId="0" fontId="67" fillId="0" borderId="0" xfId="36" applyFont="1" applyAlignment="1">
      <alignment horizontal="center" vertical="top"/>
    </xf>
    <xf numFmtId="0" fontId="0" fillId="0" borderId="0" xfId="0" applyAlignment="1">
      <alignment vertical="top"/>
    </xf>
    <xf numFmtId="0" fontId="63" fillId="0" borderId="0" xfId="36">
      <alignment vertical="top"/>
    </xf>
    <xf numFmtId="0" fontId="67" fillId="0" borderId="0" xfId="36" applyFont="1" applyAlignment="1">
      <alignment horizontal="center" vertical="center"/>
    </xf>
    <xf numFmtId="0" fontId="8" fillId="0" borderId="0" xfId="0" applyFont="1" applyAlignment="1">
      <alignment horizontal="left"/>
    </xf>
    <xf numFmtId="0" fontId="10" fillId="0" borderId="0" xfId="35" applyBorder="1" applyAlignment="1">
      <alignment horizontal="right" vertical="center"/>
    </xf>
    <xf numFmtId="0" fontId="0" fillId="0" borderId="0" xfId="0" applyFont="1" applyBorder="1" applyAlignment="1">
      <alignment horizontal="center" vertical="center"/>
    </xf>
    <xf numFmtId="0" fontId="107" fillId="0" borderId="0" xfId="0" applyFont="1" applyBorder="1" applyAlignment="1">
      <alignment horizontal="center" vertical="center"/>
    </xf>
    <xf numFmtId="0" fontId="106" fillId="0" borderId="0" xfId="0" applyFont="1" applyBorder="1" applyAlignment="1">
      <alignment horizontal="center"/>
    </xf>
    <xf numFmtId="0" fontId="41" fillId="0" borderId="0" xfId="0" applyFont="1" applyBorder="1" applyAlignment="1">
      <alignment horizontal="center" vertical="top"/>
    </xf>
    <xf numFmtId="2" fontId="14" fillId="0" borderId="17" xfId="36" applyNumberFormat="1" applyFont="1" applyFill="1" applyBorder="1" applyAlignment="1">
      <alignment horizontal="center" vertical="center" wrapText="1"/>
    </xf>
    <xf numFmtId="4" fontId="14" fillId="0" borderId="17" xfId="36" applyNumberFormat="1" applyFont="1" applyFill="1" applyBorder="1" applyAlignment="1">
      <alignment horizontal="center" vertical="center"/>
    </xf>
    <xf numFmtId="4" fontId="70" fillId="0" borderId="17" xfId="36" applyNumberFormat="1" applyFont="1" applyFill="1" applyBorder="1" applyAlignment="1">
      <alignment horizontal="center" vertical="center" wrapText="1"/>
    </xf>
    <xf numFmtId="4" fontId="67" fillId="29" borderId="17" xfId="36" applyNumberFormat="1" applyFont="1" applyFill="1" applyBorder="1" applyAlignment="1">
      <alignment horizontal="center" vertical="center" wrapText="1"/>
    </xf>
    <xf numFmtId="0" fontId="67" fillId="29" borderId="17" xfId="0" applyFont="1" applyFill="1" applyBorder="1" applyAlignment="1">
      <alignment horizontal="center" vertical="center"/>
    </xf>
    <xf numFmtId="0" fontId="0" fillId="31" borderId="0" xfId="0" applyFill="1"/>
    <xf numFmtId="0" fontId="65" fillId="0" borderId="0" xfId="35" applyFont="1"/>
    <xf numFmtId="0" fontId="34" fillId="0" borderId="17" xfId="0" applyFont="1" applyBorder="1" applyAlignment="1">
      <alignment horizontal="center" vertical="center" wrapText="1"/>
    </xf>
    <xf numFmtId="4" fontId="42" fillId="30" borderId="0" xfId="36" applyNumberFormat="1" applyFont="1" applyFill="1" applyBorder="1" applyAlignment="1">
      <alignment horizontal="center" vertical="center" wrapText="1"/>
    </xf>
    <xf numFmtId="10" fontId="54" fillId="0" borderId="0" xfId="0" applyNumberFormat="1" applyFont="1" applyAlignment="1">
      <alignment vertical="center"/>
    </xf>
    <xf numFmtId="0" fontId="34" fillId="0" borderId="17" xfId="0" applyFont="1" applyBorder="1" applyAlignment="1">
      <alignment horizontal="center" vertical="top" wrapText="1"/>
    </xf>
    <xf numFmtId="0" fontId="34" fillId="0" borderId="17" xfId="35" applyFont="1" applyBorder="1" applyAlignment="1">
      <alignment horizontal="center" vertical="top" wrapText="1"/>
    </xf>
    <xf numFmtId="0" fontId="45" fillId="31" borderId="0" xfId="35" applyFont="1" applyFill="1" applyAlignment="1">
      <alignment horizontal="center" vertical="center"/>
    </xf>
    <xf numFmtId="0" fontId="10" fillId="0" borderId="0" xfId="35" applyFill="1"/>
    <xf numFmtId="2" fontId="14" fillId="0" borderId="17" xfId="36" applyNumberFormat="1" applyFont="1" applyFill="1" applyBorder="1" applyAlignment="1">
      <alignment horizontal="center" vertical="center" wrapText="1"/>
    </xf>
    <xf numFmtId="0" fontId="0" fillId="0" borderId="0" xfId="0"/>
    <xf numFmtId="0" fontId="41" fillId="0" borderId="0" xfId="0" applyFont="1" applyAlignment="1">
      <alignment horizontal="center" vertical="top"/>
    </xf>
    <xf numFmtId="0" fontId="0" fillId="0" borderId="0" xfId="0" applyAlignment="1">
      <alignment horizontal="center"/>
    </xf>
    <xf numFmtId="0" fontId="34" fillId="0" borderId="0" xfId="0" applyFont="1" applyFill="1" applyBorder="1" applyAlignment="1">
      <alignment horizontal="center" vertical="center"/>
    </xf>
    <xf numFmtId="4" fontId="34" fillId="0" borderId="0" xfId="0" applyNumberFormat="1" applyFont="1" applyFill="1" applyBorder="1" applyAlignment="1">
      <alignment horizontal="center" vertical="center"/>
    </xf>
    <xf numFmtId="0" fontId="65" fillId="0" borderId="0" xfId="35" applyFont="1" applyFill="1"/>
    <xf numFmtId="0" fontId="67" fillId="0" borderId="0" xfId="0" applyFont="1" applyFill="1" applyBorder="1" applyAlignment="1">
      <alignment horizontal="center" vertical="center"/>
    </xf>
    <xf numFmtId="2" fontId="67" fillId="0" borderId="0" xfId="36" applyNumberFormat="1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/>
    </xf>
    <xf numFmtId="4" fontId="67" fillId="0" borderId="0" xfId="36" applyNumberFormat="1" applyFont="1" applyFill="1" applyBorder="1" applyAlignment="1">
      <alignment horizontal="center" vertical="center" wrapText="1"/>
    </xf>
    <xf numFmtId="2" fontId="63" fillId="0" borderId="0" xfId="36" applyNumberFormat="1" applyFill="1" applyAlignment="1">
      <alignment horizontal="center" vertical="top"/>
    </xf>
    <xf numFmtId="0" fontId="33" fillId="0" borderId="0" xfId="35" applyFont="1" applyAlignment="1">
      <alignment horizontal="center" vertical="center" wrapText="1"/>
    </xf>
    <xf numFmtId="0" fontId="33" fillId="0" borderId="0" xfId="0" applyFont="1" applyFill="1" applyBorder="1" applyAlignment="1">
      <alignment horizontal="center" vertical="center"/>
    </xf>
    <xf numFmtId="4" fontId="33" fillId="0" borderId="0" xfId="0" applyNumberFormat="1" applyFont="1" applyFill="1" applyBorder="1" applyAlignment="1">
      <alignment horizontal="center" vertical="center"/>
    </xf>
    <xf numFmtId="0" fontId="43" fillId="0" borderId="0" xfId="0" applyFont="1" applyAlignment="1">
      <alignment horizontal="left" vertical="center"/>
    </xf>
    <xf numFmtId="4" fontId="42" fillId="0" borderId="0" xfId="0" applyNumberFormat="1" applyFont="1" applyAlignment="1">
      <alignment horizontal="left" vertical="center"/>
    </xf>
    <xf numFmtId="4" fontId="44" fillId="0" borderId="0" xfId="0" applyNumberFormat="1" applyFont="1" applyAlignment="1">
      <alignment horizontal="center" vertical="center" wrapText="1"/>
    </xf>
    <xf numFmtId="167" fontId="91" fillId="0" borderId="0" xfId="0" applyNumberFormat="1" applyFont="1" applyAlignment="1">
      <alignment vertical="center"/>
    </xf>
    <xf numFmtId="0" fontId="82" fillId="0" borderId="0" xfId="0" applyFont="1" applyAlignment="1">
      <alignment vertical="center"/>
    </xf>
    <xf numFmtId="2" fontId="97" fillId="0" borderId="0" xfId="0" applyNumberFormat="1" applyFont="1" applyAlignment="1">
      <alignment horizontal="center" vertical="center"/>
    </xf>
    <xf numFmtId="164" fontId="12" fillId="0" borderId="0" xfId="0" applyNumberFormat="1" applyFont="1" applyAlignment="1">
      <alignment horizontal="right" vertical="center" wrapText="1"/>
    </xf>
    <xf numFmtId="164" fontId="11" fillId="0" borderId="0" xfId="0" applyNumberFormat="1" applyFont="1" applyAlignment="1">
      <alignment horizontal="right" vertical="center" wrapText="1"/>
    </xf>
    <xf numFmtId="166" fontId="54" fillId="0" borderId="0" xfId="0" applyNumberFormat="1" applyFont="1" applyAlignment="1">
      <alignment vertical="center"/>
    </xf>
    <xf numFmtId="0" fontId="42" fillId="0" borderId="0" xfId="0" applyFont="1" applyAlignment="1">
      <alignment horizontal="right" vertical="center"/>
    </xf>
    <xf numFmtId="0" fontId="0" fillId="0" borderId="0" xfId="0"/>
    <xf numFmtId="0" fontId="43" fillId="0" borderId="0" xfId="0" applyFont="1" applyAlignment="1">
      <alignment horizontal="center" vertical="center"/>
    </xf>
    <xf numFmtId="0" fontId="43" fillId="0" borderId="0" xfId="0" applyFont="1" applyAlignment="1">
      <alignment vertical="center"/>
    </xf>
    <xf numFmtId="0" fontId="42" fillId="0" borderId="0" xfId="0" applyFont="1" applyAlignment="1">
      <alignment horizontal="center" vertical="center"/>
    </xf>
    <xf numFmtId="0" fontId="84" fillId="0" borderId="0" xfId="0" applyFont="1" applyAlignment="1">
      <alignment horizontal="left" vertical="center"/>
    </xf>
    <xf numFmtId="0" fontId="86" fillId="0" borderId="0" xfId="0" applyFont="1" applyAlignment="1">
      <alignment horizontal="left" vertical="center"/>
    </xf>
    <xf numFmtId="4" fontId="108" fillId="0" borderId="0" xfId="0" applyNumberFormat="1" applyFont="1" applyAlignment="1">
      <alignment vertical="center"/>
    </xf>
    <xf numFmtId="0" fontId="33" fillId="0" borderId="0" xfId="0" applyFont="1" applyAlignment="1">
      <alignment horizontal="left" vertical="center"/>
    </xf>
    <xf numFmtId="4" fontId="33" fillId="0" borderId="0" xfId="0" applyNumberFormat="1" applyFont="1" applyAlignment="1">
      <alignment horizontal="center" vertical="center"/>
    </xf>
    <xf numFmtId="0" fontId="0" fillId="0" borderId="0" xfId="0"/>
    <xf numFmtId="0" fontId="84" fillId="0" borderId="0" xfId="0" applyFont="1" applyAlignment="1">
      <alignment horizontal="left" vertical="center"/>
    </xf>
    <xf numFmtId="0" fontId="86" fillId="0" borderId="0" xfId="0" applyFont="1" applyAlignment="1">
      <alignment horizontal="left" vertical="center"/>
    </xf>
    <xf numFmtId="0" fontId="88" fillId="0" borderId="0" xfId="0" applyFont="1" applyAlignment="1">
      <alignment horizontal="right" vertical="center"/>
    </xf>
    <xf numFmtId="0" fontId="43" fillId="0" borderId="0" xfId="39" applyFont="1"/>
    <xf numFmtId="0" fontId="33" fillId="0" borderId="0" xfId="39" applyFont="1"/>
    <xf numFmtId="0" fontId="53" fillId="0" borderId="0" xfId="0" applyFont="1"/>
    <xf numFmtId="0" fontId="33" fillId="0" borderId="0" xfId="39" applyFont="1" applyFill="1"/>
    <xf numFmtId="0" fontId="33" fillId="0" borderId="0" xfId="0" applyFont="1" applyFill="1" applyAlignment="1">
      <alignment horizontal="left" vertical="center"/>
    </xf>
    <xf numFmtId="0" fontId="69" fillId="0" borderId="0" xfId="35" applyFont="1" applyAlignment="1">
      <alignment horizontal="center" vertical="center"/>
    </xf>
    <xf numFmtId="0" fontId="69" fillId="0" borderId="0" xfId="35" applyFont="1" applyFill="1" applyAlignment="1">
      <alignment horizontal="center" vertical="center"/>
    </xf>
    <xf numFmtId="0" fontId="14" fillId="0" borderId="0" xfId="39" applyFont="1" applyFill="1"/>
    <xf numFmtId="0" fontId="34" fillId="33" borderId="0" xfId="39" applyFont="1" applyFill="1" applyAlignment="1">
      <alignment wrapText="1"/>
    </xf>
    <xf numFmtId="2" fontId="14" fillId="0" borderId="17" xfId="36" applyNumberFormat="1" applyFont="1" applyFill="1" applyBorder="1" applyAlignment="1">
      <alignment horizontal="center" vertical="center" wrapText="1"/>
    </xf>
    <xf numFmtId="4" fontId="112" fillId="32" borderId="17" xfId="38" applyNumberFormat="1" applyFont="1" applyFill="1" applyBorder="1" applyAlignment="1" applyProtection="1">
      <alignment horizontal="center" vertical="center" wrapText="1"/>
      <protection locked="0"/>
    </xf>
    <xf numFmtId="4" fontId="118" fillId="25" borderId="17" xfId="0" applyNumberFormat="1" applyFont="1" applyFill="1" applyBorder="1" applyAlignment="1">
      <alignment horizontal="center" vertical="center" wrapText="1"/>
    </xf>
    <xf numFmtId="49" fontId="113" fillId="25" borderId="17" xfId="0" applyNumberFormat="1" applyFont="1" applyFill="1" applyBorder="1" applyAlignment="1">
      <alignment horizontal="center" vertical="center" wrapText="1"/>
    </xf>
    <xf numFmtId="4" fontId="114" fillId="25" borderId="17" xfId="0" applyNumberFormat="1" applyFont="1" applyFill="1" applyBorder="1" applyAlignment="1">
      <alignment horizontal="center" vertical="center" wrapText="1"/>
    </xf>
    <xf numFmtId="4" fontId="114" fillId="25" borderId="17" xfId="0" applyNumberFormat="1" applyFont="1" applyFill="1" applyBorder="1" applyAlignment="1">
      <alignment horizontal="center" vertical="center"/>
    </xf>
    <xf numFmtId="0" fontId="0" fillId="0" borderId="0" xfId="0"/>
    <xf numFmtId="0" fontId="43" fillId="0" borderId="0" xfId="0" applyFont="1" applyAlignment="1">
      <alignment horizontal="center" vertical="center"/>
    </xf>
    <xf numFmtId="0" fontId="43" fillId="0" borderId="0" xfId="0" applyFont="1" applyAlignment="1">
      <alignment vertical="center"/>
    </xf>
    <xf numFmtId="0" fontId="41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65" fillId="0" borderId="0" xfId="35" applyFont="1"/>
    <xf numFmtId="0" fontId="6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63" fillId="0" borderId="0" xfId="36">
      <alignment vertical="top"/>
    </xf>
    <xf numFmtId="0" fontId="42" fillId="0" borderId="0" xfId="0" applyFont="1" applyAlignment="1">
      <alignment horizontal="center" vertical="center"/>
    </xf>
    <xf numFmtId="4" fontId="113" fillId="0" borderId="17" xfId="0" applyNumberFormat="1" applyFont="1" applyBorder="1" applyAlignment="1">
      <alignment horizontal="center" vertical="center" wrapText="1"/>
    </xf>
    <xf numFmtId="0" fontId="0" fillId="0" borderId="0" xfId="0"/>
    <xf numFmtId="4" fontId="45" fillId="0" borderId="17" xfId="38" applyNumberFormat="1" applyFont="1" applyFill="1" applyBorder="1" applyAlignment="1" applyProtection="1">
      <alignment horizontal="center" vertical="center" wrapText="1"/>
      <protection locked="0"/>
    </xf>
    <xf numFmtId="4" fontId="45" fillId="0" borderId="17" xfId="38" applyNumberFormat="1" applyFont="1" applyFill="1" applyBorder="1" applyAlignment="1">
      <alignment horizontal="center" vertical="center" wrapText="1"/>
    </xf>
    <xf numFmtId="164" fontId="43" fillId="0" borderId="17" xfId="30" applyNumberFormat="1" applyFont="1" applyBorder="1" applyAlignment="1">
      <alignment horizontal="center" vertical="center" wrapText="1"/>
    </xf>
    <xf numFmtId="0" fontId="42" fillId="0" borderId="17" xfId="0" applyFont="1" applyBorder="1" applyAlignment="1">
      <alignment horizontal="center" vertical="top" wrapText="1"/>
    </xf>
    <xf numFmtId="49" fontId="42" fillId="0" borderId="17" xfId="0" applyNumberFormat="1" applyFont="1" applyBorder="1" applyAlignment="1">
      <alignment horizontal="center" vertical="center" wrapText="1"/>
    </xf>
    <xf numFmtId="0" fontId="15" fillId="0" borderId="17" xfId="0" applyFont="1" applyBorder="1" applyAlignment="1">
      <alignment horizontal="center" vertical="top" wrapText="1"/>
    </xf>
    <xf numFmtId="0" fontId="15" fillId="0" borderId="17" xfId="35" applyFont="1" applyBorder="1" applyAlignment="1">
      <alignment horizontal="center" vertical="top" wrapText="1"/>
    </xf>
    <xf numFmtId="0" fontId="15" fillId="0" borderId="17" xfId="0" applyFont="1" applyBorder="1" applyAlignment="1">
      <alignment horizontal="center" vertical="top"/>
    </xf>
    <xf numFmtId="2" fontId="67" fillId="0" borderId="17" xfId="36" applyNumberFormat="1" applyFont="1" applyBorder="1" applyAlignment="1">
      <alignment horizontal="center" vertical="center" wrapText="1"/>
    </xf>
    <xf numFmtId="0" fontId="120" fillId="0" borderId="17" xfId="35" applyFont="1" applyBorder="1" applyAlignment="1">
      <alignment horizontal="center" vertical="top" wrapText="1"/>
    </xf>
    <xf numFmtId="0" fontId="18" fillId="0" borderId="17" xfId="35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15" fillId="29" borderId="17" xfId="0" applyFont="1" applyFill="1" applyBorder="1" applyAlignment="1">
      <alignment horizontal="center" vertical="center"/>
    </xf>
    <xf numFmtId="2" fontId="15" fillId="29" borderId="17" xfId="36" applyNumberFormat="1" applyFont="1" applyFill="1" applyBorder="1" applyAlignment="1">
      <alignment horizontal="left" vertical="center" wrapText="1"/>
    </xf>
    <xf numFmtId="4" fontId="15" fillId="29" borderId="17" xfId="36" applyNumberFormat="1" applyFont="1" applyFill="1" applyBorder="1" applyAlignment="1">
      <alignment horizontal="center" vertical="center" wrapText="1"/>
    </xf>
    <xf numFmtId="0" fontId="0" fillId="0" borderId="0" xfId="0"/>
    <xf numFmtId="49" fontId="113" fillId="0" borderId="17" xfId="0" applyNumberFormat="1" applyFont="1" applyBorder="1" applyAlignment="1">
      <alignment horizontal="center" vertical="center" wrapText="1"/>
    </xf>
    <xf numFmtId="4" fontId="44" fillId="0" borderId="17" xfId="38" applyNumberFormat="1" applyFont="1" applyFill="1" applyBorder="1" applyAlignment="1">
      <alignment horizontal="center" vertical="center" wrapText="1"/>
    </xf>
    <xf numFmtId="0" fontId="110" fillId="0" borderId="0" xfId="0" applyFont="1"/>
    <xf numFmtId="49" fontId="113" fillId="0" borderId="0" xfId="0" applyNumberFormat="1" applyFont="1" applyAlignment="1">
      <alignment horizontal="center" vertical="center" wrapText="1"/>
    </xf>
    <xf numFmtId="0" fontId="113" fillId="0" borderId="0" xfId="38" applyFont="1" applyFill="1" applyBorder="1" applyAlignment="1" applyProtection="1">
      <alignment horizontal="center" vertical="center" wrapText="1"/>
      <protection locked="0"/>
    </xf>
    <xf numFmtId="0" fontId="111" fillId="0" borderId="0" xfId="0" applyFont="1"/>
    <xf numFmtId="4" fontId="109" fillId="0" borderId="0" xfId="0" applyNumberFormat="1" applyFont="1" applyAlignment="1">
      <alignment horizontal="left" vertical="center"/>
    </xf>
    <xf numFmtId="0" fontId="121" fillId="0" borderId="0" xfId="0" applyFont="1"/>
    <xf numFmtId="4" fontId="122" fillId="0" borderId="0" xfId="0" applyNumberFormat="1" applyFont="1" applyAlignment="1">
      <alignment horizontal="center" vertical="center"/>
    </xf>
    <xf numFmtId="0" fontId="123" fillId="0" borderId="0" xfId="0" applyFont="1"/>
    <xf numFmtId="4" fontId="124" fillId="0" borderId="0" xfId="0" applyNumberFormat="1" applyFont="1"/>
    <xf numFmtId="4" fontId="125" fillId="0" borderId="0" xfId="0" applyNumberFormat="1" applyFont="1" applyAlignment="1">
      <alignment horizontal="left" vertical="center"/>
    </xf>
    <xf numFmtId="4" fontId="118" fillId="0" borderId="0" xfId="0" applyNumberFormat="1" applyFont="1" applyAlignment="1">
      <alignment horizontal="center" vertical="center" wrapText="1"/>
    </xf>
    <xf numFmtId="4" fontId="118" fillId="0" borderId="0" xfId="0" applyNumberFormat="1" applyFont="1" applyAlignment="1">
      <alignment horizontal="left" vertical="center" wrapText="1"/>
    </xf>
    <xf numFmtId="4" fontId="126" fillId="0" borderId="0" xfId="0" applyNumberFormat="1" applyFont="1" applyAlignment="1">
      <alignment vertical="center"/>
    </xf>
    <xf numFmtId="0" fontId="115" fillId="0" borderId="0" xfId="0" applyFont="1"/>
    <xf numFmtId="0" fontId="110" fillId="31" borderId="0" xfId="0" applyFont="1" applyFill="1"/>
    <xf numFmtId="4" fontId="127" fillId="0" borderId="0" xfId="0" applyNumberFormat="1" applyFont="1" applyAlignment="1">
      <alignment vertical="center"/>
    </xf>
    <xf numFmtId="4" fontId="113" fillId="0" borderId="0" xfId="0" applyNumberFormat="1" applyFont="1" applyAlignment="1">
      <alignment horizontal="center" vertical="center"/>
    </xf>
    <xf numFmtId="0" fontId="124" fillId="0" borderId="0" xfId="0" applyFont="1"/>
    <xf numFmtId="4" fontId="128" fillId="0" borderId="0" xfId="0" applyNumberFormat="1" applyFont="1" applyAlignment="1">
      <alignment horizontal="left" vertical="center"/>
    </xf>
    <xf numFmtId="0" fontId="131" fillId="0" borderId="0" xfId="35" applyFont="1"/>
    <xf numFmtId="0" fontId="132" fillId="0" borderId="0" xfId="35" applyFont="1" applyAlignment="1">
      <alignment horizontal="center" vertical="center"/>
    </xf>
    <xf numFmtId="0" fontId="131" fillId="0" borderId="0" xfId="35" applyFont="1" applyFill="1"/>
    <xf numFmtId="0" fontId="110" fillId="0" borderId="0" xfId="0" applyFont="1"/>
    <xf numFmtId="0" fontId="114" fillId="0" borderId="0" xfId="0" applyFont="1"/>
    <xf numFmtId="0" fontId="133" fillId="0" borderId="0" xfId="36" applyFont="1">
      <alignment vertical="top"/>
    </xf>
    <xf numFmtId="0" fontId="134" fillId="0" borderId="0" xfId="36" applyFont="1">
      <alignment vertical="top"/>
    </xf>
    <xf numFmtId="0" fontId="116" fillId="0" borderId="0" xfId="36" applyFont="1" applyAlignment="1">
      <alignment horizontal="center"/>
    </xf>
    <xf numFmtId="0" fontId="116" fillId="0" borderId="0" xfId="0" applyFont="1" applyAlignment="1">
      <alignment horizontal="center"/>
    </xf>
    <xf numFmtId="0" fontId="116" fillId="0" borderId="0" xfId="36" applyFont="1" applyAlignment="1">
      <alignment horizontal="center" vertical="top"/>
    </xf>
    <xf numFmtId="2" fontId="134" fillId="0" borderId="0" xfId="36" applyNumberFormat="1" applyFont="1" applyAlignment="1">
      <alignment horizontal="center" vertical="top"/>
    </xf>
    <xf numFmtId="2" fontId="135" fillId="0" borderId="0" xfId="36" applyNumberFormat="1" applyFont="1" applyFill="1" applyAlignment="1">
      <alignment horizontal="center" vertical="top"/>
    </xf>
    <xf numFmtId="0" fontId="117" fillId="0" borderId="0" xfId="39" applyFont="1" applyFill="1"/>
    <xf numFmtId="0" fontId="129" fillId="0" borderId="0" xfId="35" applyFont="1" applyFill="1" applyAlignment="1">
      <alignment horizontal="center" vertical="center"/>
    </xf>
    <xf numFmtId="0" fontId="114" fillId="0" borderId="0" xfId="36" applyFont="1">
      <alignment vertical="top"/>
    </xf>
    <xf numFmtId="4" fontId="136" fillId="27" borderId="16" xfId="0" applyNumberFormat="1" applyFont="1" applyFill="1" applyBorder="1" applyAlignment="1">
      <alignment horizontal="center" vertical="center" wrapText="1"/>
    </xf>
    <xf numFmtId="4" fontId="137" fillId="0" borderId="0" xfId="0" applyNumberFormat="1" applyFont="1" applyAlignment="1">
      <alignment horizontal="center" vertical="center" wrapText="1"/>
    </xf>
    <xf numFmtId="4" fontId="114" fillId="0" borderId="0" xfId="0" applyNumberFormat="1" applyFont="1" applyAlignment="1">
      <alignment horizontal="center" vertical="center" wrapText="1"/>
    </xf>
    <xf numFmtId="4" fontId="136" fillId="27" borderId="8" xfId="0" applyNumberFormat="1" applyFont="1" applyFill="1" applyBorder="1" applyAlignment="1">
      <alignment horizontal="center" vertical="center" wrapText="1"/>
    </xf>
    <xf numFmtId="0" fontId="138" fillId="0" borderId="0" xfId="0" applyFont="1" applyAlignment="1">
      <alignment horizontal="center" vertical="center"/>
    </xf>
    <xf numFmtId="4" fontId="118" fillId="26" borderId="0" xfId="0" applyNumberFormat="1" applyFont="1" applyFill="1" applyAlignment="1">
      <alignment horizontal="center" vertical="center" wrapText="1"/>
    </xf>
    <xf numFmtId="0" fontId="139" fillId="0" borderId="0" xfId="0" applyFont="1" applyAlignment="1">
      <alignment horizontal="center" vertical="center"/>
    </xf>
    <xf numFmtId="49" fontId="140" fillId="0" borderId="17" xfId="0" applyNumberFormat="1" applyFont="1" applyBorder="1" applyAlignment="1">
      <alignment horizontal="center" vertical="center" wrapText="1"/>
    </xf>
    <xf numFmtId="4" fontId="140" fillId="0" borderId="17" xfId="0" applyNumberFormat="1" applyFont="1" applyBorder="1" applyAlignment="1">
      <alignment horizontal="center" vertical="center" wrapText="1"/>
    </xf>
    <xf numFmtId="0" fontId="0" fillId="0" borderId="0" xfId="0"/>
    <xf numFmtId="0" fontId="110" fillId="0" borderId="0" xfId="0" applyFont="1"/>
    <xf numFmtId="4" fontId="141" fillId="27" borderId="16" xfId="0" applyNumberFormat="1" applyFont="1" applyFill="1" applyBorder="1" applyAlignment="1">
      <alignment horizontal="center" vertical="center" wrapText="1"/>
    </xf>
    <xf numFmtId="4" fontId="141" fillId="27" borderId="8" xfId="0" applyNumberFormat="1" applyFont="1" applyFill="1" applyBorder="1" applyAlignment="1">
      <alignment horizontal="center" vertical="center" wrapText="1"/>
    </xf>
    <xf numFmtId="0" fontId="142" fillId="0" borderId="0" xfId="0" applyFont="1" applyAlignment="1">
      <alignment horizontal="center" vertical="center"/>
    </xf>
    <xf numFmtId="0" fontId="10" fillId="0" borderId="0" xfId="35" applyFont="1"/>
    <xf numFmtId="4" fontId="72" fillId="0" borderId="0" xfId="0" applyNumberFormat="1" applyFont="1"/>
    <xf numFmtId="0" fontId="0" fillId="0" borderId="0" xfId="0"/>
    <xf numFmtId="4" fontId="44" fillId="0" borderId="0" xfId="0" applyNumberFormat="1" applyFont="1" applyAlignment="1">
      <alignment horizontal="left" vertical="center" wrapText="1"/>
    </xf>
    <xf numFmtId="0" fontId="0" fillId="0" borderId="0" xfId="0"/>
    <xf numFmtId="0" fontId="110" fillId="0" borderId="0" xfId="0" applyFont="1"/>
    <xf numFmtId="0" fontId="0" fillId="0" borderId="0" xfId="0"/>
    <xf numFmtId="0" fontId="110" fillId="0" borderId="0" xfId="0" applyFont="1"/>
    <xf numFmtId="0" fontId="10" fillId="28" borderId="0" xfId="35" applyFont="1" applyFill="1"/>
    <xf numFmtId="4" fontId="112" fillId="32" borderId="0" xfId="38" applyNumberFormat="1" applyFont="1" applyFill="1" applyBorder="1" applyAlignment="1" applyProtection="1">
      <alignment horizontal="center" vertical="center" wrapText="1"/>
      <protection locked="0"/>
    </xf>
    <xf numFmtId="0" fontId="43" fillId="0" borderId="17" xfId="0" applyFont="1" applyBorder="1" applyAlignment="1">
      <alignment horizontal="center" vertical="top" wrapText="1"/>
    </xf>
    <xf numFmtId="0" fontId="42" fillId="29" borderId="17" xfId="0" applyFont="1" applyFill="1" applyBorder="1" applyAlignment="1">
      <alignment horizontal="center" vertical="center"/>
    </xf>
    <xf numFmtId="0" fontId="42" fillId="29" borderId="17" xfId="0" applyFont="1" applyFill="1" applyBorder="1" applyAlignment="1">
      <alignment horizontal="left" vertical="center"/>
    </xf>
    <xf numFmtId="4" fontId="42" fillId="29" borderId="17" xfId="0" applyNumberFormat="1" applyFont="1" applyFill="1" applyBorder="1" applyAlignment="1">
      <alignment horizontal="center" vertical="center"/>
    </xf>
    <xf numFmtId="4" fontId="34" fillId="29" borderId="17" xfId="0" applyNumberFormat="1" applyFont="1" applyFill="1" applyBorder="1" applyAlignment="1">
      <alignment horizontal="center" vertical="center"/>
    </xf>
    <xf numFmtId="49" fontId="33" fillId="0" borderId="17" xfId="35" applyNumberFormat="1" applyFont="1" applyFill="1" applyBorder="1" applyAlignment="1">
      <alignment horizontal="center" vertical="center" wrapText="1"/>
    </xf>
    <xf numFmtId="0" fontId="33" fillId="0" borderId="17" xfId="35" applyFont="1" applyFill="1" applyBorder="1" applyAlignment="1">
      <alignment horizontal="center" vertical="center" wrapText="1"/>
    </xf>
    <xf numFmtId="4" fontId="33" fillId="0" borderId="17" xfId="35" applyNumberFormat="1" applyFont="1" applyFill="1" applyBorder="1" applyAlignment="1">
      <alignment horizontal="center" vertical="center"/>
    </xf>
    <xf numFmtId="0" fontId="34" fillId="29" borderId="17" xfId="0" applyFont="1" applyFill="1" applyBorder="1" applyAlignment="1">
      <alignment horizontal="center" vertical="center"/>
    </xf>
    <xf numFmtId="0" fontId="34" fillId="29" borderId="17" xfId="0" applyFont="1" applyFill="1" applyBorder="1" applyAlignment="1">
      <alignment horizontal="left" vertical="center"/>
    </xf>
    <xf numFmtId="0" fontId="0" fillId="0" borderId="0" xfId="0"/>
    <xf numFmtId="0" fontId="110" fillId="0" borderId="0" xfId="0" applyFont="1"/>
    <xf numFmtId="4" fontId="144" fillId="0" borderId="0" xfId="0" applyNumberFormat="1" applyFont="1" applyAlignment="1">
      <alignment horizontal="center" vertical="center" wrapText="1"/>
    </xf>
    <xf numFmtId="4" fontId="44" fillId="31" borderId="0" xfId="0" applyNumberFormat="1" applyFont="1" applyFill="1" applyAlignment="1">
      <alignment horizontal="center" vertical="center" wrapText="1"/>
    </xf>
    <xf numFmtId="4" fontId="34" fillId="29" borderId="17" xfId="0" applyNumberFormat="1" applyFont="1" applyFill="1" applyBorder="1" applyAlignment="1">
      <alignment horizontal="left" vertical="center"/>
    </xf>
    <xf numFmtId="0" fontId="55" fillId="0" borderId="0" xfId="35" applyFont="1" applyAlignment="1">
      <alignment horizontal="left" vertical="center"/>
    </xf>
    <xf numFmtId="0" fontId="143" fillId="0" borderId="0" xfId="0" applyFont="1"/>
    <xf numFmtId="4" fontId="15" fillId="25" borderId="10" xfId="0" applyNumberFormat="1" applyFont="1" applyFill="1" applyBorder="1" applyAlignment="1">
      <alignment horizontal="center" vertical="center"/>
    </xf>
    <xf numFmtId="2" fontId="16" fillId="0" borderId="0" xfId="36" applyNumberFormat="1" applyFont="1" applyAlignment="1">
      <alignment horizontal="center" vertical="top"/>
    </xf>
    <xf numFmtId="4" fontId="145" fillId="0" borderId="0" xfId="0" applyNumberFormat="1" applyFont="1" applyAlignment="1">
      <alignment vertical="center"/>
    </xf>
    <xf numFmtId="0" fontId="0" fillId="0" borderId="0" xfId="0"/>
    <xf numFmtId="0" fontId="43" fillId="0" borderId="0" xfId="0" applyFont="1" applyAlignment="1">
      <alignment vertical="center"/>
    </xf>
    <xf numFmtId="0" fontId="42" fillId="0" borderId="0" xfId="0" applyFont="1" applyAlignment="1">
      <alignment horizontal="center" vertical="center"/>
    </xf>
    <xf numFmtId="0" fontId="84" fillId="0" borderId="0" xfId="0" applyFont="1" applyAlignment="1">
      <alignment horizontal="left" vertical="center"/>
    </xf>
    <xf numFmtId="0" fontId="0" fillId="0" borderId="0" xfId="0"/>
    <xf numFmtId="0" fontId="0" fillId="0" borderId="0" xfId="0" applyAlignment="1">
      <alignment horizontal="center"/>
    </xf>
    <xf numFmtId="0" fontId="84" fillId="0" borderId="0" xfId="0" applyFont="1" applyAlignment="1">
      <alignment horizontal="left" vertical="center"/>
    </xf>
    <xf numFmtId="0" fontId="86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43" fillId="0" borderId="0" xfId="0" applyFont="1" applyAlignment="1">
      <alignment vertical="center"/>
    </xf>
    <xf numFmtId="0" fontId="42" fillId="0" borderId="0" xfId="0" applyFont="1" applyAlignment="1">
      <alignment horizontal="center" vertical="center"/>
    </xf>
    <xf numFmtId="0" fontId="98" fillId="0" borderId="0" xfId="0" applyFont="1" applyAlignment="1">
      <alignment horizontal="center" vertical="top"/>
    </xf>
    <xf numFmtId="4" fontId="43" fillId="0" borderId="17" xfId="0" applyNumberFormat="1" applyFont="1" applyBorder="1" applyAlignment="1">
      <alignment horizontal="center" vertical="center" wrapText="1"/>
    </xf>
    <xf numFmtId="4" fontId="42" fillId="0" borderId="17" xfId="0" applyNumberFormat="1" applyFont="1" applyBorder="1" applyAlignment="1">
      <alignment horizontal="center" vertical="center" wrapText="1"/>
    </xf>
    <xf numFmtId="49" fontId="43" fillId="0" borderId="17" xfId="0" applyNumberFormat="1" applyFont="1" applyBorder="1" applyAlignment="1">
      <alignment horizontal="center" vertical="center" wrapText="1"/>
    </xf>
    <xf numFmtId="0" fontId="43" fillId="0" borderId="17" xfId="0" applyFont="1" applyBorder="1" applyAlignment="1">
      <alignment horizontal="center" vertical="center" wrapText="1"/>
    </xf>
    <xf numFmtId="0" fontId="97" fillId="0" borderId="0" xfId="0" applyFont="1" applyAlignment="1">
      <alignment vertical="center"/>
    </xf>
    <xf numFmtId="0" fontId="146" fillId="0" borderId="0" xfId="0" applyFont="1"/>
    <xf numFmtId="49" fontId="140" fillId="0" borderId="17" xfId="0" applyNumberFormat="1" applyFont="1" applyBorder="1" applyAlignment="1">
      <alignment horizontal="left" vertical="center" wrapText="1"/>
    </xf>
    <xf numFmtId="49" fontId="43" fillId="0" borderId="17" xfId="0" applyNumberFormat="1" applyFont="1" applyBorder="1" applyAlignment="1">
      <alignment horizontal="left" vertical="center" wrapText="1"/>
    </xf>
    <xf numFmtId="49" fontId="147" fillId="0" borderId="17" xfId="0" applyNumberFormat="1" applyFont="1" applyBorder="1" applyAlignment="1">
      <alignment horizontal="center" vertical="center" wrapText="1"/>
    </xf>
    <xf numFmtId="49" fontId="147" fillId="0" borderId="17" xfId="0" applyNumberFormat="1" applyFont="1" applyBorder="1" applyAlignment="1">
      <alignment horizontal="left" vertical="center" wrapText="1"/>
    </xf>
    <xf numFmtId="4" fontId="147" fillId="0" borderId="17" xfId="0" applyNumberFormat="1" applyFont="1" applyBorder="1" applyAlignment="1">
      <alignment horizontal="center" vertical="center" wrapText="1"/>
    </xf>
    <xf numFmtId="0" fontId="97" fillId="0" borderId="0" xfId="0" applyFont="1" applyAlignment="1">
      <alignment horizontal="center" vertical="center"/>
    </xf>
    <xf numFmtId="4" fontId="43" fillId="0" borderId="17" xfId="0" applyNumberFormat="1" applyFont="1" applyBorder="1" applyAlignment="1">
      <alignment horizontal="center" vertical="center" wrapText="1"/>
    </xf>
    <xf numFmtId="0" fontId="0" fillId="0" borderId="0" xfId="0"/>
    <xf numFmtId="0" fontId="110" fillId="0" borderId="0" xfId="0" applyFont="1"/>
    <xf numFmtId="0" fontId="148" fillId="0" borderId="0" xfId="0" applyFont="1" applyAlignment="1">
      <alignment vertical="center"/>
    </xf>
    <xf numFmtId="4" fontId="147" fillId="0" borderId="25" xfId="0" applyNumberFormat="1" applyFont="1" applyBorder="1" applyAlignment="1">
      <alignment horizontal="center" vertical="center" wrapText="1"/>
    </xf>
    <xf numFmtId="0" fontId="55" fillId="0" borderId="0" xfId="39" applyFont="1" applyAlignment="1">
      <alignment horizontal="center" vertical="center"/>
    </xf>
    <xf numFmtId="0" fontId="43" fillId="0" borderId="0" xfId="0" applyFont="1"/>
    <xf numFmtId="0" fontId="64" fillId="0" borderId="0" xfId="0" applyFont="1" applyAlignment="1">
      <alignment horizontal="center" vertical="center" wrapText="1"/>
    </xf>
    <xf numFmtId="0" fontId="150" fillId="0" borderId="0" xfId="0" applyFont="1" applyAlignment="1">
      <alignment vertical="center"/>
    </xf>
    <xf numFmtId="164" fontId="83" fillId="0" borderId="0" xfId="0" applyNumberFormat="1" applyFont="1" applyAlignment="1">
      <alignment horizontal="right" vertical="center" wrapText="1"/>
    </xf>
    <xf numFmtId="0" fontId="0" fillId="0" borderId="0" xfId="0"/>
    <xf numFmtId="4" fontId="45" fillId="0" borderId="17" xfId="0" applyNumberFormat="1" applyFont="1" applyFill="1" applyBorder="1" applyAlignment="1">
      <alignment horizontal="center" vertical="center"/>
    </xf>
    <xf numFmtId="4" fontId="44" fillId="0" borderId="17" xfId="0" applyNumberFormat="1" applyFont="1" applyFill="1" applyBorder="1" applyAlignment="1">
      <alignment horizontal="center" vertical="center" wrapText="1"/>
    </xf>
    <xf numFmtId="49" fontId="43" fillId="0" borderId="17" xfId="0" applyNumberFormat="1" applyFont="1" applyFill="1" applyBorder="1" applyAlignment="1">
      <alignment horizontal="center" vertical="center" wrapText="1"/>
    </xf>
    <xf numFmtId="0" fontId="0" fillId="0" borderId="0" xfId="0"/>
    <xf numFmtId="0" fontId="110" fillId="0" borderId="0" xfId="0" applyFont="1"/>
    <xf numFmtId="4" fontId="118" fillId="0" borderId="17" xfId="0" applyNumberFormat="1" applyFont="1" applyBorder="1" applyAlignment="1">
      <alignment horizontal="center" vertical="center" wrapText="1"/>
    </xf>
    <xf numFmtId="4" fontId="114" fillId="0" borderId="17" xfId="0" applyNumberFormat="1" applyFont="1" applyBorder="1" applyAlignment="1">
      <alignment horizontal="center" vertical="center" wrapText="1"/>
    </xf>
    <xf numFmtId="4" fontId="114" fillId="0" borderId="17" xfId="0" applyNumberFormat="1" applyFont="1" applyBorder="1" applyAlignment="1">
      <alignment horizontal="center" vertical="center"/>
    </xf>
    <xf numFmtId="164" fontId="140" fillId="0" borderId="17" xfId="30" applyNumberFormat="1" applyFont="1" applyBorder="1" applyAlignment="1">
      <alignment horizontal="center" vertical="center" wrapText="1"/>
    </xf>
    <xf numFmtId="49" fontId="140" fillId="0" borderId="17" xfId="0" applyNumberFormat="1" applyFont="1" applyFill="1" applyBorder="1" applyAlignment="1">
      <alignment horizontal="center" vertical="center" wrapText="1"/>
    </xf>
    <xf numFmtId="4" fontId="144" fillId="0" borderId="17" xfId="0" applyNumberFormat="1" applyFont="1" applyFill="1" applyBorder="1" applyAlignment="1">
      <alignment horizontal="center" vertical="center" wrapText="1"/>
    </xf>
    <xf numFmtId="4" fontId="151" fillId="0" borderId="17" xfId="38" applyNumberFormat="1" applyFont="1" applyFill="1" applyBorder="1" applyAlignment="1" applyProtection="1">
      <alignment horizontal="center" vertical="center" wrapText="1"/>
      <protection locked="0"/>
    </xf>
    <xf numFmtId="4" fontId="151" fillId="0" borderId="17" xfId="38" applyNumberFormat="1" applyFont="1" applyFill="1" applyBorder="1" applyAlignment="1">
      <alignment horizontal="center" vertical="center" wrapText="1"/>
    </xf>
    <xf numFmtId="4" fontId="144" fillId="0" borderId="17" xfId="38" applyNumberFormat="1" applyFont="1" applyFill="1" applyBorder="1" applyAlignment="1">
      <alignment horizontal="center" vertical="center" wrapText="1"/>
    </xf>
    <xf numFmtId="4" fontId="151" fillId="0" borderId="17" xfId="0" applyNumberFormat="1" applyFont="1" applyFill="1" applyBorder="1" applyAlignment="1">
      <alignment horizontal="center" vertical="center"/>
    </xf>
    <xf numFmtId="4" fontId="151" fillId="0" borderId="17" xfId="0" applyNumberFormat="1" applyFont="1" applyFill="1" applyBorder="1" applyAlignment="1">
      <alignment horizontal="center" vertical="center" wrapText="1"/>
    </xf>
    <xf numFmtId="4" fontId="140" fillId="0" borderId="17" xfId="38" applyNumberFormat="1" applyFont="1" applyFill="1" applyBorder="1" applyAlignment="1" applyProtection="1">
      <alignment horizontal="center" vertical="center" wrapText="1"/>
      <protection locked="0"/>
    </xf>
    <xf numFmtId="0" fontId="140" fillId="0" borderId="18" xfId="38" applyFont="1" applyFill="1" applyBorder="1" applyAlignment="1" applyProtection="1">
      <alignment horizontal="center" wrapText="1"/>
      <protection locked="0"/>
    </xf>
    <xf numFmtId="0" fontId="140" fillId="0" borderId="0" xfId="38" applyFont="1" applyFill="1" applyBorder="1" applyAlignment="1" applyProtection="1">
      <alignment horizontal="center" vertical="top" wrapText="1"/>
      <protection locked="0"/>
    </xf>
    <xf numFmtId="4" fontId="45" fillId="0" borderId="17" xfId="0" applyNumberFormat="1" applyFont="1" applyFill="1" applyBorder="1" applyAlignment="1">
      <alignment horizontal="center" vertical="center" wrapText="1"/>
    </xf>
    <xf numFmtId="4" fontId="43" fillId="0" borderId="17" xfId="38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/>
    <xf numFmtId="4" fontId="151" fillId="0" borderId="17" xfId="0" applyNumberFormat="1" applyFont="1" applyFill="1" applyBorder="1" applyAlignment="1">
      <alignment horizontal="center" vertical="center"/>
    </xf>
    <xf numFmtId="49" fontId="140" fillId="0" borderId="17" xfId="0" applyNumberFormat="1" applyFont="1" applyFill="1" applyBorder="1" applyAlignment="1">
      <alignment horizontal="center" vertical="center" wrapText="1"/>
    </xf>
    <xf numFmtId="4" fontId="144" fillId="0" borderId="17" xfId="0" applyNumberFormat="1" applyFont="1" applyFill="1" applyBorder="1" applyAlignment="1">
      <alignment horizontal="center" vertical="center" wrapText="1"/>
    </xf>
    <xf numFmtId="0" fontId="110" fillId="0" borderId="0" xfId="0" applyFont="1"/>
    <xf numFmtId="0" fontId="0" fillId="0" borderId="0" xfId="0"/>
    <xf numFmtId="49" fontId="140" fillId="0" borderId="17" xfId="0" applyNumberFormat="1" applyFont="1" applyFill="1" applyBorder="1" applyAlignment="1">
      <alignment horizontal="center" vertical="center" wrapText="1"/>
    </xf>
    <xf numFmtId="0" fontId="110" fillId="0" borderId="0" xfId="0" applyFont="1"/>
    <xf numFmtId="4" fontId="44" fillId="0" borderId="17" xfId="0" applyNumberFormat="1" applyFont="1" applyBorder="1" applyAlignment="1">
      <alignment horizontal="center" vertical="center" wrapText="1"/>
    </xf>
    <xf numFmtId="4" fontId="45" fillId="0" borderId="17" xfId="0" applyNumberFormat="1" applyFont="1" applyBorder="1" applyAlignment="1">
      <alignment horizontal="center" vertical="center" wrapText="1"/>
    </xf>
    <xf numFmtId="4" fontId="45" fillId="0" borderId="17" xfId="0" applyNumberFormat="1" applyFont="1" applyBorder="1" applyAlignment="1">
      <alignment horizontal="center" vertical="center"/>
    </xf>
    <xf numFmtId="4" fontId="44" fillId="0" borderId="17" xfId="38" applyNumberFormat="1" applyFont="1" applyFill="1" applyBorder="1" applyAlignment="1" applyProtection="1">
      <alignment horizontal="center" vertical="center" wrapText="1"/>
      <protection locked="0"/>
    </xf>
    <xf numFmtId="49" fontId="43" fillId="0" borderId="17" xfId="0" applyNumberFormat="1" applyFont="1" applyFill="1" applyBorder="1" applyAlignment="1">
      <alignment horizontal="center" vertical="center" wrapText="1"/>
    </xf>
    <xf numFmtId="0" fontId="43" fillId="0" borderId="0" xfId="38" applyFont="1" applyFill="1" applyBorder="1" applyAlignment="1" applyProtection="1">
      <alignment horizontal="center" wrapText="1"/>
      <protection locked="0"/>
    </xf>
    <xf numFmtId="4" fontId="44" fillId="0" borderId="17" xfId="0" applyNumberFormat="1" applyFont="1" applyFill="1" applyBorder="1" applyAlignment="1">
      <alignment horizontal="center" vertical="center" wrapText="1"/>
    </xf>
    <xf numFmtId="4" fontId="43" fillId="0" borderId="17" xfId="0" applyNumberFormat="1" applyFont="1" applyFill="1" applyBorder="1" applyAlignment="1">
      <alignment horizontal="center" vertical="center" wrapText="1"/>
    </xf>
    <xf numFmtId="4" fontId="45" fillId="0" borderId="17" xfId="0" applyNumberFormat="1" applyFont="1" applyFill="1" applyBorder="1" applyAlignment="1">
      <alignment horizontal="center" vertical="center"/>
    </xf>
    <xf numFmtId="0" fontId="43" fillId="0" borderId="19" xfId="38" applyFont="1" applyFill="1" applyBorder="1" applyAlignment="1" applyProtection="1">
      <alignment horizontal="center" vertical="top" wrapText="1"/>
      <protection locked="0"/>
    </xf>
    <xf numFmtId="4" fontId="43" fillId="0" borderId="17" xfId="38" applyNumberFormat="1" applyFont="1" applyFill="1" applyBorder="1" applyAlignment="1">
      <alignment horizontal="center" vertical="center" wrapText="1"/>
    </xf>
    <xf numFmtId="4" fontId="44" fillId="0" borderId="17" xfId="0" applyNumberFormat="1" applyFont="1" applyFill="1" applyBorder="1" applyAlignment="1">
      <alignment horizontal="center" vertical="center" wrapText="1"/>
    </xf>
    <xf numFmtId="4" fontId="45" fillId="0" borderId="17" xfId="0" applyNumberFormat="1" applyFont="1" applyFill="1" applyBorder="1" applyAlignment="1">
      <alignment horizontal="center" vertical="center"/>
    </xf>
    <xf numFmtId="49" fontId="43" fillId="0" borderId="17" xfId="0" applyNumberFormat="1" applyFont="1" applyFill="1" applyBorder="1" applyAlignment="1">
      <alignment horizontal="center" vertical="center" wrapText="1"/>
    </xf>
    <xf numFmtId="164" fontId="43" fillId="0" borderId="17" xfId="30" applyNumberFormat="1" applyFont="1" applyFill="1" applyBorder="1" applyAlignment="1">
      <alignment horizontal="center" vertical="center" wrapText="1"/>
    </xf>
    <xf numFmtId="4" fontId="141" fillId="27" borderId="0" xfId="0" applyNumberFormat="1" applyFont="1" applyFill="1" applyBorder="1" applyAlignment="1">
      <alignment horizontal="center" vertical="center" wrapText="1"/>
    </xf>
    <xf numFmtId="4" fontId="45" fillId="0" borderId="17" xfId="0" applyNumberFormat="1" applyFont="1" applyFill="1" applyBorder="1" applyAlignment="1">
      <alignment horizontal="center" vertical="center"/>
    </xf>
    <xf numFmtId="49" fontId="43" fillId="0" borderId="17" xfId="0" applyNumberFormat="1" applyFont="1" applyFill="1" applyBorder="1" applyAlignment="1">
      <alignment horizontal="center" vertical="center" wrapText="1"/>
    </xf>
    <xf numFmtId="4" fontId="44" fillId="0" borderId="17" xfId="0" applyNumberFormat="1" applyFont="1" applyFill="1" applyBorder="1" applyAlignment="1">
      <alignment horizontal="center" vertical="center" wrapText="1"/>
    </xf>
    <xf numFmtId="0" fontId="43" fillId="0" borderId="17" xfId="38" applyFont="1" applyFill="1" applyBorder="1" applyAlignment="1" applyProtection="1">
      <alignment horizontal="center" vertical="center" wrapText="1"/>
      <protection locked="0"/>
    </xf>
    <xf numFmtId="4" fontId="44" fillId="0" borderId="18" xfId="0" applyNumberFormat="1" applyFont="1" applyBorder="1" applyAlignment="1">
      <alignment horizontal="center" vertical="center" wrapText="1"/>
    </xf>
    <xf numFmtId="0" fontId="43" fillId="0" borderId="17" xfId="0" applyFont="1" applyFill="1" applyBorder="1" applyAlignment="1">
      <alignment horizontal="center" vertical="center" wrapText="1"/>
    </xf>
    <xf numFmtId="4" fontId="44" fillId="29" borderId="17" xfId="0" applyNumberFormat="1" applyFont="1" applyFill="1" applyBorder="1" applyAlignment="1">
      <alignment horizontal="center" vertical="center"/>
    </xf>
    <xf numFmtId="0" fontId="0" fillId="0" borderId="0" xfId="0"/>
    <xf numFmtId="4" fontId="43" fillId="0" borderId="17" xfId="0" applyNumberFormat="1" applyFont="1" applyBorder="1" applyAlignment="1">
      <alignment horizontal="center" vertical="center" wrapText="1"/>
    </xf>
    <xf numFmtId="4" fontId="45" fillId="0" borderId="17" xfId="0" applyNumberFormat="1" applyFont="1" applyFill="1" applyBorder="1" applyAlignment="1">
      <alignment horizontal="center" vertical="center"/>
    </xf>
    <xf numFmtId="49" fontId="43" fillId="0" borderId="17" xfId="0" applyNumberFormat="1" applyFont="1" applyFill="1" applyBorder="1" applyAlignment="1">
      <alignment horizontal="center" vertical="center" wrapText="1"/>
    </xf>
    <xf numFmtId="4" fontId="44" fillId="0" borderId="17" xfId="0" applyNumberFormat="1" applyFont="1" applyFill="1" applyBorder="1" applyAlignment="1">
      <alignment horizontal="center" vertical="center" wrapText="1"/>
    </xf>
    <xf numFmtId="0" fontId="110" fillId="0" borderId="0" xfId="0" applyFont="1"/>
    <xf numFmtId="0" fontId="0" fillId="0" borderId="0" xfId="0"/>
    <xf numFmtId="4" fontId="44" fillId="0" borderId="17" xfId="0" applyNumberFormat="1" applyFont="1" applyFill="1" applyBorder="1" applyAlignment="1">
      <alignment horizontal="center" vertical="center" wrapText="1"/>
    </xf>
    <xf numFmtId="4" fontId="45" fillId="0" borderId="17" xfId="0" applyNumberFormat="1" applyFont="1" applyFill="1" applyBorder="1" applyAlignment="1">
      <alignment horizontal="center" vertical="center"/>
    </xf>
    <xf numFmtId="49" fontId="43" fillId="0" borderId="17" xfId="0" applyNumberFormat="1" applyFont="1" applyFill="1" applyBorder="1" applyAlignment="1">
      <alignment horizontal="center" vertical="center" wrapText="1"/>
    </xf>
    <xf numFmtId="4" fontId="43" fillId="0" borderId="17" xfId="0" applyNumberFormat="1" applyFont="1" applyBorder="1" applyAlignment="1">
      <alignment horizontal="center" vertical="center" wrapText="1"/>
    </xf>
    <xf numFmtId="49" fontId="43" fillId="0" borderId="17" xfId="0" applyNumberFormat="1" applyFont="1" applyBorder="1" applyAlignment="1">
      <alignment horizontal="center" vertical="center" wrapText="1"/>
    </xf>
    <xf numFmtId="0" fontId="110" fillId="0" borderId="0" xfId="0" applyFont="1"/>
    <xf numFmtId="49" fontId="33" fillId="0" borderId="17" xfId="0" applyNumberFormat="1" applyFont="1" applyFill="1" applyBorder="1" applyAlignment="1">
      <alignment horizontal="center" vertical="center" wrapText="1"/>
    </xf>
    <xf numFmtId="0" fontId="33" fillId="0" borderId="17" xfId="18" applyFont="1" applyBorder="1" applyAlignment="1">
      <alignment horizontal="center" vertical="center" wrapText="1"/>
    </xf>
    <xf numFmtId="4" fontId="33" fillId="0" borderId="17" xfId="0" applyNumberFormat="1" applyFont="1" applyBorder="1" applyAlignment="1">
      <alignment horizontal="center" vertical="center" wrapText="1"/>
    </xf>
    <xf numFmtId="49" fontId="33" fillId="0" borderId="17" xfId="0" applyNumberFormat="1" applyFont="1" applyBorder="1" applyAlignment="1">
      <alignment horizontal="center" vertical="center" wrapText="1"/>
    </xf>
    <xf numFmtId="164" fontId="33" fillId="0" borderId="17" xfId="30" applyNumberFormat="1" applyFont="1" applyBorder="1" applyAlignment="1">
      <alignment horizontal="center" vertical="center"/>
    </xf>
    <xf numFmtId="4" fontId="33" fillId="0" borderId="17" xfId="30" applyNumberFormat="1" applyFont="1" applyBorder="1" applyAlignment="1">
      <alignment horizontal="center" vertical="center"/>
    </xf>
    <xf numFmtId="0" fontId="33" fillId="0" borderId="17" xfId="18" applyFont="1" applyFill="1" applyBorder="1" applyAlignment="1">
      <alignment horizontal="center" vertical="center" wrapText="1"/>
    </xf>
    <xf numFmtId="164" fontId="33" fillId="0" borderId="17" xfId="30" applyNumberFormat="1" applyFont="1" applyFill="1" applyBorder="1" applyAlignment="1">
      <alignment horizontal="center" vertical="center"/>
    </xf>
    <xf numFmtId="4" fontId="33" fillId="0" borderId="17" xfId="30" applyNumberFormat="1" applyFont="1" applyFill="1" applyBorder="1" applyAlignment="1">
      <alignment horizontal="center" vertical="center"/>
    </xf>
    <xf numFmtId="9" fontId="33" fillId="0" borderId="17" xfId="0" applyNumberFormat="1" applyFont="1" applyFill="1" applyBorder="1" applyAlignment="1">
      <alignment horizontal="center" vertical="center" wrapText="1"/>
    </xf>
    <xf numFmtId="4" fontId="33" fillId="0" borderId="17" xfId="0" applyNumberFormat="1" applyFont="1" applyFill="1" applyBorder="1" applyAlignment="1">
      <alignment horizontal="center" vertical="center" wrapText="1"/>
    </xf>
    <xf numFmtId="164" fontId="33" fillId="0" borderId="17" xfId="30" applyNumberFormat="1" applyFont="1" applyFill="1" applyBorder="1" applyAlignment="1">
      <alignment horizontal="center" vertical="center" wrapText="1"/>
    </xf>
    <xf numFmtId="9" fontId="33" fillId="0" borderId="17" xfId="0" applyNumberFormat="1" applyFont="1" applyBorder="1" applyAlignment="1">
      <alignment horizontal="center" vertical="center" wrapText="1"/>
    </xf>
    <xf numFmtId="49" fontId="156" fillId="0" borderId="17" xfId="0" applyNumberFormat="1" applyFont="1" applyFill="1" applyBorder="1" applyAlignment="1">
      <alignment horizontal="center" vertical="center" wrapText="1"/>
    </xf>
    <xf numFmtId="4" fontId="141" fillId="0" borderId="17" xfId="0" applyNumberFormat="1" applyFont="1" applyFill="1" applyBorder="1" applyAlignment="1">
      <alignment horizontal="center" vertical="center" wrapText="1"/>
    </xf>
    <xf numFmtId="4" fontId="157" fillId="0" borderId="17" xfId="0" applyNumberFormat="1" applyFont="1" applyFill="1" applyBorder="1" applyAlignment="1">
      <alignment horizontal="center" vertical="center" wrapText="1"/>
    </xf>
    <xf numFmtId="4" fontId="157" fillId="0" borderId="17" xfId="0" applyNumberFormat="1" applyFont="1" applyFill="1" applyBorder="1" applyAlignment="1">
      <alignment horizontal="center" vertical="center"/>
    </xf>
    <xf numFmtId="4" fontId="119" fillId="0" borderId="0" xfId="0" applyNumberFormat="1" applyFont="1" applyAlignment="1">
      <alignment horizontal="left" vertical="center"/>
    </xf>
    <xf numFmtId="4" fontId="158" fillId="0" borderId="17" xfId="0" applyNumberFormat="1" applyFont="1" applyBorder="1" applyAlignment="1">
      <alignment horizontal="center" vertical="center" wrapText="1"/>
    </xf>
    <xf numFmtId="4" fontId="44" fillId="0" borderId="17" xfId="0" applyNumberFormat="1" applyFont="1" applyFill="1" applyBorder="1" applyAlignment="1">
      <alignment horizontal="center" vertical="center" wrapText="1"/>
    </xf>
    <xf numFmtId="4" fontId="45" fillId="0" borderId="17" xfId="0" applyNumberFormat="1" applyFont="1" applyFill="1" applyBorder="1" applyAlignment="1">
      <alignment horizontal="center" vertical="center"/>
    </xf>
    <xf numFmtId="49" fontId="43" fillId="0" borderId="17" xfId="0" applyNumberFormat="1" applyFont="1" applyFill="1" applyBorder="1" applyAlignment="1">
      <alignment horizontal="center" vertical="center" wrapText="1"/>
    </xf>
    <xf numFmtId="4" fontId="43" fillId="0" borderId="17" xfId="0" applyNumberFormat="1" applyFont="1" applyBorder="1" applyAlignment="1">
      <alignment horizontal="center" vertical="center" wrapText="1"/>
    </xf>
    <xf numFmtId="0" fontId="0" fillId="0" borderId="0" xfId="0"/>
    <xf numFmtId="4" fontId="43" fillId="0" borderId="17" xfId="0" applyNumberFormat="1" applyFont="1" applyBorder="1" applyAlignment="1">
      <alignment horizontal="center" vertical="center" wrapText="1"/>
    </xf>
    <xf numFmtId="49" fontId="43" fillId="0" borderId="17" xfId="0" applyNumberFormat="1" applyFont="1" applyFill="1" applyBorder="1" applyAlignment="1">
      <alignment horizontal="center" vertical="center" wrapText="1"/>
    </xf>
    <xf numFmtId="0" fontId="110" fillId="0" borderId="0" xfId="0" applyFont="1"/>
    <xf numFmtId="164" fontId="33" fillId="0" borderId="17" xfId="30" applyNumberFormat="1" applyFont="1" applyBorder="1" applyAlignment="1">
      <alignment horizontal="center" vertical="center" wrapText="1"/>
    </xf>
    <xf numFmtId="0" fontId="0" fillId="0" borderId="0" xfId="0"/>
    <xf numFmtId="49" fontId="43" fillId="0" borderId="17" xfId="0" applyNumberFormat="1" applyFont="1" applyFill="1" applyBorder="1" applyAlignment="1">
      <alignment horizontal="center" vertical="center" wrapText="1"/>
    </xf>
    <xf numFmtId="4" fontId="43" fillId="0" borderId="17" xfId="0" applyNumberFormat="1" applyFont="1" applyBorder="1" applyAlignment="1">
      <alignment horizontal="center" vertical="center" wrapText="1"/>
    </xf>
    <xf numFmtId="0" fontId="110" fillId="0" borderId="0" xfId="0" applyFont="1"/>
    <xf numFmtId="164" fontId="43" fillId="0" borderId="0" xfId="30" applyNumberFormat="1" applyFont="1" applyBorder="1" applyAlignment="1">
      <alignment horizontal="center" vertical="center" wrapText="1"/>
    </xf>
    <xf numFmtId="0" fontId="0" fillId="0" borderId="0" xfId="0"/>
    <xf numFmtId="4" fontId="43" fillId="0" borderId="17" xfId="0" applyNumberFormat="1" applyFont="1" applyBorder="1" applyAlignment="1">
      <alignment horizontal="center" vertical="center" wrapText="1"/>
    </xf>
    <xf numFmtId="49" fontId="43" fillId="0" borderId="17" xfId="0" applyNumberFormat="1" applyFont="1" applyBorder="1" applyAlignment="1">
      <alignment horizontal="center" vertical="center" wrapText="1"/>
    </xf>
    <xf numFmtId="49" fontId="43" fillId="0" borderId="17" xfId="0" applyNumberFormat="1" applyFont="1" applyFill="1" applyBorder="1" applyAlignment="1">
      <alignment horizontal="center" vertical="center" wrapText="1"/>
    </xf>
    <xf numFmtId="4" fontId="43" fillId="0" borderId="17" xfId="0" applyNumberFormat="1" applyFont="1" applyFill="1" applyBorder="1" applyAlignment="1">
      <alignment horizontal="center" vertical="center" wrapText="1"/>
    </xf>
    <xf numFmtId="0" fontId="110" fillId="0" borderId="0" xfId="0" applyFont="1"/>
    <xf numFmtId="0" fontId="0" fillId="0" borderId="0" xfId="0"/>
    <xf numFmtId="4" fontId="44" fillId="0" borderId="17" xfId="0" applyNumberFormat="1" applyFont="1" applyFill="1" applyBorder="1" applyAlignment="1">
      <alignment horizontal="center" vertical="center" wrapText="1"/>
    </xf>
    <xf numFmtId="4" fontId="144" fillId="0" borderId="17" xfId="0" applyNumberFormat="1" applyFont="1" applyFill="1" applyBorder="1" applyAlignment="1">
      <alignment horizontal="center" vertical="center" wrapText="1"/>
    </xf>
    <xf numFmtId="4" fontId="44" fillId="0" borderId="17" xfId="0" applyNumberFormat="1" applyFont="1" applyBorder="1" applyAlignment="1">
      <alignment horizontal="center" vertical="center" wrapText="1"/>
    </xf>
    <xf numFmtId="49" fontId="43" fillId="0" borderId="17" xfId="0" applyNumberFormat="1" applyFont="1" applyFill="1" applyBorder="1" applyAlignment="1">
      <alignment horizontal="center" vertical="center" wrapText="1"/>
    </xf>
    <xf numFmtId="0" fontId="110" fillId="0" borderId="0" xfId="0" applyFont="1"/>
    <xf numFmtId="4" fontId="44" fillId="27" borderId="16" xfId="0" applyNumberFormat="1" applyFont="1" applyFill="1" applyBorder="1" applyAlignment="1">
      <alignment horizontal="center" vertical="center" wrapText="1"/>
    </xf>
    <xf numFmtId="4" fontId="44" fillId="27" borderId="8" xfId="0" applyNumberFormat="1" applyFont="1" applyFill="1" applyBorder="1" applyAlignment="1">
      <alignment horizontal="center" vertical="center" wrapText="1"/>
    </xf>
    <xf numFmtId="49" fontId="43" fillId="0" borderId="17" xfId="0" applyNumberFormat="1" applyFont="1" applyBorder="1" applyAlignment="1">
      <alignment horizontal="center" vertical="center"/>
    </xf>
    <xf numFmtId="4" fontId="43" fillId="0" borderId="22" xfId="38" applyNumberFormat="1" applyFont="1" applyFill="1" applyBorder="1" applyAlignment="1" applyProtection="1">
      <alignment horizontal="center" vertical="center" wrapText="1"/>
      <protection locked="0"/>
    </xf>
    <xf numFmtId="4" fontId="43" fillId="0" borderId="25" xfId="38" applyNumberFormat="1" applyFont="1" applyFill="1" applyBorder="1" applyAlignment="1" applyProtection="1">
      <alignment horizontal="center" vertical="center" wrapText="1"/>
      <protection locked="0"/>
    </xf>
    <xf numFmtId="0" fontId="43" fillId="0" borderId="22" xfId="0" applyFont="1" applyFill="1" applyBorder="1" applyAlignment="1">
      <alignment horizontal="center" vertical="center" wrapText="1"/>
    </xf>
    <xf numFmtId="0" fontId="43" fillId="0" borderId="18" xfId="38" applyFont="1" applyFill="1" applyBorder="1" applyAlignment="1" applyProtection="1">
      <alignment horizontal="center" wrapText="1"/>
      <protection locked="0"/>
    </xf>
    <xf numFmtId="0" fontId="43" fillId="0" borderId="0" xfId="38" applyFont="1" applyFill="1" applyBorder="1" applyAlignment="1" applyProtection="1">
      <alignment horizontal="center" vertical="top" wrapText="1"/>
      <protection locked="0"/>
    </xf>
    <xf numFmtId="0" fontId="159" fillId="0" borderId="0" xfId="0" applyFont="1"/>
    <xf numFmtId="49" fontId="160" fillId="0" borderId="17" xfId="0" applyNumberFormat="1" applyFont="1" applyFill="1" applyBorder="1" applyAlignment="1">
      <alignment horizontal="center" vertical="center" wrapText="1"/>
    </xf>
    <xf numFmtId="49" fontId="119" fillId="0" borderId="17" xfId="0" applyNumberFormat="1" applyFont="1" applyFill="1" applyBorder="1" applyAlignment="1">
      <alignment horizontal="center" vertical="center" wrapText="1"/>
    </xf>
    <xf numFmtId="49" fontId="152" fillId="0" borderId="17" xfId="0" applyNumberFormat="1" applyFont="1" applyFill="1" applyBorder="1" applyAlignment="1">
      <alignment horizontal="center" vertical="center" wrapText="1"/>
    </xf>
    <xf numFmtId="49" fontId="160" fillId="0" borderId="18" xfId="0" applyNumberFormat="1" applyFont="1" applyFill="1" applyBorder="1" applyAlignment="1">
      <alignment horizontal="center" vertical="center" wrapText="1"/>
    </xf>
    <xf numFmtId="0" fontId="161" fillId="0" borderId="0" xfId="0" applyFont="1"/>
    <xf numFmtId="0" fontId="129" fillId="0" borderId="0" xfId="0" applyFont="1"/>
    <xf numFmtId="4" fontId="113" fillId="0" borderId="0" xfId="0" applyNumberFormat="1" applyFont="1" applyAlignment="1">
      <alignment horizontal="left" vertical="center"/>
    </xf>
    <xf numFmtId="4" fontId="162" fillId="0" borderId="0" xfId="0" applyNumberFormat="1" applyFont="1" applyAlignment="1">
      <alignment horizontal="left" vertical="center"/>
    </xf>
    <xf numFmtId="0" fontId="33" fillId="0" borderId="17" xfId="100" applyFont="1" applyBorder="1" applyAlignment="1">
      <alignment horizontal="center" vertical="center" wrapText="1"/>
    </xf>
    <xf numFmtId="0" fontId="33" fillId="0" borderId="17" xfId="100" applyFont="1" applyFill="1" applyBorder="1" applyAlignment="1">
      <alignment horizontal="center" vertical="center" wrapText="1"/>
    </xf>
    <xf numFmtId="0" fontId="33" fillId="0" borderId="17" xfId="0" applyFont="1" applyBorder="1" applyAlignment="1">
      <alignment horizontal="center" vertical="center" wrapText="1"/>
    </xf>
    <xf numFmtId="4" fontId="53" fillId="0" borderId="17" xfId="0" applyNumberFormat="1" applyFont="1" applyBorder="1" applyAlignment="1">
      <alignment horizontal="center" vertical="center" wrapText="1"/>
    </xf>
    <xf numFmtId="0" fontId="53" fillId="0" borderId="17" xfId="0" applyFont="1" applyBorder="1" applyAlignment="1">
      <alignment horizontal="center" vertical="center" wrapText="1"/>
    </xf>
    <xf numFmtId="0" fontId="33" fillId="0" borderId="17" xfId="38" applyFont="1" applyFill="1" applyBorder="1" applyAlignment="1" applyProtection="1">
      <alignment horizontal="center" vertical="center" wrapText="1"/>
      <protection locked="0"/>
    </xf>
    <xf numFmtId="164" fontId="33" fillId="0" borderId="17" xfId="0" applyNumberFormat="1" applyFont="1" applyBorder="1" applyAlignment="1">
      <alignment horizontal="center" vertical="center" wrapText="1"/>
    </xf>
    <xf numFmtId="9" fontId="33" fillId="0" borderId="17" xfId="30" applyNumberFormat="1" applyFont="1" applyBorder="1" applyAlignment="1">
      <alignment horizontal="center" vertical="center"/>
    </xf>
    <xf numFmtId="49" fontId="33" fillId="0" borderId="17" xfId="0" applyNumberFormat="1" applyFont="1" applyFill="1" applyBorder="1" applyAlignment="1">
      <alignment horizontal="center" vertical="center"/>
    </xf>
    <xf numFmtId="49" fontId="158" fillId="0" borderId="17" xfId="0" applyNumberFormat="1" applyFont="1" applyBorder="1" applyAlignment="1">
      <alignment horizontal="center" vertical="center" wrapText="1"/>
    </xf>
    <xf numFmtId="0" fontId="158" fillId="0" borderId="17" xfId="0" applyFont="1" applyBorder="1" applyAlignment="1">
      <alignment horizontal="center" vertical="center" wrapText="1"/>
    </xf>
    <xf numFmtId="0" fontId="158" fillId="0" borderId="17" xfId="45" applyFont="1" applyBorder="1" applyAlignment="1">
      <alignment horizontal="center" vertical="center" wrapText="1"/>
    </xf>
    <xf numFmtId="49" fontId="34" fillId="0" borderId="17" xfId="0" applyNumberFormat="1" applyFont="1" applyBorder="1" applyAlignment="1">
      <alignment horizontal="center" vertical="center" wrapText="1"/>
    </xf>
    <xf numFmtId="4" fontId="158" fillId="0" borderId="17" xfId="30" applyNumberFormat="1" applyFont="1" applyBorder="1" applyAlignment="1">
      <alignment horizontal="center" vertical="center"/>
    </xf>
    <xf numFmtId="4" fontId="33" fillId="0" borderId="23" xfId="30" applyNumberFormat="1" applyFont="1" applyBorder="1" applyAlignment="1">
      <alignment horizontal="center" vertical="center"/>
    </xf>
    <xf numFmtId="164" fontId="33" fillId="0" borderId="19" xfId="30" applyNumberFormat="1" applyFont="1" applyBorder="1" applyAlignment="1">
      <alignment horizontal="center" vertical="center"/>
    </xf>
    <xf numFmtId="4" fontId="33" fillId="0" borderId="19" xfId="30" applyNumberFormat="1" applyFont="1" applyBorder="1" applyAlignment="1">
      <alignment horizontal="center" vertical="center"/>
    </xf>
    <xf numFmtId="164" fontId="158" fillId="0" borderId="17" xfId="30" applyNumberFormat="1" applyFont="1" applyBorder="1" applyAlignment="1">
      <alignment horizontal="center" vertical="center"/>
    </xf>
    <xf numFmtId="0" fontId="158" fillId="0" borderId="17" xfId="100" applyFont="1" applyBorder="1" applyAlignment="1">
      <alignment horizontal="center" vertical="center" wrapText="1"/>
    </xf>
    <xf numFmtId="49" fontId="33" fillId="0" borderId="17" xfId="18" applyNumberFormat="1" applyFont="1" applyBorder="1" applyAlignment="1">
      <alignment horizontal="center" vertical="center" wrapText="1"/>
    </xf>
    <xf numFmtId="0" fontId="33" fillId="0" borderId="17" xfId="40" applyFont="1" applyBorder="1" applyAlignment="1">
      <alignment horizontal="center" vertical="center" wrapText="1"/>
    </xf>
    <xf numFmtId="0" fontId="33" fillId="0" borderId="17" xfId="84" applyFont="1" applyFill="1" applyBorder="1" applyAlignment="1">
      <alignment horizontal="center" vertical="center" wrapText="1"/>
    </xf>
    <xf numFmtId="49" fontId="33" fillId="0" borderId="17" xfId="18" applyNumberFormat="1" applyFont="1" applyFill="1" applyBorder="1" applyAlignment="1">
      <alignment horizontal="center" vertical="center" wrapText="1"/>
    </xf>
    <xf numFmtId="9" fontId="33" fillId="0" borderId="17" xfId="30" applyNumberFormat="1" applyFont="1" applyFill="1" applyBorder="1" applyAlignment="1">
      <alignment horizontal="center" vertical="center"/>
    </xf>
    <xf numFmtId="0" fontId="34" fillId="0" borderId="17" xfId="35" applyFont="1" applyBorder="1" applyAlignment="1">
      <alignment horizontal="center" vertical="center" wrapText="1"/>
    </xf>
    <xf numFmtId="4" fontId="34" fillId="0" borderId="17" xfId="35" applyNumberFormat="1" applyFont="1" applyBorder="1" applyAlignment="1">
      <alignment horizontal="center" vertical="center" wrapText="1"/>
    </xf>
    <xf numFmtId="0" fontId="0" fillId="0" borderId="0" xfId="0"/>
    <xf numFmtId="49" fontId="43" fillId="0" borderId="17" xfId="0" applyNumberFormat="1" applyFont="1" applyBorder="1" applyAlignment="1">
      <alignment horizontal="center" vertical="center" wrapText="1"/>
    </xf>
    <xf numFmtId="4" fontId="44" fillId="0" borderId="17" xfId="0" applyNumberFormat="1" applyFont="1" applyBorder="1" applyAlignment="1">
      <alignment horizontal="center" vertical="center" wrapText="1"/>
    </xf>
    <xf numFmtId="49" fontId="43" fillId="0" borderId="17" xfId="0" applyNumberFormat="1" applyFont="1" applyFill="1" applyBorder="1" applyAlignment="1">
      <alignment horizontal="center" vertical="center" wrapText="1"/>
    </xf>
    <xf numFmtId="4" fontId="44" fillId="0" borderId="17" xfId="0" applyNumberFormat="1" applyFont="1" applyFill="1" applyBorder="1" applyAlignment="1">
      <alignment horizontal="center" vertical="center" wrapText="1"/>
    </xf>
    <xf numFmtId="0" fontId="65" fillId="0" borderId="0" xfId="35" applyFont="1"/>
    <xf numFmtId="0" fontId="110" fillId="0" borderId="0" xfId="0" applyFont="1"/>
    <xf numFmtId="4" fontId="45" fillId="0" borderId="0" xfId="0" applyNumberFormat="1" applyFont="1" applyAlignment="1">
      <alignment horizontal="left" vertical="center" wrapText="1"/>
    </xf>
    <xf numFmtId="4" fontId="45" fillId="0" borderId="0" xfId="0" applyNumberFormat="1" applyFont="1" applyAlignment="1">
      <alignment horizontal="center" vertical="center" wrapText="1"/>
    </xf>
    <xf numFmtId="49" fontId="156" fillId="0" borderId="17" xfId="0" applyNumberFormat="1" applyFont="1" applyBorder="1" applyAlignment="1">
      <alignment horizontal="center" vertical="center" wrapText="1"/>
    </xf>
    <xf numFmtId="4" fontId="157" fillId="0" borderId="17" xfId="0" applyNumberFormat="1" applyFont="1" applyBorder="1" applyAlignment="1">
      <alignment horizontal="center" vertical="center" wrapText="1"/>
    </xf>
    <xf numFmtId="4" fontId="136" fillId="0" borderId="0" xfId="0" applyNumberFormat="1" applyFont="1" applyAlignment="1">
      <alignment horizontal="left" vertical="center" wrapText="1"/>
    </xf>
    <xf numFmtId="4" fontId="141" fillId="0" borderId="17" xfId="0" applyNumberFormat="1" applyFont="1" applyBorder="1" applyAlignment="1">
      <alignment horizontal="center" vertical="center" wrapText="1"/>
    </xf>
    <xf numFmtId="0" fontId="42" fillId="0" borderId="17" xfId="38" applyFont="1" applyFill="1" applyBorder="1" applyAlignment="1" applyProtection="1">
      <alignment horizontal="center" vertical="center" wrapText="1"/>
      <protection locked="0"/>
    </xf>
    <xf numFmtId="49" fontId="119" fillId="0" borderId="17" xfId="0" applyNumberFormat="1" applyFont="1" applyBorder="1" applyAlignment="1">
      <alignment horizontal="center" vertical="center" wrapText="1"/>
    </xf>
    <xf numFmtId="0" fontId="156" fillId="0" borderId="17" xfId="38" applyFont="1" applyFill="1" applyBorder="1" applyAlignment="1" applyProtection="1">
      <alignment horizontal="center" vertical="center" wrapText="1"/>
      <protection locked="0"/>
    </xf>
    <xf numFmtId="4" fontId="141" fillId="0" borderId="0" xfId="0" applyNumberFormat="1" applyFont="1" applyAlignment="1">
      <alignment horizontal="left" vertical="center" wrapText="1"/>
    </xf>
    <xf numFmtId="4" fontId="157" fillId="0" borderId="0" xfId="0" applyNumberFormat="1" applyFont="1" applyAlignment="1">
      <alignment horizontal="left" vertical="center" wrapText="1"/>
    </xf>
    <xf numFmtId="49" fontId="128" fillId="0" borderId="17" xfId="0" applyNumberFormat="1" applyFont="1" applyFill="1" applyBorder="1" applyAlignment="1">
      <alignment horizontal="center" vertical="center" wrapText="1"/>
    </xf>
    <xf numFmtId="49" fontId="42" fillId="0" borderId="17" xfId="0" applyNumberFormat="1" applyFont="1" applyFill="1" applyBorder="1" applyAlignment="1">
      <alignment horizontal="center" vertical="center" wrapText="1"/>
    </xf>
    <xf numFmtId="0" fontId="165" fillId="0" borderId="0" xfId="0" applyFont="1"/>
    <xf numFmtId="4" fontId="112" fillId="0" borderId="0" xfId="0" applyNumberFormat="1" applyFont="1" applyAlignment="1">
      <alignment horizontal="left" vertical="center"/>
    </xf>
    <xf numFmtId="0" fontId="130" fillId="0" borderId="0" xfId="0" applyFont="1"/>
    <xf numFmtId="4" fontId="164" fillId="0" borderId="0" xfId="0" applyNumberFormat="1" applyFont="1" applyAlignment="1">
      <alignment horizontal="left" vertical="center"/>
    </xf>
    <xf numFmtId="4" fontId="140" fillId="0" borderId="0" xfId="0" applyNumberFormat="1" applyFont="1" applyAlignment="1">
      <alignment horizontal="left" vertical="center"/>
    </xf>
    <xf numFmtId="4" fontId="157" fillId="0" borderId="0" xfId="0" applyNumberFormat="1" applyFont="1" applyAlignment="1">
      <alignment horizontal="center" vertical="center" wrapText="1"/>
    </xf>
    <xf numFmtId="4" fontId="156" fillId="33" borderId="17" xfId="38" applyNumberFormat="1" applyFont="1" applyFill="1" applyBorder="1" applyAlignment="1" applyProtection="1">
      <alignment horizontal="center" vertical="center" wrapText="1"/>
      <protection locked="0"/>
    </xf>
    <xf numFmtId="4" fontId="141" fillId="0" borderId="17" xfId="38" applyNumberFormat="1" applyFont="1" applyFill="1" applyBorder="1" applyAlignment="1" applyProtection="1">
      <alignment horizontal="center" vertical="center" wrapText="1"/>
      <protection locked="0"/>
    </xf>
    <xf numFmtId="4" fontId="157" fillId="0" borderId="17" xfId="38" applyNumberFormat="1" applyFont="1" applyFill="1" applyBorder="1" applyAlignment="1" applyProtection="1">
      <alignment horizontal="center" vertical="center" wrapText="1"/>
      <protection locked="0"/>
    </xf>
    <xf numFmtId="4" fontId="42" fillId="34" borderId="17" xfId="38" applyNumberFormat="1" applyFont="1" applyFill="1" applyBorder="1" applyAlignment="1" applyProtection="1">
      <alignment horizontal="center" vertical="center" wrapText="1"/>
      <protection locked="0"/>
    </xf>
    <xf numFmtId="49" fontId="156" fillId="0" borderId="17" xfId="0" applyNumberFormat="1" applyFont="1" applyFill="1" applyBorder="1" applyAlignment="1">
      <alignment horizontal="center" vertical="center"/>
    </xf>
    <xf numFmtId="4" fontId="166" fillId="0" borderId="17" xfId="0" applyNumberFormat="1" applyFont="1" applyFill="1" applyBorder="1" applyAlignment="1">
      <alignment horizontal="center" vertical="center" wrapText="1"/>
    </xf>
    <xf numFmtId="0" fontId="42" fillId="0" borderId="19" xfId="38" applyFont="1" applyFill="1" applyBorder="1" applyAlignment="1" applyProtection="1">
      <alignment horizontal="center" vertical="top" wrapText="1"/>
      <protection locked="0"/>
    </xf>
    <xf numFmtId="0" fontId="119" fillId="0" borderId="19" xfId="38" applyFont="1" applyFill="1" applyBorder="1" applyAlignment="1" applyProtection="1">
      <alignment horizontal="center" vertical="top" wrapText="1"/>
      <protection locked="0"/>
    </xf>
    <xf numFmtId="4" fontId="42" fillId="0" borderId="17" xfId="38" applyNumberFormat="1" applyFont="1" applyFill="1" applyBorder="1" applyAlignment="1" applyProtection="1">
      <alignment horizontal="center" vertical="center" wrapText="1"/>
      <protection locked="0"/>
    </xf>
    <xf numFmtId="4" fontId="119" fillId="0" borderId="17" xfId="38" applyNumberFormat="1" applyFont="1" applyFill="1" applyBorder="1" applyAlignment="1" applyProtection="1">
      <alignment horizontal="center" vertical="center" wrapText="1"/>
      <protection locked="0"/>
    </xf>
    <xf numFmtId="0" fontId="119" fillId="0" borderId="17" xfId="0" applyFont="1" applyFill="1" applyBorder="1" applyAlignment="1">
      <alignment horizontal="center" vertical="center" wrapText="1"/>
    </xf>
    <xf numFmtId="4" fontId="141" fillId="0" borderId="17" xfId="0" applyNumberFormat="1" applyFont="1" applyFill="1" applyBorder="1" applyAlignment="1">
      <alignment horizontal="center" vertical="center"/>
    </xf>
    <xf numFmtId="0" fontId="49" fillId="0" borderId="17" xfId="38" applyFont="1" applyFill="1" applyBorder="1" applyAlignment="1" applyProtection="1">
      <alignment horizontal="center" vertical="center" wrapText="1"/>
      <protection locked="0"/>
    </xf>
    <xf numFmtId="0" fontId="158" fillId="0" borderId="17" xfId="38" applyFont="1" applyFill="1" applyBorder="1" applyAlignment="1" applyProtection="1">
      <alignment horizontal="center" vertical="center" wrapText="1"/>
      <protection locked="0"/>
    </xf>
    <xf numFmtId="49" fontId="158" fillId="0" borderId="17" xfId="0" applyNumberFormat="1" applyFont="1" applyFill="1" applyBorder="1" applyAlignment="1">
      <alignment horizontal="center" vertical="center" wrapText="1"/>
    </xf>
    <xf numFmtId="4" fontId="34" fillId="0" borderId="17" xfId="0" applyNumberFormat="1" applyFont="1" applyFill="1" applyBorder="1" applyAlignment="1">
      <alignment horizontal="center" vertical="center" wrapText="1"/>
    </xf>
    <xf numFmtId="4" fontId="158" fillId="0" borderId="17" xfId="0" applyNumberFormat="1" applyFont="1" applyFill="1" applyBorder="1" applyAlignment="1">
      <alignment horizontal="center" vertical="center" wrapText="1"/>
    </xf>
    <xf numFmtId="49" fontId="34" fillId="0" borderId="17" xfId="0" applyNumberFormat="1" applyFont="1" applyFill="1" applyBorder="1" applyAlignment="1">
      <alignment horizontal="center" vertical="center" wrapText="1"/>
    </xf>
    <xf numFmtId="0" fontId="34" fillId="0" borderId="17" xfId="38" applyFont="1" applyFill="1" applyBorder="1" applyAlignment="1" applyProtection="1">
      <alignment horizontal="center" vertical="center" wrapText="1"/>
      <protection locked="0"/>
    </xf>
    <xf numFmtId="49" fontId="49" fillId="0" borderId="17" xfId="0" applyNumberFormat="1" applyFont="1" applyFill="1" applyBorder="1" applyAlignment="1">
      <alignment horizontal="center" vertical="center" wrapText="1"/>
    </xf>
    <xf numFmtId="4" fontId="49" fillId="0" borderId="17" xfId="0" applyNumberFormat="1" applyFont="1" applyFill="1" applyBorder="1" applyAlignment="1">
      <alignment horizontal="center" vertical="center" wrapText="1"/>
    </xf>
    <xf numFmtId="49" fontId="14" fillId="0" borderId="17" xfId="0" applyNumberFormat="1" applyFont="1" applyBorder="1" applyAlignment="1">
      <alignment horizontal="center" vertical="center" wrapText="1"/>
    </xf>
    <xf numFmtId="4" fontId="14" fillId="0" borderId="17" xfId="94" applyNumberFormat="1" applyFont="1" applyBorder="1" applyAlignment="1">
      <alignment horizontal="center" vertical="center"/>
    </xf>
    <xf numFmtId="4" fontId="43" fillId="0" borderId="17" xfId="0" applyNumberFormat="1" applyFont="1" applyFill="1" applyBorder="1" applyAlignment="1">
      <alignment horizontal="center" vertical="center" wrapText="1"/>
    </xf>
    <xf numFmtId="4" fontId="43" fillId="0" borderId="17" xfId="0" applyNumberFormat="1" applyFont="1" applyBorder="1" applyAlignment="1">
      <alignment horizontal="center" vertical="center" wrapText="1"/>
    </xf>
    <xf numFmtId="4" fontId="43" fillId="0" borderId="17" xfId="38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/>
    <xf numFmtId="4" fontId="43" fillId="0" borderId="17" xfId="0" applyNumberFormat="1" applyFont="1" applyBorder="1" applyAlignment="1">
      <alignment horizontal="center" vertical="center" wrapText="1"/>
    </xf>
    <xf numFmtId="4" fontId="43" fillId="0" borderId="17" xfId="0" applyNumberFormat="1" applyFont="1" applyFill="1" applyBorder="1" applyAlignment="1">
      <alignment horizontal="center" vertical="center" wrapText="1"/>
    </xf>
    <xf numFmtId="4" fontId="43" fillId="0" borderId="17" xfId="38" applyNumberFormat="1" applyFont="1" applyFill="1" applyBorder="1" applyAlignment="1" applyProtection="1">
      <alignment horizontal="center" vertical="center" wrapText="1"/>
      <protection locked="0"/>
    </xf>
    <xf numFmtId="4" fontId="43" fillId="0" borderId="17" xfId="38" applyNumberFormat="1" applyFont="1" applyFill="1" applyBorder="1" applyAlignment="1">
      <alignment horizontal="center" vertical="center" wrapText="1"/>
    </xf>
    <xf numFmtId="0" fontId="110" fillId="0" borderId="0" xfId="0" applyFont="1"/>
    <xf numFmtId="164" fontId="140" fillId="0" borderId="17" xfId="30" applyNumberFormat="1" applyFont="1" applyFill="1" applyBorder="1" applyAlignment="1">
      <alignment horizontal="center" vertical="center" wrapText="1"/>
    </xf>
    <xf numFmtId="4" fontId="43" fillId="0" borderId="17" xfId="0" applyNumberFormat="1" applyFont="1" applyBorder="1" applyAlignment="1">
      <alignment horizontal="center" vertical="center" wrapText="1"/>
    </xf>
    <xf numFmtId="4" fontId="43" fillId="0" borderId="17" xfId="38" applyNumberFormat="1" applyFont="1" applyFill="1" applyBorder="1" applyAlignment="1" applyProtection="1">
      <alignment horizontal="center" vertical="center" wrapText="1"/>
      <protection locked="0"/>
    </xf>
    <xf numFmtId="4" fontId="44" fillId="0" borderId="17" xfId="0" applyNumberFormat="1" applyFont="1" applyFill="1" applyBorder="1" applyAlignment="1">
      <alignment horizontal="center" vertical="center" wrapText="1"/>
    </xf>
    <xf numFmtId="4" fontId="45" fillId="0" borderId="17" xfId="0" applyNumberFormat="1" applyFont="1" applyFill="1" applyBorder="1" applyAlignment="1">
      <alignment horizontal="center" vertical="center"/>
    </xf>
    <xf numFmtId="49" fontId="43" fillId="0" borderId="17" xfId="0" applyNumberFormat="1" applyFont="1" applyFill="1" applyBorder="1" applyAlignment="1">
      <alignment horizontal="center" vertical="center" wrapText="1"/>
    </xf>
    <xf numFmtId="49" fontId="43" fillId="0" borderId="17" xfId="0" applyNumberFormat="1" applyFont="1" applyBorder="1" applyAlignment="1">
      <alignment horizontal="center" vertical="center" wrapText="1"/>
    </xf>
    <xf numFmtId="4" fontId="44" fillId="0" borderId="17" xfId="0" applyNumberFormat="1" applyFont="1" applyBorder="1" applyAlignment="1">
      <alignment horizontal="center" vertical="center" wrapText="1"/>
    </xf>
    <xf numFmtId="4" fontId="45" fillId="0" borderId="17" xfId="0" applyNumberFormat="1" applyFont="1" applyBorder="1" applyAlignment="1">
      <alignment horizontal="center" vertical="center"/>
    </xf>
    <xf numFmtId="0" fontId="110" fillId="25" borderId="0" xfId="0" applyFont="1" applyFill="1"/>
    <xf numFmtId="4" fontId="118" fillId="25" borderId="0" xfId="0" applyNumberFormat="1" applyFont="1" applyFill="1" applyAlignment="1">
      <alignment horizontal="left" vertical="center" wrapText="1"/>
    </xf>
    <xf numFmtId="0" fontId="0" fillId="25" borderId="0" xfId="0" applyFill="1"/>
    <xf numFmtId="4" fontId="44" fillId="25" borderId="0" xfId="0" applyNumberFormat="1" applyFont="1" applyFill="1" applyAlignment="1">
      <alignment horizontal="left" vertical="center" wrapText="1"/>
    </xf>
    <xf numFmtId="0" fontId="110" fillId="0" borderId="0" xfId="0" applyFont="1" applyFill="1"/>
    <xf numFmtId="4" fontId="44" fillId="0" borderId="0" xfId="0" applyNumberFormat="1" applyFont="1" applyFill="1" applyAlignment="1">
      <alignment horizontal="left" vertical="center" wrapText="1"/>
    </xf>
    <xf numFmtId="0" fontId="0" fillId="0" borderId="0" xfId="0" applyFill="1"/>
    <xf numFmtId="0" fontId="0" fillId="0" borderId="0" xfId="0"/>
    <xf numFmtId="4" fontId="44" fillId="0" borderId="17" xfId="0" applyNumberFormat="1" applyFont="1" applyBorder="1" applyAlignment="1">
      <alignment horizontal="center" vertical="center" wrapText="1"/>
    </xf>
    <xf numFmtId="4" fontId="43" fillId="0" borderId="17" xfId="0" applyNumberFormat="1" applyFont="1" applyBorder="1" applyAlignment="1">
      <alignment horizontal="center" vertical="center" wrapText="1"/>
    </xf>
    <xf numFmtId="4" fontId="45" fillId="0" borderId="17" xfId="0" applyNumberFormat="1" applyFont="1" applyBorder="1" applyAlignment="1">
      <alignment horizontal="center" vertical="center"/>
    </xf>
    <xf numFmtId="49" fontId="43" fillId="0" borderId="17" xfId="0" applyNumberFormat="1" applyFont="1" applyBorder="1" applyAlignment="1">
      <alignment horizontal="center" vertical="center" wrapText="1"/>
    </xf>
    <xf numFmtId="0" fontId="110" fillId="0" borderId="0" xfId="0" applyFont="1"/>
    <xf numFmtId="49" fontId="43" fillId="31" borderId="17" xfId="0" applyNumberFormat="1" applyFont="1" applyFill="1" applyBorder="1" applyAlignment="1">
      <alignment horizontal="center" vertical="center" wrapText="1"/>
    </xf>
    <xf numFmtId="0" fontId="0" fillId="0" borderId="0" xfId="0"/>
    <xf numFmtId="0" fontId="15" fillId="0" borderId="0" xfId="0" applyFont="1" applyAlignment="1"/>
    <xf numFmtId="4" fontId="44" fillId="0" borderId="17" xfId="0" applyNumberFormat="1" applyFont="1" applyFill="1" applyBorder="1" applyAlignment="1">
      <alignment horizontal="center" vertical="center" wrapText="1"/>
    </xf>
    <xf numFmtId="4" fontId="45" fillId="0" borderId="17" xfId="0" applyNumberFormat="1" applyFont="1" applyFill="1" applyBorder="1" applyAlignment="1">
      <alignment horizontal="center" vertical="center"/>
    </xf>
    <xf numFmtId="49" fontId="43" fillId="0" borderId="17" xfId="0" applyNumberFormat="1" applyFont="1" applyFill="1" applyBorder="1" applyAlignment="1">
      <alignment horizontal="center" vertical="center" wrapText="1"/>
    </xf>
    <xf numFmtId="49" fontId="43" fillId="0" borderId="17" xfId="0" applyNumberFormat="1" applyFont="1" applyFill="1" applyBorder="1" applyAlignment="1">
      <alignment horizontal="center" vertical="center"/>
    </xf>
    <xf numFmtId="4" fontId="44" fillId="31" borderId="17" xfId="38" applyNumberFormat="1" applyFont="1" applyFill="1" applyBorder="1" applyAlignment="1" applyProtection="1">
      <alignment horizontal="center" vertical="center" wrapText="1"/>
      <protection locked="0"/>
    </xf>
    <xf numFmtId="4" fontId="45" fillId="31" borderId="17" xfId="38" applyNumberFormat="1" applyFont="1" applyFill="1" applyBorder="1" applyAlignment="1" applyProtection="1">
      <alignment horizontal="center" vertical="center" wrapText="1"/>
      <protection locked="0"/>
    </xf>
    <xf numFmtId="4" fontId="44" fillId="31" borderId="17" xfId="0" applyNumberFormat="1" applyFont="1" applyFill="1" applyBorder="1" applyAlignment="1">
      <alignment horizontal="center" vertical="center" wrapText="1"/>
    </xf>
    <xf numFmtId="4" fontId="45" fillId="31" borderId="17" xfId="0" applyNumberFormat="1" applyFont="1" applyFill="1" applyBorder="1" applyAlignment="1">
      <alignment horizontal="center" vertical="center" wrapText="1"/>
    </xf>
    <xf numFmtId="4" fontId="45" fillId="31" borderId="17" xfId="0" applyNumberFormat="1" applyFont="1" applyFill="1" applyBorder="1" applyAlignment="1">
      <alignment horizontal="center" vertical="center"/>
    </xf>
    <xf numFmtId="0" fontId="0" fillId="0" borderId="0" xfId="0"/>
    <xf numFmtId="4" fontId="44" fillId="0" borderId="17" xfId="0" applyNumberFormat="1" applyFont="1" applyFill="1" applyBorder="1" applyAlignment="1">
      <alignment horizontal="center" vertical="center" wrapText="1"/>
    </xf>
    <xf numFmtId="4" fontId="45" fillId="0" borderId="17" xfId="0" applyNumberFormat="1" applyFont="1" applyFill="1" applyBorder="1" applyAlignment="1">
      <alignment horizontal="center" vertical="center"/>
    </xf>
    <xf numFmtId="49" fontId="43" fillId="0" borderId="17" xfId="0" applyNumberFormat="1" applyFont="1" applyFill="1" applyBorder="1" applyAlignment="1">
      <alignment horizontal="center" vertical="center" wrapText="1"/>
    </xf>
    <xf numFmtId="4" fontId="43" fillId="0" borderId="17" xfId="0" applyNumberFormat="1" applyFont="1" applyBorder="1" applyAlignment="1">
      <alignment horizontal="center" vertical="center" wrapText="1"/>
    </xf>
    <xf numFmtId="4" fontId="43" fillId="0" borderId="17" xfId="38" applyNumberFormat="1" applyFont="1" applyFill="1" applyBorder="1" applyAlignment="1" applyProtection="1">
      <alignment horizontal="center" vertical="center" wrapText="1"/>
      <protection locked="0"/>
    </xf>
    <xf numFmtId="0" fontId="110" fillId="0" borderId="0" xfId="0" applyFont="1"/>
    <xf numFmtId="0" fontId="0" fillId="0" borderId="0" xfId="0"/>
    <xf numFmtId="4" fontId="43" fillId="0" borderId="17" xfId="0" applyNumberFormat="1" applyFont="1" applyBorder="1" applyAlignment="1">
      <alignment horizontal="center" vertical="center" wrapText="1"/>
    </xf>
    <xf numFmtId="4" fontId="42" fillId="0" borderId="17" xfId="0" applyNumberFormat="1" applyFont="1" applyBorder="1" applyAlignment="1">
      <alignment horizontal="center" vertical="center" wrapText="1"/>
    </xf>
    <xf numFmtId="49" fontId="140" fillId="0" borderId="17" xfId="0" applyNumberFormat="1" applyFont="1" applyFill="1" applyBorder="1" applyAlignment="1">
      <alignment horizontal="center" vertical="center" wrapText="1"/>
    </xf>
    <xf numFmtId="0" fontId="39" fillId="0" borderId="0" xfId="35" applyFont="1" applyAlignment="1">
      <alignment vertical="center"/>
    </xf>
    <xf numFmtId="49" fontId="147" fillId="0" borderId="17" xfId="0" applyNumberFormat="1" applyFont="1" applyFill="1" applyBorder="1" applyAlignment="1">
      <alignment horizontal="center" vertical="center" wrapText="1"/>
    </xf>
    <xf numFmtId="49" fontId="147" fillId="0" borderId="17" xfId="0" applyNumberFormat="1" applyFont="1" applyFill="1" applyBorder="1" applyAlignment="1">
      <alignment horizontal="left" vertical="center" wrapText="1"/>
    </xf>
    <xf numFmtId="4" fontId="147" fillId="0" borderId="17" xfId="0" applyNumberFormat="1" applyFont="1" applyFill="1" applyBorder="1" applyAlignment="1">
      <alignment horizontal="center" vertical="center" wrapText="1"/>
    </xf>
    <xf numFmtId="49" fontId="140" fillId="0" borderId="17" xfId="0" applyNumberFormat="1" applyFont="1" applyFill="1" applyBorder="1" applyAlignment="1">
      <alignment horizontal="left" vertical="center" wrapText="1"/>
    </xf>
    <xf numFmtId="4" fontId="140" fillId="0" borderId="17" xfId="0" applyNumberFormat="1" applyFont="1" applyFill="1" applyBorder="1" applyAlignment="1">
      <alignment horizontal="center" vertical="center" wrapText="1"/>
    </xf>
    <xf numFmtId="0" fontId="33" fillId="0" borderId="17" xfId="92" applyFont="1" applyFill="1" applyBorder="1" applyAlignment="1">
      <alignment horizontal="center" vertical="center" wrapText="1"/>
    </xf>
    <xf numFmtId="0" fontId="0" fillId="0" borderId="0" xfId="0"/>
    <xf numFmtId="4" fontId="43" fillId="0" borderId="17" xfId="0" applyNumberFormat="1" applyFont="1" applyBorder="1" applyAlignment="1">
      <alignment horizontal="center" vertical="center" wrapText="1"/>
    </xf>
    <xf numFmtId="4" fontId="45" fillId="0" borderId="17" xfId="0" applyNumberFormat="1" applyFont="1" applyFill="1" applyBorder="1" applyAlignment="1">
      <alignment horizontal="center" vertical="center"/>
    </xf>
    <xf numFmtId="49" fontId="43" fillId="0" borderId="17" xfId="0" applyNumberFormat="1" applyFont="1" applyFill="1" applyBorder="1" applyAlignment="1">
      <alignment horizontal="center" vertical="center" wrapText="1"/>
    </xf>
    <xf numFmtId="4" fontId="44" fillId="0" borderId="17" xfId="0" applyNumberFormat="1" applyFont="1" applyFill="1" applyBorder="1" applyAlignment="1">
      <alignment horizontal="center" vertical="center" wrapText="1"/>
    </xf>
    <xf numFmtId="4" fontId="43" fillId="0" borderId="17" xfId="38" applyNumberFormat="1" applyFont="1" applyFill="1" applyBorder="1" applyAlignment="1" applyProtection="1">
      <alignment horizontal="center" vertical="center" wrapText="1"/>
      <protection locked="0"/>
    </xf>
    <xf numFmtId="4" fontId="43" fillId="0" borderId="17" xfId="38" applyNumberFormat="1" applyFont="1" applyFill="1" applyBorder="1" applyAlignment="1">
      <alignment horizontal="center" vertical="center" wrapText="1"/>
    </xf>
    <xf numFmtId="0" fontId="110" fillId="0" borderId="0" xfId="0" applyFont="1"/>
    <xf numFmtId="4" fontId="43" fillId="0" borderId="17" xfId="38" applyNumberFormat="1" applyFont="1" applyFill="1" applyBorder="1" applyAlignment="1">
      <alignment horizontal="center" vertical="center" wrapText="1"/>
    </xf>
    <xf numFmtId="0" fontId="33" fillId="0" borderId="7" xfId="40" applyFont="1" applyBorder="1" applyAlignment="1">
      <alignment horizontal="center" vertical="center" wrapText="1"/>
    </xf>
    <xf numFmtId="4" fontId="33" fillId="0" borderId="7" xfId="0" applyNumberFormat="1" applyFont="1" applyBorder="1" applyAlignment="1">
      <alignment horizontal="center" vertical="center" wrapText="1"/>
    </xf>
    <xf numFmtId="0" fontId="0" fillId="0" borderId="0" xfId="0"/>
    <xf numFmtId="4" fontId="43" fillId="0" borderId="17" xfId="0" applyNumberFormat="1" applyFont="1" applyBorder="1" applyAlignment="1">
      <alignment horizontal="center" vertical="center" wrapText="1"/>
    </xf>
    <xf numFmtId="49" fontId="43" fillId="0" borderId="17" xfId="0" applyNumberFormat="1" applyFont="1" applyFill="1" applyBorder="1" applyAlignment="1">
      <alignment horizontal="center" vertical="center" wrapText="1"/>
    </xf>
    <xf numFmtId="4" fontId="144" fillId="0" borderId="17" xfId="0" applyNumberFormat="1" applyFont="1" applyFill="1" applyBorder="1" applyAlignment="1">
      <alignment horizontal="center" vertical="center" wrapText="1"/>
    </xf>
    <xf numFmtId="0" fontId="110" fillId="0" borderId="0" xfId="0" applyFont="1"/>
    <xf numFmtId="0" fontId="0" fillId="0" borderId="0" xfId="0"/>
    <xf numFmtId="4" fontId="44" fillId="0" borderId="17" xfId="0" applyNumberFormat="1" applyFont="1" applyFill="1" applyBorder="1" applyAlignment="1">
      <alignment horizontal="center" vertical="center" wrapText="1"/>
    </xf>
    <xf numFmtId="4" fontId="43" fillId="0" borderId="17" xfId="0" applyNumberFormat="1" applyFont="1" applyFill="1" applyBorder="1" applyAlignment="1">
      <alignment horizontal="center" vertical="center" wrapText="1"/>
    </xf>
    <xf numFmtId="4" fontId="45" fillId="0" borderId="17" xfId="0" applyNumberFormat="1" applyFont="1" applyFill="1" applyBorder="1" applyAlignment="1">
      <alignment horizontal="center" vertical="center"/>
    </xf>
    <xf numFmtId="49" fontId="43" fillId="0" borderId="17" xfId="0" applyNumberFormat="1" applyFont="1" applyFill="1" applyBorder="1" applyAlignment="1">
      <alignment horizontal="center" vertical="center" wrapText="1"/>
    </xf>
    <xf numFmtId="4" fontId="43" fillId="0" borderId="17" xfId="0" applyNumberFormat="1" applyFont="1" applyBorder="1" applyAlignment="1">
      <alignment horizontal="center" vertical="center" wrapText="1"/>
    </xf>
    <xf numFmtId="49" fontId="43" fillId="0" borderId="17" xfId="0" applyNumberFormat="1" applyFont="1" applyBorder="1" applyAlignment="1">
      <alignment horizontal="center" vertical="center" wrapText="1"/>
    </xf>
    <xf numFmtId="4" fontId="43" fillId="0" borderId="17" xfId="38" applyNumberFormat="1" applyFont="1" applyFill="1" applyBorder="1" applyAlignment="1" applyProtection="1">
      <alignment horizontal="center" vertical="center" wrapText="1"/>
      <protection locked="0"/>
    </xf>
    <xf numFmtId="4" fontId="43" fillId="0" borderId="17" xfId="38" applyNumberFormat="1" applyFont="1" applyFill="1" applyBorder="1" applyAlignment="1">
      <alignment horizontal="center" vertical="center" wrapText="1"/>
    </xf>
    <xf numFmtId="0" fontId="110" fillId="0" borderId="0" xfId="0" applyFont="1"/>
    <xf numFmtId="4" fontId="43" fillId="0" borderId="17" xfId="0" applyNumberFormat="1" applyFont="1" applyBorder="1" applyAlignment="1">
      <alignment horizontal="center" vertical="center" wrapText="1"/>
    </xf>
    <xf numFmtId="49" fontId="119" fillId="35" borderId="17" xfId="0" applyNumberFormat="1" applyFont="1" applyFill="1" applyBorder="1" applyAlignment="1">
      <alignment horizontal="center" vertical="center" wrapText="1"/>
    </xf>
    <xf numFmtId="0" fontId="119" fillId="35" borderId="17" xfId="38" applyFont="1" applyFill="1" applyBorder="1" applyAlignment="1" applyProtection="1">
      <alignment horizontal="center" vertical="center" wrapText="1"/>
      <protection locked="0"/>
    </xf>
    <xf numFmtId="4" fontId="119" fillId="35" borderId="17" xfId="38" applyNumberFormat="1" applyFont="1" applyFill="1" applyBorder="1" applyAlignment="1" applyProtection="1">
      <alignment horizontal="center" vertical="center" wrapText="1"/>
      <protection locked="0"/>
    </xf>
    <xf numFmtId="4" fontId="119" fillId="35" borderId="17" xfId="0" applyNumberFormat="1" applyFont="1" applyFill="1" applyBorder="1" applyAlignment="1">
      <alignment horizontal="center" vertical="center" wrapText="1"/>
    </xf>
    <xf numFmtId="49" fontId="42" fillId="36" borderId="17" xfId="0" applyNumberFormat="1" applyFont="1" applyFill="1" applyBorder="1" applyAlignment="1">
      <alignment horizontal="center" vertical="center" wrapText="1"/>
    </xf>
    <xf numFmtId="0" fontId="42" fillId="36" borderId="17" xfId="38" applyFont="1" applyFill="1" applyBorder="1" applyAlignment="1" applyProtection="1">
      <alignment horizontal="center" vertical="center" wrapText="1"/>
      <protection locked="0"/>
    </xf>
    <xf numFmtId="4" fontId="42" fillId="36" borderId="17" xfId="38" applyNumberFormat="1" applyFont="1" applyFill="1" applyBorder="1" applyAlignment="1" applyProtection="1">
      <alignment horizontal="center" vertical="center" wrapText="1"/>
      <protection locked="0"/>
    </xf>
    <xf numFmtId="4" fontId="42" fillId="36" borderId="17" xfId="0" applyNumberFormat="1" applyFont="1" applyFill="1" applyBorder="1" applyAlignment="1">
      <alignment horizontal="center" vertical="center" wrapText="1"/>
    </xf>
    <xf numFmtId="49" fontId="49" fillId="35" borderId="17" xfId="0" applyNumberFormat="1" applyFont="1" applyFill="1" applyBorder="1" applyAlignment="1">
      <alignment horizontal="center" vertical="center" wrapText="1"/>
    </xf>
    <xf numFmtId="0" fontId="49" fillId="35" borderId="17" xfId="38" applyFont="1" applyFill="1" applyBorder="1" applyAlignment="1" applyProtection="1">
      <alignment horizontal="center" vertical="center" wrapText="1"/>
      <protection locked="0"/>
    </xf>
    <xf numFmtId="4" fontId="49" fillId="35" borderId="17" xfId="0" applyNumberFormat="1" applyFont="1" applyFill="1" applyBorder="1" applyAlignment="1">
      <alignment horizontal="center" vertical="center" wrapText="1"/>
    </xf>
    <xf numFmtId="49" fontId="34" fillId="36" borderId="17" xfId="0" applyNumberFormat="1" applyFont="1" applyFill="1" applyBorder="1" applyAlignment="1">
      <alignment horizontal="center" vertical="center" wrapText="1"/>
    </xf>
    <xf numFmtId="0" fontId="34" fillId="36" borderId="17" xfId="38" applyFont="1" applyFill="1" applyBorder="1" applyAlignment="1" applyProtection="1">
      <alignment horizontal="center" vertical="center" wrapText="1"/>
      <protection locked="0"/>
    </xf>
    <xf numFmtId="4" fontId="34" fillId="36" borderId="17" xfId="0" applyNumberFormat="1" applyFont="1" applyFill="1" applyBorder="1" applyAlignment="1">
      <alignment horizontal="center" vertical="center" wrapText="1"/>
    </xf>
    <xf numFmtId="4" fontId="49" fillId="35" borderId="17" xfId="38" applyNumberFormat="1" applyFont="1" applyFill="1" applyBorder="1" applyAlignment="1" applyProtection="1">
      <alignment horizontal="center" vertical="center" wrapText="1"/>
      <protection locked="0"/>
    </xf>
    <xf numFmtId="4" fontId="34" fillId="36" borderId="17" xfId="38" applyNumberFormat="1" applyFont="1" applyFill="1" applyBorder="1" applyAlignment="1" applyProtection="1">
      <alignment horizontal="center" vertical="center" wrapText="1"/>
      <protection locked="0"/>
    </xf>
    <xf numFmtId="4" fontId="168" fillId="0" borderId="17" xfId="38" applyNumberFormat="1" applyFont="1" applyFill="1" applyBorder="1" applyAlignment="1" applyProtection="1">
      <alignment horizontal="center" vertical="center" wrapText="1"/>
      <protection locked="0"/>
    </xf>
    <xf numFmtId="164" fontId="168" fillId="0" borderId="17" xfId="30" applyNumberFormat="1" applyFont="1" applyBorder="1" applyAlignment="1">
      <alignment horizontal="center" vertical="center" wrapText="1"/>
    </xf>
    <xf numFmtId="0" fontId="158" fillId="0" borderId="17" xfId="45" applyFont="1" applyFill="1" applyBorder="1" applyAlignment="1">
      <alignment horizontal="center" vertical="center" wrapText="1"/>
    </xf>
    <xf numFmtId="0" fontId="0" fillId="0" borderId="0" xfId="0"/>
    <xf numFmtId="4" fontId="44" fillId="0" borderId="17" xfId="0" applyNumberFormat="1" applyFont="1" applyFill="1" applyBorder="1" applyAlignment="1">
      <alignment horizontal="center" vertical="center" wrapText="1"/>
    </xf>
    <xf numFmtId="4" fontId="44" fillId="0" borderId="17" xfId="0" applyNumberFormat="1" applyFont="1" applyBorder="1" applyAlignment="1">
      <alignment horizontal="center" vertical="center" wrapText="1"/>
    </xf>
    <xf numFmtId="4" fontId="45" fillId="0" borderId="17" xfId="0" applyNumberFormat="1" applyFont="1" applyFill="1" applyBorder="1" applyAlignment="1">
      <alignment horizontal="center" vertical="center"/>
    </xf>
    <xf numFmtId="49" fontId="43" fillId="0" borderId="17" xfId="0" applyNumberFormat="1" applyFont="1" applyFill="1" applyBorder="1" applyAlignment="1">
      <alignment horizontal="center" vertical="center" wrapText="1"/>
    </xf>
    <xf numFmtId="4" fontId="43" fillId="0" borderId="17" xfId="0" applyNumberFormat="1" applyFont="1" applyBorder="1" applyAlignment="1">
      <alignment horizontal="center" vertical="center" wrapText="1"/>
    </xf>
    <xf numFmtId="4" fontId="45" fillId="0" borderId="17" xfId="0" applyNumberFormat="1" applyFont="1" applyBorder="1" applyAlignment="1">
      <alignment horizontal="center" vertical="center"/>
    </xf>
    <xf numFmtId="49" fontId="43" fillId="0" borderId="17" xfId="0" applyNumberFormat="1" applyFont="1" applyBorder="1" applyAlignment="1">
      <alignment horizontal="center" vertical="center" wrapText="1"/>
    </xf>
    <xf numFmtId="4" fontId="43" fillId="0" borderId="17" xfId="38" applyNumberFormat="1" applyFont="1" applyFill="1" applyBorder="1" applyAlignment="1" applyProtection="1">
      <alignment horizontal="center" vertical="center" wrapText="1"/>
      <protection locked="0"/>
    </xf>
    <xf numFmtId="4" fontId="43" fillId="0" borderId="17" xfId="38" applyNumberFormat="1" applyFont="1" applyFill="1" applyBorder="1" applyAlignment="1">
      <alignment horizontal="center" vertical="center" wrapText="1"/>
    </xf>
    <xf numFmtId="0" fontId="110" fillId="0" borderId="0" xfId="0" applyFont="1"/>
    <xf numFmtId="4" fontId="169" fillId="0" borderId="17" xfId="0" applyNumberFormat="1" applyFont="1" applyFill="1" applyBorder="1" applyAlignment="1">
      <alignment horizontal="center" vertical="center" wrapText="1"/>
    </xf>
    <xf numFmtId="0" fontId="0" fillId="0" borderId="0" xfId="0"/>
    <xf numFmtId="4" fontId="43" fillId="0" borderId="17" xfId="0" applyNumberFormat="1" applyFont="1" applyBorder="1" applyAlignment="1">
      <alignment horizontal="center" vertical="center" wrapText="1"/>
    </xf>
    <xf numFmtId="49" fontId="43" fillId="0" borderId="17" xfId="0" applyNumberFormat="1" applyFont="1" applyBorder="1" applyAlignment="1">
      <alignment horizontal="center" vertical="center" wrapText="1"/>
    </xf>
    <xf numFmtId="4" fontId="44" fillId="0" borderId="17" xfId="0" applyNumberFormat="1" applyFont="1" applyBorder="1" applyAlignment="1">
      <alignment horizontal="center" vertical="center" wrapText="1"/>
    </xf>
    <xf numFmtId="4" fontId="45" fillId="0" borderId="17" xfId="0" applyNumberFormat="1" applyFont="1" applyBorder="1" applyAlignment="1">
      <alignment horizontal="center" vertical="center"/>
    </xf>
    <xf numFmtId="4" fontId="44" fillId="0" borderId="17" xfId="0" applyNumberFormat="1" applyFont="1" applyFill="1" applyBorder="1" applyAlignment="1">
      <alignment horizontal="center" vertical="center" wrapText="1"/>
    </xf>
    <xf numFmtId="49" fontId="140" fillId="0" borderId="17" xfId="0" applyNumberFormat="1" applyFont="1" applyFill="1" applyBorder="1" applyAlignment="1">
      <alignment horizontal="center" vertical="center" wrapText="1"/>
    </xf>
    <xf numFmtId="0" fontId="110" fillId="0" borderId="0" xfId="0" applyFont="1"/>
    <xf numFmtId="49" fontId="158" fillId="33" borderId="17" xfId="0" applyNumberFormat="1" applyFont="1" applyFill="1" applyBorder="1" applyAlignment="1">
      <alignment horizontal="center" vertical="center" wrapText="1"/>
    </xf>
    <xf numFmtId="0" fontId="158" fillId="33" borderId="17" xfId="45" applyFont="1" applyFill="1" applyBorder="1" applyAlignment="1">
      <alignment horizontal="center" vertical="center" wrapText="1"/>
    </xf>
    <xf numFmtId="164" fontId="33" fillId="33" borderId="17" xfId="30" applyNumberFormat="1" applyFont="1" applyFill="1" applyBorder="1" applyAlignment="1">
      <alignment horizontal="center" vertical="center"/>
    </xf>
    <xf numFmtId="4" fontId="33" fillId="33" borderId="17" xfId="30" applyNumberFormat="1" applyFont="1" applyFill="1" applyBorder="1" applyAlignment="1">
      <alignment horizontal="center" vertical="center"/>
    </xf>
    <xf numFmtId="9" fontId="33" fillId="33" borderId="17" xfId="30" applyNumberFormat="1" applyFont="1" applyFill="1" applyBorder="1" applyAlignment="1">
      <alignment horizontal="center" vertical="center"/>
    </xf>
    <xf numFmtId="4" fontId="158" fillId="33" borderId="17" xfId="30" applyNumberFormat="1" applyFont="1" applyFill="1" applyBorder="1" applyAlignment="1">
      <alignment horizontal="center" vertical="center"/>
    </xf>
    <xf numFmtId="0" fontId="0" fillId="0" borderId="0" xfId="0"/>
    <xf numFmtId="4" fontId="43" fillId="0" borderId="17" xfId="0" applyNumberFormat="1" applyFont="1" applyBorder="1" applyAlignment="1">
      <alignment horizontal="center" vertical="center" wrapText="1"/>
    </xf>
    <xf numFmtId="49" fontId="43" fillId="0" borderId="17" xfId="0" applyNumberFormat="1" applyFont="1" applyBorder="1" applyAlignment="1">
      <alignment horizontal="center" vertical="center" wrapText="1"/>
    </xf>
    <xf numFmtId="4" fontId="44" fillId="0" borderId="17" xfId="0" applyNumberFormat="1" applyFont="1" applyBorder="1" applyAlignment="1">
      <alignment horizontal="center" vertical="center" wrapText="1"/>
    </xf>
    <xf numFmtId="4" fontId="45" fillId="0" borderId="17" xfId="0" applyNumberFormat="1" applyFont="1" applyFill="1" applyBorder="1" applyAlignment="1">
      <alignment horizontal="center" vertical="center"/>
    </xf>
    <xf numFmtId="4" fontId="45" fillId="0" borderId="17" xfId="0" applyNumberFormat="1" applyFont="1" applyBorder="1" applyAlignment="1">
      <alignment horizontal="center" vertical="center"/>
    </xf>
    <xf numFmtId="49" fontId="43" fillId="0" borderId="17" xfId="0" applyNumberFormat="1" applyFont="1" applyFill="1" applyBorder="1" applyAlignment="1">
      <alignment horizontal="center" vertical="center" wrapText="1"/>
    </xf>
    <xf numFmtId="4" fontId="44" fillId="0" borderId="17" xfId="0" applyNumberFormat="1" applyFont="1" applyFill="1" applyBorder="1" applyAlignment="1">
      <alignment horizontal="center" vertical="center" wrapText="1"/>
    </xf>
    <xf numFmtId="49" fontId="140" fillId="0" borderId="17" xfId="0" applyNumberFormat="1" applyFont="1" applyFill="1" applyBorder="1" applyAlignment="1">
      <alignment horizontal="center" vertical="center" wrapText="1"/>
    </xf>
    <xf numFmtId="4" fontId="43" fillId="0" borderId="17" xfId="38" applyNumberFormat="1" applyFont="1" applyFill="1" applyBorder="1" applyAlignment="1" applyProtection="1">
      <alignment horizontal="center" vertical="center" wrapText="1"/>
      <protection locked="0"/>
    </xf>
    <xf numFmtId="4" fontId="43" fillId="0" borderId="17" xfId="38" applyNumberFormat="1" applyFont="1" applyFill="1" applyBorder="1" applyAlignment="1">
      <alignment horizontal="center" vertical="center" wrapText="1"/>
    </xf>
    <xf numFmtId="4" fontId="43" fillId="0" borderId="18" xfId="0" applyNumberFormat="1" applyFont="1" applyBorder="1" applyAlignment="1">
      <alignment horizontal="center" vertical="center" wrapText="1"/>
    </xf>
    <xf numFmtId="0" fontId="110" fillId="0" borderId="0" xfId="0" applyFont="1"/>
    <xf numFmtId="49" fontId="156" fillId="0" borderId="0" xfId="0" applyNumberFormat="1" applyFont="1" applyFill="1" applyBorder="1" applyAlignment="1">
      <alignment horizontal="center" wrapText="1"/>
    </xf>
    <xf numFmtId="49" fontId="156" fillId="0" borderId="19" xfId="0" applyNumberFormat="1" applyFont="1" applyFill="1" applyBorder="1" applyAlignment="1">
      <alignment horizontal="center" vertical="top" wrapText="1"/>
    </xf>
    <xf numFmtId="4" fontId="43" fillId="0" borderId="0" xfId="30" applyNumberFormat="1" applyFont="1" applyBorder="1" applyAlignment="1">
      <alignment horizontal="center" vertical="center" wrapText="1"/>
    </xf>
    <xf numFmtId="0" fontId="0" fillId="0" borderId="0" xfId="0"/>
    <xf numFmtId="4" fontId="43" fillId="0" borderId="17" xfId="0" applyNumberFormat="1" applyFont="1" applyBorder="1" applyAlignment="1">
      <alignment horizontal="center" vertical="center" wrapText="1"/>
    </xf>
    <xf numFmtId="49" fontId="43" fillId="0" borderId="17" xfId="0" applyNumberFormat="1" applyFont="1" applyBorder="1" applyAlignment="1">
      <alignment horizontal="center" vertical="center" wrapText="1"/>
    </xf>
    <xf numFmtId="4" fontId="42" fillId="0" borderId="17" xfId="0" applyNumberFormat="1" applyFont="1" applyBorder="1" applyAlignment="1">
      <alignment horizontal="center" vertical="center" wrapText="1"/>
    </xf>
    <xf numFmtId="49" fontId="43" fillId="0" borderId="17" xfId="0" applyNumberFormat="1" applyFont="1" applyFill="1" applyBorder="1" applyAlignment="1">
      <alignment horizontal="center" vertical="center" wrapText="1"/>
    </xf>
    <xf numFmtId="4" fontId="44" fillId="0" borderId="17" xfId="0" applyNumberFormat="1" applyFont="1" applyFill="1" applyBorder="1" applyAlignment="1">
      <alignment horizontal="center" vertical="center" wrapText="1"/>
    </xf>
    <xf numFmtId="4" fontId="43" fillId="0" borderId="17" xfId="0" applyNumberFormat="1" applyFont="1" applyFill="1" applyBorder="1" applyAlignment="1">
      <alignment horizontal="center" vertical="center" wrapText="1"/>
    </xf>
    <xf numFmtId="4" fontId="43" fillId="0" borderId="17" xfId="38" applyNumberFormat="1" applyFont="1" applyFill="1" applyBorder="1" applyAlignment="1" applyProtection="1">
      <alignment horizontal="center" vertical="center" wrapText="1"/>
      <protection locked="0"/>
    </xf>
    <xf numFmtId="49" fontId="140" fillId="0" borderId="17" xfId="0" applyNumberFormat="1" applyFont="1" applyBorder="1" applyAlignment="1">
      <alignment horizontal="center" vertical="center" wrapText="1"/>
    </xf>
    <xf numFmtId="0" fontId="110" fillId="0" borderId="0" xfId="0" applyFont="1"/>
    <xf numFmtId="4" fontId="33" fillId="0" borderId="0" xfId="0" applyNumberFormat="1" applyFont="1" applyBorder="1" applyAlignment="1">
      <alignment horizontal="center" vertical="center" wrapText="1"/>
    </xf>
    <xf numFmtId="49" fontId="43" fillId="36" borderId="22" xfId="0" applyNumberFormat="1" applyFont="1" applyFill="1" applyBorder="1" applyAlignment="1">
      <alignment horizontal="center" vertical="center" wrapText="1"/>
    </xf>
    <xf numFmtId="4" fontId="43" fillId="36" borderId="22" xfId="0" applyNumberFormat="1" applyFont="1" applyFill="1" applyBorder="1" applyAlignment="1">
      <alignment horizontal="center" vertical="center" wrapText="1"/>
    </xf>
    <xf numFmtId="49" fontId="43" fillId="36" borderId="22" xfId="0" applyNumberFormat="1" applyFont="1" applyFill="1" applyBorder="1" applyAlignment="1">
      <alignment horizontal="left" vertical="center" wrapText="1"/>
    </xf>
    <xf numFmtId="0" fontId="0" fillId="0" borderId="0" xfId="0"/>
    <xf numFmtId="4" fontId="43" fillId="0" borderId="17" xfId="0" applyNumberFormat="1" applyFont="1" applyBorder="1" applyAlignment="1">
      <alignment horizontal="center" vertical="center" wrapText="1"/>
    </xf>
    <xf numFmtId="49" fontId="43" fillId="0" borderId="17" xfId="0" applyNumberFormat="1" applyFont="1" applyBorder="1" applyAlignment="1">
      <alignment horizontal="center" vertical="center" wrapText="1"/>
    </xf>
    <xf numFmtId="0" fontId="16" fillId="0" borderId="0" xfId="35" applyFont="1" applyAlignment="1">
      <alignment horizontal="center" vertical="center" wrapText="1"/>
    </xf>
    <xf numFmtId="0" fontId="33" fillId="0" borderId="0" xfId="35" applyFont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47" fillId="0" borderId="0" xfId="35" applyFont="1" applyAlignment="1">
      <alignment horizontal="center" vertical="center" wrapText="1"/>
    </xf>
    <xf numFmtId="4" fontId="43" fillId="0" borderId="17" xfId="38" applyNumberFormat="1" applyFont="1" applyFill="1" applyBorder="1" applyAlignment="1" applyProtection="1">
      <alignment horizontal="center" vertical="center" wrapText="1"/>
      <protection locked="0"/>
    </xf>
    <xf numFmtId="0" fontId="110" fillId="0" borderId="0" xfId="0" applyFont="1"/>
    <xf numFmtId="0" fontId="10" fillId="0" borderId="0" xfId="35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6" borderId="0" xfId="35" applyFont="1" applyFill="1"/>
    <xf numFmtId="4" fontId="10" fillId="0" borderId="0" xfId="35" applyNumberFormat="1" applyFont="1"/>
    <xf numFmtId="0" fontId="10" fillId="0" borderId="0" xfId="35" applyFont="1" applyAlignment="1">
      <alignment horizontal="left" vertical="center"/>
    </xf>
    <xf numFmtId="4" fontId="10" fillId="0" borderId="0" xfId="35" applyNumberFormat="1" applyFont="1" applyAlignment="1">
      <alignment horizontal="left" vertical="center"/>
    </xf>
    <xf numFmtId="164" fontId="33" fillId="0" borderId="0" xfId="30" applyNumberFormat="1" applyFont="1" applyAlignment="1">
      <alignment horizontal="center" vertical="center" wrapText="1"/>
    </xf>
    <xf numFmtId="4" fontId="92" fillId="0" borderId="0" xfId="35" applyNumberFormat="1" applyFont="1"/>
    <xf numFmtId="0" fontId="171" fillId="0" borderId="0" xfId="35" applyFont="1" applyAlignment="1">
      <alignment vertical="center"/>
    </xf>
    <xf numFmtId="4" fontId="14" fillId="0" borderId="0" xfId="35" applyNumberFormat="1" applyFont="1" applyAlignment="1">
      <alignment horizontal="center" vertical="center"/>
    </xf>
    <xf numFmtId="0" fontId="10" fillId="27" borderId="0" xfId="35" applyFont="1" applyFill="1"/>
    <xf numFmtId="0" fontId="10" fillId="0" borderId="0" xfId="35" applyFont="1" applyFill="1" applyAlignment="1">
      <alignment horizontal="center" vertical="center"/>
    </xf>
    <xf numFmtId="0" fontId="10" fillId="31" borderId="0" xfId="35" applyFont="1" applyFill="1" applyAlignment="1">
      <alignment horizontal="center" vertical="center"/>
    </xf>
    <xf numFmtId="0" fontId="69" fillId="0" borderId="0" xfId="39" applyFont="1" applyAlignment="1">
      <alignment vertical="center"/>
    </xf>
    <xf numFmtId="0" fontId="69" fillId="0" borderId="0" xfId="39" applyFont="1" applyFill="1" applyAlignment="1">
      <alignment vertical="center"/>
    </xf>
    <xf numFmtId="0" fontId="69" fillId="0" borderId="0" xfId="0" applyFont="1" applyFill="1" applyAlignment="1">
      <alignment vertical="center"/>
    </xf>
    <xf numFmtId="4" fontId="43" fillId="0" borderId="17" xfId="0" applyNumberFormat="1" applyFont="1" applyBorder="1" applyAlignment="1">
      <alignment horizontal="center" vertical="center" wrapText="1"/>
    </xf>
    <xf numFmtId="49" fontId="43" fillId="0" borderId="17" xfId="0" applyNumberFormat="1" applyFont="1" applyBorder="1" applyAlignment="1">
      <alignment horizontal="center" vertical="center" wrapText="1"/>
    </xf>
    <xf numFmtId="0" fontId="110" fillId="0" borderId="0" xfId="0" applyFont="1"/>
    <xf numFmtId="0" fontId="0" fillId="0" borderId="0" xfId="0"/>
    <xf numFmtId="4" fontId="43" fillId="0" borderId="17" xfId="0" applyNumberFormat="1" applyFont="1" applyBorder="1" applyAlignment="1">
      <alignment horizontal="center" vertical="center" wrapText="1"/>
    </xf>
    <xf numFmtId="49" fontId="43" fillId="0" borderId="17" xfId="0" applyNumberFormat="1" applyFont="1" applyFill="1" applyBorder="1" applyAlignment="1">
      <alignment horizontal="center" vertical="center" wrapText="1"/>
    </xf>
    <xf numFmtId="4" fontId="42" fillId="0" borderId="17" xfId="0" applyNumberFormat="1" applyFont="1" applyBorder="1" applyAlignment="1">
      <alignment horizontal="center" vertical="center" wrapText="1"/>
    </xf>
    <xf numFmtId="4" fontId="45" fillId="0" borderId="17" xfId="0" applyNumberFormat="1" applyFont="1" applyFill="1" applyBorder="1" applyAlignment="1">
      <alignment horizontal="center" vertical="center"/>
    </xf>
    <xf numFmtId="4" fontId="44" fillId="0" borderId="17" xfId="0" applyNumberFormat="1" applyFont="1" applyFill="1" applyBorder="1" applyAlignment="1">
      <alignment horizontal="center" vertical="center" wrapText="1"/>
    </xf>
    <xf numFmtId="49" fontId="140" fillId="0" borderId="17" xfId="0" applyNumberFormat="1" applyFont="1" applyBorder="1" applyAlignment="1">
      <alignment horizontal="center" vertical="center" wrapText="1"/>
    </xf>
    <xf numFmtId="0" fontId="110" fillId="0" borderId="0" xfId="0" applyFont="1"/>
    <xf numFmtId="0" fontId="158" fillId="0" borderId="17" xfId="100" applyFont="1" applyFill="1" applyBorder="1" applyAlignment="1">
      <alignment horizontal="center" vertical="center" wrapText="1"/>
    </xf>
    <xf numFmtId="4" fontId="43" fillId="0" borderId="17" xfId="0" applyNumberFormat="1" applyFont="1" applyFill="1" applyBorder="1" applyAlignment="1">
      <alignment horizontal="center" vertical="center" wrapText="1"/>
    </xf>
    <xf numFmtId="49" fontId="140" fillId="0" borderId="17" xfId="0" applyNumberFormat="1" applyFont="1" applyBorder="1" applyAlignment="1">
      <alignment horizontal="center" vertical="center" wrapText="1"/>
    </xf>
    <xf numFmtId="0" fontId="19" fillId="0" borderId="0" xfId="39" applyFont="1" applyBorder="1" applyAlignment="1">
      <alignment vertical="center"/>
    </xf>
    <xf numFmtId="0" fontId="15" fillId="0" borderId="27" xfId="39" applyFont="1" applyBorder="1" applyAlignment="1">
      <alignment horizontal="center" vertical="center" wrapText="1"/>
    </xf>
    <xf numFmtId="0" fontId="18" fillId="0" borderId="27" xfId="39" applyFont="1" applyBorder="1" applyAlignment="1">
      <alignment horizontal="center" vertical="center" wrapText="1"/>
    </xf>
    <xf numFmtId="0" fontId="34" fillId="0" borderId="27" xfId="39" applyFont="1" applyBorder="1" applyAlignment="1">
      <alignment horizontal="center" vertical="center" wrapText="1"/>
    </xf>
    <xf numFmtId="0" fontId="34" fillId="0" borderId="27" xfId="39" applyFont="1" applyBorder="1" applyAlignment="1">
      <alignment horizontal="left" vertical="center" wrapText="1"/>
    </xf>
    <xf numFmtId="4" fontId="35" fillId="0" borderId="27" xfId="39" applyNumberFormat="1" applyFont="1" applyBorder="1" applyAlignment="1">
      <alignment vertical="center" wrapText="1"/>
    </xf>
    <xf numFmtId="0" fontId="33" fillId="0" borderId="27" xfId="39" applyFont="1" applyBorder="1" applyAlignment="1">
      <alignment horizontal="center" vertical="center" wrapText="1"/>
    </xf>
    <xf numFmtId="0" fontId="18" fillId="0" borderId="27" xfId="39" applyFont="1" applyBorder="1" applyAlignment="1">
      <alignment vertical="center" wrapText="1"/>
    </xf>
    <xf numFmtId="4" fontId="20" fillId="0" borderId="27" xfId="39" applyNumberFormat="1" applyFont="1" applyBorder="1" applyAlignment="1">
      <alignment vertical="center" wrapText="1"/>
    </xf>
    <xf numFmtId="4" fontId="36" fillId="0" borderId="27" xfId="39" applyNumberFormat="1" applyFont="1" applyBorder="1" applyAlignment="1">
      <alignment vertical="center" wrapText="1"/>
    </xf>
    <xf numFmtId="0" fontId="39" fillId="0" borderId="27" xfId="39" applyFont="1" applyBorder="1" applyAlignment="1">
      <alignment vertical="center" wrapText="1"/>
    </xf>
    <xf numFmtId="4" fontId="40" fillId="0" borderId="27" xfId="39" applyNumberFormat="1" applyFont="1" applyBorder="1" applyAlignment="1">
      <alignment vertical="center" wrapText="1"/>
    </xf>
    <xf numFmtId="0" fontId="56" fillId="0" borderId="27" xfId="39" applyFont="1" applyBorder="1" applyAlignment="1">
      <alignment horizontal="center" vertical="center" wrapText="1"/>
    </xf>
    <xf numFmtId="0" fontId="56" fillId="0" borderId="27" xfId="39" applyFont="1" applyBorder="1" applyAlignment="1">
      <alignment vertical="center" wrapText="1"/>
    </xf>
    <xf numFmtId="4" fontId="41" fillId="0" borderId="27" xfId="39" applyNumberFormat="1" applyFont="1" applyBorder="1" applyAlignment="1">
      <alignment vertical="center" wrapText="1"/>
    </xf>
    <xf numFmtId="4" fontId="38" fillId="0" borderId="27" xfId="39" applyNumberFormat="1" applyFont="1" applyBorder="1" applyAlignment="1">
      <alignment vertical="center" wrapText="1"/>
    </xf>
    <xf numFmtId="4" fontId="18" fillId="0" borderId="27" xfId="39" applyNumberFormat="1" applyFont="1" applyBorder="1" applyAlignment="1">
      <alignment horizontal="right" vertical="center" wrapText="1"/>
    </xf>
    <xf numFmtId="4" fontId="33" fillId="0" borderId="27" xfId="39" applyNumberFormat="1" applyFont="1" applyBorder="1" applyAlignment="1">
      <alignment horizontal="right" vertical="center" wrapText="1"/>
    </xf>
    <xf numFmtId="0" fontId="56" fillId="0" borderId="27" xfId="37" applyFont="1" applyBorder="1" applyAlignment="1">
      <alignment horizontal="justify" vertical="top" wrapText="1"/>
    </xf>
    <xf numFmtId="4" fontId="33" fillId="0" borderId="27" xfId="39" applyNumberFormat="1" applyFont="1" applyBorder="1" applyAlignment="1">
      <alignment vertical="center" wrapText="1"/>
    </xf>
    <xf numFmtId="0" fontId="58" fillId="0" borderId="27" xfId="39" applyFont="1" applyBorder="1" applyAlignment="1">
      <alignment horizontal="center" vertical="center" wrapText="1"/>
    </xf>
    <xf numFmtId="0" fontId="58" fillId="0" borderId="27" xfId="37" applyFont="1" applyBorder="1" applyAlignment="1">
      <alignment horizontal="justify" vertical="top" wrapText="1"/>
    </xf>
    <xf numFmtId="0" fontId="15" fillId="0" borderId="27" xfId="37" applyFont="1" applyBorder="1" applyAlignment="1">
      <alignment horizontal="justify" vertical="top" wrapText="1"/>
    </xf>
    <xf numFmtId="4" fontId="20" fillId="33" borderId="27" xfId="39" applyNumberFormat="1" applyFont="1" applyFill="1" applyBorder="1" applyAlignment="1">
      <alignment vertical="center" wrapText="1"/>
    </xf>
    <xf numFmtId="4" fontId="15" fillId="0" borderId="27" xfId="39" applyNumberFormat="1" applyFont="1" applyBorder="1" applyAlignment="1">
      <alignment vertical="center" wrapText="1"/>
    </xf>
    <xf numFmtId="0" fontId="18" fillId="0" borderId="27" xfId="37" applyFont="1" applyBorder="1" applyAlignment="1">
      <alignment horizontal="justify" vertical="top" wrapText="1"/>
    </xf>
    <xf numFmtId="0" fontId="10" fillId="0" borderId="27" xfId="39" applyFont="1" applyBorder="1" applyAlignment="1">
      <alignment horizontal="center" vertical="center" wrapText="1"/>
    </xf>
    <xf numFmtId="0" fontId="10" fillId="0" borderId="27" xfId="37" applyFont="1" applyBorder="1" applyAlignment="1">
      <alignment horizontal="justify" vertical="top" wrapText="1"/>
    </xf>
    <xf numFmtId="4" fontId="41" fillId="33" borderId="27" xfId="39" applyNumberFormat="1" applyFont="1" applyFill="1" applyBorder="1" applyAlignment="1">
      <alignment vertical="center" wrapText="1"/>
    </xf>
    <xf numFmtId="0" fontId="18" fillId="33" borderId="27" xfId="39" applyFont="1" applyFill="1" applyBorder="1" applyAlignment="1">
      <alignment horizontal="center" vertical="center" wrapText="1"/>
    </xf>
    <xf numFmtId="0" fontId="18" fillId="33" borderId="27" xfId="39" applyFont="1" applyFill="1" applyBorder="1" applyAlignment="1">
      <alignment vertical="center" wrapText="1"/>
    </xf>
    <xf numFmtId="0" fontId="34" fillId="0" borderId="27" xfId="39" applyFont="1" applyBorder="1" applyAlignment="1">
      <alignment vertical="center" wrapText="1"/>
    </xf>
    <xf numFmtId="0" fontId="35" fillId="0" borderId="27" xfId="37" applyFont="1" applyBorder="1" applyAlignment="1">
      <alignment horizontal="justify" vertical="top" wrapText="1"/>
    </xf>
    <xf numFmtId="0" fontId="38" fillId="0" borderId="27" xfId="37" applyFont="1" applyBorder="1" applyAlignment="1">
      <alignment horizontal="justify" vertical="top" wrapText="1"/>
    </xf>
    <xf numFmtId="0" fontId="57" fillId="0" borderId="27" xfId="37" applyFont="1" applyBorder="1" applyAlignment="1">
      <alignment horizontal="justify" vertical="top" wrapText="1"/>
    </xf>
    <xf numFmtId="0" fontId="33" fillId="33" borderId="27" xfId="39" applyFont="1" applyFill="1" applyBorder="1" applyAlignment="1">
      <alignment horizontal="center" vertical="center" wrapText="1"/>
    </xf>
    <xf numFmtId="0" fontId="38" fillId="33" borderId="27" xfId="37" applyFont="1" applyFill="1" applyBorder="1" applyAlignment="1">
      <alignment horizontal="justify" vertical="top" wrapText="1"/>
    </xf>
    <xf numFmtId="4" fontId="36" fillId="33" borderId="27" xfId="39" applyNumberFormat="1" applyFont="1" applyFill="1" applyBorder="1" applyAlignment="1">
      <alignment vertical="center" wrapText="1"/>
    </xf>
    <xf numFmtId="0" fontId="34" fillId="33" borderId="27" xfId="39" applyFont="1" applyFill="1" applyBorder="1" applyAlignment="1">
      <alignment horizontal="center" vertical="center" wrapText="1"/>
    </xf>
    <xf numFmtId="0" fontId="34" fillId="33" borderId="27" xfId="39" applyFont="1" applyFill="1" applyBorder="1" applyAlignment="1">
      <alignment horizontal="left" vertical="center" wrapText="1"/>
    </xf>
    <xf numFmtId="4" fontId="35" fillId="33" borderId="27" xfId="39" applyNumberFormat="1" applyFont="1" applyFill="1" applyBorder="1" applyAlignment="1">
      <alignment vertical="center" wrapText="1"/>
    </xf>
    <xf numFmtId="0" fontId="58" fillId="33" borderId="27" xfId="37" applyFont="1" applyFill="1" applyBorder="1" applyAlignment="1">
      <alignment horizontal="justify" vertical="top" wrapText="1"/>
    </xf>
    <xf numFmtId="0" fontId="39" fillId="0" borderId="27" xfId="39" applyFont="1" applyBorder="1" applyAlignment="1">
      <alignment horizontal="center" vertical="center" wrapText="1"/>
    </xf>
    <xf numFmtId="0" fontId="40" fillId="0" borderId="27" xfId="37" applyFont="1" applyBorder="1" applyAlignment="1">
      <alignment horizontal="justify" vertical="top" wrapText="1"/>
    </xf>
    <xf numFmtId="4" fontId="39" fillId="33" borderId="27" xfId="39" applyNumberFormat="1" applyFont="1" applyFill="1" applyBorder="1" applyAlignment="1">
      <alignment vertical="center" wrapText="1"/>
    </xf>
    <xf numFmtId="0" fontId="38" fillId="0" borderId="27" xfId="37" applyFont="1" applyBorder="1" applyAlignment="1">
      <alignment vertical="top" wrapText="1"/>
    </xf>
    <xf numFmtId="4" fontId="10" fillId="33" borderId="27" xfId="39" applyNumberFormat="1" applyFill="1" applyBorder="1" applyAlignment="1">
      <alignment vertical="center" wrapText="1"/>
    </xf>
    <xf numFmtId="0" fontId="49" fillId="0" borderId="27" xfId="39" applyFont="1" applyBorder="1" applyAlignment="1">
      <alignment horizontal="center" vertical="center" wrapText="1"/>
    </xf>
    <xf numFmtId="0" fontId="58" fillId="0" borderId="27" xfId="39" applyFont="1" applyBorder="1" applyAlignment="1">
      <alignment vertical="center" wrapText="1"/>
    </xf>
    <xf numFmtId="4" fontId="37" fillId="0" borderId="27" xfId="39" applyNumberFormat="1" applyFont="1" applyBorder="1" applyAlignment="1">
      <alignment vertical="center" wrapText="1"/>
    </xf>
    <xf numFmtId="0" fontId="39" fillId="33" borderId="27" xfId="39" applyFont="1" applyFill="1" applyBorder="1" applyAlignment="1">
      <alignment vertical="center" wrapText="1"/>
    </xf>
    <xf numFmtId="0" fontId="10" fillId="0" borderId="27" xfId="39" applyBorder="1" applyAlignment="1">
      <alignment vertical="center" wrapText="1"/>
    </xf>
    <xf numFmtId="0" fontId="57" fillId="0" borderId="27" xfId="37" applyFont="1" applyBorder="1" applyAlignment="1">
      <alignment vertical="top" wrapText="1"/>
    </xf>
    <xf numFmtId="4" fontId="59" fillId="0" borderId="27" xfId="39" applyNumberFormat="1" applyFont="1" applyBorder="1" applyAlignment="1">
      <alignment vertical="center" wrapText="1"/>
    </xf>
    <xf numFmtId="4" fontId="34" fillId="0" borderId="27" xfId="39" applyNumberFormat="1" applyFont="1" applyBorder="1" applyAlignment="1">
      <alignment horizontal="right" vertical="center" wrapText="1"/>
    </xf>
    <xf numFmtId="4" fontId="10" fillId="0" borderId="27" xfId="39" applyNumberFormat="1" applyBorder="1" applyAlignment="1">
      <alignment horizontal="right" vertical="center" wrapText="1"/>
    </xf>
    <xf numFmtId="0" fontId="56" fillId="0" borderId="27" xfId="39" applyFont="1" applyBorder="1" applyAlignment="1">
      <alignment wrapText="1"/>
    </xf>
    <xf numFmtId="0" fontId="56" fillId="0" borderId="27" xfId="0" applyFont="1" applyBorder="1" applyAlignment="1">
      <alignment horizontal="justify" vertical="center"/>
    </xf>
    <xf numFmtId="0" fontId="60" fillId="0" borderId="27" xfId="37" applyFont="1" applyBorder="1" applyAlignment="1">
      <alignment horizontal="justify" vertical="top" wrapText="1"/>
    </xf>
    <xf numFmtId="0" fontId="61" fillId="0" borderId="27" xfId="37" applyFont="1" applyBorder="1" applyAlignment="1">
      <alignment horizontal="justify" vertical="top" wrapText="1"/>
    </xf>
    <xf numFmtId="0" fontId="33" fillId="0" borderId="27" xfId="39" applyFont="1" applyBorder="1" applyAlignment="1">
      <alignment vertical="center" wrapText="1"/>
    </xf>
    <xf numFmtId="4" fontId="40" fillId="33" borderId="27" xfId="39" applyNumberFormat="1" applyFont="1" applyFill="1" applyBorder="1" applyAlignment="1">
      <alignment vertical="center" wrapText="1"/>
    </xf>
    <xf numFmtId="0" fontId="62" fillId="0" borderId="27" xfId="37" applyFont="1" applyBorder="1" applyAlignment="1">
      <alignment horizontal="justify" vertical="top" wrapText="1"/>
    </xf>
    <xf numFmtId="0" fontId="16" fillId="0" borderId="27" xfId="37" applyFont="1" applyBorder="1" applyAlignment="1">
      <alignment horizontal="justify" vertical="top" wrapText="1"/>
    </xf>
    <xf numFmtId="4" fontId="87" fillId="0" borderId="27" xfId="39" applyNumberFormat="1" applyFont="1" applyBorder="1" applyAlignment="1">
      <alignment vertical="center" wrapText="1"/>
    </xf>
    <xf numFmtId="4" fontId="15" fillId="0" borderId="27" xfId="39" applyNumberFormat="1" applyFont="1" applyBorder="1" applyAlignment="1">
      <alignment horizontal="right" vertical="center" wrapText="1"/>
    </xf>
    <xf numFmtId="0" fontId="10" fillId="0" borderId="27" xfId="39" applyBorder="1" applyAlignment="1">
      <alignment horizontal="center" vertical="center" wrapText="1"/>
    </xf>
    <xf numFmtId="0" fontId="55" fillId="0" borderId="27" xfId="39" applyFont="1" applyBorder="1" applyAlignment="1">
      <alignment vertical="center" wrapText="1"/>
    </xf>
    <xf numFmtId="0" fontId="57" fillId="0" borderId="27" xfId="0" applyFont="1" applyBorder="1" applyAlignment="1">
      <alignment horizontal="center" vertical="center" wrapText="1"/>
    </xf>
    <xf numFmtId="0" fontId="19" fillId="0" borderId="27" xfId="0" applyFont="1" applyBorder="1" applyAlignment="1">
      <alignment horizontal="center" vertical="top" wrapText="1"/>
    </xf>
    <xf numFmtId="4" fontId="18" fillId="0" borderId="27" xfId="0" applyNumberFormat="1" applyFont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 wrapText="1"/>
    </xf>
    <xf numFmtId="0" fontId="10" fillId="0" borderId="27" xfId="0" applyFont="1" applyBorder="1" applyAlignment="1">
      <alignment horizontal="left" vertical="center" wrapText="1"/>
    </xf>
    <xf numFmtId="0" fontId="18" fillId="0" borderId="27" xfId="0" applyFont="1" applyBorder="1" applyAlignment="1">
      <alignment horizontal="center" vertical="center" wrapText="1"/>
    </xf>
    <xf numFmtId="49" fontId="43" fillId="0" borderId="17" xfId="0" applyNumberFormat="1" applyFont="1" applyFill="1" applyBorder="1" applyAlignment="1">
      <alignment horizontal="center" vertical="center" wrapText="1"/>
    </xf>
    <xf numFmtId="0" fontId="0" fillId="0" borderId="0" xfId="0"/>
    <xf numFmtId="49" fontId="43" fillId="0" borderId="17" xfId="0" applyNumberFormat="1" applyFont="1" applyBorder="1" applyAlignment="1">
      <alignment horizontal="center" vertical="center" wrapText="1"/>
    </xf>
    <xf numFmtId="0" fontId="110" fillId="0" borderId="0" xfId="0" applyFont="1"/>
    <xf numFmtId="0" fontId="0" fillId="0" borderId="0" xfId="0"/>
    <xf numFmtId="0" fontId="43" fillId="0" borderId="0" xfId="0" applyFont="1"/>
    <xf numFmtId="0" fontId="33" fillId="0" borderId="0" xfId="0" applyFont="1"/>
    <xf numFmtId="0" fontId="33" fillId="31" borderId="17" xfId="92" applyFont="1" applyFill="1" applyBorder="1" applyAlignment="1">
      <alignment horizontal="center" vertical="center" wrapText="1"/>
    </xf>
    <xf numFmtId="0" fontId="33" fillId="0" borderId="17" xfId="40" applyFont="1" applyFill="1" applyBorder="1" applyAlignment="1">
      <alignment horizontal="center" vertical="center" wrapText="1"/>
    </xf>
    <xf numFmtId="0" fontId="172" fillId="0" borderId="0" xfId="0" applyFont="1" applyAlignment="1">
      <alignment horizontal="justify" vertical="center"/>
    </xf>
    <xf numFmtId="0" fontId="172" fillId="0" borderId="0" xfId="0" applyFont="1" applyAlignment="1">
      <alignment horizontal="left" vertical="center"/>
    </xf>
    <xf numFmtId="0" fontId="173" fillId="0" borderId="0" xfId="0" applyFont="1" applyAlignment="1">
      <alignment horizontal="left" vertical="center"/>
    </xf>
    <xf numFmtId="0" fontId="84" fillId="0" borderId="0" xfId="0" applyFont="1" applyFill="1" applyAlignment="1">
      <alignment horizontal="left" vertical="center"/>
    </xf>
    <xf numFmtId="0" fontId="86" fillId="0" borderId="0" xfId="0" applyFont="1" applyFill="1" applyAlignment="1">
      <alignment horizontal="left" vertical="center"/>
    </xf>
    <xf numFmtId="4" fontId="42" fillId="0" borderId="0" xfId="36" applyNumberFormat="1" applyFont="1" applyFill="1" applyBorder="1" applyAlignment="1">
      <alignment horizontal="center" vertical="center" wrapText="1"/>
    </xf>
    <xf numFmtId="4" fontId="83" fillId="0" borderId="0" xfId="0" applyNumberFormat="1" applyFont="1" applyFill="1" applyAlignment="1">
      <alignment vertical="center"/>
    </xf>
    <xf numFmtId="4" fontId="113" fillId="0" borderId="0" xfId="0" applyNumberFormat="1" applyFont="1" applyFill="1" applyAlignment="1">
      <alignment horizontal="center" vertical="center"/>
    </xf>
    <xf numFmtId="0" fontId="33" fillId="0" borderId="0" xfId="0" applyFont="1" applyFill="1"/>
    <xf numFmtId="4" fontId="42" fillId="0" borderId="0" xfId="0" applyNumberFormat="1" applyFont="1" applyAlignment="1">
      <alignment vertical="center"/>
    </xf>
    <xf numFmtId="4" fontId="43" fillId="0" borderId="0" xfId="0" applyNumberFormat="1" applyFont="1" applyAlignment="1">
      <alignment vertical="center"/>
    </xf>
    <xf numFmtId="0" fontId="42" fillId="0" borderId="0" xfId="35" applyFont="1" applyAlignment="1">
      <alignment vertical="center"/>
    </xf>
    <xf numFmtId="0" fontId="174" fillId="0" borderId="0" xfId="35" applyFont="1" applyAlignment="1">
      <alignment horizontal="left" vertical="center"/>
    </xf>
    <xf numFmtId="0" fontId="42" fillId="0" borderId="0" xfId="35" applyFont="1" applyAlignment="1">
      <alignment horizontal="left" vertical="center"/>
    </xf>
    <xf numFmtId="0" fontId="175" fillId="0" borderId="0" xfId="35" applyFont="1" applyAlignment="1">
      <alignment vertical="center"/>
    </xf>
    <xf numFmtId="0" fontId="175" fillId="0" borderId="0" xfId="35" applyFont="1" applyAlignment="1">
      <alignment horizontal="left" vertical="center"/>
    </xf>
    <xf numFmtId="4" fontId="175" fillId="0" borderId="0" xfId="35" applyNumberFormat="1" applyFont="1" applyAlignment="1">
      <alignment vertical="center"/>
    </xf>
    <xf numFmtId="0" fontId="14" fillId="0" borderId="0" xfId="0" applyFont="1" applyAlignment="1">
      <alignment horizontal="left" vertical="center" wrapText="1"/>
    </xf>
    <xf numFmtId="0" fontId="14" fillId="0" borderId="0" xfId="0" applyFont="1" applyAlignment="1">
      <alignment wrapText="1"/>
    </xf>
    <xf numFmtId="0" fontId="18" fillId="0" borderId="27" xfId="0" applyFont="1" applyBorder="1" applyAlignment="1">
      <alignment horizontal="left" vertical="center" wrapText="1"/>
    </xf>
    <xf numFmtId="4" fontId="10" fillId="0" borderId="27" xfId="0" applyNumberFormat="1" applyFont="1" applyFill="1" applyBorder="1" applyAlignment="1">
      <alignment horizontal="center" vertical="center" wrapText="1"/>
    </xf>
    <xf numFmtId="4" fontId="18" fillId="0" borderId="27" xfId="0" applyNumberFormat="1" applyFont="1" applyFill="1" applyBorder="1" applyAlignment="1">
      <alignment horizontal="center" vertical="center" wrapText="1"/>
    </xf>
    <xf numFmtId="0" fontId="92" fillId="0" borderId="27" xfId="0" applyFont="1" applyBorder="1" applyAlignment="1">
      <alignment horizontal="center" vertical="center" wrapText="1"/>
    </xf>
    <xf numFmtId="0" fontId="39" fillId="0" borderId="27" xfId="0" applyFont="1" applyBorder="1" applyAlignment="1">
      <alignment horizontal="center" vertical="center" wrapText="1"/>
    </xf>
    <xf numFmtId="4" fontId="39" fillId="0" borderId="27" xfId="0" applyNumberFormat="1" applyFont="1" applyFill="1" applyBorder="1" applyAlignment="1">
      <alignment horizontal="center" vertical="center" wrapText="1"/>
    </xf>
    <xf numFmtId="4" fontId="8" fillId="0" borderId="0" xfId="0" applyNumberFormat="1" applyFont="1" applyAlignment="1">
      <alignment horizontal="center" vertical="center"/>
    </xf>
    <xf numFmtId="0" fontId="39" fillId="0" borderId="27" xfId="0" applyFont="1" applyBorder="1" applyAlignment="1">
      <alignment horizontal="left" vertical="center" wrapText="1"/>
    </xf>
    <xf numFmtId="0" fontId="18" fillId="37" borderId="27" xfId="0" applyFont="1" applyFill="1" applyBorder="1" applyAlignment="1">
      <alignment horizontal="center" vertical="center" wrapText="1"/>
    </xf>
    <xf numFmtId="4" fontId="18" fillId="37" borderId="27" xfId="0" applyNumberFormat="1" applyFont="1" applyFill="1" applyBorder="1" applyAlignment="1">
      <alignment horizontal="center" vertical="center" wrapText="1"/>
    </xf>
    <xf numFmtId="4" fontId="92" fillId="0" borderId="27" xfId="0" applyNumberFormat="1" applyFont="1" applyFill="1" applyBorder="1" applyAlignment="1">
      <alignment horizontal="center" vertical="center" wrapText="1"/>
    </xf>
    <xf numFmtId="0" fontId="39" fillId="0" borderId="27" xfId="0" applyFont="1" applyFill="1" applyBorder="1" applyAlignment="1">
      <alignment horizontal="center" vertical="center" wrapText="1"/>
    </xf>
    <xf numFmtId="0" fontId="92" fillId="0" borderId="27" xfId="0" applyFont="1" applyFill="1" applyBorder="1" applyAlignment="1">
      <alignment horizontal="center" vertical="center" wrapText="1"/>
    </xf>
    <xf numFmtId="0" fontId="10" fillId="0" borderId="27" xfId="0" applyFont="1" applyFill="1" applyBorder="1" applyAlignment="1">
      <alignment horizontal="center" vertical="center" wrapText="1"/>
    </xf>
    <xf numFmtId="4" fontId="18" fillId="0" borderId="27" xfId="0" applyNumberFormat="1" applyFont="1" applyBorder="1" applyAlignment="1">
      <alignment horizontal="left" vertical="center" wrapText="1"/>
    </xf>
    <xf numFmtId="4" fontId="39" fillId="0" borderId="27" xfId="0" applyNumberFormat="1" applyFont="1" applyBorder="1" applyAlignment="1">
      <alignment horizontal="left" vertical="center" wrapText="1"/>
    </xf>
    <xf numFmtId="0" fontId="39" fillId="0" borderId="27" xfId="0" applyFont="1" applyFill="1" applyBorder="1" applyAlignment="1">
      <alignment horizontal="left" vertical="center" wrapText="1"/>
    </xf>
    <xf numFmtId="0" fontId="10" fillId="0" borderId="27" xfId="0" applyFont="1" applyFill="1" applyBorder="1" applyAlignment="1">
      <alignment horizontal="left" vertical="center" wrapText="1"/>
    </xf>
    <xf numFmtId="0" fontId="18" fillId="37" borderId="27" xfId="0" applyFont="1" applyFill="1" applyBorder="1" applyAlignment="1">
      <alignment horizontal="left" vertical="center" wrapText="1"/>
    </xf>
    <xf numFmtId="0" fontId="92" fillId="0" borderId="27" xfId="0" applyFont="1" applyBorder="1" applyAlignment="1">
      <alignment horizontal="left" vertical="center" wrapText="1"/>
    </xf>
    <xf numFmtId="0" fontId="92" fillId="0" borderId="27" xfId="0" applyFont="1" applyFill="1" applyBorder="1" applyAlignment="1">
      <alignment horizontal="left" vertical="center" wrapText="1"/>
    </xf>
    <xf numFmtId="0" fontId="14" fillId="0" borderId="0" xfId="0" applyFont="1" applyAlignment="1">
      <alignment horizontal="center" vertical="center"/>
    </xf>
    <xf numFmtId="0" fontId="0" fillId="0" borderId="0" xfId="0"/>
    <xf numFmtId="0" fontId="0" fillId="0" borderId="0" xfId="0" applyAlignment="1">
      <alignment horizontal="center" vertical="center"/>
    </xf>
    <xf numFmtId="0" fontId="55" fillId="0" borderId="0" xfId="39" applyFont="1" applyAlignment="1">
      <alignment horizontal="center" vertical="center"/>
    </xf>
    <xf numFmtId="0" fontId="15" fillId="0" borderId="27" xfId="39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3" fillId="0" borderId="0" xfId="0" applyFont="1"/>
    <xf numFmtId="0" fontId="14" fillId="0" borderId="0" xfId="0" applyFont="1" applyAlignment="1">
      <alignment horizontal="left" vertical="center" wrapText="1"/>
    </xf>
    <xf numFmtId="0" fontId="14" fillId="0" borderId="0" xfId="0" applyFont="1" applyAlignment="1">
      <alignment wrapText="1"/>
    </xf>
    <xf numFmtId="0" fontId="64" fillId="0" borderId="0" xfId="0" applyFont="1" applyAlignment="1">
      <alignment horizontal="center" vertical="center" wrapText="1"/>
    </xf>
    <xf numFmtId="0" fontId="102" fillId="0" borderId="0" xfId="0" applyFont="1" applyAlignment="1">
      <alignment horizontal="center"/>
    </xf>
    <xf numFmtId="0" fontId="103" fillId="0" borderId="0" xfId="0" applyFont="1" applyAlignment="1">
      <alignment horizontal="center"/>
    </xf>
    <xf numFmtId="0" fontId="38" fillId="0" borderId="0" xfId="0" applyFont="1" applyAlignment="1">
      <alignment horizontal="center" vertical="top"/>
    </xf>
    <xf numFmtId="0" fontId="101" fillId="0" borderId="0" xfId="0" applyFont="1" applyAlignment="1">
      <alignment horizontal="center" vertical="top"/>
    </xf>
    <xf numFmtId="0" fontId="57" fillId="0" borderId="27" xfId="0" applyFont="1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18" fillId="36" borderId="27" xfId="0" applyFont="1" applyFill="1" applyBorder="1" applyAlignment="1">
      <alignment horizontal="left" vertical="center" wrapText="1"/>
    </xf>
    <xf numFmtId="0" fontId="0" fillId="36" borderId="27" xfId="0" applyFill="1" applyBorder="1" applyAlignment="1">
      <alignment wrapText="1"/>
    </xf>
    <xf numFmtId="0" fontId="172" fillId="0" borderId="0" xfId="0" applyFont="1" applyAlignment="1">
      <alignment horizontal="justify" vertical="center"/>
    </xf>
    <xf numFmtId="0" fontId="0" fillId="0" borderId="0" xfId="0" applyAlignment="1"/>
    <xf numFmtId="0" fontId="84" fillId="0" borderId="0" xfId="0" applyFont="1" applyAlignment="1">
      <alignment horizontal="left" vertical="center"/>
    </xf>
    <xf numFmtId="0" fontId="86" fillId="0" borderId="0" xfId="0" applyFont="1" applyAlignment="1">
      <alignment horizontal="left" vertical="center"/>
    </xf>
    <xf numFmtId="4" fontId="140" fillId="0" borderId="18" xfId="0" applyNumberFormat="1" applyFont="1" applyFill="1" applyBorder="1" applyAlignment="1">
      <alignment horizontal="center" vertical="center" wrapText="1"/>
    </xf>
    <xf numFmtId="4" fontId="140" fillId="0" borderId="19" xfId="0" applyNumberFormat="1" applyFont="1" applyFill="1" applyBorder="1" applyAlignment="1">
      <alignment horizontal="center" vertical="center" wrapText="1"/>
    </xf>
    <xf numFmtId="4" fontId="151" fillId="0" borderId="18" xfId="0" applyNumberFormat="1" applyFont="1" applyFill="1" applyBorder="1" applyAlignment="1">
      <alignment horizontal="center" vertical="center"/>
    </xf>
    <xf numFmtId="4" fontId="151" fillId="0" borderId="19" xfId="0" applyNumberFormat="1" applyFont="1" applyFill="1" applyBorder="1" applyAlignment="1">
      <alignment horizontal="center" vertical="center"/>
    </xf>
    <xf numFmtId="4" fontId="128" fillId="0" borderId="18" xfId="0" applyNumberFormat="1" applyFont="1" applyFill="1" applyBorder="1" applyAlignment="1">
      <alignment horizontal="center" vertical="center" wrapText="1"/>
    </xf>
    <xf numFmtId="4" fontId="128" fillId="0" borderId="19" xfId="0" applyNumberFormat="1" applyFont="1" applyFill="1" applyBorder="1" applyAlignment="1">
      <alignment horizontal="center" vertical="center" wrapText="1"/>
    </xf>
    <xf numFmtId="4" fontId="44" fillId="0" borderId="17" xfId="0" applyNumberFormat="1" applyFont="1" applyFill="1" applyBorder="1" applyAlignment="1">
      <alignment horizontal="center" vertical="center" wrapText="1"/>
    </xf>
    <xf numFmtId="4" fontId="43" fillId="0" borderId="17" xfId="0" applyNumberFormat="1" applyFont="1" applyFill="1" applyBorder="1" applyAlignment="1">
      <alignment horizontal="center" vertical="center" wrapText="1"/>
    </xf>
    <xf numFmtId="49" fontId="140" fillId="0" borderId="17" xfId="0" applyNumberFormat="1" applyFont="1" applyFill="1" applyBorder="1" applyAlignment="1">
      <alignment horizontal="center" vertical="center" wrapText="1"/>
    </xf>
    <xf numFmtId="0" fontId="153" fillId="0" borderId="17" xfId="0" applyFont="1" applyFill="1" applyBorder="1" applyAlignment="1">
      <alignment horizontal="center" vertical="center" wrapText="1"/>
    </xf>
    <xf numFmtId="4" fontId="144" fillId="0" borderId="17" xfId="0" applyNumberFormat="1" applyFont="1" applyFill="1" applyBorder="1" applyAlignment="1">
      <alignment horizontal="center" vertical="center" wrapText="1"/>
    </xf>
    <xf numFmtId="0" fontId="154" fillId="0" borderId="17" xfId="0" applyFont="1" applyFill="1" applyBorder="1" applyAlignment="1">
      <alignment horizontal="center" vertical="center" wrapText="1"/>
    </xf>
    <xf numFmtId="4" fontId="144" fillId="0" borderId="18" xfId="0" applyNumberFormat="1" applyFont="1" applyFill="1" applyBorder="1" applyAlignment="1">
      <alignment horizontal="center" vertical="center" wrapText="1"/>
    </xf>
    <xf numFmtId="4" fontId="144" fillId="0" borderId="19" xfId="0" applyNumberFormat="1" applyFont="1" applyFill="1" applyBorder="1" applyAlignment="1">
      <alignment horizontal="center" vertical="center" wrapText="1"/>
    </xf>
    <xf numFmtId="0" fontId="4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43" fillId="0" borderId="0" xfId="0" applyFont="1" applyAlignment="1">
      <alignment vertical="center"/>
    </xf>
    <xf numFmtId="0" fontId="42" fillId="0" borderId="0" xfId="0" applyFont="1" applyAlignment="1">
      <alignment horizontal="center" vertical="center"/>
    </xf>
    <xf numFmtId="0" fontId="104" fillId="0" borderId="0" xfId="0" applyFont="1" applyAlignment="1">
      <alignment horizontal="center"/>
    </xf>
    <xf numFmtId="0" fontId="105" fillId="0" borderId="0" xfId="0" applyFont="1" applyAlignment="1">
      <alignment horizontal="center"/>
    </xf>
    <xf numFmtId="0" fontId="42" fillId="0" borderId="17" xfId="0" applyFont="1" applyBorder="1" applyAlignment="1">
      <alignment horizontal="center" vertical="top"/>
    </xf>
    <xf numFmtId="0" fontId="0" fillId="0" borderId="17" xfId="0" applyFont="1" applyBorder="1" applyAlignment="1">
      <alignment horizontal="center" vertical="top"/>
    </xf>
    <xf numFmtId="0" fontId="42" fillId="0" borderId="17" xfId="0" applyFont="1" applyBorder="1" applyAlignment="1">
      <alignment horizontal="center" vertical="top" wrapText="1"/>
    </xf>
    <xf numFmtId="0" fontId="98" fillId="0" borderId="0" xfId="0" applyFont="1" applyAlignment="1">
      <alignment horizontal="center" vertical="top"/>
    </xf>
    <xf numFmtId="0" fontId="46" fillId="0" borderId="0" xfId="0" applyFont="1" applyAlignment="1">
      <alignment horizontal="center" vertical="top"/>
    </xf>
    <xf numFmtId="0" fontId="13" fillId="0" borderId="17" xfId="0" applyFont="1" applyBorder="1" applyAlignment="1">
      <alignment horizontal="center" vertical="top"/>
    </xf>
    <xf numFmtId="49" fontId="43" fillId="0" borderId="17" xfId="0" applyNumberFormat="1" applyFont="1" applyFill="1" applyBorder="1" applyAlignment="1">
      <alignment horizontal="center" vertical="center" wrapText="1"/>
    </xf>
    <xf numFmtId="4" fontId="44" fillId="0" borderId="17" xfId="0" applyNumberFormat="1" applyFont="1" applyBorder="1" applyAlignment="1">
      <alignment horizontal="center" vertical="center" wrapText="1"/>
    </xf>
    <xf numFmtId="0" fontId="0" fillId="0" borderId="17" xfId="0" applyFont="1" applyBorder="1" applyAlignment="1">
      <alignment horizontal="center" vertical="center" wrapText="1"/>
    </xf>
    <xf numFmtId="4" fontId="42" fillId="0" borderId="17" xfId="0" applyNumberFormat="1" applyFont="1" applyFill="1" applyBorder="1" applyAlignment="1">
      <alignment horizontal="center" vertical="center" wrapText="1"/>
    </xf>
    <xf numFmtId="4" fontId="43" fillId="0" borderId="17" xfId="0" applyNumberFormat="1" applyFont="1" applyBorder="1" applyAlignment="1">
      <alignment horizontal="center" vertical="center" wrapText="1"/>
    </xf>
    <xf numFmtId="4" fontId="0" fillId="0" borderId="17" xfId="0" applyNumberFormat="1" applyFont="1" applyBorder="1" applyAlignment="1">
      <alignment horizontal="center" vertical="center" wrapText="1"/>
    </xf>
    <xf numFmtId="4" fontId="45" fillId="0" borderId="17" xfId="0" applyNumberFormat="1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4" fontId="42" fillId="0" borderId="17" xfId="0" applyNumberFormat="1" applyFont="1" applyBorder="1" applyAlignment="1">
      <alignment horizontal="center" vertical="center" wrapText="1"/>
    </xf>
    <xf numFmtId="4" fontId="13" fillId="0" borderId="17" xfId="0" applyNumberFormat="1" applyFont="1" applyBorder="1" applyAlignment="1">
      <alignment horizontal="center" vertical="center" wrapText="1"/>
    </xf>
    <xf numFmtId="4" fontId="45" fillId="0" borderId="17" xfId="0" applyNumberFormat="1" applyFont="1" applyFill="1" applyBorder="1" applyAlignment="1">
      <alignment horizontal="center" vertical="center"/>
    </xf>
    <xf numFmtId="49" fontId="156" fillId="0" borderId="18" xfId="0" applyNumberFormat="1" applyFont="1" applyFill="1" applyBorder="1" applyAlignment="1">
      <alignment horizontal="center" vertical="center" wrapText="1"/>
    </xf>
    <xf numFmtId="0" fontId="0" fillId="0" borderId="19" xfId="0" applyFill="1" applyBorder="1" applyAlignment="1">
      <alignment horizontal="center" vertical="center" wrapText="1"/>
    </xf>
    <xf numFmtId="4" fontId="157" fillId="0" borderId="18" xfId="0" applyNumberFormat="1" applyFont="1" applyFill="1" applyBorder="1" applyAlignment="1">
      <alignment horizontal="center" vertical="center" wrapText="1"/>
    </xf>
    <xf numFmtId="49" fontId="43" fillId="0" borderId="17" xfId="0" applyNumberFormat="1" applyFont="1" applyBorder="1" applyAlignment="1">
      <alignment horizontal="center" vertical="center" wrapText="1"/>
    </xf>
    <xf numFmtId="0" fontId="46" fillId="0" borderId="17" xfId="0" applyFont="1" applyBorder="1" applyAlignment="1">
      <alignment horizontal="center" vertical="center" wrapText="1"/>
    </xf>
    <xf numFmtId="0" fontId="173" fillId="0" borderId="0" xfId="0" applyFont="1" applyAlignment="1">
      <alignment horizontal="justify" vertical="center"/>
    </xf>
    <xf numFmtId="0" fontId="106" fillId="0" borderId="0" xfId="0" applyFont="1" applyBorder="1" applyAlignment="1">
      <alignment horizontal="center" vertical="center"/>
    </xf>
    <xf numFmtId="0" fontId="106" fillId="0" borderId="0" xfId="0" applyFont="1" applyBorder="1" applyAlignment="1">
      <alignment horizontal="center"/>
    </xf>
    <xf numFmtId="0" fontId="107" fillId="0" borderId="0" xfId="0" applyFont="1" applyBorder="1" applyAlignment="1">
      <alignment horizontal="center"/>
    </xf>
    <xf numFmtId="0" fontId="41" fillId="0" borderId="0" xfId="0" applyFont="1" applyBorder="1" applyAlignment="1">
      <alignment horizontal="center" vertical="top"/>
    </xf>
    <xf numFmtId="0" fontId="0" fillId="0" borderId="0" xfId="0" applyFont="1" applyBorder="1" applyAlignment="1">
      <alignment horizontal="center" vertical="top"/>
    </xf>
    <xf numFmtId="0" fontId="65" fillId="0" borderId="0" xfId="35" applyFont="1"/>
    <xf numFmtId="0" fontId="18" fillId="0" borderId="17" xfId="35" applyFont="1" applyBorder="1" applyAlignment="1">
      <alignment horizontal="center" vertical="top" wrapText="1"/>
    </xf>
    <xf numFmtId="0" fontId="18" fillId="0" borderId="17" xfId="0" applyFont="1" applyBorder="1" applyAlignment="1">
      <alignment horizontal="center" vertical="top" wrapText="1"/>
    </xf>
    <xf numFmtId="0" fontId="18" fillId="0" borderId="17" xfId="0" applyFont="1" applyBorder="1" applyAlignment="1">
      <alignment horizontal="center" vertical="top"/>
    </xf>
    <xf numFmtId="0" fontId="120" fillId="0" borderId="17" xfId="35" applyFont="1" applyBorder="1" applyAlignment="1">
      <alignment horizontal="center" vertical="top" wrapText="1"/>
    </xf>
    <xf numFmtId="0" fontId="16" fillId="0" borderId="0" xfId="35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3" fillId="0" borderId="17" xfId="0" applyFont="1" applyBorder="1" applyAlignment="1">
      <alignment horizontal="center" vertical="top" wrapText="1"/>
    </xf>
    <xf numFmtId="0" fontId="33" fillId="0" borderId="0" xfId="0" applyFont="1"/>
    <xf numFmtId="0" fontId="33" fillId="0" borderId="0" xfId="35" applyFont="1" applyAlignment="1">
      <alignment horizontal="center" vertical="center" wrapText="1"/>
    </xf>
    <xf numFmtId="49" fontId="43" fillId="36" borderId="22" xfId="0" applyNumberFormat="1" applyFont="1" applyFill="1" applyBorder="1" applyAlignment="1">
      <alignment horizontal="center" vertical="center" wrapText="1"/>
    </xf>
    <xf numFmtId="0" fontId="0" fillId="36" borderId="24" xfId="0" applyFont="1" applyFill="1" applyBorder="1" applyAlignment="1">
      <alignment horizontal="center" vertical="center" wrapText="1"/>
    </xf>
    <xf numFmtId="0" fontId="0" fillId="36" borderId="25" xfId="0" applyFont="1" applyFill="1" applyBorder="1" applyAlignment="1">
      <alignment horizontal="center" vertical="center" wrapText="1"/>
    </xf>
    <xf numFmtId="0" fontId="43" fillId="0" borderId="22" xfId="0" applyFont="1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49" fontId="43" fillId="0" borderId="22" xfId="0" applyNumberFormat="1" applyFont="1" applyBorder="1" applyAlignment="1">
      <alignment horizontal="center" vertical="center" wrapText="1"/>
    </xf>
    <xf numFmtId="49" fontId="147" fillId="0" borderId="22" xfId="0" applyNumberFormat="1" applyFont="1" applyBorder="1" applyAlignment="1">
      <alignment horizontal="left" vertical="center" wrapText="1"/>
    </xf>
    <xf numFmtId="49" fontId="147" fillId="0" borderId="25" xfId="0" applyNumberFormat="1" applyFont="1" applyBorder="1" applyAlignment="1">
      <alignment horizontal="left" vertical="center" wrapText="1"/>
    </xf>
    <xf numFmtId="0" fontId="149" fillId="0" borderId="25" xfId="0" applyFont="1" applyBorder="1" applyAlignment="1">
      <alignment horizontal="left" vertical="center" wrapText="1"/>
    </xf>
    <xf numFmtId="49" fontId="140" fillId="0" borderId="22" xfId="0" applyNumberFormat="1" applyFont="1" applyBorder="1" applyAlignment="1">
      <alignment horizontal="left" vertical="center" wrapText="1"/>
    </xf>
    <xf numFmtId="0" fontId="0" fillId="0" borderId="25" xfId="0" applyBorder="1" applyAlignment="1">
      <alignment horizontal="left" vertical="center" wrapText="1"/>
    </xf>
    <xf numFmtId="49" fontId="43" fillId="36" borderId="22" xfId="0" applyNumberFormat="1" applyFont="1" applyFill="1" applyBorder="1" applyAlignment="1">
      <alignment horizontal="left" vertical="center" wrapText="1"/>
    </xf>
    <xf numFmtId="0" fontId="0" fillId="36" borderId="25" xfId="0" applyFill="1" applyBorder="1" applyAlignment="1">
      <alignment horizontal="left" vertical="center" wrapText="1"/>
    </xf>
    <xf numFmtId="0" fontId="89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14" fillId="0" borderId="0" xfId="35" applyFont="1" applyAlignment="1">
      <alignment horizontal="center" vertical="center"/>
    </xf>
    <xf numFmtId="0" fontId="47" fillId="0" borderId="0" xfId="35" applyFont="1" applyAlignment="1">
      <alignment horizontal="center" vertical="center" wrapText="1"/>
    </xf>
    <xf numFmtId="0" fontId="170" fillId="0" borderId="0" xfId="0" applyFont="1" applyAlignment="1">
      <alignment horizontal="center"/>
    </xf>
    <xf numFmtId="0" fontId="107" fillId="0" borderId="0" xfId="0" applyFont="1" applyAlignment="1">
      <alignment horizontal="center"/>
    </xf>
    <xf numFmtId="0" fontId="10" fillId="0" borderId="0" xfId="0" applyFont="1" applyAlignment="1">
      <alignment horizontal="center" vertical="top"/>
    </xf>
    <xf numFmtId="0" fontId="8" fillId="0" borderId="0" xfId="0" applyFont="1" applyAlignment="1">
      <alignment horizontal="center" vertical="top"/>
    </xf>
    <xf numFmtId="4" fontId="43" fillId="0" borderId="18" xfId="0" applyNumberFormat="1" applyFont="1" applyBorder="1" applyAlignment="1">
      <alignment horizontal="center" vertical="center" wrapText="1"/>
    </xf>
    <xf numFmtId="0" fontId="0" fillId="0" borderId="19" xfId="0" applyFont="1" applyBorder="1" applyAlignment="1"/>
    <xf numFmtId="0" fontId="46" fillId="0" borderId="19" xfId="0" applyFont="1" applyBorder="1" applyAlignment="1">
      <alignment horizontal="center" vertical="center" wrapText="1"/>
    </xf>
    <xf numFmtId="4" fontId="43" fillId="0" borderId="19" xfId="0" applyNumberFormat="1" applyFont="1" applyBorder="1" applyAlignment="1">
      <alignment horizontal="center" vertical="center" wrapText="1"/>
    </xf>
    <xf numFmtId="49" fontId="43" fillId="0" borderId="18" xfId="0" applyNumberFormat="1" applyFont="1" applyBorder="1" applyAlignment="1">
      <alignment horizontal="center" vertical="center" wrapText="1"/>
    </xf>
    <xf numFmtId="49" fontId="43" fillId="0" borderId="19" xfId="0" applyNumberFormat="1" applyFont="1" applyBorder="1" applyAlignment="1">
      <alignment horizontal="center" vertical="center" wrapText="1"/>
    </xf>
    <xf numFmtId="49" fontId="140" fillId="0" borderId="17" xfId="0" applyNumberFormat="1" applyFont="1" applyBorder="1" applyAlignment="1">
      <alignment horizontal="center" vertical="center" wrapText="1"/>
    </xf>
    <xf numFmtId="0" fontId="154" fillId="0" borderId="17" xfId="0" applyFont="1" applyBorder="1" applyAlignment="1">
      <alignment horizontal="center" vertical="center" wrapText="1"/>
    </xf>
    <xf numFmtId="4" fontId="140" fillId="0" borderId="18" xfId="0" applyNumberFormat="1" applyFont="1" applyBorder="1" applyAlignment="1">
      <alignment horizontal="center" vertical="center" wrapText="1"/>
    </xf>
    <xf numFmtId="0" fontId="154" fillId="0" borderId="19" xfId="0" applyFont="1" applyBorder="1" applyAlignment="1">
      <alignment horizontal="center" vertical="center" wrapText="1"/>
    </xf>
    <xf numFmtId="4" fontId="141" fillId="27" borderId="26" xfId="0" applyNumberFormat="1" applyFont="1" applyFill="1" applyBorder="1" applyAlignment="1">
      <alignment horizontal="center" vertical="center" wrapText="1"/>
    </xf>
    <xf numFmtId="0" fontId="0" fillId="0" borderId="26" xfId="0" applyBorder="1" applyAlignment="1"/>
    <xf numFmtId="49" fontId="43" fillId="0" borderId="20" xfId="0" applyNumberFormat="1" applyFont="1" applyBorder="1" applyAlignment="1">
      <alignment horizontal="center" vertical="center" wrapText="1"/>
    </xf>
    <xf numFmtId="4" fontId="46" fillId="0" borderId="17" xfId="0" applyNumberFormat="1" applyFont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4" fontId="43" fillId="0" borderId="17" xfId="38" applyNumberFormat="1" applyFont="1" applyFill="1" applyBorder="1" applyAlignment="1" applyProtection="1">
      <alignment horizontal="center" vertical="center" wrapText="1"/>
      <protection locked="0"/>
    </xf>
    <xf numFmtId="4" fontId="43" fillId="0" borderId="17" xfId="38" applyNumberFormat="1" applyFont="1" applyFill="1" applyBorder="1" applyAlignment="1">
      <alignment horizontal="center" vertical="center" wrapText="1"/>
    </xf>
    <xf numFmtId="2" fontId="69" fillId="0" borderId="17" xfId="36" applyNumberFormat="1" applyFont="1" applyFill="1" applyBorder="1" applyAlignment="1">
      <alignment horizontal="center" vertical="center" wrapText="1"/>
    </xf>
    <xf numFmtId="0" fontId="0" fillId="0" borderId="17" xfId="0" applyFill="1" applyBorder="1" applyAlignment="1">
      <alignment horizontal="center"/>
    </xf>
    <xf numFmtId="0" fontId="67" fillId="0" borderId="0" xfId="0" applyFont="1" applyAlignment="1">
      <alignment horizontal="center" vertical="center"/>
    </xf>
    <xf numFmtId="0" fontId="67" fillId="0" borderId="0" xfId="36" applyFont="1" applyAlignment="1">
      <alignment horizontal="center" vertical="center"/>
    </xf>
    <xf numFmtId="0" fontId="134" fillId="0" borderId="0" xfId="36" applyFont="1">
      <alignment vertical="top"/>
    </xf>
    <xf numFmtId="0" fontId="110" fillId="0" borderId="0" xfId="0" applyFont="1"/>
    <xf numFmtId="0" fontId="14" fillId="0" borderId="0" xfId="36" applyFont="1" applyAlignment="1">
      <alignment horizontal="center" vertical="center" wrapText="1"/>
    </xf>
    <xf numFmtId="0" fontId="17" fillId="0" borderId="0" xfId="36" applyFont="1" applyAlignment="1">
      <alignment horizontal="left" vertical="top" wrapText="1"/>
    </xf>
    <xf numFmtId="2" fontId="67" fillId="0" borderId="17" xfId="36" applyNumberFormat="1" applyFont="1" applyFill="1" applyBorder="1" applyAlignment="1">
      <alignment horizontal="center" vertical="center" wrapText="1"/>
    </xf>
    <xf numFmtId="2" fontId="69" fillId="0" borderId="21" xfId="36" applyNumberFormat="1" applyFont="1" applyFill="1" applyBorder="1" applyAlignment="1">
      <alignment horizontal="center" vertical="top" wrapText="1"/>
    </xf>
    <xf numFmtId="0" fontId="8" fillId="0" borderId="19" xfId="0" applyFont="1" applyFill="1" applyBorder="1" applyAlignment="1">
      <alignment horizontal="center" vertical="top"/>
    </xf>
    <xf numFmtId="2" fontId="67" fillId="29" borderId="17" xfId="36" applyNumberFormat="1" applyFont="1" applyFill="1" applyBorder="1" applyAlignment="1">
      <alignment horizontal="left" vertical="center" wrapText="1"/>
    </xf>
    <xf numFmtId="0" fontId="0" fillId="29" borderId="17" xfId="0" applyFont="1" applyFill="1" applyBorder="1" applyAlignment="1">
      <alignment horizontal="left"/>
    </xf>
    <xf numFmtId="2" fontId="69" fillId="0" borderId="0" xfId="36" applyNumberFormat="1" applyFont="1" applyFill="1" applyBorder="1" applyAlignment="1">
      <alignment horizontal="center" wrapText="1"/>
    </xf>
    <xf numFmtId="0" fontId="8" fillId="0" borderId="0" xfId="0" applyFont="1" applyFill="1" applyBorder="1" applyAlignment="1">
      <alignment horizontal="center"/>
    </xf>
    <xf numFmtId="0" fontId="8" fillId="0" borderId="17" xfId="0" applyFont="1" applyFill="1" applyBorder="1" applyAlignment="1">
      <alignment horizontal="center"/>
    </xf>
    <xf numFmtId="2" fontId="14" fillId="0" borderId="17" xfId="36" applyNumberFormat="1" applyFont="1" applyFill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4" fontId="14" fillId="0" borderId="17" xfId="36" applyNumberFormat="1" applyFont="1" applyFill="1" applyBorder="1" applyAlignment="1">
      <alignment horizontal="center" vertical="center" wrapText="1"/>
    </xf>
    <xf numFmtId="4" fontId="8" fillId="0" borderId="17" xfId="0" applyNumberFormat="1" applyFont="1" applyFill="1" applyBorder="1" applyAlignment="1">
      <alignment horizontal="center" vertical="center" wrapText="1"/>
    </xf>
    <xf numFmtId="0" fontId="68" fillId="0" borderId="0" xfId="0" applyFont="1" applyAlignment="1">
      <alignment horizontal="center" vertical="center"/>
    </xf>
    <xf numFmtId="2" fontId="15" fillId="0" borderId="17" xfId="36" applyNumberFormat="1" applyFont="1" applyBorder="1" applyAlignment="1">
      <alignment horizontal="center" vertical="center" wrapText="1"/>
    </xf>
    <xf numFmtId="0" fontId="0" fillId="0" borderId="17" xfId="0" applyBorder="1" applyAlignment="1">
      <alignment horizontal="center"/>
    </xf>
    <xf numFmtId="2" fontId="67" fillId="0" borderId="17" xfId="36" applyNumberFormat="1" applyFont="1" applyBorder="1" applyAlignment="1">
      <alignment horizontal="center" vertical="center"/>
    </xf>
    <xf numFmtId="0" fontId="0" fillId="29" borderId="17" xfId="0" applyFill="1" applyBorder="1" applyAlignment="1">
      <alignment horizontal="left"/>
    </xf>
    <xf numFmtId="0" fontId="14" fillId="0" borderId="0" xfId="0" applyFont="1" applyAlignment="1">
      <alignment horizontal="left" vertical="center"/>
    </xf>
    <xf numFmtId="0" fontId="68" fillId="0" borderId="0" xfId="0" applyFont="1" applyAlignment="1">
      <alignment horizontal="left" vertical="center"/>
    </xf>
    <xf numFmtId="0" fontId="67" fillId="0" borderId="0" xfId="36" applyFont="1" applyAlignment="1">
      <alignment horizontal="center"/>
    </xf>
    <xf numFmtId="0" fontId="67" fillId="0" borderId="0" xfId="0" applyFont="1" applyAlignment="1">
      <alignment horizontal="center"/>
    </xf>
    <xf numFmtId="0" fontId="67" fillId="0" borderId="0" xfId="36" applyFont="1" applyAlignment="1">
      <alignment horizontal="center" vertical="top"/>
    </xf>
    <xf numFmtId="0" fontId="0" fillId="0" borderId="0" xfId="0" applyAlignment="1">
      <alignment vertical="top"/>
    </xf>
    <xf numFmtId="0" fontId="88" fillId="0" borderId="0" xfId="0" applyFont="1" applyAlignment="1">
      <alignment horizontal="right" vertical="center"/>
    </xf>
    <xf numFmtId="0" fontId="14" fillId="0" borderId="0" xfId="0" applyFont="1" applyAlignment="1">
      <alignment horizontal="right" vertical="center"/>
    </xf>
    <xf numFmtId="0" fontId="14" fillId="0" borderId="0" xfId="36" applyFont="1" applyAlignment="1">
      <alignment horizontal="left" vertical="top" wrapText="1"/>
    </xf>
    <xf numFmtId="0" fontId="14" fillId="0" borderId="0" xfId="0" applyFont="1" applyAlignment="1">
      <alignment horizontal="left"/>
    </xf>
    <xf numFmtId="0" fontId="10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5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106" fillId="0" borderId="0" xfId="0" applyFont="1" applyAlignment="1">
      <alignment horizontal="center"/>
    </xf>
    <xf numFmtId="0" fontId="41" fillId="0" borderId="0" xfId="0" applyFont="1" applyAlignment="1">
      <alignment horizontal="center" vertical="top"/>
    </xf>
    <xf numFmtId="0" fontId="0" fillId="0" borderId="0" xfId="0" applyAlignment="1">
      <alignment horizontal="center" vertical="top"/>
    </xf>
  </cellXfs>
  <cellStyles count="102">
    <cellStyle name="20% - Акцент1" xfId="46" xr:uid="{00000000-0005-0000-0000-000000000000}"/>
    <cellStyle name="20% - Акцент2" xfId="47" xr:uid="{00000000-0005-0000-0000-000001000000}"/>
    <cellStyle name="20% - Акцент3" xfId="48" xr:uid="{00000000-0005-0000-0000-000002000000}"/>
    <cellStyle name="20% - Акцент4" xfId="49" xr:uid="{00000000-0005-0000-0000-000003000000}"/>
    <cellStyle name="20% - Акцент5" xfId="50" xr:uid="{00000000-0005-0000-0000-000004000000}"/>
    <cellStyle name="20% - Акцент6" xfId="51" xr:uid="{00000000-0005-0000-0000-000005000000}"/>
    <cellStyle name="40% - Акцент1" xfId="52" xr:uid="{00000000-0005-0000-0000-000006000000}"/>
    <cellStyle name="40% - Акцент2" xfId="53" xr:uid="{00000000-0005-0000-0000-000007000000}"/>
    <cellStyle name="40% - Акцент3" xfId="54" xr:uid="{00000000-0005-0000-0000-000008000000}"/>
    <cellStyle name="40% - Акцент4" xfId="55" xr:uid="{00000000-0005-0000-0000-000009000000}"/>
    <cellStyle name="40% - Акцент5" xfId="56" xr:uid="{00000000-0005-0000-0000-00000A000000}"/>
    <cellStyle name="40% - Акцент6" xfId="57" xr:uid="{00000000-0005-0000-0000-00000B000000}"/>
    <cellStyle name="60% - Акцент1" xfId="58" xr:uid="{00000000-0005-0000-0000-00000C000000}"/>
    <cellStyle name="60% - Акцент2" xfId="59" xr:uid="{00000000-0005-0000-0000-00000D000000}"/>
    <cellStyle name="60% - Акцент3" xfId="60" xr:uid="{00000000-0005-0000-0000-00000E000000}"/>
    <cellStyle name="60% - Акцент4" xfId="61" xr:uid="{00000000-0005-0000-0000-00000F000000}"/>
    <cellStyle name="60% - Акцент5" xfId="62" xr:uid="{00000000-0005-0000-0000-000010000000}"/>
    <cellStyle name="60% - Акцент6" xfId="63" xr:uid="{00000000-0005-0000-0000-000011000000}"/>
    <cellStyle name="Excel Built-in Обычный_УКБ до бюджету 2016р ост" xfId="84" xr:uid="{00000000-0005-0000-0000-000012000000}"/>
    <cellStyle name="Normal_meresha_07" xfId="1" xr:uid="{00000000-0005-0000-0000-000013000000}"/>
    <cellStyle name="Акцент1" xfId="64" xr:uid="{00000000-0005-0000-0000-000014000000}"/>
    <cellStyle name="Акцент2" xfId="65" xr:uid="{00000000-0005-0000-0000-000015000000}"/>
    <cellStyle name="Акцент3" xfId="66" xr:uid="{00000000-0005-0000-0000-000016000000}"/>
    <cellStyle name="Акцент4" xfId="67" xr:uid="{00000000-0005-0000-0000-000017000000}"/>
    <cellStyle name="Акцент5" xfId="68" xr:uid="{00000000-0005-0000-0000-000018000000}"/>
    <cellStyle name="Акцент6" xfId="69" xr:uid="{00000000-0005-0000-0000-000019000000}"/>
    <cellStyle name="Ввід" xfId="2" xr:uid="{00000000-0005-0000-0000-00001A000000}"/>
    <cellStyle name="Ввод " xfId="70" xr:uid="{00000000-0005-0000-0000-00001B000000}"/>
    <cellStyle name="Вывод" xfId="71" xr:uid="{00000000-0005-0000-0000-00001C000000}"/>
    <cellStyle name="Вычисление" xfId="72" xr:uid="{00000000-0005-0000-0000-00001D000000}"/>
    <cellStyle name="Гіперпосилання 2" xfId="73" xr:uid="{00000000-0005-0000-0000-00001E000000}"/>
    <cellStyle name="Добре" xfId="3" xr:uid="{00000000-0005-0000-0000-00001F000000}"/>
    <cellStyle name="Заголовок 1" xfId="4" builtinId="16" customBuiltin="1"/>
    <cellStyle name="Заголовок 2" xfId="5" builtinId="17" customBuiltin="1"/>
    <cellStyle name="Заголовок 3" xfId="6" builtinId="18" customBuiltin="1"/>
    <cellStyle name="Заголовок 4" xfId="7" builtinId="19" customBuiltin="1"/>
    <cellStyle name="Звичайний" xfId="0" builtinId="0"/>
    <cellStyle name="Звичайний 10" xfId="8" xr:uid="{00000000-0005-0000-0000-000025000000}"/>
    <cellStyle name="Звичайний 11" xfId="9" xr:uid="{00000000-0005-0000-0000-000026000000}"/>
    <cellStyle name="Звичайний 12" xfId="10" xr:uid="{00000000-0005-0000-0000-000027000000}"/>
    <cellStyle name="Звичайний 13" xfId="11" xr:uid="{00000000-0005-0000-0000-000028000000}"/>
    <cellStyle name="Звичайний 14" xfId="12" xr:uid="{00000000-0005-0000-0000-000029000000}"/>
    <cellStyle name="Звичайний 15" xfId="13" xr:uid="{00000000-0005-0000-0000-00002A000000}"/>
    <cellStyle name="Звичайний 16" xfId="14" xr:uid="{00000000-0005-0000-0000-00002B000000}"/>
    <cellStyle name="Звичайний 17" xfId="15" xr:uid="{00000000-0005-0000-0000-00002C000000}"/>
    <cellStyle name="Звичайний 18" xfId="16" xr:uid="{00000000-0005-0000-0000-00002D000000}"/>
    <cellStyle name="Звичайний 19" xfId="17" xr:uid="{00000000-0005-0000-0000-00002E000000}"/>
    <cellStyle name="Звичайний 2" xfId="18" xr:uid="{00000000-0005-0000-0000-00002F000000}"/>
    <cellStyle name="Звичайний 2 2" xfId="19" xr:uid="{00000000-0005-0000-0000-000030000000}"/>
    <cellStyle name="Звичайний 2 2 2" xfId="88" xr:uid="{00000000-0005-0000-0000-000031000000}"/>
    <cellStyle name="Звичайний 2 3" xfId="94" xr:uid="{00000000-0005-0000-0000-000032000000}"/>
    <cellStyle name="Звичайний 20" xfId="20" xr:uid="{00000000-0005-0000-0000-000033000000}"/>
    <cellStyle name="Звичайний 21" xfId="86" xr:uid="{00000000-0005-0000-0000-000034000000}"/>
    <cellStyle name="Звичайний 21 2" xfId="93" xr:uid="{00000000-0005-0000-0000-000035000000}"/>
    <cellStyle name="Звичайний 21 2 2" xfId="96" xr:uid="{00000000-0005-0000-0000-000036000000}"/>
    <cellStyle name="Звичайний 21 2 3" xfId="98" xr:uid="{00000000-0005-0000-0000-000037000000}"/>
    <cellStyle name="Звичайний 21 2 3 2" xfId="100" xr:uid="{00000000-0005-0000-0000-000038000000}"/>
    <cellStyle name="Звичайний 27 3 2" xfId="87" xr:uid="{00000000-0005-0000-0000-000039000000}"/>
    <cellStyle name="Звичайний 3" xfId="21" xr:uid="{00000000-0005-0000-0000-00003A000000}"/>
    <cellStyle name="Звичайний 3 2" xfId="22" xr:uid="{00000000-0005-0000-0000-00003B000000}"/>
    <cellStyle name="Звичайний 3 2 2" xfId="89" xr:uid="{00000000-0005-0000-0000-00003C000000}"/>
    <cellStyle name="Звичайний 30 2" xfId="95" xr:uid="{00000000-0005-0000-0000-00003D000000}"/>
    <cellStyle name="Звичайний 30 2 2" xfId="97" xr:uid="{00000000-0005-0000-0000-00003E000000}"/>
    <cellStyle name="Звичайний 30 2 3" xfId="99" xr:uid="{00000000-0005-0000-0000-00003F000000}"/>
    <cellStyle name="Звичайний 30 2 3 2" xfId="101" xr:uid="{00000000-0005-0000-0000-000040000000}"/>
    <cellStyle name="Звичайний 4" xfId="23" xr:uid="{00000000-0005-0000-0000-000041000000}"/>
    <cellStyle name="Звичайний 4 2" xfId="24" xr:uid="{00000000-0005-0000-0000-000042000000}"/>
    <cellStyle name="Звичайний 4 2 2" xfId="90" xr:uid="{00000000-0005-0000-0000-000043000000}"/>
    <cellStyle name="Звичайний 5" xfId="25" xr:uid="{00000000-0005-0000-0000-000044000000}"/>
    <cellStyle name="Звичайний 6" xfId="26" xr:uid="{00000000-0005-0000-0000-000045000000}"/>
    <cellStyle name="Звичайний 7" xfId="27" xr:uid="{00000000-0005-0000-0000-000046000000}"/>
    <cellStyle name="Звичайний 8" xfId="28" xr:uid="{00000000-0005-0000-0000-000047000000}"/>
    <cellStyle name="Звичайний 9" xfId="29" xr:uid="{00000000-0005-0000-0000-000048000000}"/>
    <cellStyle name="Звичайний_Додаток _ 3 зм_ни 4575" xfId="30" xr:uid="{00000000-0005-0000-0000-000049000000}"/>
    <cellStyle name="Зв'язана клітинка" xfId="41" xr:uid="{00000000-0005-0000-0000-00004A000000}"/>
    <cellStyle name="Итог" xfId="74" xr:uid="{00000000-0005-0000-0000-00004B000000}"/>
    <cellStyle name="Контрольна клітинка" xfId="31" xr:uid="{00000000-0005-0000-0000-00004C000000}"/>
    <cellStyle name="Контрольная ячейка" xfId="75" xr:uid="{00000000-0005-0000-0000-00004D000000}"/>
    <cellStyle name="Назва" xfId="32" xr:uid="{00000000-0005-0000-0000-00004E000000}"/>
    <cellStyle name="Название" xfId="76" xr:uid="{00000000-0005-0000-0000-00004F000000}"/>
    <cellStyle name="Нейтральный" xfId="77" xr:uid="{00000000-0005-0000-0000-000050000000}"/>
    <cellStyle name="Обычный 2" xfId="33" xr:uid="{00000000-0005-0000-0000-000051000000}"/>
    <cellStyle name="Обычный 2 2" xfId="34" xr:uid="{00000000-0005-0000-0000-000052000000}"/>
    <cellStyle name="Обычный 2 2 2" xfId="91" xr:uid="{00000000-0005-0000-0000-000053000000}"/>
    <cellStyle name="Обычный 3" xfId="35" xr:uid="{00000000-0005-0000-0000-000054000000}"/>
    <cellStyle name="Обычный 4 3" xfId="85" xr:uid="{00000000-0005-0000-0000-000055000000}"/>
    <cellStyle name="Обычный_Plan_kapbud_2006 уточн." xfId="36" xr:uid="{00000000-0005-0000-0000-000056000000}"/>
    <cellStyle name="Обычный_дод.1" xfId="37" xr:uid="{00000000-0005-0000-0000-000057000000}"/>
    <cellStyle name="Обычный_Додаток 2 до бюджету 2000 року" xfId="38" xr:uid="{00000000-0005-0000-0000-000058000000}"/>
    <cellStyle name="Обычный_Додаток №1" xfId="39" xr:uid="{00000000-0005-0000-0000-000059000000}"/>
    <cellStyle name="Обычный_КАПІТАЛЬНІ  ВКЛАДЕННЯ 2015 2 2" xfId="45" xr:uid="{00000000-0005-0000-0000-00005A000000}"/>
    <cellStyle name="Обычный_УЖКГ бюджет 2016 Після Ямчука 2" xfId="40" xr:uid="{00000000-0005-0000-0000-00005B000000}"/>
    <cellStyle name="Обычный_УКБ до бюджету 2016р ост 2" xfId="92" xr:uid="{00000000-0005-0000-0000-00005C000000}"/>
    <cellStyle name="Плохой" xfId="78" xr:uid="{00000000-0005-0000-0000-00005D000000}"/>
    <cellStyle name="Пояснение" xfId="79" xr:uid="{00000000-0005-0000-0000-00005E000000}"/>
    <cellStyle name="Примечание" xfId="80" xr:uid="{00000000-0005-0000-0000-00005F000000}"/>
    <cellStyle name="Связанная ячейка" xfId="81" xr:uid="{00000000-0005-0000-0000-000060000000}"/>
    <cellStyle name="Середній" xfId="42" xr:uid="{00000000-0005-0000-0000-000061000000}"/>
    <cellStyle name="Стиль 1" xfId="43" xr:uid="{00000000-0005-0000-0000-000062000000}"/>
    <cellStyle name="Текст попередження" xfId="44" xr:uid="{00000000-0005-0000-0000-000063000000}"/>
    <cellStyle name="Текст предупреждения" xfId="82" xr:uid="{00000000-0005-0000-0000-000064000000}"/>
    <cellStyle name="Хороший" xfId="83" xr:uid="{00000000-0005-0000-0000-000065000000}"/>
  </cellStyles>
  <dxfs count="0"/>
  <tableStyles count="0" defaultTableStyle="TableStyleMedium2" defaultPivotStyle="PivotStyleLight16"/>
  <colors>
    <mruColors>
      <color rgb="FFCFAFE7"/>
      <color rgb="FFA86ED4"/>
      <color rgb="FFFFFFCC"/>
      <color rgb="FF99FF99"/>
      <color rgb="FFFFFF99"/>
      <color rgb="FF000099"/>
      <color rgb="FF3366CC"/>
      <color rgb="FF66FFFF"/>
      <color rgb="FF66FF99"/>
      <color rgb="FF66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UDJET/2021/&#1056;&#1110;&#1096;&#1077;&#1085;&#1085;&#1103;%20&#1073;&#1102;&#1076;&#1078;&#1077;&#1090;%20&#1074;&#1110;&#1076;%2021.04.2021%20&#1088;&#1086;&#1082;&#1091;%20&#8470;27/&#1056;&#1110;&#1096;&#1077;&#1085;&#1085;&#1103;%20&#1052;&#1056;/&#1044;&#1086;&#1076;&#1072;&#1090;&#1082;&#1080;%20-%20&#1087;&#1110;&#1089;&#1083;&#1103;%20&#1052;&#105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1"/>
      <sheetName val="d2"/>
      <sheetName val="d3"/>
      <sheetName val="d4"/>
      <sheetName val="d5"/>
      <sheetName val="d6"/>
      <sheetName val="d7"/>
      <sheetName val="d8"/>
      <sheetName val="d9"/>
      <sheetName val="d3-п"/>
      <sheetName val="Р-п"/>
      <sheetName val="d1-п"/>
      <sheetName val="d1-р"/>
    </sheetNames>
    <sheetDataSet>
      <sheetData sheetId="0" refreshError="1"/>
      <sheetData sheetId="1" refreshError="1"/>
      <sheetData sheetId="2">
        <row r="64">
          <cell r="K64">
            <v>2000000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19"/>
  <sheetViews>
    <sheetView showZeros="0" view="pageBreakPreview" topLeftCell="A100" zoomScale="70" zoomScaleSheetLayoutView="70" workbookViewId="0">
      <selection activeCell="B117" sqref="B117"/>
    </sheetView>
  </sheetViews>
  <sheetFormatPr defaultColWidth="6.85546875" defaultRowHeight="12.75" x14ac:dyDescent="0.2"/>
  <cols>
    <col min="1" max="1" width="10.140625" style="11" customWidth="1"/>
    <col min="2" max="2" width="40.42578125" style="11" customWidth="1"/>
    <col min="3" max="4" width="17.28515625" style="11" customWidth="1"/>
    <col min="5" max="5" width="15.7109375" style="11" customWidth="1"/>
    <col min="6" max="6" width="14.5703125" style="11" customWidth="1"/>
    <col min="7" max="252" width="7.85546875" style="11" customWidth="1"/>
    <col min="253" max="16384" width="6.85546875" style="11"/>
  </cols>
  <sheetData>
    <row r="1" spans="1:7" ht="15.75" x14ac:dyDescent="0.2">
      <c r="D1" s="833" t="s">
        <v>62</v>
      </c>
      <c r="E1" s="834"/>
      <c r="F1" s="834"/>
      <c r="G1" s="834"/>
    </row>
    <row r="2" spans="1:7" ht="15.75" x14ac:dyDescent="0.2">
      <c r="C2" s="12"/>
      <c r="D2" s="833" t="s">
        <v>1288</v>
      </c>
      <c r="E2" s="835"/>
      <c r="F2" s="835"/>
      <c r="G2" s="835"/>
    </row>
    <row r="3" spans="1:7" ht="6" customHeight="1" x14ac:dyDescent="0.2">
      <c r="C3" s="12"/>
      <c r="D3" s="833"/>
      <c r="E3" s="835"/>
      <c r="F3" s="835"/>
      <c r="G3" s="835"/>
    </row>
    <row r="4" spans="1:7" ht="12.75" customHeight="1" x14ac:dyDescent="0.2">
      <c r="A4" s="836"/>
      <c r="B4" s="836"/>
      <c r="C4" s="836"/>
      <c r="D4" s="836"/>
      <c r="E4" s="836"/>
    </row>
    <row r="5" spans="1:7" ht="20.25" x14ac:dyDescent="0.2">
      <c r="A5" s="836" t="s">
        <v>620</v>
      </c>
      <c r="B5" s="838"/>
      <c r="C5" s="838"/>
      <c r="D5" s="838"/>
      <c r="E5" s="838"/>
      <c r="F5" s="838"/>
    </row>
    <row r="6" spans="1:7" ht="20.25" x14ac:dyDescent="0.2">
      <c r="A6" s="299"/>
      <c r="B6" s="80" t="s">
        <v>637</v>
      </c>
      <c r="C6" s="299"/>
      <c r="D6" s="299"/>
      <c r="E6" s="299"/>
    </row>
    <row r="7" spans="1:7" ht="13.5" thickBot="1" x14ac:dyDescent="0.25">
      <c r="B7" s="710"/>
      <c r="C7" s="710"/>
      <c r="D7" s="710"/>
      <c r="E7" s="710"/>
      <c r="F7" s="710" t="s">
        <v>63</v>
      </c>
    </row>
    <row r="8" spans="1:7" ht="17.25" thickTop="1" thickBot="1" x14ac:dyDescent="0.25">
      <c r="A8" s="837" t="s">
        <v>64</v>
      </c>
      <c r="B8" s="837" t="s">
        <v>65</v>
      </c>
      <c r="C8" s="837" t="s">
        <v>413</v>
      </c>
      <c r="D8" s="837" t="s">
        <v>12</v>
      </c>
      <c r="E8" s="837" t="s">
        <v>57</v>
      </c>
      <c r="F8" s="837"/>
      <c r="G8" s="13"/>
    </row>
    <row r="9" spans="1:7" ht="39.75" thickTop="1" thickBot="1" x14ac:dyDescent="0.3">
      <c r="A9" s="837"/>
      <c r="B9" s="837"/>
      <c r="C9" s="837"/>
      <c r="D9" s="837"/>
      <c r="E9" s="711" t="s">
        <v>413</v>
      </c>
      <c r="F9" s="712" t="s">
        <v>457</v>
      </c>
      <c r="G9" s="14"/>
    </row>
    <row r="10" spans="1:7" ht="17.25" thickTop="1" thickBot="1" x14ac:dyDescent="0.3">
      <c r="A10" s="711">
        <v>1</v>
      </c>
      <c r="B10" s="711">
        <v>2</v>
      </c>
      <c r="C10" s="711">
        <v>3</v>
      </c>
      <c r="D10" s="711">
        <v>4</v>
      </c>
      <c r="E10" s="711">
        <v>5</v>
      </c>
      <c r="F10" s="712">
        <v>6</v>
      </c>
      <c r="G10" s="14"/>
    </row>
    <row r="11" spans="1:7" ht="15.75" thickTop="1" thickBot="1" x14ac:dyDescent="0.25">
      <c r="A11" s="713">
        <v>10000000</v>
      </c>
      <c r="B11" s="714" t="s">
        <v>66</v>
      </c>
      <c r="C11" s="715">
        <f>SUM(D11,E11)</f>
        <v>2191912175</v>
      </c>
      <c r="D11" s="715">
        <f>SUM(D12,D25,D31,D51,D20)</f>
        <v>2191281275</v>
      </c>
      <c r="E11" s="715">
        <f>SUM(E12:E50)</f>
        <v>630900</v>
      </c>
      <c r="F11" s="715"/>
      <c r="G11" s="15"/>
    </row>
    <row r="12" spans="1:7" ht="27" thickTop="1" thickBot="1" x14ac:dyDescent="0.25">
      <c r="A12" s="716">
        <v>11000000</v>
      </c>
      <c r="B12" s="717" t="s">
        <v>67</v>
      </c>
      <c r="C12" s="718">
        <f t="shared" ref="C12:C92" si="0">SUM(D12,E12)</f>
        <v>1473989035</v>
      </c>
      <c r="D12" s="718">
        <f>SUM(D13,D18)</f>
        <v>1473989035</v>
      </c>
      <c r="E12" s="719"/>
      <c r="F12" s="719"/>
      <c r="G12" s="16"/>
    </row>
    <row r="13" spans="1:7" ht="15.75" thickTop="1" thickBot="1" x14ac:dyDescent="0.25">
      <c r="A13" s="713">
        <v>11010000</v>
      </c>
      <c r="B13" s="720" t="s">
        <v>68</v>
      </c>
      <c r="C13" s="718">
        <f t="shared" si="0"/>
        <v>1472487035</v>
      </c>
      <c r="D13" s="721">
        <f>SUM(D14:D17)</f>
        <v>1472487035</v>
      </c>
      <c r="E13" s="715"/>
      <c r="F13" s="715"/>
      <c r="G13" s="16"/>
    </row>
    <row r="14" spans="1:7" ht="37.5" thickTop="1" thickBot="1" x14ac:dyDescent="0.25">
      <c r="A14" s="722">
        <v>11010100</v>
      </c>
      <c r="B14" s="723" t="s">
        <v>69</v>
      </c>
      <c r="C14" s="718">
        <f t="shared" si="0"/>
        <v>1216888305</v>
      </c>
      <c r="D14" s="724">
        <v>1216888305</v>
      </c>
      <c r="E14" s="725"/>
      <c r="F14" s="725"/>
      <c r="G14" s="16"/>
    </row>
    <row r="15" spans="1:7" ht="61.5" thickTop="1" thickBot="1" x14ac:dyDescent="0.25">
      <c r="A15" s="722">
        <v>11010200</v>
      </c>
      <c r="B15" s="723" t="s">
        <v>70</v>
      </c>
      <c r="C15" s="718">
        <f t="shared" si="0"/>
        <v>202378000</v>
      </c>
      <c r="D15" s="724">
        <v>202378000</v>
      </c>
      <c r="E15" s="725"/>
      <c r="F15" s="725"/>
      <c r="G15" s="16"/>
    </row>
    <row r="16" spans="1:7" ht="37.5" thickTop="1" thickBot="1" x14ac:dyDescent="0.25">
      <c r="A16" s="722">
        <v>11010400</v>
      </c>
      <c r="B16" s="723" t="s">
        <v>71</v>
      </c>
      <c r="C16" s="718">
        <f t="shared" si="0"/>
        <v>31686300</v>
      </c>
      <c r="D16" s="724">
        <v>31686300</v>
      </c>
      <c r="E16" s="725"/>
      <c r="F16" s="725"/>
      <c r="G16" s="16"/>
    </row>
    <row r="17" spans="1:7" ht="37.5" thickTop="1" thickBot="1" x14ac:dyDescent="0.3">
      <c r="A17" s="722">
        <v>11010500</v>
      </c>
      <c r="B17" s="723" t="s">
        <v>72</v>
      </c>
      <c r="C17" s="718">
        <f t="shared" si="0"/>
        <v>21534430</v>
      </c>
      <c r="D17" s="724">
        <v>21534430</v>
      </c>
      <c r="E17" s="725"/>
      <c r="F17" s="725"/>
      <c r="G17" s="14"/>
    </row>
    <row r="18" spans="1:7" ht="16.5" thickTop="1" thickBot="1" x14ac:dyDescent="0.25">
      <c r="A18" s="716">
        <v>11020000</v>
      </c>
      <c r="B18" s="720" t="s">
        <v>73</v>
      </c>
      <c r="C18" s="718">
        <f t="shared" si="0"/>
        <v>1502000</v>
      </c>
      <c r="D18" s="726">
        <v>1502000</v>
      </c>
      <c r="E18" s="727"/>
      <c r="F18" s="727"/>
      <c r="G18" s="15"/>
    </row>
    <row r="19" spans="1:7" ht="25.5" thickTop="1" thickBot="1" x14ac:dyDescent="0.3">
      <c r="A19" s="722">
        <v>11020200</v>
      </c>
      <c r="B19" s="728" t="s">
        <v>74</v>
      </c>
      <c r="C19" s="718">
        <f t="shared" si="0"/>
        <v>1502000</v>
      </c>
      <c r="D19" s="724">
        <v>1502000</v>
      </c>
      <c r="E19" s="729"/>
      <c r="F19" s="719"/>
      <c r="G19" s="14"/>
    </row>
    <row r="20" spans="1:7" ht="25.5" thickTop="1" thickBot="1" x14ac:dyDescent="0.3">
      <c r="A20" s="730">
        <v>13000000</v>
      </c>
      <c r="B20" s="731" t="s">
        <v>621</v>
      </c>
      <c r="C20" s="718">
        <f>D20+E20</f>
        <v>431120</v>
      </c>
      <c r="D20" s="718">
        <f>SUM(D21,D23)</f>
        <v>431120</v>
      </c>
      <c r="E20" s="729"/>
      <c r="F20" s="719"/>
      <c r="G20" s="14"/>
    </row>
    <row r="21" spans="1:7" ht="25.5" thickTop="1" thickBot="1" x14ac:dyDescent="0.3">
      <c r="A21" s="722">
        <v>13010000</v>
      </c>
      <c r="B21" s="728" t="s">
        <v>622</v>
      </c>
      <c r="C21" s="718">
        <f t="shared" ref="C21:C25" si="1">D21+E21</f>
        <v>430520</v>
      </c>
      <c r="D21" s="724">
        <f>SUM(D22)</f>
        <v>430520</v>
      </c>
      <c r="E21" s="729"/>
      <c r="F21" s="719"/>
      <c r="G21" s="14"/>
    </row>
    <row r="22" spans="1:7" ht="49.5" thickTop="1" thickBot="1" x14ac:dyDescent="0.3">
      <c r="A22" s="722">
        <v>13010200</v>
      </c>
      <c r="B22" s="728" t="s">
        <v>623</v>
      </c>
      <c r="C22" s="718">
        <f t="shared" si="1"/>
        <v>430520</v>
      </c>
      <c r="D22" s="724">
        <v>430520</v>
      </c>
      <c r="E22" s="729"/>
      <c r="F22" s="719"/>
      <c r="G22" s="14"/>
    </row>
    <row r="23" spans="1:7" ht="16.5" thickTop="1" thickBot="1" x14ac:dyDescent="0.3">
      <c r="A23" s="722">
        <v>13030000</v>
      </c>
      <c r="B23" s="728" t="s">
        <v>624</v>
      </c>
      <c r="C23" s="718">
        <f t="shared" si="1"/>
        <v>600</v>
      </c>
      <c r="D23" s="724">
        <f>SUM(D24)</f>
        <v>600</v>
      </c>
      <c r="E23" s="729"/>
      <c r="F23" s="719"/>
      <c r="G23" s="14"/>
    </row>
    <row r="24" spans="1:7" ht="37.5" thickTop="1" thickBot="1" x14ac:dyDescent="0.3">
      <c r="A24" s="722">
        <v>13030100</v>
      </c>
      <c r="B24" s="728" t="s">
        <v>625</v>
      </c>
      <c r="C24" s="718">
        <f t="shared" si="1"/>
        <v>600</v>
      </c>
      <c r="D24" s="724">
        <v>600</v>
      </c>
      <c r="E24" s="729"/>
      <c r="F24" s="719"/>
      <c r="G24" s="14"/>
    </row>
    <row r="25" spans="1:7" ht="33" thickTop="1" thickBot="1" x14ac:dyDescent="0.3">
      <c r="A25" s="711">
        <v>14000000</v>
      </c>
      <c r="B25" s="732" t="s">
        <v>628</v>
      </c>
      <c r="C25" s="718">
        <f t="shared" si="1"/>
        <v>168785920</v>
      </c>
      <c r="D25" s="733">
        <f>SUM(D26,D28,D30)</f>
        <v>168785920</v>
      </c>
      <c r="E25" s="734"/>
      <c r="F25" s="719"/>
      <c r="G25" s="14"/>
    </row>
    <row r="26" spans="1:7" ht="30" customHeight="1" thickTop="1" thickBot="1" x14ac:dyDescent="0.3">
      <c r="A26" s="712">
        <v>14020000</v>
      </c>
      <c r="B26" s="735" t="s">
        <v>791</v>
      </c>
      <c r="C26" s="718">
        <f>SUM(D26,E26)</f>
        <v>17500000</v>
      </c>
      <c r="D26" s="733">
        <f>SUM(D27,E27)</f>
        <v>17500000</v>
      </c>
      <c r="E26" s="734"/>
      <c r="F26" s="719"/>
      <c r="G26" s="14"/>
    </row>
    <row r="27" spans="1:7" ht="17.25" thickTop="1" thickBot="1" x14ac:dyDescent="0.3">
      <c r="A27" s="736">
        <v>14021900</v>
      </c>
      <c r="B27" s="737" t="s">
        <v>790</v>
      </c>
      <c r="C27" s="724">
        <f>SUM(D27,E27)</f>
        <v>17500000</v>
      </c>
      <c r="D27" s="738">
        <v>17500000</v>
      </c>
      <c r="E27" s="734"/>
      <c r="F27" s="719"/>
      <c r="G27" s="14"/>
    </row>
    <row r="28" spans="1:7" ht="39.75" thickTop="1" thickBot="1" x14ac:dyDescent="0.3">
      <c r="A28" s="712">
        <v>14030000</v>
      </c>
      <c r="B28" s="735" t="s">
        <v>792</v>
      </c>
      <c r="C28" s="718">
        <f>SUM(D28,E28)</f>
        <v>65500000</v>
      </c>
      <c r="D28" s="733">
        <f>SUM(D29,E29)</f>
        <v>65500000</v>
      </c>
      <c r="E28" s="734"/>
      <c r="F28" s="719"/>
      <c r="G28" s="14"/>
    </row>
    <row r="29" spans="1:7" ht="17.25" thickTop="1" thickBot="1" x14ac:dyDescent="0.3">
      <c r="A29" s="736">
        <v>14031900</v>
      </c>
      <c r="B29" s="737" t="s">
        <v>790</v>
      </c>
      <c r="C29" s="724">
        <f>SUM(D29,E29)</f>
        <v>65500000</v>
      </c>
      <c r="D29" s="738">
        <v>65500000</v>
      </c>
      <c r="E29" s="734"/>
      <c r="F29" s="719"/>
      <c r="G29" s="14"/>
    </row>
    <row r="30" spans="1:7" ht="39.75" thickTop="1" thickBot="1" x14ac:dyDescent="0.25">
      <c r="A30" s="739">
        <v>14040000</v>
      </c>
      <c r="B30" s="740" t="s">
        <v>75</v>
      </c>
      <c r="C30" s="733">
        <f>SUM(D30,E30)</f>
        <v>85785920</v>
      </c>
      <c r="D30" s="733">
        <v>85785920</v>
      </c>
      <c r="E30" s="738"/>
      <c r="F30" s="724"/>
      <c r="G30" s="17"/>
    </row>
    <row r="31" spans="1:7" ht="16.5" thickTop="1" thickBot="1" x14ac:dyDescent="0.3">
      <c r="A31" s="713">
        <v>18000000</v>
      </c>
      <c r="B31" s="741" t="s">
        <v>76</v>
      </c>
      <c r="C31" s="718">
        <f t="shared" si="0"/>
        <v>548075200</v>
      </c>
      <c r="D31" s="718">
        <f>SUM(D32,D43,D46)</f>
        <v>548075200</v>
      </c>
      <c r="E31" s="715"/>
      <c r="F31" s="715"/>
      <c r="G31" s="14"/>
    </row>
    <row r="32" spans="1:7" ht="16.5" thickTop="1" thickBot="1" x14ac:dyDescent="0.3">
      <c r="A32" s="716">
        <v>18010000</v>
      </c>
      <c r="B32" s="742" t="s">
        <v>77</v>
      </c>
      <c r="C32" s="718">
        <f t="shared" si="0"/>
        <v>191426520</v>
      </c>
      <c r="D32" s="721">
        <f>SUM(D33:D42)</f>
        <v>191426520</v>
      </c>
      <c r="E32" s="719"/>
      <c r="F32" s="719"/>
      <c r="G32" s="14"/>
    </row>
    <row r="33" spans="1:7" ht="37.5" thickTop="1" thickBot="1" x14ac:dyDescent="0.3">
      <c r="A33" s="716">
        <v>18010100</v>
      </c>
      <c r="B33" s="743" t="s">
        <v>78</v>
      </c>
      <c r="C33" s="718">
        <f t="shared" si="0"/>
        <v>253400</v>
      </c>
      <c r="D33" s="724">
        <v>253400</v>
      </c>
      <c r="E33" s="719"/>
      <c r="F33" s="719"/>
      <c r="G33" s="14"/>
    </row>
    <row r="34" spans="1:7" ht="37.5" thickTop="1" thickBot="1" x14ac:dyDescent="0.3">
      <c r="A34" s="716">
        <v>18010200</v>
      </c>
      <c r="B34" s="743" t="s">
        <v>79</v>
      </c>
      <c r="C34" s="718">
        <f t="shared" si="0"/>
        <v>14364650</v>
      </c>
      <c r="D34" s="724">
        <v>14364650</v>
      </c>
      <c r="E34" s="719"/>
      <c r="F34" s="719"/>
      <c r="G34" s="14"/>
    </row>
    <row r="35" spans="1:7" ht="37.5" thickTop="1" thickBot="1" x14ac:dyDescent="0.3">
      <c r="A35" s="716">
        <v>18010300</v>
      </c>
      <c r="B35" s="743" t="s">
        <v>80</v>
      </c>
      <c r="C35" s="718">
        <f t="shared" si="0"/>
        <v>2316000</v>
      </c>
      <c r="D35" s="724">
        <v>2316000</v>
      </c>
      <c r="E35" s="719"/>
      <c r="F35" s="719"/>
      <c r="G35" s="14"/>
    </row>
    <row r="36" spans="1:7" ht="37.5" thickTop="1" thickBot="1" x14ac:dyDescent="0.3">
      <c r="A36" s="716">
        <v>18010400</v>
      </c>
      <c r="B36" s="743" t="s">
        <v>81</v>
      </c>
      <c r="C36" s="718">
        <f t="shared" si="0"/>
        <v>12860800</v>
      </c>
      <c r="D36" s="724">
        <v>12860800</v>
      </c>
      <c r="E36" s="719"/>
      <c r="F36" s="719"/>
      <c r="G36" s="14"/>
    </row>
    <row r="37" spans="1:7" ht="16.5" thickTop="1" thickBot="1" x14ac:dyDescent="0.3">
      <c r="A37" s="716">
        <v>18010500</v>
      </c>
      <c r="B37" s="728" t="s">
        <v>82</v>
      </c>
      <c r="C37" s="718">
        <f t="shared" si="0"/>
        <v>31197900</v>
      </c>
      <c r="D37" s="724">
        <v>31197900</v>
      </c>
      <c r="E37" s="719"/>
      <c r="F37" s="719"/>
      <c r="G37" s="14"/>
    </row>
    <row r="38" spans="1:7" ht="16.5" thickTop="1" thickBot="1" x14ac:dyDescent="0.3">
      <c r="A38" s="716">
        <v>18010600</v>
      </c>
      <c r="B38" s="743" t="s">
        <v>83</v>
      </c>
      <c r="C38" s="718">
        <f t="shared" si="0"/>
        <v>99604000</v>
      </c>
      <c r="D38" s="724">
        <v>99604000</v>
      </c>
      <c r="E38" s="719"/>
      <c r="F38" s="719"/>
      <c r="G38" s="14"/>
    </row>
    <row r="39" spans="1:7" ht="16.5" thickTop="1" thickBot="1" x14ac:dyDescent="0.3">
      <c r="A39" s="716">
        <v>18010700</v>
      </c>
      <c r="B39" s="743" t="s">
        <v>84</v>
      </c>
      <c r="C39" s="718">
        <f t="shared" si="0"/>
        <v>2433200</v>
      </c>
      <c r="D39" s="724">
        <v>2433200</v>
      </c>
      <c r="E39" s="719"/>
      <c r="F39" s="719"/>
      <c r="G39" s="14"/>
    </row>
    <row r="40" spans="1:7" ht="16.5" thickTop="1" thickBot="1" x14ac:dyDescent="0.3">
      <c r="A40" s="716">
        <v>18010900</v>
      </c>
      <c r="B40" s="743" t="s">
        <v>85</v>
      </c>
      <c r="C40" s="718">
        <f t="shared" si="0"/>
        <v>27696570</v>
      </c>
      <c r="D40" s="724">
        <v>27696570</v>
      </c>
      <c r="E40" s="719"/>
      <c r="F40" s="719"/>
      <c r="G40" s="14"/>
    </row>
    <row r="41" spans="1:7" ht="16.5" thickTop="1" thickBot="1" x14ac:dyDescent="0.25">
      <c r="A41" s="716">
        <v>18011000</v>
      </c>
      <c r="B41" s="743" t="s">
        <v>86</v>
      </c>
      <c r="C41" s="718">
        <f t="shared" si="0"/>
        <v>400000</v>
      </c>
      <c r="D41" s="724">
        <v>400000</v>
      </c>
      <c r="E41" s="719"/>
      <c r="F41" s="719"/>
      <c r="G41" s="15"/>
    </row>
    <row r="42" spans="1:7" ht="16.5" thickTop="1" thickBot="1" x14ac:dyDescent="0.3">
      <c r="A42" s="716">
        <v>18011100</v>
      </c>
      <c r="B42" s="743" t="s">
        <v>87</v>
      </c>
      <c r="C42" s="718">
        <f t="shared" si="0"/>
        <v>300000</v>
      </c>
      <c r="D42" s="724">
        <v>300000</v>
      </c>
      <c r="E42" s="719"/>
      <c r="F42" s="719"/>
      <c r="G42" s="14"/>
    </row>
    <row r="43" spans="1:7" ht="16.5" thickTop="1" thickBot="1" x14ac:dyDescent="0.3">
      <c r="A43" s="713">
        <v>18030000</v>
      </c>
      <c r="B43" s="744" t="s">
        <v>88</v>
      </c>
      <c r="C43" s="718">
        <f t="shared" si="0"/>
        <v>410000</v>
      </c>
      <c r="D43" s="718">
        <f>SUM(D44:D45)</f>
        <v>410000</v>
      </c>
      <c r="E43" s="715"/>
      <c r="F43" s="715"/>
      <c r="G43" s="14"/>
    </row>
    <row r="44" spans="1:7" ht="16.5" thickTop="1" thickBot="1" x14ac:dyDescent="0.3">
      <c r="A44" s="716">
        <v>18030100</v>
      </c>
      <c r="B44" s="743" t="s">
        <v>89</v>
      </c>
      <c r="C44" s="718">
        <f t="shared" si="0"/>
        <v>275000</v>
      </c>
      <c r="D44" s="724">
        <v>275000</v>
      </c>
      <c r="E44" s="719"/>
      <c r="F44" s="719"/>
      <c r="G44" s="14"/>
    </row>
    <row r="45" spans="1:7" ht="16.5" thickTop="1" thickBot="1" x14ac:dyDescent="0.3">
      <c r="A45" s="716">
        <v>18030200</v>
      </c>
      <c r="B45" s="743" t="s">
        <v>90</v>
      </c>
      <c r="C45" s="718">
        <f t="shared" si="0"/>
        <v>135000</v>
      </c>
      <c r="D45" s="724">
        <v>135000</v>
      </c>
      <c r="E45" s="719"/>
      <c r="F45" s="719"/>
      <c r="G45" s="14"/>
    </row>
    <row r="46" spans="1:7" ht="16.5" thickTop="1" thickBot="1" x14ac:dyDescent="0.3">
      <c r="A46" s="713">
        <v>18050000</v>
      </c>
      <c r="B46" s="742" t="s">
        <v>91</v>
      </c>
      <c r="C46" s="718">
        <f t="shared" si="0"/>
        <v>356238680</v>
      </c>
      <c r="D46" s="718">
        <f>SUM(D47:D49)</f>
        <v>356238680</v>
      </c>
      <c r="E46" s="719"/>
      <c r="F46" s="719"/>
      <c r="G46" s="14"/>
    </row>
    <row r="47" spans="1:7" ht="25.5" thickTop="1" thickBot="1" x14ac:dyDescent="0.3">
      <c r="A47" s="716">
        <v>18050300</v>
      </c>
      <c r="B47" s="723" t="s">
        <v>92</v>
      </c>
      <c r="C47" s="718">
        <f t="shared" si="0"/>
        <v>65570000</v>
      </c>
      <c r="D47" s="724">
        <v>65570000</v>
      </c>
      <c r="E47" s="719"/>
      <c r="F47" s="719"/>
      <c r="G47" s="14"/>
    </row>
    <row r="48" spans="1:7" ht="16.5" thickTop="1" thickBot="1" x14ac:dyDescent="0.25">
      <c r="A48" s="716">
        <v>18050400</v>
      </c>
      <c r="B48" s="743" t="s">
        <v>93</v>
      </c>
      <c r="C48" s="718">
        <f t="shared" si="0"/>
        <v>286657510</v>
      </c>
      <c r="D48" s="724">
        <v>286657510</v>
      </c>
      <c r="E48" s="719"/>
      <c r="F48" s="719"/>
      <c r="G48" s="15"/>
    </row>
    <row r="49" spans="1:7" ht="61.5" thickTop="1" thickBot="1" x14ac:dyDescent="0.25">
      <c r="A49" s="745">
        <v>18050500</v>
      </c>
      <c r="B49" s="746" t="s">
        <v>636</v>
      </c>
      <c r="C49" s="733">
        <f t="shared" si="0"/>
        <v>4011170</v>
      </c>
      <c r="D49" s="738">
        <v>4011170</v>
      </c>
      <c r="E49" s="747"/>
      <c r="F49" s="747"/>
      <c r="G49" s="154"/>
    </row>
    <row r="50" spans="1:7" ht="16.5" thickTop="1" thickBot="1" x14ac:dyDescent="0.25">
      <c r="A50" s="713">
        <v>19000000</v>
      </c>
      <c r="B50" s="742" t="s">
        <v>629</v>
      </c>
      <c r="C50" s="715">
        <f t="shared" si="0"/>
        <v>630900</v>
      </c>
      <c r="D50" s="715"/>
      <c r="E50" s="715">
        <f>SUM(E52:E54)</f>
        <v>630900</v>
      </c>
      <c r="F50" s="719"/>
      <c r="G50" s="15"/>
    </row>
    <row r="51" spans="1:7" ht="16.5" thickTop="1" thickBot="1" x14ac:dyDescent="0.3">
      <c r="A51" s="713">
        <v>1901000</v>
      </c>
      <c r="B51" s="741" t="s">
        <v>94</v>
      </c>
      <c r="C51" s="718">
        <f>SUM(D51,E51)</f>
        <v>630900</v>
      </c>
      <c r="D51" s="718">
        <f>SUM(D52:D54)</f>
        <v>0</v>
      </c>
      <c r="E51" s="715">
        <f>SUM(E52:E54)</f>
        <v>630900</v>
      </c>
      <c r="F51" s="715"/>
      <c r="G51" s="14"/>
    </row>
    <row r="52" spans="1:7" ht="49.5" thickTop="1" thickBot="1" x14ac:dyDescent="0.3">
      <c r="A52" s="716">
        <v>19010100</v>
      </c>
      <c r="B52" s="723" t="s">
        <v>630</v>
      </c>
      <c r="C52" s="718">
        <f t="shared" si="0"/>
        <v>255750</v>
      </c>
      <c r="D52" s="724"/>
      <c r="E52" s="719">
        <v>255750</v>
      </c>
      <c r="F52" s="719"/>
      <c r="G52" s="14"/>
    </row>
    <row r="53" spans="1:7" ht="25.5" thickTop="1" thickBot="1" x14ac:dyDescent="0.25">
      <c r="A53" s="716">
        <v>19010200</v>
      </c>
      <c r="B53" s="723" t="s">
        <v>95</v>
      </c>
      <c r="C53" s="718">
        <f t="shared" si="0"/>
        <v>120000</v>
      </c>
      <c r="D53" s="724"/>
      <c r="E53" s="719">
        <v>120000</v>
      </c>
      <c r="F53" s="719"/>
      <c r="G53" s="17"/>
    </row>
    <row r="54" spans="1:7" ht="37.5" thickTop="1" thickBot="1" x14ac:dyDescent="0.3">
      <c r="A54" s="716">
        <v>19010300</v>
      </c>
      <c r="B54" s="723" t="s">
        <v>96</v>
      </c>
      <c r="C54" s="718">
        <f t="shared" si="0"/>
        <v>255150</v>
      </c>
      <c r="D54" s="724"/>
      <c r="E54" s="719">
        <v>255150</v>
      </c>
      <c r="F54" s="719"/>
      <c r="G54" s="14"/>
    </row>
    <row r="55" spans="1:7" ht="16.5" thickTop="1" thickBot="1" x14ac:dyDescent="0.3">
      <c r="A55" s="713">
        <v>20000000</v>
      </c>
      <c r="B55" s="714" t="s">
        <v>97</v>
      </c>
      <c r="C55" s="715">
        <f>SUM(D55,E55)</f>
        <v>203230064</v>
      </c>
      <c r="D55" s="715">
        <f>SUM(D56,D64,D74)</f>
        <v>42281167</v>
      </c>
      <c r="E55" s="715">
        <f>SUM(E56:E74)+E79</f>
        <v>160948897</v>
      </c>
      <c r="F55" s="715">
        <f>SUM(F58,F64,F74,F71)</f>
        <v>5000012</v>
      </c>
      <c r="G55" s="14"/>
    </row>
    <row r="56" spans="1:7" ht="30" thickTop="1" thickBot="1" x14ac:dyDescent="0.3">
      <c r="A56" s="748">
        <v>21000000</v>
      </c>
      <c r="B56" s="749" t="s">
        <v>631</v>
      </c>
      <c r="C56" s="750">
        <f t="shared" si="0"/>
        <v>13289204</v>
      </c>
      <c r="D56" s="750">
        <f>SUM(D57,D60,D59)</f>
        <v>13289204</v>
      </c>
      <c r="E56" s="715"/>
      <c r="F56" s="715"/>
      <c r="G56" s="14"/>
    </row>
    <row r="57" spans="1:7" ht="49.5" thickTop="1" thickBot="1" x14ac:dyDescent="0.3">
      <c r="A57" s="748">
        <v>21010000</v>
      </c>
      <c r="B57" s="751" t="s">
        <v>632</v>
      </c>
      <c r="C57" s="750">
        <f t="shared" si="0"/>
        <v>1502000</v>
      </c>
      <c r="D57" s="738">
        <v>1502000</v>
      </c>
      <c r="E57" s="715"/>
      <c r="F57" s="715"/>
      <c r="G57" s="14"/>
    </row>
    <row r="58" spans="1:7" ht="49.5" thickTop="1" thickBot="1" x14ac:dyDescent="0.3">
      <c r="A58" s="716">
        <v>21010300</v>
      </c>
      <c r="B58" s="731" t="s">
        <v>98</v>
      </c>
      <c r="C58" s="718">
        <f t="shared" si="0"/>
        <v>1502000</v>
      </c>
      <c r="D58" s="724">
        <v>1502000</v>
      </c>
      <c r="E58" s="719"/>
      <c r="F58" s="719"/>
      <c r="G58" s="14"/>
    </row>
    <row r="59" spans="1:7" ht="25.5" thickTop="1" thickBot="1" x14ac:dyDescent="0.3">
      <c r="A59" s="716">
        <v>21050000</v>
      </c>
      <c r="B59" s="731" t="s">
        <v>99</v>
      </c>
      <c r="C59" s="718">
        <f t="shared" si="0"/>
        <v>1500000</v>
      </c>
      <c r="D59" s="738">
        <v>1500000</v>
      </c>
      <c r="E59" s="719"/>
      <c r="F59" s="719"/>
      <c r="G59" s="14"/>
    </row>
    <row r="60" spans="1:7" ht="28.5" thickTop="1" thickBot="1" x14ac:dyDescent="0.25">
      <c r="A60" s="752">
        <v>21800000</v>
      </c>
      <c r="B60" s="753" t="s">
        <v>100</v>
      </c>
      <c r="C60" s="718">
        <f>SUM(D60,E60)</f>
        <v>10287204</v>
      </c>
      <c r="D60" s="754">
        <f>SUM(D61:D63)</f>
        <v>10287204</v>
      </c>
      <c r="E60" s="721"/>
      <c r="F60" s="721"/>
      <c r="G60" s="17"/>
    </row>
    <row r="61" spans="1:7" ht="16.5" thickTop="1" thickBot="1" x14ac:dyDescent="0.3">
      <c r="A61" s="722">
        <v>21081100</v>
      </c>
      <c r="B61" s="755" t="s">
        <v>101</v>
      </c>
      <c r="C61" s="718">
        <f>SUM(D61,E61)</f>
        <v>507204</v>
      </c>
      <c r="D61" s="756">
        <v>507204</v>
      </c>
      <c r="E61" s="719"/>
      <c r="F61" s="719"/>
      <c r="G61" s="14"/>
    </row>
    <row r="62" spans="1:7" ht="37.5" thickTop="1" thickBot="1" x14ac:dyDescent="0.3">
      <c r="A62" s="716">
        <v>21081500</v>
      </c>
      <c r="B62" s="723" t="s">
        <v>102</v>
      </c>
      <c r="C62" s="718">
        <f>SUM(D62,E62)</f>
        <v>800000</v>
      </c>
      <c r="D62" s="756">
        <v>800000</v>
      </c>
      <c r="E62" s="719"/>
      <c r="F62" s="719"/>
      <c r="G62" s="14"/>
    </row>
    <row r="63" spans="1:7" ht="16.5" thickTop="1" thickBot="1" x14ac:dyDescent="0.3">
      <c r="A63" s="757">
        <v>21081700</v>
      </c>
      <c r="B63" s="758" t="s">
        <v>404</v>
      </c>
      <c r="C63" s="721">
        <f>SUM(D63,E63)</f>
        <v>8980000</v>
      </c>
      <c r="D63" s="754">
        <v>8980000</v>
      </c>
      <c r="E63" s="759"/>
      <c r="F63" s="759"/>
      <c r="G63" s="49"/>
    </row>
    <row r="64" spans="1:7" ht="28.5" thickTop="1" thickBot="1" x14ac:dyDescent="0.3">
      <c r="A64" s="713">
        <v>22000000</v>
      </c>
      <c r="B64" s="720" t="s">
        <v>103</v>
      </c>
      <c r="C64" s="718">
        <f t="shared" si="0"/>
        <v>26991975</v>
      </c>
      <c r="D64" s="738">
        <f>SUM(D65,D69,D71)</f>
        <v>26991975</v>
      </c>
      <c r="E64" s="719"/>
      <c r="F64" s="719"/>
      <c r="G64" s="14"/>
    </row>
    <row r="65" spans="1:7" ht="16.5" thickTop="1" thickBot="1" x14ac:dyDescent="0.3">
      <c r="A65" s="748">
        <v>22010000</v>
      </c>
      <c r="B65" s="760" t="s">
        <v>633</v>
      </c>
      <c r="C65" s="733">
        <f t="shared" si="0"/>
        <v>17980115</v>
      </c>
      <c r="D65" s="738">
        <f>SUM(D66:D68)</f>
        <v>17980115</v>
      </c>
      <c r="E65" s="719"/>
      <c r="F65" s="719"/>
      <c r="G65" s="14"/>
    </row>
    <row r="66" spans="1:7" ht="39.75" thickTop="1" thickBot="1" x14ac:dyDescent="0.3">
      <c r="A66" s="716">
        <v>22010300</v>
      </c>
      <c r="B66" s="761" t="s">
        <v>164</v>
      </c>
      <c r="C66" s="718">
        <f t="shared" si="0"/>
        <v>1000000</v>
      </c>
      <c r="D66" s="738">
        <v>1000000</v>
      </c>
      <c r="E66" s="719"/>
      <c r="F66" s="719"/>
      <c r="G66" s="14"/>
    </row>
    <row r="67" spans="1:7" ht="16.5" thickTop="1" thickBot="1" x14ac:dyDescent="0.3">
      <c r="A67" s="716">
        <v>22012500</v>
      </c>
      <c r="B67" s="723" t="s">
        <v>105</v>
      </c>
      <c r="C67" s="718">
        <f t="shared" si="0"/>
        <v>15452415</v>
      </c>
      <c r="D67" s="738">
        <v>15452415</v>
      </c>
      <c r="E67" s="719"/>
      <c r="F67" s="724"/>
      <c r="G67" s="14"/>
    </row>
    <row r="68" spans="1:7" ht="39.75" thickTop="1" thickBot="1" x14ac:dyDescent="0.3">
      <c r="A68" s="716">
        <v>22012600</v>
      </c>
      <c r="B68" s="761" t="s">
        <v>104</v>
      </c>
      <c r="C68" s="718">
        <f>SUM(D68,E68)</f>
        <v>1527700</v>
      </c>
      <c r="D68" s="738">
        <v>1527700</v>
      </c>
      <c r="E68" s="719"/>
      <c r="F68" s="719"/>
      <c r="G68" s="14"/>
    </row>
    <row r="69" spans="1:7" ht="39.75" thickTop="1" thickBot="1" x14ac:dyDescent="0.3">
      <c r="A69" s="713">
        <v>2208000</v>
      </c>
      <c r="B69" s="761" t="s">
        <v>634</v>
      </c>
      <c r="C69" s="718">
        <f t="shared" si="0"/>
        <v>8500000</v>
      </c>
      <c r="D69" s="738">
        <v>8500000</v>
      </c>
      <c r="E69" s="719"/>
      <c r="F69" s="719"/>
      <c r="G69" s="14"/>
    </row>
    <row r="70" spans="1:7" ht="37.5" thickTop="1" thickBot="1" x14ac:dyDescent="0.3">
      <c r="A70" s="722">
        <v>22080400</v>
      </c>
      <c r="B70" s="755" t="s">
        <v>106</v>
      </c>
      <c r="C70" s="718">
        <f t="shared" si="0"/>
        <v>8500000</v>
      </c>
      <c r="D70" s="724">
        <v>8500000</v>
      </c>
      <c r="E70" s="719"/>
      <c r="F70" s="719"/>
      <c r="G70" s="14"/>
    </row>
    <row r="71" spans="1:7" ht="16.5" thickTop="1" thickBot="1" x14ac:dyDescent="0.3">
      <c r="A71" s="730">
        <v>22090000</v>
      </c>
      <c r="B71" s="762" t="s">
        <v>107</v>
      </c>
      <c r="C71" s="718">
        <f t="shared" si="0"/>
        <v>511860</v>
      </c>
      <c r="D71" s="718">
        <f>SUM(D72:D73)</f>
        <v>511860</v>
      </c>
      <c r="E71" s="763"/>
      <c r="F71" s="763"/>
      <c r="G71" s="14"/>
    </row>
    <row r="72" spans="1:7" ht="37.5" thickTop="1" thickBot="1" x14ac:dyDescent="0.3">
      <c r="A72" s="722">
        <v>22090100</v>
      </c>
      <c r="B72" s="743" t="s">
        <v>108</v>
      </c>
      <c r="C72" s="718">
        <f t="shared" si="0"/>
        <v>400260</v>
      </c>
      <c r="D72" s="724">
        <v>400260</v>
      </c>
      <c r="E72" s="719"/>
      <c r="F72" s="719"/>
      <c r="G72" s="14"/>
    </row>
    <row r="73" spans="1:7" ht="37.5" thickTop="1" thickBot="1" x14ac:dyDescent="0.25">
      <c r="A73" s="722">
        <v>22090400</v>
      </c>
      <c r="B73" s="743" t="s">
        <v>109</v>
      </c>
      <c r="C73" s="718">
        <f t="shared" si="0"/>
        <v>111600</v>
      </c>
      <c r="D73" s="724">
        <v>111600</v>
      </c>
      <c r="E73" s="719"/>
      <c r="F73" s="719"/>
      <c r="G73" s="16"/>
    </row>
    <row r="74" spans="1:7" ht="16.5" thickTop="1" thickBot="1" x14ac:dyDescent="0.3">
      <c r="A74" s="713">
        <v>24000000</v>
      </c>
      <c r="B74" s="762" t="s">
        <v>110</v>
      </c>
      <c r="C74" s="715">
        <f t="shared" si="0"/>
        <v>7000000</v>
      </c>
      <c r="D74" s="764">
        <f>D75+D76+D78</f>
        <v>1999988</v>
      </c>
      <c r="E74" s="764">
        <f>E75+E78+E77</f>
        <v>5000012</v>
      </c>
      <c r="F74" s="715">
        <f>SUM(F78+E77)</f>
        <v>5000012</v>
      </c>
      <c r="G74" s="14"/>
    </row>
    <row r="75" spans="1:7" ht="16.5" thickTop="1" thickBot="1" x14ac:dyDescent="0.3">
      <c r="A75" s="722">
        <v>24060300</v>
      </c>
      <c r="B75" s="723" t="s">
        <v>111</v>
      </c>
      <c r="C75" s="718">
        <f t="shared" si="0"/>
        <v>999988</v>
      </c>
      <c r="D75" s="765">
        <v>999988</v>
      </c>
      <c r="E75" s="765"/>
      <c r="F75" s="765"/>
      <c r="G75" s="14"/>
    </row>
    <row r="76" spans="1:7" ht="62.25" thickTop="1" thickBot="1" x14ac:dyDescent="0.3">
      <c r="A76" s="722">
        <v>24062200</v>
      </c>
      <c r="B76" s="766" t="s">
        <v>405</v>
      </c>
      <c r="C76" s="718">
        <f t="shared" si="0"/>
        <v>1000000</v>
      </c>
      <c r="D76" s="765">
        <v>1000000</v>
      </c>
      <c r="E76" s="765"/>
      <c r="F76" s="765"/>
      <c r="G76" s="14"/>
    </row>
    <row r="77" spans="1:7" ht="25.5" thickTop="1" thickBot="1" x14ac:dyDescent="0.3">
      <c r="A77" s="722">
        <v>24110700</v>
      </c>
      <c r="B77" s="767" t="s">
        <v>735</v>
      </c>
      <c r="C77" s="718">
        <v>12</v>
      </c>
      <c r="D77" s="765"/>
      <c r="E77" s="765">
        <v>12</v>
      </c>
      <c r="F77" s="765">
        <v>12</v>
      </c>
      <c r="G77" s="14"/>
    </row>
    <row r="78" spans="1:7" ht="25.5" thickTop="1" thickBot="1" x14ac:dyDescent="0.25">
      <c r="A78" s="722">
        <v>24170000</v>
      </c>
      <c r="B78" s="728" t="s">
        <v>112</v>
      </c>
      <c r="C78" s="718">
        <f>SUM(D78,E78)</f>
        <v>5000000</v>
      </c>
      <c r="D78" s="765"/>
      <c r="E78" s="765">
        <v>5000000</v>
      </c>
      <c r="F78" s="765">
        <v>5000000</v>
      </c>
      <c r="G78" s="15"/>
    </row>
    <row r="79" spans="1:7" ht="16.5" thickTop="1" thickBot="1" x14ac:dyDescent="0.3">
      <c r="A79" s="713">
        <v>25000000</v>
      </c>
      <c r="B79" s="717" t="s">
        <v>113</v>
      </c>
      <c r="C79" s="718">
        <f>SUM(D79,E79)</f>
        <v>155948885</v>
      </c>
      <c r="D79" s="726">
        <f>SUM(D80:D84,)</f>
        <v>0</v>
      </c>
      <c r="E79" s="726">
        <f>SUM(E80)</f>
        <v>155948885</v>
      </c>
      <c r="F79" s="726"/>
      <c r="G79" s="14"/>
    </row>
    <row r="80" spans="1:7" ht="39.75" thickTop="1" thickBot="1" x14ac:dyDescent="0.3">
      <c r="A80" s="716">
        <v>25010000</v>
      </c>
      <c r="B80" s="768" t="s">
        <v>114</v>
      </c>
      <c r="C80" s="718">
        <f>SUM(D80,E80)</f>
        <v>155948885</v>
      </c>
      <c r="D80" s="765">
        <v>0</v>
      </c>
      <c r="E80" s="765">
        <f>SUM(E81:E84)</f>
        <v>155948885</v>
      </c>
      <c r="F80" s="765"/>
      <c r="G80" s="14"/>
    </row>
    <row r="81" spans="1:7" ht="39.75" thickTop="1" thickBot="1" x14ac:dyDescent="0.3">
      <c r="A81" s="716">
        <v>25010100</v>
      </c>
      <c r="B81" s="769" t="s">
        <v>115</v>
      </c>
      <c r="C81" s="718">
        <f>SUM(D81,E81)</f>
        <v>143932455</v>
      </c>
      <c r="D81" s="765"/>
      <c r="E81" s="765">
        <v>143932455</v>
      </c>
      <c r="F81" s="765"/>
      <c r="G81" s="14"/>
    </row>
    <row r="82" spans="1:7" ht="27" thickTop="1" thickBot="1" x14ac:dyDescent="0.3">
      <c r="A82" s="716">
        <v>25010200</v>
      </c>
      <c r="B82" s="769" t="s">
        <v>116</v>
      </c>
      <c r="C82" s="718">
        <f t="shared" si="0"/>
        <v>9765664</v>
      </c>
      <c r="D82" s="765"/>
      <c r="E82" s="765">
        <v>9765664</v>
      </c>
      <c r="F82" s="765"/>
      <c r="G82" s="14"/>
    </row>
    <row r="83" spans="1:7" ht="16.5" thickTop="1" thickBot="1" x14ac:dyDescent="0.3">
      <c r="A83" s="716">
        <v>25010300</v>
      </c>
      <c r="B83" s="769" t="s">
        <v>117</v>
      </c>
      <c r="C83" s="718">
        <f t="shared" si="0"/>
        <v>2197266</v>
      </c>
      <c r="D83" s="765"/>
      <c r="E83" s="765">
        <v>2197266</v>
      </c>
      <c r="F83" s="765"/>
      <c r="G83" s="14"/>
    </row>
    <row r="84" spans="1:7" ht="39.75" thickTop="1" thickBot="1" x14ac:dyDescent="0.3">
      <c r="A84" s="716">
        <v>25010400</v>
      </c>
      <c r="B84" s="769" t="s">
        <v>118</v>
      </c>
      <c r="C84" s="718">
        <f t="shared" si="0"/>
        <v>53500</v>
      </c>
      <c r="D84" s="765"/>
      <c r="E84" s="765">
        <v>53500</v>
      </c>
      <c r="F84" s="765"/>
      <c r="G84" s="14"/>
    </row>
    <row r="85" spans="1:7" ht="15.75" thickTop="1" thickBot="1" x14ac:dyDescent="0.25">
      <c r="A85" s="713">
        <v>30000000</v>
      </c>
      <c r="B85" s="714" t="s">
        <v>119</v>
      </c>
      <c r="C85" s="715">
        <f t="shared" si="0"/>
        <v>5997343</v>
      </c>
      <c r="D85" s="764">
        <f>SUM(D86)</f>
        <v>25000</v>
      </c>
      <c r="E85" s="764">
        <f>SUM(E86,E90)</f>
        <v>5972343</v>
      </c>
      <c r="F85" s="764">
        <f>SUM(F89:F90)</f>
        <v>5972343</v>
      </c>
      <c r="G85" s="16"/>
    </row>
    <row r="86" spans="1:7" ht="31.5" thickTop="1" thickBot="1" x14ac:dyDescent="0.3">
      <c r="A86" s="716">
        <v>31000000</v>
      </c>
      <c r="B86" s="770" t="s">
        <v>120</v>
      </c>
      <c r="C86" s="718">
        <f t="shared" si="0"/>
        <v>460000</v>
      </c>
      <c r="D86" s="721">
        <f>D87</f>
        <v>25000</v>
      </c>
      <c r="E86" s="721">
        <f>SUM(E89)</f>
        <v>435000</v>
      </c>
      <c r="F86" s="771">
        <v>435000</v>
      </c>
      <c r="G86" s="14"/>
    </row>
    <row r="87" spans="1:7" ht="61.5" thickTop="1" thickBot="1" x14ac:dyDescent="0.3">
      <c r="A87" s="716">
        <v>3101000</v>
      </c>
      <c r="B87" s="723" t="s">
        <v>635</v>
      </c>
      <c r="C87" s="718">
        <f t="shared" si="0"/>
        <v>25000</v>
      </c>
      <c r="D87" s="765">
        <v>25000</v>
      </c>
      <c r="E87" s="721"/>
      <c r="F87" s="721"/>
      <c r="G87" s="14"/>
    </row>
    <row r="88" spans="1:7" ht="61.5" thickTop="1" thickBot="1" x14ac:dyDescent="0.3">
      <c r="A88" s="722">
        <v>31010200</v>
      </c>
      <c r="B88" s="728" t="s">
        <v>121</v>
      </c>
      <c r="C88" s="718">
        <f>SUM(D88,E88)</f>
        <v>25000</v>
      </c>
      <c r="D88" s="765">
        <v>25000</v>
      </c>
      <c r="E88" s="765"/>
      <c r="F88" s="765"/>
      <c r="G88" s="14"/>
    </row>
    <row r="89" spans="1:7" ht="37.5" thickTop="1" thickBot="1" x14ac:dyDescent="0.3">
      <c r="A89" s="722">
        <v>31030000</v>
      </c>
      <c r="B89" s="772" t="s">
        <v>122</v>
      </c>
      <c r="C89" s="718">
        <f t="shared" si="0"/>
        <v>435000</v>
      </c>
      <c r="D89" s="724"/>
      <c r="E89" s="724">
        <v>435000</v>
      </c>
      <c r="F89" s="724">
        <v>435000</v>
      </c>
      <c r="G89" s="14"/>
    </row>
    <row r="90" spans="1:7" ht="31.5" thickTop="1" thickBot="1" x14ac:dyDescent="0.3">
      <c r="A90" s="716">
        <v>33000000</v>
      </c>
      <c r="B90" s="770" t="s">
        <v>123</v>
      </c>
      <c r="C90" s="718">
        <f t="shared" si="0"/>
        <v>5537343</v>
      </c>
      <c r="D90" s="721"/>
      <c r="E90" s="721">
        <f>SUM(E91)</f>
        <v>5537343</v>
      </c>
      <c r="F90" s="721">
        <f>SUM(F91)</f>
        <v>5537343</v>
      </c>
      <c r="G90" s="14"/>
    </row>
    <row r="91" spans="1:7" ht="16.5" thickTop="1" thickBot="1" x14ac:dyDescent="0.3">
      <c r="A91" s="716">
        <v>33010000</v>
      </c>
      <c r="B91" s="770" t="s">
        <v>124</v>
      </c>
      <c r="C91" s="718">
        <f t="shared" si="0"/>
        <v>5537343</v>
      </c>
      <c r="D91" s="724"/>
      <c r="E91" s="724">
        <f>SUM(E92,E93)</f>
        <v>5537343</v>
      </c>
      <c r="F91" s="724">
        <f>SUM(F92,F93)</f>
        <v>5537343</v>
      </c>
      <c r="G91" s="14"/>
    </row>
    <row r="92" spans="1:7" ht="49.5" thickTop="1" thickBot="1" x14ac:dyDescent="0.3">
      <c r="A92" s="716">
        <v>33010100</v>
      </c>
      <c r="B92" s="772" t="s">
        <v>371</v>
      </c>
      <c r="C92" s="718">
        <f t="shared" si="0"/>
        <v>4277846</v>
      </c>
      <c r="D92" s="724"/>
      <c r="E92" s="724">
        <v>4277846</v>
      </c>
      <c r="F92" s="724">
        <v>4277846</v>
      </c>
      <c r="G92" s="14"/>
    </row>
    <row r="93" spans="1:7" ht="49.5" thickTop="1" thickBot="1" x14ac:dyDescent="0.3">
      <c r="A93" s="716">
        <v>33010200</v>
      </c>
      <c r="B93" s="772" t="s">
        <v>125</v>
      </c>
      <c r="C93" s="718">
        <f t="shared" ref="C93" si="2">SUM(D93,E93)</f>
        <v>1259497</v>
      </c>
      <c r="D93" s="724"/>
      <c r="E93" s="724">
        <v>1259497</v>
      </c>
      <c r="F93" s="724">
        <v>1259497</v>
      </c>
      <c r="G93" s="14"/>
    </row>
    <row r="94" spans="1:7" ht="20.25" thickTop="1" thickBot="1" x14ac:dyDescent="0.3">
      <c r="A94" s="713">
        <v>50000000</v>
      </c>
      <c r="B94" s="773" t="s">
        <v>535</v>
      </c>
      <c r="C94" s="718">
        <f>SUM(D94,E94)</f>
        <v>4201200</v>
      </c>
      <c r="D94" s="724"/>
      <c r="E94" s="718">
        <f>SUM(E95)</f>
        <v>4201200</v>
      </c>
      <c r="F94" s="724"/>
      <c r="G94" s="14"/>
    </row>
    <row r="95" spans="1:7" ht="52.5" thickTop="1" thickBot="1" x14ac:dyDescent="0.3">
      <c r="A95" s="713">
        <v>50110000</v>
      </c>
      <c r="B95" s="735" t="s">
        <v>126</v>
      </c>
      <c r="C95" s="718">
        <f>SUM(D95,E95)</f>
        <v>4201200</v>
      </c>
      <c r="D95" s="724"/>
      <c r="E95" s="718">
        <v>4201200</v>
      </c>
      <c r="F95" s="724"/>
      <c r="G95" s="14"/>
    </row>
    <row r="96" spans="1:7" ht="33" thickTop="1" thickBot="1" x14ac:dyDescent="0.25">
      <c r="A96" s="713"/>
      <c r="B96" s="732" t="s">
        <v>536</v>
      </c>
      <c r="C96" s="774">
        <f>SUM(D96,E96)</f>
        <v>2405340782</v>
      </c>
      <c r="D96" s="775">
        <f>D11+D55+D85</f>
        <v>2233587442</v>
      </c>
      <c r="E96" s="775">
        <f>E11+E55+E85+E95</f>
        <v>171753340</v>
      </c>
      <c r="F96" s="775">
        <f>F11+F55+F79+F85</f>
        <v>10972355</v>
      </c>
      <c r="G96" s="15"/>
    </row>
    <row r="97" spans="1:7" ht="17.25" thickTop="1" thickBot="1" x14ac:dyDescent="0.25">
      <c r="A97" s="713">
        <v>40000000</v>
      </c>
      <c r="B97" s="732" t="s">
        <v>458</v>
      </c>
      <c r="C97" s="774">
        <f>SUM(D97,E97)</f>
        <v>683216633</v>
      </c>
      <c r="D97" s="775">
        <f>SUM(D100,D98)</f>
        <v>661516633</v>
      </c>
      <c r="E97" s="775">
        <f>SUM(E100,E98)</f>
        <v>21700000</v>
      </c>
      <c r="F97" s="775">
        <f>SUM(F100,F98)</f>
        <v>20000000</v>
      </c>
      <c r="G97" s="15"/>
    </row>
    <row r="98" spans="1:7" ht="27" thickTop="1" thickBot="1" x14ac:dyDescent="0.25">
      <c r="A98" s="712">
        <v>41040000</v>
      </c>
      <c r="B98" s="735" t="s">
        <v>373</v>
      </c>
      <c r="C98" s="774">
        <f t="shared" ref="C98:C99" si="3">SUM(D98,E98)</f>
        <v>12117934</v>
      </c>
      <c r="D98" s="775">
        <f>SUM(D99)</f>
        <v>12117934</v>
      </c>
      <c r="E98" s="764"/>
      <c r="F98" s="764"/>
      <c r="G98" s="15"/>
    </row>
    <row r="99" spans="1:7" ht="65.25" thickTop="1" thickBot="1" x14ac:dyDescent="0.25">
      <c r="A99" s="716">
        <v>41040200</v>
      </c>
      <c r="B99" s="737" t="s">
        <v>372</v>
      </c>
      <c r="C99" s="774">
        <f t="shared" si="3"/>
        <v>12117934</v>
      </c>
      <c r="D99" s="775">
        <v>12117934</v>
      </c>
      <c r="E99" s="764"/>
      <c r="F99" s="764"/>
      <c r="G99" s="15"/>
    </row>
    <row r="100" spans="1:7" ht="15.75" thickTop="1" thickBot="1" x14ac:dyDescent="0.25">
      <c r="A100" s="713">
        <v>41000000</v>
      </c>
      <c r="B100" s="741" t="s">
        <v>127</v>
      </c>
      <c r="C100" s="715">
        <f>SUM(D100,CE4991)</f>
        <v>649398699</v>
      </c>
      <c r="D100" s="764">
        <f>SUM(D101,D103)</f>
        <v>649398699</v>
      </c>
      <c r="E100" s="764">
        <f>SUM(E101,E103)</f>
        <v>21700000</v>
      </c>
      <c r="F100" s="764">
        <f>SUM(F101,F103)</f>
        <v>20000000</v>
      </c>
      <c r="G100" s="15"/>
    </row>
    <row r="101" spans="1:7" ht="27" thickTop="1" thickBot="1" x14ac:dyDescent="0.3">
      <c r="A101" s="712">
        <v>41030000</v>
      </c>
      <c r="B101" s="717" t="s">
        <v>473</v>
      </c>
      <c r="C101" s="718">
        <f>SUM(D101)</f>
        <v>623112400</v>
      </c>
      <c r="D101" s="726">
        <f>SUM(D102:D102)</f>
        <v>623112400</v>
      </c>
      <c r="E101" s="727"/>
      <c r="F101" s="727"/>
      <c r="G101" s="14"/>
    </row>
    <row r="102" spans="1:7" ht="27" thickTop="1" thickBot="1" x14ac:dyDescent="0.3">
      <c r="A102" s="716">
        <v>41033900</v>
      </c>
      <c r="B102" s="761" t="s">
        <v>128</v>
      </c>
      <c r="C102" s="715">
        <f>SUM(D102)</f>
        <v>623112400</v>
      </c>
      <c r="D102" s="719">
        <v>623112400</v>
      </c>
      <c r="E102" s="727"/>
      <c r="F102" s="727"/>
      <c r="G102" s="14"/>
    </row>
    <row r="103" spans="1:7" ht="36.75" customHeight="1" thickTop="1" thickBot="1" x14ac:dyDescent="0.3">
      <c r="A103" s="712">
        <v>41050000</v>
      </c>
      <c r="B103" s="717" t="s">
        <v>520</v>
      </c>
      <c r="C103" s="718">
        <f t="shared" ref="C103:C113" si="4">SUM(D103,E103)</f>
        <v>47986299</v>
      </c>
      <c r="D103" s="718">
        <f>SUM(D104:D109)</f>
        <v>26286299</v>
      </c>
      <c r="E103" s="718">
        <f>SUM(E104:E109)</f>
        <v>21700000</v>
      </c>
      <c r="F103" s="718">
        <f>SUM(F104:F109)</f>
        <v>20000000</v>
      </c>
      <c r="G103" s="14"/>
    </row>
    <row r="104" spans="1:7" ht="39.75" thickTop="1" thickBot="1" x14ac:dyDescent="0.3">
      <c r="A104" s="716">
        <v>41051000</v>
      </c>
      <c r="B104" s="761" t="s">
        <v>521</v>
      </c>
      <c r="C104" s="718">
        <f t="shared" si="4"/>
        <v>7340558</v>
      </c>
      <c r="D104" s="719">
        <v>7340558</v>
      </c>
      <c r="E104" s="727"/>
      <c r="F104" s="727"/>
      <c r="G104" s="14"/>
    </row>
    <row r="105" spans="1:7" ht="52.5" thickTop="1" thickBot="1" x14ac:dyDescent="0.3">
      <c r="A105" s="716">
        <v>41051200</v>
      </c>
      <c r="B105" s="761" t="s">
        <v>788</v>
      </c>
      <c r="C105" s="718">
        <f>SUM(D105,E105)</f>
        <v>7118182</v>
      </c>
      <c r="D105" s="719">
        <v>7118182</v>
      </c>
      <c r="E105" s="727"/>
      <c r="F105" s="727"/>
      <c r="G105" s="14"/>
    </row>
    <row r="106" spans="1:7" ht="65.25" thickTop="1" thickBot="1" x14ac:dyDescent="0.3">
      <c r="A106" s="716">
        <v>41051700</v>
      </c>
      <c r="B106" s="761" t="s">
        <v>1250</v>
      </c>
      <c r="C106" s="718">
        <f>SUM(D106,E106)</f>
        <v>1648625</v>
      </c>
      <c r="D106" s="719">
        <v>1648625</v>
      </c>
      <c r="E106" s="727"/>
      <c r="F106" s="727"/>
      <c r="G106" s="14"/>
    </row>
    <row r="107" spans="1:7" ht="52.5" thickTop="1" thickBot="1" x14ac:dyDescent="0.25">
      <c r="A107" s="716">
        <v>41055000</v>
      </c>
      <c r="B107" s="761" t="s">
        <v>785</v>
      </c>
      <c r="C107" s="718">
        <f t="shared" si="4"/>
        <v>9471600</v>
      </c>
      <c r="D107" s="719">
        <f>9137200+334400</f>
        <v>9471600</v>
      </c>
      <c r="E107" s="727"/>
      <c r="F107" s="727"/>
      <c r="G107" s="15"/>
    </row>
    <row r="108" spans="1:7" ht="27" thickTop="1" thickBot="1" x14ac:dyDescent="0.25">
      <c r="A108" s="716">
        <v>41053600</v>
      </c>
      <c r="B108" s="761" t="s">
        <v>1252</v>
      </c>
      <c r="C108" s="718">
        <f t="shared" si="4"/>
        <v>1700000</v>
      </c>
      <c r="D108" s="719"/>
      <c r="E108" s="727">
        <v>1700000</v>
      </c>
      <c r="F108" s="727"/>
      <c r="G108" s="15"/>
    </row>
    <row r="109" spans="1:7" ht="27" thickTop="1" thickBot="1" x14ac:dyDescent="0.25">
      <c r="A109" s="716">
        <v>41053900</v>
      </c>
      <c r="B109" s="761" t="s">
        <v>1113</v>
      </c>
      <c r="C109" s="718">
        <f t="shared" si="4"/>
        <v>20707334</v>
      </c>
      <c r="D109" s="715">
        <f>SUM(D110:D113)</f>
        <v>707334</v>
      </c>
      <c r="E109" s="715">
        <f>SUM(E110:E113)</f>
        <v>20000000</v>
      </c>
      <c r="F109" s="715">
        <f>SUM(F110:F113)</f>
        <v>20000000</v>
      </c>
      <c r="G109" s="15"/>
    </row>
    <row r="110" spans="1:7" ht="16.5" thickTop="1" thickBot="1" x14ac:dyDescent="0.25">
      <c r="A110" s="716"/>
      <c r="B110" s="761" t="s">
        <v>1253</v>
      </c>
      <c r="C110" s="718">
        <f t="shared" si="4"/>
        <v>20000000</v>
      </c>
      <c r="D110" s="719"/>
      <c r="E110" s="727">
        <v>20000000</v>
      </c>
      <c r="F110" s="727">
        <v>20000000</v>
      </c>
      <c r="G110" s="15"/>
    </row>
    <row r="111" spans="1:7" ht="39.75" thickTop="1" thickBot="1" x14ac:dyDescent="0.25">
      <c r="A111" s="716"/>
      <c r="B111" s="761" t="s">
        <v>1114</v>
      </c>
      <c r="C111" s="718">
        <f t="shared" ref="C111" si="5">SUM(D111,E111)</f>
        <v>206796</v>
      </c>
      <c r="D111" s="719">
        <v>206796</v>
      </c>
      <c r="E111" s="727"/>
      <c r="F111" s="727"/>
      <c r="G111" s="15"/>
    </row>
    <row r="112" spans="1:7" ht="52.5" thickTop="1" thickBot="1" x14ac:dyDescent="0.25">
      <c r="A112" s="716"/>
      <c r="B112" s="761" t="s">
        <v>1115</v>
      </c>
      <c r="C112" s="718">
        <f t="shared" si="4"/>
        <v>147491</v>
      </c>
      <c r="D112" s="719">
        <v>147491</v>
      </c>
      <c r="E112" s="727"/>
      <c r="F112" s="727"/>
      <c r="G112" s="15"/>
    </row>
    <row r="113" spans="1:7" ht="27" thickTop="1" thickBot="1" x14ac:dyDescent="0.25">
      <c r="A113" s="716"/>
      <c r="B113" s="761" t="s">
        <v>1116</v>
      </c>
      <c r="C113" s="718">
        <f t="shared" si="4"/>
        <v>353047</v>
      </c>
      <c r="D113" s="719">
        <v>353047</v>
      </c>
      <c r="E113" s="727"/>
      <c r="F113" s="727"/>
      <c r="G113" s="15"/>
    </row>
    <row r="114" spans="1:7" ht="41.25" customHeight="1" thickTop="1" thickBot="1" x14ac:dyDescent="0.3">
      <c r="A114" s="776"/>
      <c r="B114" s="777" t="s">
        <v>786</v>
      </c>
      <c r="C114" s="715">
        <f t="shared" ref="C114" si="6">SUM(D114,E114)</f>
        <v>3088557415</v>
      </c>
      <c r="D114" s="764">
        <f>SUM(D96,D97)</f>
        <v>2895104075</v>
      </c>
      <c r="E114" s="764">
        <f>SUM(E96,E100)</f>
        <v>193453340</v>
      </c>
      <c r="F114" s="764">
        <f>SUM(F96,F100)</f>
        <v>30972355</v>
      </c>
      <c r="G114" s="18"/>
    </row>
    <row r="115" spans="1:7" ht="13.5" thickTop="1" x14ac:dyDescent="0.2"/>
    <row r="116" spans="1:7" ht="15.75" x14ac:dyDescent="0.25">
      <c r="B116" s="66"/>
      <c r="E116" s="66"/>
    </row>
    <row r="117" spans="1:7" ht="31.5" x14ac:dyDescent="0.2">
      <c r="B117" s="793" t="s">
        <v>1302</v>
      </c>
      <c r="C117"/>
      <c r="D117"/>
      <c r="E117" s="794" t="s">
        <v>1303</v>
      </c>
      <c r="F117" s="793"/>
    </row>
    <row r="118" spans="1:7" ht="15.75" x14ac:dyDescent="0.25">
      <c r="B118" s="66"/>
      <c r="E118" s="66"/>
    </row>
    <row r="119" spans="1:7" ht="15.75" x14ac:dyDescent="0.25">
      <c r="A119" s="18"/>
      <c r="B119" s="66" t="s">
        <v>611</v>
      </c>
      <c r="C119" s="66"/>
      <c r="D119" s="66"/>
      <c r="E119" s="66" t="s">
        <v>612</v>
      </c>
      <c r="F119" s="18"/>
    </row>
  </sheetData>
  <mergeCells count="10">
    <mergeCell ref="D1:G1"/>
    <mergeCell ref="D2:G2"/>
    <mergeCell ref="D3:G3"/>
    <mergeCell ref="A4:E4"/>
    <mergeCell ref="A8:A9"/>
    <mergeCell ref="B8:B9"/>
    <mergeCell ref="C8:C9"/>
    <mergeCell ref="D8:D9"/>
    <mergeCell ref="E8:F8"/>
    <mergeCell ref="A5:F5"/>
  </mergeCells>
  <hyperlinks>
    <hyperlink ref="B86" location="_ftn1" display="_ftn1" xr:uid="{00000000-0004-0000-0000-000000000000}"/>
    <hyperlink ref="B85" location="_ftn1" display="_ftn1" xr:uid="{00000000-0004-0000-0000-000001000000}"/>
    <hyperlink ref="B73" location="_ftn1" display="_ftn1" xr:uid="{00000000-0004-0000-0000-000002000000}"/>
    <hyperlink ref="B16" location="_ftn1" display="_ftn1" xr:uid="{00000000-0004-0000-0000-000003000000}"/>
    <hyperlink ref="B15" location="_ftn1" display="_ftn1" xr:uid="{00000000-0004-0000-0000-000004000000}"/>
    <hyperlink ref="B53" location="_ftn1" display="_ftn1" xr:uid="{00000000-0004-0000-0000-000005000000}"/>
    <hyperlink ref="B90" location="_ftn1" display="_ftn1" xr:uid="{00000000-0004-0000-0000-000006000000}"/>
    <hyperlink ref="B91" location="_ftn1" display="_ftn1" xr:uid="{00000000-0004-0000-0000-000007000000}"/>
    <hyperlink ref="B60" location="_ftn1" display="_ftn1" xr:uid="{00000000-0004-0000-0000-000008000000}"/>
    <hyperlink ref="B61" location="_ftn1" display="_ftn1" xr:uid="{00000000-0004-0000-0000-000009000000}"/>
  </hyperlinks>
  <printOptions horizontalCentered="1"/>
  <pageMargins left="0.35433070866141736" right="0.15748031496062992" top="0.59055118110236227" bottom="0.51181102362204722" header="0.51181102362204722" footer="0.51181102362204722"/>
  <pageSetup paperSize="9" scale="78" fitToHeight="0" orientation="portrait" horizontalDpi="4294967295" verticalDpi="4294967295" r:id="rId1"/>
  <headerFooter alignWithMargins="0"/>
  <rowBreaks count="2" manualBreakCount="2">
    <brk id="75" max="5" man="1"/>
    <brk id="103" max="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52"/>
  <sheetViews>
    <sheetView view="pageBreakPreview" zoomScaleSheetLayoutView="100" workbookViewId="0">
      <selection activeCell="H23" sqref="H23"/>
    </sheetView>
  </sheetViews>
  <sheetFormatPr defaultColWidth="9.140625" defaultRowHeight="12.75" x14ac:dyDescent="0.2"/>
  <cols>
    <col min="1" max="1" width="9.7109375" style="69" customWidth="1"/>
    <col min="2" max="3" width="22.140625" style="69" customWidth="1"/>
    <col min="4" max="4" width="14.140625" style="69" customWidth="1"/>
    <col min="5" max="5" width="14" style="69" customWidth="1"/>
    <col min="6" max="6" width="15.42578125" style="69" customWidth="1"/>
    <col min="7" max="7" width="15.140625" style="69" customWidth="1"/>
    <col min="8" max="8" width="16.42578125" style="69" customWidth="1"/>
    <col min="9" max="9" width="8.28515625" style="69" customWidth="1"/>
    <col min="10" max="10" width="9.140625" style="69"/>
    <col min="11" max="11" width="9.7109375" style="69" customWidth="1"/>
    <col min="12" max="12" width="9.140625" style="69"/>
    <col min="13" max="13" width="8.140625" style="69" customWidth="1"/>
    <col min="14" max="16384" width="9.140625" style="69"/>
  </cols>
  <sheetData>
    <row r="1" spans="1:17" x14ac:dyDescent="0.2">
      <c r="F1" s="19" t="s">
        <v>129</v>
      </c>
    </row>
    <row r="2" spans="1:17" x14ac:dyDescent="0.2">
      <c r="F2" s="19" t="s">
        <v>1286</v>
      </c>
    </row>
    <row r="3" spans="1:17" x14ac:dyDescent="0.2">
      <c r="F3" s="19" t="s">
        <v>1287</v>
      </c>
    </row>
    <row r="5" spans="1:17" ht="18.75" x14ac:dyDescent="0.2">
      <c r="A5" s="842" t="s">
        <v>698</v>
      </c>
      <c r="B5" s="842"/>
      <c r="C5" s="842"/>
      <c r="D5" s="842"/>
      <c r="E5" s="842"/>
      <c r="F5" s="842"/>
    </row>
    <row r="6" spans="1:17" ht="18.75" x14ac:dyDescent="0.2">
      <c r="A6" s="842" t="s">
        <v>699</v>
      </c>
      <c r="B6" s="842"/>
      <c r="C6" s="842"/>
      <c r="D6" s="842"/>
      <c r="E6" s="842"/>
      <c r="F6" s="842"/>
    </row>
    <row r="7" spans="1:17" ht="18.75" x14ac:dyDescent="0.2">
      <c r="A7" s="301"/>
      <c r="B7" s="301"/>
      <c r="C7" s="301"/>
      <c r="D7" s="301"/>
      <c r="E7" s="301"/>
      <c r="F7" s="301"/>
    </row>
    <row r="8" spans="1:17" x14ac:dyDescent="0.2">
      <c r="A8" s="843">
        <v>22564000000</v>
      </c>
      <c r="B8" s="844"/>
      <c r="C8" s="838"/>
      <c r="D8" s="838"/>
      <c r="E8" s="838"/>
      <c r="F8" s="838"/>
    </row>
    <row r="9" spans="1:17" ht="15" customHeight="1" x14ac:dyDescent="0.2">
      <c r="A9" s="845" t="s">
        <v>538</v>
      </c>
      <c r="B9" s="846"/>
      <c r="C9" s="838"/>
      <c r="D9" s="838"/>
      <c r="E9" s="838"/>
      <c r="F9" s="838"/>
    </row>
    <row r="10" spans="1:17" ht="13.5" thickBot="1" x14ac:dyDescent="0.25">
      <c r="A10" s="88"/>
      <c r="B10" s="88"/>
      <c r="F10" s="67" t="s">
        <v>434</v>
      </c>
    </row>
    <row r="11" spans="1:17" ht="14.25" thickTop="1" thickBot="1" x14ac:dyDescent="0.25">
      <c r="A11" s="847" t="s">
        <v>64</v>
      </c>
      <c r="B11" s="847" t="s">
        <v>408</v>
      </c>
      <c r="C11" s="847" t="s">
        <v>413</v>
      </c>
      <c r="D11" s="847" t="s">
        <v>12</v>
      </c>
      <c r="E11" s="847" t="s">
        <v>57</v>
      </c>
      <c r="F11" s="847"/>
    </row>
    <row r="12" spans="1:17" ht="35.450000000000003" customHeight="1" thickTop="1" thickBot="1" x14ac:dyDescent="0.25">
      <c r="A12" s="847"/>
      <c r="B12" s="847"/>
      <c r="C12" s="847"/>
      <c r="D12" s="848"/>
      <c r="E12" s="778" t="s">
        <v>414</v>
      </c>
      <c r="F12" s="778" t="s">
        <v>415</v>
      </c>
    </row>
    <row r="13" spans="1:17" ht="14.25" thickTop="1" thickBot="1" x14ac:dyDescent="0.25">
      <c r="A13" s="779">
        <v>1</v>
      </c>
      <c r="B13" s="779">
        <v>2</v>
      </c>
      <c r="C13" s="779">
        <v>3</v>
      </c>
      <c r="D13" s="779">
        <v>4</v>
      </c>
      <c r="E13" s="779">
        <v>5</v>
      </c>
      <c r="F13" s="779">
        <v>6</v>
      </c>
    </row>
    <row r="14" spans="1:17" ht="23.25" customHeight="1" thickTop="1" thickBot="1" x14ac:dyDescent="0.25">
      <c r="A14" s="849" t="s">
        <v>409</v>
      </c>
      <c r="B14" s="849"/>
      <c r="C14" s="850"/>
      <c r="D14" s="850"/>
      <c r="E14" s="850"/>
      <c r="F14" s="850"/>
    </row>
    <row r="15" spans="1:17" ht="14.25" thickTop="1" thickBot="1" x14ac:dyDescent="0.25">
      <c r="A15" s="780" t="s">
        <v>130</v>
      </c>
      <c r="B15" s="826" t="s">
        <v>131</v>
      </c>
      <c r="C15" s="814">
        <f>C16+C19</f>
        <v>148637752.19</v>
      </c>
      <c r="D15" s="814">
        <f>D16+D19</f>
        <v>-235647210.33999997</v>
      </c>
      <c r="E15" s="814">
        <f>E16+E19</f>
        <v>384284962.52999997</v>
      </c>
      <c r="F15" s="814">
        <f>F16+F19</f>
        <v>382023999.75999999</v>
      </c>
      <c r="G15" s="70">
        <f>E15-F15</f>
        <v>2260962.7699999809</v>
      </c>
      <c r="H15" s="70"/>
      <c r="I15" s="70"/>
      <c r="J15" s="70"/>
      <c r="K15" s="70"/>
      <c r="L15" s="70"/>
      <c r="M15" s="70"/>
      <c r="N15" s="70"/>
      <c r="O15" s="70"/>
      <c r="P15" s="70"/>
      <c r="Q15" s="70"/>
    </row>
    <row r="16" spans="1:17" ht="42" thickTop="1" thickBot="1" x14ac:dyDescent="0.25">
      <c r="A16" s="816">
        <v>202000</v>
      </c>
      <c r="B16" s="819" t="s">
        <v>1316</v>
      </c>
      <c r="C16" s="817">
        <f t="shared" ref="C16:C18" si="0">SUM(D16,E16)</f>
        <v>60000000</v>
      </c>
      <c r="D16" s="817">
        <f t="shared" ref="D16:D17" si="1">D17</f>
        <v>0</v>
      </c>
      <c r="E16" s="817">
        <f t="shared" ref="E16:E17" si="2">E17</f>
        <v>60000000</v>
      </c>
      <c r="F16" s="817">
        <f t="shared" ref="F16:F17" si="3">F17</f>
        <v>60000000</v>
      </c>
      <c r="G16" s="70"/>
      <c r="H16" s="70"/>
      <c r="I16" s="70"/>
      <c r="J16" s="70"/>
      <c r="K16" s="70"/>
      <c r="L16" s="70"/>
      <c r="M16" s="70"/>
      <c r="N16" s="70"/>
      <c r="O16" s="70"/>
      <c r="P16" s="70"/>
      <c r="Q16" s="70"/>
    </row>
    <row r="17" spans="1:17" ht="27" thickTop="1" thickBot="1" x14ac:dyDescent="0.25">
      <c r="A17" s="783">
        <v>202200</v>
      </c>
      <c r="B17" s="812" t="s">
        <v>1318</v>
      </c>
      <c r="C17" s="814">
        <f t="shared" si="0"/>
        <v>60000000</v>
      </c>
      <c r="D17" s="814">
        <f t="shared" si="1"/>
        <v>0</v>
      </c>
      <c r="E17" s="814">
        <f t="shared" si="2"/>
        <v>60000000</v>
      </c>
      <c r="F17" s="814">
        <f t="shared" si="3"/>
        <v>60000000</v>
      </c>
      <c r="G17" s="70"/>
      <c r="H17" s="70"/>
      <c r="I17" s="70"/>
      <c r="J17" s="70"/>
      <c r="K17" s="70"/>
      <c r="L17" s="70"/>
      <c r="M17" s="70"/>
      <c r="N17" s="70"/>
      <c r="O17" s="70"/>
      <c r="P17" s="70"/>
      <c r="Q17" s="70"/>
    </row>
    <row r="18" spans="1:17" ht="14.25" thickTop="1" thickBot="1" x14ac:dyDescent="0.25">
      <c r="A18" s="781">
        <v>202210</v>
      </c>
      <c r="B18" s="782" t="s">
        <v>1317</v>
      </c>
      <c r="C18" s="813">
        <f t="shared" si="0"/>
        <v>60000000</v>
      </c>
      <c r="D18" s="814"/>
      <c r="E18" s="813">
        <v>60000000</v>
      </c>
      <c r="F18" s="813">
        <v>60000000</v>
      </c>
      <c r="G18" s="70"/>
      <c r="H18" s="70"/>
      <c r="I18" s="70"/>
      <c r="J18" s="70"/>
      <c r="K18" s="70"/>
      <c r="L18" s="70"/>
      <c r="M18" s="70"/>
      <c r="N18" s="70"/>
      <c r="O18" s="70"/>
      <c r="P18" s="70"/>
      <c r="Q18" s="70"/>
    </row>
    <row r="19" spans="1:17" ht="42" thickTop="1" thickBot="1" x14ac:dyDescent="0.25">
      <c r="A19" s="816">
        <v>208000</v>
      </c>
      <c r="B19" s="827" t="s">
        <v>1320</v>
      </c>
      <c r="C19" s="817">
        <f>C20+C23+C21</f>
        <v>88637752.189999998</v>
      </c>
      <c r="D19" s="817">
        <f>D20+D23+D21</f>
        <v>-235647210.33999997</v>
      </c>
      <c r="E19" s="817">
        <f>E20+E23+E21</f>
        <v>324284962.52999997</v>
      </c>
      <c r="F19" s="817">
        <f>F20+F23+F21</f>
        <v>322023999.75999999</v>
      </c>
      <c r="G19" s="818">
        <f>E19-F19</f>
        <v>2260962.7699999809</v>
      </c>
      <c r="H19" s="70"/>
      <c r="I19" s="70"/>
      <c r="J19" s="70"/>
      <c r="K19" s="70"/>
      <c r="L19" s="70"/>
      <c r="M19" s="70"/>
      <c r="N19" s="70"/>
      <c r="O19" s="70"/>
      <c r="P19" s="70"/>
      <c r="Q19" s="70"/>
    </row>
    <row r="20" spans="1:17" ht="15.75" customHeight="1" thickTop="1" thickBot="1" x14ac:dyDescent="0.25">
      <c r="A20" s="816" t="s">
        <v>132</v>
      </c>
      <c r="B20" s="819" t="s">
        <v>133</v>
      </c>
      <c r="C20" s="817">
        <f>SUM(D20,E20)</f>
        <v>88637752.189999998</v>
      </c>
      <c r="D20" s="817">
        <v>82427581.670000002</v>
      </c>
      <c r="E20" s="817">
        <v>6210170.5199999996</v>
      </c>
      <c r="F20" s="817">
        <f>2956716.87+992490.88</f>
        <v>3949207.75</v>
      </c>
      <c r="G20" s="70"/>
      <c r="H20" s="70"/>
      <c r="I20" s="70"/>
      <c r="J20" s="70"/>
      <c r="K20" s="70"/>
      <c r="L20" s="70"/>
      <c r="M20" s="70"/>
      <c r="N20" s="70"/>
      <c r="O20" s="70"/>
      <c r="P20" s="70"/>
      <c r="Q20" s="70"/>
    </row>
    <row r="21" spans="1:17" ht="15" hidden="1" thickTop="1" thickBot="1" x14ac:dyDescent="0.25">
      <c r="A21" s="823">
        <v>208300</v>
      </c>
      <c r="B21" s="828" t="s">
        <v>1323</v>
      </c>
      <c r="C21" s="817">
        <f>SUM(D21,E21)</f>
        <v>0</v>
      </c>
      <c r="D21" s="817">
        <f>D22</f>
        <v>0</v>
      </c>
      <c r="E21" s="817">
        <f>E22</f>
        <v>0</v>
      </c>
      <c r="F21" s="817">
        <f>F22</f>
        <v>0</v>
      </c>
      <c r="G21" s="70"/>
      <c r="H21" s="70"/>
      <c r="I21" s="70"/>
      <c r="J21" s="70"/>
      <c r="K21" s="70"/>
      <c r="L21" s="70"/>
      <c r="M21" s="70"/>
      <c r="N21" s="70"/>
      <c r="O21" s="70"/>
      <c r="P21" s="70"/>
      <c r="Q21" s="70"/>
    </row>
    <row r="22" spans="1:17" ht="52.5" hidden="1" thickTop="1" thickBot="1" x14ac:dyDescent="0.25">
      <c r="A22" s="825">
        <v>208330</v>
      </c>
      <c r="B22" s="829" t="s">
        <v>1324</v>
      </c>
      <c r="C22" s="817">
        <f>SUM(D22,E22)</f>
        <v>0</v>
      </c>
      <c r="D22" s="813"/>
      <c r="E22" s="813">
        <f>-D22</f>
        <v>0</v>
      </c>
      <c r="F22" s="813">
        <f>E22</f>
        <v>0</v>
      </c>
      <c r="G22" s="70"/>
      <c r="H22" s="70"/>
      <c r="I22" s="70"/>
      <c r="J22" s="70"/>
      <c r="K22" s="70"/>
      <c r="L22" s="70"/>
      <c r="M22" s="70"/>
      <c r="N22" s="70"/>
      <c r="O22" s="70"/>
      <c r="P22" s="70"/>
      <c r="Q22" s="70"/>
    </row>
    <row r="23" spans="1:17" ht="55.5" thickTop="1" thickBot="1" x14ac:dyDescent="0.25">
      <c r="A23" s="816">
        <v>208400</v>
      </c>
      <c r="B23" s="819" t="s">
        <v>134</v>
      </c>
      <c r="C23" s="817">
        <f>SUM(D23,E23)</f>
        <v>0</v>
      </c>
      <c r="D23" s="817">
        <f>-235647210.34-D20</f>
        <v>-318074792.00999999</v>
      </c>
      <c r="E23" s="817">
        <f>-D23</f>
        <v>318074792.00999999</v>
      </c>
      <c r="F23" s="817">
        <f>E23</f>
        <v>318074792.00999999</v>
      </c>
      <c r="G23" s="70"/>
      <c r="H23" s="70"/>
      <c r="I23" s="70"/>
      <c r="J23" s="70"/>
      <c r="K23" s="70"/>
      <c r="L23" s="70"/>
      <c r="M23" s="70"/>
      <c r="N23" s="70"/>
      <c r="O23" s="70"/>
      <c r="P23" s="70"/>
      <c r="Q23" s="70"/>
    </row>
    <row r="24" spans="1:17" ht="14.25" thickTop="1" thickBot="1" x14ac:dyDescent="0.25">
      <c r="A24" s="783">
        <v>300000</v>
      </c>
      <c r="B24" s="812" t="s">
        <v>385</v>
      </c>
      <c r="C24" s="814">
        <f>C25</f>
        <v>13786494.58</v>
      </c>
      <c r="D24" s="814">
        <f>D25</f>
        <v>0</v>
      </c>
      <c r="E24" s="814">
        <f>E25</f>
        <v>13786494.58</v>
      </c>
      <c r="F24" s="814">
        <f>F25</f>
        <v>13786494.58</v>
      </c>
      <c r="G24" s="70"/>
      <c r="H24" s="70"/>
      <c r="I24" s="70"/>
      <c r="J24" s="70"/>
      <c r="K24" s="70"/>
      <c r="L24" s="70"/>
      <c r="M24" s="70"/>
      <c r="N24" s="70"/>
      <c r="O24" s="70"/>
      <c r="P24" s="70"/>
      <c r="Q24" s="70"/>
    </row>
    <row r="25" spans="1:17" ht="42" thickTop="1" thickBot="1" x14ac:dyDescent="0.25">
      <c r="A25" s="816">
        <v>301000</v>
      </c>
      <c r="B25" s="819" t="s">
        <v>386</v>
      </c>
      <c r="C25" s="817">
        <f>C26+C27</f>
        <v>13786494.58</v>
      </c>
      <c r="D25" s="817">
        <f>D26+D27</f>
        <v>0</v>
      </c>
      <c r="E25" s="817">
        <f>E26+E27</f>
        <v>13786494.58</v>
      </c>
      <c r="F25" s="817">
        <f>F26+F27</f>
        <v>13786494.58</v>
      </c>
      <c r="G25" s="70"/>
      <c r="H25" s="70"/>
      <c r="I25" s="70"/>
      <c r="J25" s="70"/>
      <c r="K25" s="70"/>
      <c r="L25" s="70"/>
      <c r="M25" s="70"/>
      <c r="N25" s="70"/>
      <c r="O25" s="70"/>
      <c r="P25" s="70"/>
      <c r="Q25" s="70"/>
    </row>
    <row r="26" spans="1:17" ht="14.25" thickTop="1" thickBot="1" x14ac:dyDescent="0.25">
      <c r="A26" s="781">
        <v>301100</v>
      </c>
      <c r="B26" s="782" t="s">
        <v>387</v>
      </c>
      <c r="C26" s="813">
        <f>SUM(D26,E26)</f>
        <v>16535522.58</v>
      </c>
      <c r="D26" s="813"/>
      <c r="E26" s="813">
        <f>(16535522.58)</f>
        <v>16535522.58</v>
      </c>
      <c r="F26" s="813">
        <f>(16535522.58)</f>
        <v>16535522.58</v>
      </c>
      <c r="G26" s="70"/>
      <c r="H26" s="70"/>
      <c r="I26" s="70"/>
      <c r="J26" s="70"/>
      <c r="K26" s="70"/>
      <c r="L26" s="70"/>
      <c r="M26" s="70"/>
      <c r="N26" s="70"/>
      <c r="O26" s="70"/>
      <c r="P26" s="70"/>
      <c r="Q26" s="70"/>
    </row>
    <row r="27" spans="1:17" ht="14.25" thickTop="1" thickBot="1" x14ac:dyDescent="0.25">
      <c r="A27" s="781">
        <v>301200</v>
      </c>
      <c r="B27" s="782" t="s">
        <v>388</v>
      </c>
      <c r="C27" s="813">
        <f>SUM(D27,E27)</f>
        <v>-2749028</v>
      </c>
      <c r="D27" s="813"/>
      <c r="E27" s="813">
        <v>-2749028</v>
      </c>
      <c r="F27" s="813">
        <v>-2749028</v>
      </c>
      <c r="G27" s="70"/>
      <c r="H27" s="70"/>
      <c r="I27" s="70"/>
      <c r="J27" s="70"/>
      <c r="K27" s="70"/>
      <c r="L27" s="70"/>
      <c r="M27" s="70"/>
      <c r="N27" s="70"/>
      <c r="O27" s="70"/>
      <c r="P27" s="70"/>
      <c r="Q27" s="70"/>
    </row>
    <row r="28" spans="1:17" ht="31.5" customHeight="1" thickTop="1" thickBot="1" x14ac:dyDescent="0.25">
      <c r="A28" s="820" t="s">
        <v>411</v>
      </c>
      <c r="B28" s="830" t="s">
        <v>410</v>
      </c>
      <c r="C28" s="821">
        <f>C15+C24</f>
        <v>162424246.77000001</v>
      </c>
      <c r="D28" s="821">
        <f>D15+D24</f>
        <v>-235647210.33999997</v>
      </c>
      <c r="E28" s="821">
        <f>E15+E24</f>
        <v>398071457.10999995</v>
      </c>
      <c r="F28" s="821">
        <f>F15+F24</f>
        <v>395810494.33999997</v>
      </c>
      <c r="G28" s="70"/>
      <c r="H28" s="70"/>
      <c r="I28" s="70"/>
      <c r="J28" s="70"/>
      <c r="K28" s="70"/>
      <c r="L28" s="70"/>
      <c r="M28" s="70"/>
      <c r="N28" s="70"/>
      <c r="O28" s="70"/>
      <c r="P28" s="70"/>
      <c r="Q28" s="70"/>
    </row>
    <row r="29" spans="1:17" ht="35.450000000000003" customHeight="1" thickTop="1" thickBot="1" x14ac:dyDescent="0.25">
      <c r="A29" s="849" t="s">
        <v>412</v>
      </c>
      <c r="B29" s="849"/>
      <c r="C29" s="850"/>
      <c r="D29" s="850"/>
      <c r="E29" s="850"/>
      <c r="F29" s="850"/>
      <c r="G29" s="70"/>
      <c r="H29" s="70"/>
      <c r="I29" s="70"/>
      <c r="J29" s="70"/>
      <c r="K29" s="70"/>
      <c r="L29" s="70"/>
      <c r="M29" s="70"/>
      <c r="N29" s="70"/>
      <c r="O29" s="70"/>
      <c r="P29" s="70"/>
      <c r="Q29" s="70"/>
    </row>
    <row r="30" spans="1:17" ht="27" thickTop="1" thickBot="1" x14ac:dyDescent="0.25">
      <c r="A30" s="783">
        <v>400000</v>
      </c>
      <c r="B30" s="812" t="s">
        <v>135</v>
      </c>
      <c r="C30" s="814">
        <f>C31+C36</f>
        <v>73786494.579999998</v>
      </c>
      <c r="D30" s="814">
        <f>D31+D36</f>
        <v>0</v>
      </c>
      <c r="E30" s="814">
        <f>E31+E36</f>
        <v>73786494.579999998</v>
      </c>
      <c r="F30" s="814">
        <f>F31+F36</f>
        <v>73786494.579999998</v>
      </c>
      <c r="G30" s="70"/>
      <c r="H30" s="70"/>
      <c r="I30" s="70"/>
      <c r="J30" s="70"/>
      <c r="K30" s="70"/>
      <c r="L30" s="70"/>
      <c r="M30" s="70"/>
      <c r="N30" s="70"/>
      <c r="O30" s="70"/>
      <c r="P30" s="70"/>
      <c r="Q30" s="70"/>
    </row>
    <row r="31" spans="1:17" ht="15" thickTop="1" thickBot="1" x14ac:dyDescent="0.25">
      <c r="A31" s="816">
        <v>401000</v>
      </c>
      <c r="B31" s="819" t="s">
        <v>136</v>
      </c>
      <c r="C31" s="817">
        <f>C32+C34</f>
        <v>76535522.579999998</v>
      </c>
      <c r="D31" s="817">
        <f>D32+D34</f>
        <v>0</v>
      </c>
      <c r="E31" s="817">
        <f>E32+E34</f>
        <v>76535522.579999998</v>
      </c>
      <c r="F31" s="817">
        <f>F32+F34</f>
        <v>76535522.579999998</v>
      </c>
      <c r="G31" s="70"/>
      <c r="H31" s="70"/>
      <c r="I31" s="70"/>
      <c r="J31" s="70"/>
      <c r="K31" s="70"/>
      <c r="L31" s="70"/>
      <c r="M31" s="70"/>
      <c r="N31" s="70"/>
      <c r="O31" s="70"/>
      <c r="P31" s="70"/>
      <c r="Q31" s="70"/>
    </row>
    <row r="32" spans="1:17" ht="14.25" thickTop="1" thickBot="1" x14ac:dyDescent="0.25">
      <c r="A32" s="815">
        <v>401100</v>
      </c>
      <c r="B32" s="831" t="s">
        <v>1319</v>
      </c>
      <c r="C32" s="822">
        <f>C33</f>
        <v>60000000</v>
      </c>
      <c r="D32" s="822">
        <f>D33</f>
        <v>0</v>
      </c>
      <c r="E32" s="822">
        <f>E33</f>
        <v>60000000</v>
      </c>
      <c r="F32" s="822">
        <f>F33</f>
        <v>60000000</v>
      </c>
      <c r="G32" s="70"/>
      <c r="H32" s="70"/>
      <c r="I32" s="70"/>
      <c r="J32" s="70"/>
      <c r="K32" s="70"/>
      <c r="L32" s="70"/>
      <c r="M32" s="70"/>
      <c r="N32" s="70"/>
      <c r="O32" s="70"/>
      <c r="P32" s="70"/>
      <c r="Q32" s="70"/>
    </row>
    <row r="33" spans="1:17" ht="27" thickTop="1" thickBot="1" x14ac:dyDescent="0.25">
      <c r="A33" s="781">
        <v>401101</v>
      </c>
      <c r="B33" s="782" t="s">
        <v>1299</v>
      </c>
      <c r="C33" s="813">
        <f>SUM(D33,E33)</f>
        <v>60000000</v>
      </c>
      <c r="D33" s="814"/>
      <c r="E33" s="813">
        <v>60000000</v>
      </c>
      <c r="F33" s="813">
        <v>60000000</v>
      </c>
      <c r="G33" s="70"/>
      <c r="H33" s="70"/>
      <c r="I33" s="70"/>
      <c r="J33" s="70"/>
      <c r="K33" s="70"/>
      <c r="L33" s="70"/>
      <c r="M33" s="70"/>
      <c r="N33" s="70"/>
      <c r="O33" s="70"/>
      <c r="P33" s="70"/>
      <c r="Q33" s="70"/>
    </row>
    <row r="34" spans="1:17" s="2" customFormat="1" ht="14.25" thickTop="1" thickBot="1" x14ac:dyDescent="0.25">
      <c r="A34" s="815">
        <v>401200</v>
      </c>
      <c r="B34" s="831" t="s">
        <v>389</v>
      </c>
      <c r="C34" s="822">
        <f>SUM(D34,E34)</f>
        <v>16535522.58</v>
      </c>
      <c r="D34" s="822"/>
      <c r="E34" s="822">
        <f>E35</f>
        <v>16535522.58</v>
      </c>
      <c r="F34" s="822">
        <f>F35</f>
        <v>16535522.58</v>
      </c>
      <c r="G34" s="46"/>
      <c r="H34" s="46"/>
      <c r="I34" s="46"/>
      <c r="J34" s="46"/>
      <c r="K34" s="46"/>
      <c r="L34" s="46"/>
      <c r="M34" s="46"/>
      <c r="N34" s="46"/>
      <c r="O34" s="46"/>
      <c r="P34" s="46"/>
      <c r="Q34" s="46"/>
    </row>
    <row r="35" spans="1:17" ht="27" thickTop="1" thickBot="1" x14ac:dyDescent="0.25">
      <c r="A35" s="781">
        <v>401201</v>
      </c>
      <c r="B35" s="782" t="s">
        <v>1299</v>
      </c>
      <c r="C35" s="813">
        <f>SUM(D35,E35)</f>
        <v>16535522.58</v>
      </c>
      <c r="D35" s="814"/>
      <c r="E35" s="813">
        <f>(16535522.58)</f>
        <v>16535522.58</v>
      </c>
      <c r="F35" s="813">
        <f>(16535522.58)</f>
        <v>16535522.58</v>
      </c>
      <c r="G35" s="70"/>
      <c r="H35" s="70"/>
      <c r="I35" s="70"/>
      <c r="J35" s="70"/>
      <c r="K35" s="70"/>
      <c r="L35" s="70"/>
      <c r="M35" s="70"/>
      <c r="N35" s="70"/>
      <c r="O35" s="70"/>
      <c r="P35" s="70"/>
      <c r="Q35" s="70"/>
    </row>
    <row r="36" spans="1:17" s="2" customFormat="1" ht="15" thickTop="1" thickBot="1" x14ac:dyDescent="0.25">
      <c r="A36" s="823">
        <v>402000</v>
      </c>
      <c r="B36" s="828" t="s">
        <v>390</v>
      </c>
      <c r="C36" s="817">
        <f>C37</f>
        <v>-2749028</v>
      </c>
      <c r="D36" s="817">
        <f>D37</f>
        <v>0</v>
      </c>
      <c r="E36" s="817">
        <f>E37</f>
        <v>-2749028</v>
      </c>
      <c r="F36" s="817">
        <f>F37</f>
        <v>-2749028</v>
      </c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</row>
    <row r="37" spans="1:17" s="2" customFormat="1" ht="14.25" thickTop="1" thickBot="1" x14ac:dyDescent="0.25">
      <c r="A37" s="824">
        <v>402200</v>
      </c>
      <c r="B37" s="832" t="s">
        <v>1298</v>
      </c>
      <c r="C37" s="822">
        <f>SUM(C38,C39)</f>
        <v>-2749028</v>
      </c>
      <c r="D37" s="822"/>
      <c r="E37" s="822">
        <f>SUM(E38,E39)</f>
        <v>-2749028</v>
      </c>
      <c r="F37" s="822">
        <f>SUM(F38,F39)</f>
        <v>-2749028</v>
      </c>
      <c r="G37" s="46"/>
      <c r="H37" s="46"/>
      <c r="I37" s="46"/>
      <c r="J37" s="46"/>
      <c r="K37" s="46"/>
      <c r="L37" s="46"/>
      <c r="M37" s="46"/>
      <c r="N37" s="46"/>
      <c r="O37" s="46"/>
      <c r="P37" s="46"/>
      <c r="Q37" s="46"/>
    </row>
    <row r="38" spans="1:17" s="2" customFormat="1" ht="27" hidden="1" thickTop="1" thickBot="1" x14ac:dyDescent="0.25">
      <c r="A38" s="825">
        <v>402201</v>
      </c>
      <c r="B38" s="829" t="s">
        <v>1299</v>
      </c>
      <c r="C38" s="814"/>
      <c r="D38" s="814"/>
      <c r="E38" s="813"/>
      <c r="F38" s="813"/>
      <c r="G38" s="46"/>
      <c r="H38" s="46"/>
      <c r="I38" s="46"/>
      <c r="J38" s="46"/>
      <c r="K38" s="46"/>
      <c r="L38" s="46"/>
      <c r="M38" s="46"/>
      <c r="N38" s="46"/>
      <c r="O38" s="46"/>
      <c r="P38" s="46"/>
      <c r="Q38" s="46"/>
    </row>
    <row r="39" spans="1:17" ht="25.5" customHeight="1" thickTop="1" thickBot="1" x14ac:dyDescent="0.25">
      <c r="A39" s="825">
        <v>402202</v>
      </c>
      <c r="B39" s="829" t="s">
        <v>1300</v>
      </c>
      <c r="C39" s="813">
        <f>SUM(D39,E39)</f>
        <v>-2749028</v>
      </c>
      <c r="D39" s="814"/>
      <c r="E39" s="813">
        <v>-2749028</v>
      </c>
      <c r="F39" s="813">
        <v>-2749028</v>
      </c>
      <c r="G39" s="70"/>
      <c r="H39" s="70"/>
      <c r="I39" s="70"/>
      <c r="J39" s="70"/>
      <c r="K39" s="70"/>
      <c r="L39" s="70"/>
      <c r="M39" s="70"/>
      <c r="N39" s="70"/>
      <c r="O39" s="70"/>
      <c r="P39" s="70"/>
      <c r="Q39" s="70"/>
    </row>
    <row r="40" spans="1:17" ht="27" thickTop="1" thickBot="1" x14ac:dyDescent="0.25">
      <c r="A40" s="783" t="s">
        <v>137</v>
      </c>
      <c r="B40" s="812" t="s">
        <v>138</v>
      </c>
      <c r="C40" s="814">
        <f>C41</f>
        <v>88637752.189999998</v>
      </c>
      <c r="D40" s="814">
        <f t="shared" ref="D40:F40" si="4">D41</f>
        <v>-235647210.33999997</v>
      </c>
      <c r="E40" s="814">
        <f t="shared" si="4"/>
        <v>324284962.52999997</v>
      </c>
      <c r="F40" s="814">
        <f t="shared" si="4"/>
        <v>322023999.75999999</v>
      </c>
      <c r="G40" s="70"/>
      <c r="H40" s="70"/>
      <c r="I40" s="70"/>
      <c r="J40" s="70"/>
      <c r="K40" s="70"/>
      <c r="L40" s="70"/>
      <c r="M40" s="70"/>
      <c r="N40" s="70"/>
      <c r="O40" s="70"/>
      <c r="P40" s="70"/>
      <c r="Q40" s="70"/>
    </row>
    <row r="41" spans="1:17" ht="36" customHeight="1" thickTop="1" thickBot="1" x14ac:dyDescent="0.25">
      <c r="A41" s="816">
        <v>602000</v>
      </c>
      <c r="B41" s="819" t="s">
        <v>1321</v>
      </c>
      <c r="C41" s="817">
        <f>C42+C45+C43</f>
        <v>88637752.189999998</v>
      </c>
      <c r="D41" s="817">
        <f>D42+D45+D43</f>
        <v>-235647210.33999997</v>
      </c>
      <c r="E41" s="817">
        <f>E42+E45+E43</f>
        <v>324284962.52999997</v>
      </c>
      <c r="F41" s="817">
        <f>F42+F45+F43</f>
        <v>322023999.75999999</v>
      </c>
      <c r="G41" s="70"/>
      <c r="H41" s="70"/>
      <c r="I41" s="70"/>
      <c r="J41" s="70"/>
      <c r="K41" s="70"/>
      <c r="L41" s="70"/>
      <c r="M41" s="70"/>
      <c r="N41" s="70"/>
      <c r="O41" s="70"/>
      <c r="P41" s="70"/>
      <c r="Q41" s="70"/>
    </row>
    <row r="42" spans="1:17" ht="27" customHeight="1" thickTop="1" thickBot="1" x14ac:dyDescent="0.25">
      <c r="A42" s="815">
        <v>602100</v>
      </c>
      <c r="B42" s="831" t="s">
        <v>1322</v>
      </c>
      <c r="C42" s="822">
        <f>SUM(D42,E42)</f>
        <v>88637752.189999998</v>
      </c>
      <c r="D42" s="822">
        <v>82427581.670000002</v>
      </c>
      <c r="E42" s="822">
        <v>6210170.5199999996</v>
      </c>
      <c r="F42" s="822">
        <f>2956716.87+992490.88</f>
        <v>3949207.75</v>
      </c>
      <c r="G42" s="70"/>
      <c r="H42" s="70"/>
      <c r="I42" s="70"/>
      <c r="J42" s="70"/>
      <c r="K42" s="70"/>
      <c r="L42" s="70"/>
      <c r="M42" s="70"/>
      <c r="N42" s="70"/>
      <c r="O42" s="70"/>
      <c r="P42" s="70"/>
      <c r="Q42" s="70"/>
    </row>
    <row r="43" spans="1:17" ht="27" hidden="1" customHeight="1" thickTop="1" thickBot="1" x14ac:dyDescent="0.25">
      <c r="A43" s="815">
        <v>602300</v>
      </c>
      <c r="B43" s="831" t="s">
        <v>1323</v>
      </c>
      <c r="C43" s="822">
        <f>SUM(D43,E43)</f>
        <v>0</v>
      </c>
      <c r="D43" s="822">
        <f>D44</f>
        <v>0</v>
      </c>
      <c r="E43" s="822">
        <f>E44</f>
        <v>0</v>
      </c>
      <c r="F43" s="822">
        <f>E43</f>
        <v>0</v>
      </c>
      <c r="G43" s="70"/>
      <c r="H43" s="70"/>
      <c r="I43" s="70"/>
      <c r="J43" s="70"/>
      <c r="K43" s="70"/>
      <c r="L43" s="70"/>
      <c r="M43" s="70"/>
      <c r="N43" s="70"/>
      <c r="O43" s="70"/>
      <c r="P43" s="70"/>
      <c r="Q43" s="70"/>
    </row>
    <row r="44" spans="1:17" ht="63.75" hidden="1" customHeight="1" thickTop="1" thickBot="1" x14ac:dyDescent="0.25">
      <c r="A44" s="781">
        <v>602303</v>
      </c>
      <c r="B44" s="782" t="s">
        <v>1324</v>
      </c>
      <c r="C44" s="813">
        <f>SUM(D44,E44)</f>
        <v>0</v>
      </c>
      <c r="D44" s="813"/>
      <c r="E44" s="813">
        <f>-D44</f>
        <v>0</v>
      </c>
      <c r="F44" s="813">
        <f>E44</f>
        <v>0</v>
      </c>
      <c r="G44" s="70"/>
      <c r="H44" s="70"/>
      <c r="I44" s="70"/>
      <c r="J44" s="70"/>
      <c r="K44" s="70"/>
      <c r="L44" s="70"/>
      <c r="M44" s="70"/>
      <c r="N44" s="70"/>
      <c r="O44" s="70"/>
      <c r="P44" s="70"/>
      <c r="Q44" s="70"/>
    </row>
    <row r="45" spans="1:17" ht="52.5" customHeight="1" thickTop="1" thickBot="1" x14ac:dyDescent="0.25">
      <c r="A45" s="815">
        <v>602400</v>
      </c>
      <c r="B45" s="831" t="s">
        <v>134</v>
      </c>
      <c r="C45" s="822">
        <f>SUM(D45,E45)</f>
        <v>0</v>
      </c>
      <c r="D45" s="822">
        <f>D23</f>
        <v>-318074792.00999999</v>
      </c>
      <c r="E45" s="822">
        <f>E23</f>
        <v>318074792.00999999</v>
      </c>
      <c r="F45" s="822">
        <f>F23</f>
        <v>318074792.00999999</v>
      </c>
      <c r="G45" s="70"/>
      <c r="H45" s="70"/>
      <c r="I45" s="70"/>
      <c r="J45" s="70"/>
      <c r="K45" s="70"/>
      <c r="L45" s="70"/>
      <c r="M45" s="70"/>
      <c r="N45" s="70"/>
      <c r="O45" s="70"/>
      <c r="P45" s="70"/>
      <c r="Q45" s="70"/>
    </row>
    <row r="46" spans="1:17" ht="30" customHeight="1" thickTop="1" thickBot="1" x14ac:dyDescent="0.25">
      <c r="A46" s="820" t="s">
        <v>411</v>
      </c>
      <c r="B46" s="830" t="s">
        <v>410</v>
      </c>
      <c r="C46" s="821">
        <f>C30+C40</f>
        <v>162424246.76999998</v>
      </c>
      <c r="D46" s="821">
        <f>D30+D40</f>
        <v>-235647210.33999997</v>
      </c>
      <c r="E46" s="821">
        <f>E30+E40</f>
        <v>398071457.10999995</v>
      </c>
      <c r="F46" s="821">
        <f>F30+F40</f>
        <v>395810494.33999997</v>
      </c>
      <c r="G46" s="70"/>
      <c r="H46" s="70"/>
      <c r="I46" s="70"/>
      <c r="J46" s="70"/>
      <c r="K46" s="70"/>
      <c r="L46" s="70"/>
      <c r="M46" s="70"/>
      <c r="N46" s="70"/>
      <c r="O46" s="70"/>
      <c r="P46" s="70"/>
      <c r="Q46" s="70"/>
    </row>
    <row r="47" spans="1:17" ht="13.5" thickTop="1" x14ac:dyDescent="0.2">
      <c r="A47" s="40"/>
      <c r="B47" s="40"/>
      <c r="C47" s="40"/>
      <c r="D47" s="40"/>
      <c r="E47" s="40"/>
      <c r="F47" s="40"/>
      <c r="G47" s="40"/>
      <c r="H47" s="40"/>
      <c r="I47" s="40"/>
    </row>
    <row r="48" spans="1:17" ht="45.75" hidden="1" x14ac:dyDescent="0.65">
      <c r="A48" s="40"/>
      <c r="B48" s="839"/>
      <c r="C48" s="839"/>
      <c r="D48" s="839"/>
      <c r="E48" s="839"/>
      <c r="F48" s="839"/>
      <c r="G48" s="839"/>
      <c r="H48" s="839"/>
      <c r="I48" s="839"/>
      <c r="J48" s="839"/>
      <c r="K48" s="839"/>
      <c r="L48" s="839"/>
      <c r="M48" s="839"/>
      <c r="N48" s="839"/>
      <c r="O48" s="839"/>
    </row>
    <row r="49" spans="1:15" ht="16.5" customHeight="1" x14ac:dyDescent="0.65">
      <c r="A49" s="40"/>
      <c r="B49" s="851" t="s">
        <v>1302</v>
      </c>
      <c r="C49" s="852"/>
      <c r="D49" s="788"/>
      <c r="E49" s="794"/>
      <c r="F49" s="794" t="s">
        <v>1303</v>
      </c>
      <c r="G49" s="300"/>
      <c r="H49" s="300"/>
      <c r="I49" s="300"/>
      <c r="J49" s="300"/>
      <c r="K49" s="300"/>
      <c r="L49" s="300"/>
      <c r="M49" s="300"/>
      <c r="N49" s="300"/>
      <c r="O49" s="300"/>
    </row>
    <row r="50" spans="1:15" ht="15.75" hidden="1" x14ac:dyDescent="0.25">
      <c r="A50" s="40"/>
      <c r="B50" s="840" t="s">
        <v>611</v>
      </c>
      <c r="C50" s="840"/>
      <c r="D50" s="841"/>
      <c r="E50" s="40"/>
      <c r="F50" s="41" t="s">
        <v>612</v>
      </c>
      <c r="G50" s="40"/>
      <c r="H50" s="40"/>
      <c r="I50" s="40"/>
    </row>
    <row r="51" spans="1:15" ht="15.75" x14ac:dyDescent="0.25">
      <c r="A51" s="40"/>
      <c r="B51" s="810"/>
      <c r="C51" s="810"/>
      <c r="D51" s="811"/>
      <c r="E51" s="40"/>
      <c r="F51" s="41"/>
      <c r="G51" s="40"/>
      <c r="H51" s="40"/>
      <c r="I51" s="40"/>
    </row>
    <row r="52" spans="1:15" ht="15.75" x14ac:dyDescent="0.25">
      <c r="B52" s="66" t="s">
        <v>611</v>
      </c>
      <c r="F52" s="66" t="s">
        <v>612</v>
      </c>
    </row>
  </sheetData>
  <mergeCells count="14">
    <mergeCell ref="B48:O48"/>
    <mergeCell ref="B50:D50"/>
    <mergeCell ref="A5:F5"/>
    <mergeCell ref="A6:F6"/>
    <mergeCell ref="A8:F8"/>
    <mergeCell ref="A9:F9"/>
    <mergeCell ref="A11:A12"/>
    <mergeCell ref="B11:B12"/>
    <mergeCell ref="C11:C12"/>
    <mergeCell ref="D11:D12"/>
    <mergeCell ref="E11:F11"/>
    <mergeCell ref="A14:F14"/>
    <mergeCell ref="A29:F29"/>
    <mergeCell ref="B49:C49"/>
  </mergeCells>
  <pageMargins left="1.1811023622047245" right="0.44" top="0.39370078740157483" bottom="0.19685039370078741" header="0.39370078740157483" footer="0.15748031496062992"/>
  <pageSetup paperSize="9" scale="81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T333"/>
  <sheetViews>
    <sheetView tabSelected="1" view="pageBreakPreview" zoomScale="25" zoomScaleNormal="25" zoomScaleSheetLayoutView="25" zoomScalePageLayoutView="10" workbookViewId="0">
      <pane ySplit="15" topLeftCell="A304" activePane="bottomLeft" state="frozen"/>
      <selection activeCell="F175" sqref="F175"/>
      <selection pane="bottomLeft" activeCell="C313" sqref="C313"/>
    </sheetView>
  </sheetViews>
  <sheetFormatPr defaultColWidth="9.140625" defaultRowHeight="12.75" x14ac:dyDescent="0.2"/>
  <cols>
    <col min="1" max="1" width="48" style="1" customWidth="1"/>
    <col min="2" max="2" width="52.5703125" style="1" customWidth="1"/>
    <col min="3" max="3" width="65.7109375" style="1" customWidth="1"/>
    <col min="4" max="4" width="106.28515625" style="1" customWidth="1"/>
    <col min="5" max="5" width="66.42578125" style="5" customWidth="1"/>
    <col min="6" max="6" width="62.5703125" style="1" customWidth="1"/>
    <col min="7" max="7" width="59.7109375" style="1" customWidth="1"/>
    <col min="8" max="8" width="48.140625" style="1" customWidth="1"/>
    <col min="9" max="9" width="41.85546875" style="1" customWidth="1"/>
    <col min="10" max="10" width="50.5703125" style="5" customWidth="1"/>
    <col min="11" max="11" width="52.5703125" style="5" customWidth="1"/>
    <col min="12" max="12" width="56.140625" style="1" customWidth="1"/>
    <col min="13" max="13" width="54.85546875" style="1" customWidth="1"/>
    <col min="14" max="14" width="45.28515625" style="1" bestFit="1" customWidth="1"/>
    <col min="15" max="15" width="56.140625" style="1" bestFit="1" customWidth="1"/>
    <col min="16" max="16" width="86.28515625" style="5" customWidth="1"/>
    <col min="17" max="17" width="52.140625" style="192" customWidth="1"/>
    <col min="18" max="18" width="33.85546875" style="192" customWidth="1"/>
    <col min="19" max="19" width="25.85546875" style="133" bestFit="1" customWidth="1"/>
    <col min="20" max="20" width="43.5703125" style="133" bestFit="1" customWidth="1"/>
    <col min="21" max="16384" width="9.140625" style="133"/>
  </cols>
  <sheetData>
    <row r="2" spans="1:18" ht="45.75" x14ac:dyDescent="0.2">
      <c r="D2" s="135"/>
      <c r="E2" s="136"/>
      <c r="F2" s="134"/>
      <c r="G2" s="136"/>
      <c r="H2" s="136"/>
      <c r="I2" s="136"/>
      <c r="J2" s="136"/>
      <c r="K2" s="136"/>
      <c r="L2" s="136"/>
      <c r="M2" s="136"/>
      <c r="N2" s="869" t="s">
        <v>541</v>
      </c>
      <c r="O2" s="835"/>
      <c r="P2" s="835"/>
      <c r="Q2" s="835"/>
    </row>
    <row r="3" spans="1:18" ht="45.75" x14ac:dyDescent="0.2">
      <c r="A3" s="135"/>
      <c r="B3" s="135"/>
      <c r="C3" s="135"/>
      <c r="D3" s="135"/>
      <c r="E3" s="136"/>
      <c r="F3" s="134"/>
      <c r="G3" s="136"/>
      <c r="H3" s="136"/>
      <c r="I3" s="136"/>
      <c r="J3" s="136"/>
      <c r="K3" s="136"/>
      <c r="L3" s="136"/>
      <c r="M3" s="136"/>
      <c r="N3" s="869" t="s">
        <v>1289</v>
      </c>
      <c r="O3" s="870"/>
      <c r="P3" s="870"/>
      <c r="Q3" s="870"/>
    </row>
    <row r="4" spans="1:18" ht="40.700000000000003" customHeight="1" x14ac:dyDescent="0.2">
      <c r="A4" s="163"/>
      <c r="B4" s="163"/>
      <c r="C4" s="163"/>
      <c r="D4" s="163"/>
      <c r="E4" s="170"/>
      <c r="F4" s="162"/>
      <c r="G4" s="170"/>
      <c r="H4" s="170"/>
      <c r="I4" s="170"/>
      <c r="J4" s="170"/>
      <c r="K4" s="170"/>
      <c r="L4" s="170"/>
      <c r="M4" s="170"/>
      <c r="N4" s="170"/>
      <c r="O4" s="869"/>
      <c r="P4" s="871"/>
    </row>
    <row r="5" spans="1:18" ht="45.75" hidden="1" x14ac:dyDescent="0.2">
      <c r="A5" s="163"/>
      <c r="B5" s="163"/>
      <c r="C5" s="163"/>
      <c r="D5" s="163"/>
      <c r="E5" s="170"/>
      <c r="F5" s="162"/>
      <c r="G5" s="170"/>
      <c r="H5" s="170"/>
      <c r="I5" s="170"/>
      <c r="J5" s="170"/>
      <c r="K5" s="170"/>
      <c r="L5" s="170"/>
      <c r="M5" s="170"/>
      <c r="N5" s="170"/>
      <c r="O5" s="163"/>
      <c r="P5" s="162"/>
    </row>
    <row r="6" spans="1:18" ht="45" x14ac:dyDescent="0.2">
      <c r="A6" s="872" t="s">
        <v>689</v>
      </c>
      <c r="B6" s="872"/>
      <c r="C6" s="872"/>
      <c r="D6" s="872"/>
      <c r="E6" s="872"/>
      <c r="F6" s="872"/>
      <c r="G6" s="872"/>
      <c r="H6" s="872"/>
      <c r="I6" s="872"/>
      <c r="J6" s="872"/>
      <c r="K6" s="872"/>
      <c r="L6" s="872"/>
      <c r="M6" s="872"/>
      <c r="N6" s="872"/>
      <c r="O6" s="872"/>
      <c r="P6" s="872"/>
    </row>
    <row r="7" spans="1:18" ht="45" x14ac:dyDescent="0.2">
      <c r="A7" s="872" t="s">
        <v>688</v>
      </c>
      <c r="B7" s="872"/>
      <c r="C7" s="872"/>
      <c r="D7" s="872"/>
      <c r="E7" s="872"/>
      <c r="F7" s="872"/>
      <c r="G7" s="872"/>
      <c r="H7" s="872"/>
      <c r="I7" s="872"/>
      <c r="J7" s="872"/>
      <c r="K7" s="872"/>
      <c r="L7" s="872"/>
      <c r="M7" s="872"/>
      <c r="N7" s="872"/>
      <c r="O7" s="872"/>
      <c r="P7" s="872"/>
    </row>
    <row r="8" spans="1:18" ht="45" x14ac:dyDescent="0.2">
      <c r="A8" s="136"/>
      <c r="B8" s="136"/>
      <c r="C8" s="136"/>
      <c r="D8" s="136"/>
      <c r="E8" s="136"/>
      <c r="F8" s="136"/>
      <c r="G8" s="136"/>
      <c r="H8" s="136"/>
      <c r="I8" s="136"/>
      <c r="J8" s="136"/>
      <c r="K8" s="136"/>
      <c r="L8" s="136"/>
      <c r="M8" s="136"/>
      <c r="N8" s="136"/>
      <c r="O8" s="136"/>
      <c r="P8" s="136"/>
    </row>
    <row r="9" spans="1:18" ht="45.75" x14ac:dyDescent="0.65">
      <c r="A9" s="873">
        <v>22564000000</v>
      </c>
      <c r="B9" s="874"/>
      <c r="C9" s="136"/>
      <c r="D9" s="136"/>
      <c r="E9" s="136"/>
      <c r="F9" s="136"/>
      <c r="G9" s="136"/>
      <c r="H9" s="136"/>
      <c r="I9" s="136"/>
      <c r="J9" s="136"/>
      <c r="K9" s="136"/>
      <c r="L9" s="136"/>
      <c r="M9" s="136"/>
      <c r="N9" s="136"/>
      <c r="O9" s="136"/>
      <c r="P9" s="136"/>
    </row>
    <row r="10" spans="1:18" ht="45.75" x14ac:dyDescent="0.2">
      <c r="A10" s="878" t="s">
        <v>538</v>
      </c>
      <c r="B10" s="879"/>
      <c r="C10" s="136"/>
      <c r="D10" s="136"/>
      <c r="E10" s="136"/>
      <c r="F10" s="136"/>
      <c r="G10" s="136"/>
      <c r="H10" s="136"/>
      <c r="I10" s="136"/>
      <c r="J10" s="136"/>
      <c r="K10" s="136"/>
      <c r="L10" s="136"/>
      <c r="M10" s="136"/>
      <c r="N10" s="136"/>
      <c r="O10" s="136"/>
      <c r="P10" s="136"/>
    </row>
    <row r="11" spans="1:18" ht="53.45" customHeight="1" thickBot="1" x14ac:dyDescent="0.25">
      <c r="A11" s="136"/>
      <c r="B11" s="136"/>
      <c r="C11" s="136"/>
      <c r="D11" s="136"/>
      <c r="E11" s="136"/>
      <c r="F11" s="134"/>
      <c r="G11" s="136"/>
      <c r="H11" s="136"/>
      <c r="I11" s="136"/>
      <c r="J11" s="136"/>
      <c r="K11" s="136"/>
      <c r="L11" s="136"/>
      <c r="M11" s="136"/>
      <c r="N11" s="136"/>
      <c r="O11" s="136"/>
      <c r="P11" s="6" t="s">
        <v>434</v>
      </c>
    </row>
    <row r="12" spans="1:18" ht="62.45" customHeight="1" thickTop="1" thickBot="1" x14ac:dyDescent="0.25">
      <c r="A12" s="877" t="s">
        <v>539</v>
      </c>
      <c r="B12" s="877" t="s">
        <v>540</v>
      </c>
      <c r="C12" s="877" t="s">
        <v>420</v>
      </c>
      <c r="D12" s="877" t="s">
        <v>700</v>
      </c>
      <c r="E12" s="875" t="s">
        <v>12</v>
      </c>
      <c r="F12" s="875"/>
      <c r="G12" s="875"/>
      <c r="H12" s="875"/>
      <c r="I12" s="875"/>
      <c r="J12" s="875" t="s">
        <v>57</v>
      </c>
      <c r="K12" s="875"/>
      <c r="L12" s="875"/>
      <c r="M12" s="875"/>
      <c r="N12" s="875"/>
      <c r="O12" s="876"/>
      <c r="P12" s="875" t="s">
        <v>11</v>
      </c>
    </row>
    <row r="13" spans="1:18" ht="96" customHeight="1" thickTop="1" thickBot="1" x14ac:dyDescent="0.25">
      <c r="A13" s="875"/>
      <c r="B13" s="880"/>
      <c r="C13" s="880"/>
      <c r="D13" s="875"/>
      <c r="E13" s="877" t="s">
        <v>414</v>
      </c>
      <c r="F13" s="877" t="s">
        <v>58</v>
      </c>
      <c r="G13" s="877" t="s">
        <v>13</v>
      </c>
      <c r="H13" s="877"/>
      <c r="I13" s="877" t="s">
        <v>60</v>
      </c>
      <c r="J13" s="877" t="s">
        <v>414</v>
      </c>
      <c r="K13" s="877" t="s">
        <v>415</v>
      </c>
      <c r="L13" s="877" t="s">
        <v>58</v>
      </c>
      <c r="M13" s="877" t="s">
        <v>13</v>
      </c>
      <c r="N13" s="877"/>
      <c r="O13" s="877" t="s">
        <v>60</v>
      </c>
      <c r="P13" s="875"/>
    </row>
    <row r="14" spans="1:18" ht="328.5" customHeight="1" thickTop="1" thickBot="1" x14ac:dyDescent="0.25">
      <c r="A14" s="880"/>
      <c r="B14" s="880"/>
      <c r="C14" s="880"/>
      <c r="D14" s="880"/>
      <c r="E14" s="877"/>
      <c r="F14" s="877"/>
      <c r="G14" s="176" t="s">
        <v>59</v>
      </c>
      <c r="H14" s="176" t="s">
        <v>15</v>
      </c>
      <c r="I14" s="877"/>
      <c r="J14" s="877"/>
      <c r="K14" s="877"/>
      <c r="L14" s="877"/>
      <c r="M14" s="176" t="s">
        <v>59</v>
      </c>
      <c r="N14" s="176" t="s">
        <v>15</v>
      </c>
      <c r="O14" s="877"/>
      <c r="P14" s="875"/>
    </row>
    <row r="15" spans="1:18" s="2" customFormat="1" ht="47.25" thickTop="1" thickBot="1" x14ac:dyDescent="0.25">
      <c r="A15" s="177" t="s">
        <v>2</v>
      </c>
      <c r="B15" s="177" t="s">
        <v>3</v>
      </c>
      <c r="C15" s="177" t="s">
        <v>14</v>
      </c>
      <c r="D15" s="177" t="s">
        <v>5</v>
      </c>
      <c r="E15" s="177" t="s">
        <v>422</v>
      </c>
      <c r="F15" s="177" t="s">
        <v>423</v>
      </c>
      <c r="G15" s="177" t="s">
        <v>424</v>
      </c>
      <c r="H15" s="177" t="s">
        <v>425</v>
      </c>
      <c r="I15" s="177" t="s">
        <v>426</v>
      </c>
      <c r="J15" s="177" t="s">
        <v>427</v>
      </c>
      <c r="K15" s="177" t="s">
        <v>428</v>
      </c>
      <c r="L15" s="177" t="s">
        <v>429</v>
      </c>
      <c r="M15" s="177" t="s">
        <v>430</v>
      </c>
      <c r="N15" s="177" t="s">
        <v>431</v>
      </c>
      <c r="O15" s="177" t="s">
        <v>432</v>
      </c>
      <c r="P15" s="177" t="s">
        <v>433</v>
      </c>
      <c r="Q15" s="193"/>
      <c r="R15" s="194"/>
    </row>
    <row r="16" spans="1:18" s="2" customFormat="1" ht="136.5" thickTop="1" thickBot="1" x14ac:dyDescent="0.25">
      <c r="A16" s="595" t="s">
        <v>165</v>
      </c>
      <c r="B16" s="595"/>
      <c r="C16" s="595"/>
      <c r="D16" s="596" t="s">
        <v>167</v>
      </c>
      <c r="E16" s="597">
        <f>E17</f>
        <v>127704832.59</v>
      </c>
      <c r="F16" s="598">
        <f t="shared" ref="F16:N16" si="0">F17</f>
        <v>127704832.59</v>
      </c>
      <c r="G16" s="598">
        <f t="shared" si="0"/>
        <v>80242670</v>
      </c>
      <c r="H16" s="598">
        <f t="shared" si="0"/>
        <v>3339900</v>
      </c>
      <c r="I16" s="598">
        <f t="shared" si="0"/>
        <v>0</v>
      </c>
      <c r="J16" s="597">
        <f t="shared" si="0"/>
        <v>9969666.5800000001</v>
      </c>
      <c r="K16" s="598">
        <f t="shared" si="0"/>
        <v>5314500</v>
      </c>
      <c r="L16" s="598">
        <f t="shared" si="0"/>
        <v>4606166.58</v>
      </c>
      <c r="M16" s="598">
        <f t="shared" si="0"/>
        <v>0</v>
      </c>
      <c r="N16" s="597">
        <f t="shared" si="0"/>
        <v>0</v>
      </c>
      <c r="O16" s="597">
        <f>O17</f>
        <v>5363500</v>
      </c>
      <c r="P16" s="598">
        <f t="shared" ref="P16" si="1">P17</f>
        <v>137674499.17000002</v>
      </c>
      <c r="Q16" s="195"/>
      <c r="R16" s="195"/>
    </row>
    <row r="17" spans="1:18" s="2" customFormat="1" ht="136.5" thickTop="1" thickBot="1" x14ac:dyDescent="0.25">
      <c r="A17" s="599" t="s">
        <v>166</v>
      </c>
      <c r="B17" s="599"/>
      <c r="C17" s="599"/>
      <c r="D17" s="600" t="s">
        <v>168</v>
      </c>
      <c r="E17" s="601">
        <f>E18+E23+E32+E35</f>
        <v>127704832.59</v>
      </c>
      <c r="F17" s="601">
        <f>F18+F23+F32+F35</f>
        <v>127704832.59</v>
      </c>
      <c r="G17" s="601">
        <f t="shared" ref="G17:I17" si="2">G18+G23+G32+G35</f>
        <v>80242670</v>
      </c>
      <c r="H17" s="601">
        <f t="shared" si="2"/>
        <v>3339900</v>
      </c>
      <c r="I17" s="601">
        <f t="shared" si="2"/>
        <v>0</v>
      </c>
      <c r="J17" s="601">
        <f>L17+O17</f>
        <v>9969666.5800000001</v>
      </c>
      <c r="K17" s="601">
        <f>K18+K23+K32+K35</f>
        <v>5314500</v>
      </c>
      <c r="L17" s="601">
        <f>L18+L23+L32+L35</f>
        <v>4606166.58</v>
      </c>
      <c r="M17" s="601">
        <f t="shared" ref="M17:N17" si="3">M18+M23+M32+M35</f>
        <v>0</v>
      </c>
      <c r="N17" s="601">
        <f t="shared" si="3"/>
        <v>0</v>
      </c>
      <c r="O17" s="601">
        <f>O18+O23+O32+O35</f>
        <v>5363500</v>
      </c>
      <c r="P17" s="602">
        <f>E17+J17</f>
        <v>137674499.17000002</v>
      </c>
      <c r="Q17" s="124" t="b">
        <f>P17=P19+P20+P21+P22+P25+P27+P29+P34+P37+P38+P31+P39</f>
        <v>1</v>
      </c>
      <c r="R17" s="124" t="b">
        <f>K17='d6'!J13</f>
        <v>1</v>
      </c>
    </row>
    <row r="18" spans="1:18" s="423" customFormat="1" ht="47.25" thickTop="1" thickBot="1" x14ac:dyDescent="0.25">
      <c r="A18" s="477" t="s">
        <v>858</v>
      </c>
      <c r="B18" s="477" t="s">
        <v>859</v>
      </c>
      <c r="C18" s="477"/>
      <c r="D18" s="477" t="s">
        <v>860</v>
      </c>
      <c r="E18" s="410">
        <f>SUM(E19:E22)</f>
        <v>111942290</v>
      </c>
      <c r="F18" s="410">
        <f>SUM(F19:F22)</f>
        <v>111942290</v>
      </c>
      <c r="G18" s="410">
        <f t="shared" ref="G18:P18" si="4">SUM(G19:G22)</f>
        <v>80242670</v>
      </c>
      <c r="H18" s="410">
        <f t="shared" si="4"/>
        <v>3339900</v>
      </c>
      <c r="I18" s="410">
        <f t="shared" si="4"/>
        <v>0</v>
      </c>
      <c r="J18" s="410">
        <f t="shared" si="4"/>
        <v>2854500</v>
      </c>
      <c r="K18" s="410">
        <f t="shared" si="4"/>
        <v>2854500</v>
      </c>
      <c r="L18" s="410">
        <f t="shared" si="4"/>
        <v>0</v>
      </c>
      <c r="M18" s="410">
        <f t="shared" si="4"/>
        <v>0</v>
      </c>
      <c r="N18" s="410">
        <f t="shared" si="4"/>
        <v>0</v>
      </c>
      <c r="O18" s="410">
        <f t="shared" si="4"/>
        <v>2854500</v>
      </c>
      <c r="P18" s="410">
        <f t="shared" si="4"/>
        <v>114796790</v>
      </c>
      <c r="Q18" s="387"/>
      <c r="R18" s="387"/>
    </row>
    <row r="19" spans="1:18" ht="321.75" thickTop="1" thickBot="1" x14ac:dyDescent="0.25">
      <c r="A19" s="307" t="s">
        <v>253</v>
      </c>
      <c r="B19" s="307" t="s">
        <v>254</v>
      </c>
      <c r="C19" s="307" t="s">
        <v>255</v>
      </c>
      <c r="D19" s="307" t="s">
        <v>252</v>
      </c>
      <c r="E19" s="306">
        <f t="shared" ref="E19:E37" si="5">F19</f>
        <v>102504000</v>
      </c>
      <c r="F19" s="173">
        <f>((77782670+17112190+1242480+3766300+30000+1650000+50000+1400000+159900+80000+800000)-1948540)+80000+49000+250000</f>
        <v>102504000</v>
      </c>
      <c r="G19" s="173">
        <f>((77782670)-1597170)</f>
        <v>76185500</v>
      </c>
      <c r="H19" s="173">
        <f>(1650000+50000+1400000+159900+80000)</f>
        <v>3339900</v>
      </c>
      <c r="I19" s="173"/>
      <c r="J19" s="306">
        <f t="shared" ref="J19:J27" si="6">L19+O19</f>
        <v>2854500</v>
      </c>
      <c r="K19" s="173">
        <f>(977200+330000+15000+241300)+336000+900000+55000</f>
        <v>2854500</v>
      </c>
      <c r="L19" s="174"/>
      <c r="M19" s="191"/>
      <c r="N19" s="191"/>
      <c r="O19" s="305">
        <f t="shared" ref="O19:O27" si="7">K19</f>
        <v>2854500</v>
      </c>
      <c r="P19" s="306">
        <f>+J19+E19</f>
        <v>105358500</v>
      </c>
      <c r="Q19" s="197"/>
      <c r="R19" s="210" t="b">
        <f>K19='d6'!J14</f>
        <v>1</v>
      </c>
    </row>
    <row r="20" spans="1:18" s="242" customFormat="1" ht="230.25" thickTop="1" thickBot="1" x14ac:dyDescent="0.25">
      <c r="A20" s="307" t="s">
        <v>718</v>
      </c>
      <c r="B20" s="307" t="s">
        <v>257</v>
      </c>
      <c r="C20" s="307" t="s">
        <v>255</v>
      </c>
      <c r="D20" s="307" t="s">
        <v>256</v>
      </c>
      <c r="E20" s="306">
        <f t="shared" ref="E20" si="8">F20</f>
        <v>6253540</v>
      </c>
      <c r="F20" s="173">
        <f>(4305000+1948540)</f>
        <v>6253540</v>
      </c>
      <c r="G20" s="173">
        <f>((2460000)+1597170)</f>
        <v>4057170</v>
      </c>
      <c r="H20" s="173"/>
      <c r="I20" s="173"/>
      <c r="J20" s="306">
        <f t="shared" ref="J20" si="9">L20+O20</f>
        <v>0</v>
      </c>
      <c r="K20" s="173"/>
      <c r="L20" s="174"/>
      <c r="M20" s="191"/>
      <c r="N20" s="191"/>
      <c r="O20" s="305">
        <f t="shared" si="7"/>
        <v>0</v>
      </c>
      <c r="P20" s="306">
        <f>+J20+E20</f>
        <v>6253540</v>
      </c>
      <c r="Q20" s="197"/>
      <c r="R20" s="210"/>
    </row>
    <row r="21" spans="1:18" s="304" customFormat="1" ht="184.5" thickTop="1" thickBot="1" x14ac:dyDescent="0.25">
      <c r="A21" s="314" t="s">
        <v>793</v>
      </c>
      <c r="B21" s="314" t="s">
        <v>391</v>
      </c>
      <c r="C21" s="314" t="s">
        <v>794</v>
      </c>
      <c r="D21" s="314" t="s">
        <v>795</v>
      </c>
      <c r="E21" s="315">
        <f t="shared" ref="E21" si="10">F21</f>
        <v>49000</v>
      </c>
      <c r="F21" s="316">
        <v>49000</v>
      </c>
      <c r="G21" s="316"/>
      <c r="H21" s="316"/>
      <c r="I21" s="316"/>
      <c r="J21" s="315">
        <f t="shared" ref="J21" si="11">L21+O21</f>
        <v>0</v>
      </c>
      <c r="K21" s="316"/>
      <c r="L21" s="317"/>
      <c r="M21" s="318"/>
      <c r="N21" s="318"/>
      <c r="O21" s="319">
        <f t="shared" si="7"/>
        <v>0</v>
      </c>
      <c r="P21" s="315">
        <f>+J21+E21</f>
        <v>49000</v>
      </c>
      <c r="Q21" s="197"/>
      <c r="R21" s="196"/>
    </row>
    <row r="22" spans="1:18" ht="93" thickTop="1" thickBot="1" x14ac:dyDescent="0.25">
      <c r="A22" s="314" t="s">
        <v>268</v>
      </c>
      <c r="B22" s="314" t="s">
        <v>45</v>
      </c>
      <c r="C22" s="314" t="s">
        <v>44</v>
      </c>
      <c r="D22" s="314" t="s">
        <v>269</v>
      </c>
      <c r="E22" s="315">
        <f t="shared" si="5"/>
        <v>3135750</v>
      </c>
      <c r="F22" s="320">
        <f>(3159750-49000)+25000</f>
        <v>3135750</v>
      </c>
      <c r="G22" s="320"/>
      <c r="H22" s="320"/>
      <c r="I22" s="320"/>
      <c r="J22" s="315">
        <f t="shared" si="6"/>
        <v>0</v>
      </c>
      <c r="K22" s="320"/>
      <c r="L22" s="320"/>
      <c r="M22" s="320"/>
      <c r="N22" s="320"/>
      <c r="O22" s="319">
        <f t="shared" si="7"/>
        <v>0</v>
      </c>
      <c r="P22" s="315">
        <f>E22+J22</f>
        <v>3135750</v>
      </c>
      <c r="Q22" s="197"/>
      <c r="R22" s="196"/>
    </row>
    <row r="23" spans="1:18" s="423" customFormat="1" ht="47.25" thickTop="1" thickBot="1" x14ac:dyDescent="0.3">
      <c r="A23" s="477" t="s">
        <v>926</v>
      </c>
      <c r="B23" s="476" t="s">
        <v>927</v>
      </c>
      <c r="C23" s="476"/>
      <c r="D23" s="476" t="s">
        <v>928</v>
      </c>
      <c r="E23" s="411">
        <f t="shared" ref="E23:P23" si="12">SUM(E24:E31)-E24-E26-E28</f>
        <v>6283142.5899999999</v>
      </c>
      <c r="F23" s="411">
        <f t="shared" si="12"/>
        <v>6283142.5899999999</v>
      </c>
      <c r="G23" s="582">
        <f t="shared" si="12"/>
        <v>0</v>
      </c>
      <c r="H23" s="582">
        <f t="shared" si="12"/>
        <v>0</v>
      </c>
      <c r="I23" s="582">
        <f t="shared" si="12"/>
        <v>0</v>
      </c>
      <c r="J23" s="411">
        <f t="shared" si="12"/>
        <v>6155166.5800000019</v>
      </c>
      <c r="K23" s="411">
        <f t="shared" si="12"/>
        <v>1500000</v>
      </c>
      <c r="L23" s="411">
        <f t="shared" si="12"/>
        <v>4606166.58</v>
      </c>
      <c r="M23" s="411">
        <f t="shared" si="12"/>
        <v>0</v>
      </c>
      <c r="N23" s="411">
        <f t="shared" si="12"/>
        <v>0</v>
      </c>
      <c r="O23" s="411">
        <f t="shared" si="12"/>
        <v>1549000</v>
      </c>
      <c r="P23" s="411">
        <f t="shared" si="12"/>
        <v>12438309.170000004</v>
      </c>
      <c r="Q23" s="478"/>
      <c r="R23" s="479"/>
    </row>
    <row r="24" spans="1:18" s="39" customFormat="1" ht="91.5" thickTop="1" thickBot="1" x14ac:dyDescent="0.25">
      <c r="A24" s="425" t="s">
        <v>861</v>
      </c>
      <c r="B24" s="425" t="s">
        <v>862</v>
      </c>
      <c r="C24" s="425"/>
      <c r="D24" s="425" t="s">
        <v>863</v>
      </c>
      <c r="E24" s="384">
        <f>SUM(E25)</f>
        <v>4392400</v>
      </c>
      <c r="F24" s="384">
        <f t="shared" ref="F24:P24" si="13">SUM(F25)</f>
        <v>4392400</v>
      </c>
      <c r="G24" s="384">
        <f t="shared" si="13"/>
        <v>0</v>
      </c>
      <c r="H24" s="384">
        <f t="shared" si="13"/>
        <v>0</v>
      </c>
      <c r="I24" s="384">
        <f t="shared" si="13"/>
        <v>0</v>
      </c>
      <c r="J24" s="384">
        <f t="shared" si="13"/>
        <v>1500000</v>
      </c>
      <c r="K24" s="384">
        <f t="shared" si="13"/>
        <v>1500000</v>
      </c>
      <c r="L24" s="384">
        <f t="shared" si="13"/>
        <v>0</v>
      </c>
      <c r="M24" s="384">
        <f t="shared" si="13"/>
        <v>0</v>
      </c>
      <c r="N24" s="384">
        <f t="shared" si="13"/>
        <v>0</v>
      </c>
      <c r="O24" s="384">
        <f t="shared" si="13"/>
        <v>1500000</v>
      </c>
      <c r="P24" s="384">
        <f t="shared" si="13"/>
        <v>5892400</v>
      </c>
      <c r="Q24" s="480"/>
      <c r="R24" s="481"/>
    </row>
    <row r="25" spans="1:18" ht="93" thickTop="1" thickBot="1" x14ac:dyDescent="0.25">
      <c r="A25" s="314" t="s">
        <v>259</v>
      </c>
      <c r="B25" s="314" t="s">
        <v>260</v>
      </c>
      <c r="C25" s="314" t="s">
        <v>261</v>
      </c>
      <c r="D25" s="314" t="s">
        <v>258</v>
      </c>
      <c r="E25" s="315">
        <f t="shared" si="5"/>
        <v>4392400</v>
      </c>
      <c r="F25" s="320">
        <v>4392400</v>
      </c>
      <c r="G25" s="320"/>
      <c r="H25" s="320"/>
      <c r="I25" s="320"/>
      <c r="J25" s="315">
        <f t="shared" si="6"/>
        <v>1500000</v>
      </c>
      <c r="K25" s="320">
        <v>1500000</v>
      </c>
      <c r="L25" s="320"/>
      <c r="M25" s="320"/>
      <c r="N25" s="320"/>
      <c r="O25" s="319">
        <f t="shared" si="7"/>
        <v>1500000</v>
      </c>
      <c r="P25" s="315">
        <f>+J25+E25</f>
        <v>5892400</v>
      </c>
      <c r="Q25" s="197"/>
      <c r="R25" s="210" t="b">
        <f>K25='d6'!J15</f>
        <v>1</v>
      </c>
    </row>
    <row r="26" spans="1:18" s="79" customFormat="1" ht="136.5" thickTop="1" thickBot="1" x14ac:dyDescent="0.25">
      <c r="A26" s="426" t="s">
        <v>865</v>
      </c>
      <c r="B26" s="426" t="s">
        <v>866</v>
      </c>
      <c r="C26" s="426"/>
      <c r="D26" s="426" t="s">
        <v>864</v>
      </c>
      <c r="E26" s="384">
        <f>SUM(E27)+E28</f>
        <v>1890742.59</v>
      </c>
      <c r="F26" s="384">
        <f t="shared" ref="F26:P26" si="14">SUM(F27)+F28</f>
        <v>1890742.59</v>
      </c>
      <c r="G26" s="384">
        <f t="shared" si="14"/>
        <v>0</v>
      </c>
      <c r="H26" s="384">
        <f t="shared" si="14"/>
        <v>0</v>
      </c>
      <c r="I26" s="384">
        <f t="shared" si="14"/>
        <v>0</v>
      </c>
      <c r="J26" s="384">
        <f t="shared" si="14"/>
        <v>4655166.58</v>
      </c>
      <c r="K26" s="384">
        <f t="shared" si="14"/>
        <v>0</v>
      </c>
      <c r="L26" s="384">
        <f t="shared" si="14"/>
        <v>4606166.58</v>
      </c>
      <c r="M26" s="384">
        <f t="shared" si="14"/>
        <v>0</v>
      </c>
      <c r="N26" s="384">
        <f t="shared" si="14"/>
        <v>0</v>
      </c>
      <c r="O26" s="384">
        <f t="shared" si="14"/>
        <v>49000</v>
      </c>
      <c r="P26" s="384">
        <f t="shared" si="14"/>
        <v>6545909.1699999999</v>
      </c>
      <c r="Q26" s="429"/>
      <c r="R26" s="482"/>
    </row>
    <row r="27" spans="1:18" ht="138.75" thickTop="1" thickBot="1" x14ac:dyDescent="0.25">
      <c r="A27" s="314" t="s">
        <v>321</v>
      </c>
      <c r="B27" s="314" t="s">
        <v>322</v>
      </c>
      <c r="C27" s="314" t="s">
        <v>187</v>
      </c>
      <c r="D27" s="314" t="s">
        <v>478</v>
      </c>
      <c r="E27" s="315">
        <f t="shared" si="5"/>
        <v>290200</v>
      </c>
      <c r="F27" s="320">
        <v>290200</v>
      </c>
      <c r="G27" s="320"/>
      <c r="H27" s="320"/>
      <c r="I27" s="320"/>
      <c r="J27" s="315">
        <f t="shared" si="6"/>
        <v>0</v>
      </c>
      <c r="K27" s="320"/>
      <c r="L27" s="320"/>
      <c r="M27" s="320"/>
      <c r="N27" s="320"/>
      <c r="O27" s="319">
        <f t="shared" si="7"/>
        <v>0</v>
      </c>
      <c r="P27" s="315">
        <f>+J27+E27</f>
        <v>290200</v>
      </c>
      <c r="Q27" s="197"/>
      <c r="R27" s="196"/>
    </row>
    <row r="28" spans="1:18" s="79" customFormat="1" ht="48" thickTop="1" thickBot="1" x14ac:dyDescent="0.25">
      <c r="A28" s="424" t="s">
        <v>868</v>
      </c>
      <c r="B28" s="424" t="s">
        <v>869</v>
      </c>
      <c r="C28" s="424"/>
      <c r="D28" s="427" t="s">
        <v>867</v>
      </c>
      <c r="E28" s="385">
        <f>SUM(E29:E31)</f>
        <v>1600542.59</v>
      </c>
      <c r="F28" s="385">
        <f t="shared" ref="F28:O28" si="15">SUM(F29:F31)</f>
        <v>1600542.59</v>
      </c>
      <c r="G28" s="385">
        <f t="shared" si="15"/>
        <v>0</v>
      </c>
      <c r="H28" s="385">
        <f t="shared" si="15"/>
        <v>0</v>
      </c>
      <c r="I28" s="385">
        <f t="shared" si="15"/>
        <v>0</v>
      </c>
      <c r="J28" s="385">
        <f t="shared" si="15"/>
        <v>4655166.58</v>
      </c>
      <c r="K28" s="385">
        <f t="shared" si="15"/>
        <v>0</v>
      </c>
      <c r="L28" s="385">
        <f t="shared" si="15"/>
        <v>4606166.58</v>
      </c>
      <c r="M28" s="385">
        <f t="shared" si="15"/>
        <v>0</v>
      </c>
      <c r="N28" s="385">
        <f t="shared" si="15"/>
        <v>0</v>
      </c>
      <c r="O28" s="385">
        <f t="shared" si="15"/>
        <v>49000</v>
      </c>
      <c r="P28" s="385">
        <f>E28+J28</f>
        <v>6255709.1699999999</v>
      </c>
      <c r="Q28" s="429"/>
      <c r="R28" s="430"/>
    </row>
    <row r="29" spans="1:18" s="39" customFormat="1" ht="361.5" customHeight="1" thickTop="1" thickBot="1" x14ac:dyDescent="0.7">
      <c r="A29" s="863" t="s">
        <v>367</v>
      </c>
      <c r="B29" s="863" t="s">
        <v>366</v>
      </c>
      <c r="C29" s="863" t="s">
        <v>187</v>
      </c>
      <c r="D29" s="322" t="s">
        <v>476</v>
      </c>
      <c r="E29" s="865">
        <f t="shared" si="5"/>
        <v>0</v>
      </c>
      <c r="F29" s="855"/>
      <c r="G29" s="855"/>
      <c r="H29" s="855"/>
      <c r="I29" s="855"/>
      <c r="J29" s="867">
        <f>L29+O29</f>
        <v>4655166.58</v>
      </c>
      <c r="K29" s="855"/>
      <c r="L29" s="855">
        <f>(1308600+69000+601000+1471600)+1155966.58</f>
        <v>4606166.58</v>
      </c>
      <c r="M29" s="855"/>
      <c r="N29" s="855"/>
      <c r="O29" s="857">
        <v>49000</v>
      </c>
      <c r="P29" s="859">
        <f>E29+J29</f>
        <v>4655166.58</v>
      </c>
      <c r="Q29" s="198"/>
      <c r="R29" s="199"/>
    </row>
    <row r="30" spans="1:18" s="39" customFormat="1" ht="184.5" thickTop="1" thickBot="1" x14ac:dyDescent="0.25">
      <c r="A30" s="864"/>
      <c r="B30" s="866"/>
      <c r="C30" s="864"/>
      <c r="D30" s="323" t="s">
        <v>477</v>
      </c>
      <c r="E30" s="864"/>
      <c r="F30" s="856"/>
      <c r="G30" s="856"/>
      <c r="H30" s="856"/>
      <c r="I30" s="856"/>
      <c r="J30" s="868"/>
      <c r="K30" s="856"/>
      <c r="L30" s="856"/>
      <c r="M30" s="856"/>
      <c r="N30" s="856"/>
      <c r="O30" s="858"/>
      <c r="P30" s="860"/>
      <c r="Q30" s="199"/>
      <c r="R30" s="199"/>
    </row>
    <row r="31" spans="1:18" s="39" customFormat="1" ht="93" thickTop="1" thickBot="1" x14ac:dyDescent="0.25">
      <c r="A31" s="581" t="s">
        <v>1144</v>
      </c>
      <c r="B31" s="581" t="s">
        <v>278</v>
      </c>
      <c r="C31" s="581" t="s">
        <v>187</v>
      </c>
      <c r="D31" s="581" t="s">
        <v>276</v>
      </c>
      <c r="E31" s="582">
        <f>F31</f>
        <v>1600542.59</v>
      </c>
      <c r="F31" s="320">
        <v>1600542.59</v>
      </c>
      <c r="G31" s="320"/>
      <c r="H31" s="320"/>
      <c r="I31" s="320"/>
      <c r="J31" s="582">
        <f>L31+O31</f>
        <v>0</v>
      </c>
      <c r="K31" s="320"/>
      <c r="L31" s="320"/>
      <c r="M31" s="320"/>
      <c r="N31" s="320"/>
      <c r="O31" s="327"/>
      <c r="P31" s="582">
        <f>E31+J31</f>
        <v>1600542.59</v>
      </c>
      <c r="Q31" s="199"/>
      <c r="R31" s="199"/>
    </row>
    <row r="32" spans="1:18" s="39" customFormat="1" ht="46.5" customHeight="1" thickTop="1" thickBot="1" x14ac:dyDescent="0.25">
      <c r="A32" s="477" t="s">
        <v>870</v>
      </c>
      <c r="B32" s="477" t="s">
        <v>871</v>
      </c>
      <c r="C32" s="477"/>
      <c r="D32" s="477" t="s">
        <v>872</v>
      </c>
      <c r="E32" s="410">
        <f>E33</f>
        <v>6359300</v>
      </c>
      <c r="F32" s="410">
        <f t="shared" ref="F32:O32" si="16">F33</f>
        <v>6359300</v>
      </c>
      <c r="G32" s="410">
        <f t="shared" si="16"/>
        <v>0</v>
      </c>
      <c r="H32" s="410">
        <f t="shared" si="16"/>
        <v>0</v>
      </c>
      <c r="I32" s="410">
        <f t="shared" si="16"/>
        <v>0</v>
      </c>
      <c r="J32" s="410">
        <f t="shared" si="16"/>
        <v>0</v>
      </c>
      <c r="K32" s="410">
        <f t="shared" si="16"/>
        <v>0</v>
      </c>
      <c r="L32" s="410">
        <f t="shared" si="16"/>
        <v>0</v>
      </c>
      <c r="M32" s="410">
        <f t="shared" si="16"/>
        <v>0</v>
      </c>
      <c r="N32" s="410">
        <f t="shared" si="16"/>
        <v>0</v>
      </c>
      <c r="O32" s="410">
        <f t="shared" si="16"/>
        <v>0</v>
      </c>
      <c r="P32" s="410">
        <f>P33</f>
        <v>6359300</v>
      </c>
      <c r="Q32" s="199"/>
      <c r="R32" s="199"/>
    </row>
    <row r="33" spans="1:20" s="39" customFormat="1" ht="47.25" thickTop="1" thickBot="1" x14ac:dyDescent="0.25">
      <c r="A33" s="425" t="s">
        <v>873</v>
      </c>
      <c r="B33" s="425" t="s">
        <v>874</v>
      </c>
      <c r="C33" s="425"/>
      <c r="D33" s="425" t="s">
        <v>875</v>
      </c>
      <c r="E33" s="384">
        <f>SUM(E34)</f>
        <v>6359300</v>
      </c>
      <c r="F33" s="384">
        <f t="shared" ref="F33:P33" si="17">SUM(F34)</f>
        <v>6359300</v>
      </c>
      <c r="G33" s="384">
        <f t="shared" si="17"/>
        <v>0</v>
      </c>
      <c r="H33" s="384">
        <f t="shared" si="17"/>
        <v>0</v>
      </c>
      <c r="I33" s="384">
        <f t="shared" si="17"/>
        <v>0</v>
      </c>
      <c r="J33" s="384">
        <f t="shared" si="17"/>
        <v>0</v>
      </c>
      <c r="K33" s="384">
        <f t="shared" si="17"/>
        <v>0</v>
      </c>
      <c r="L33" s="384">
        <f t="shared" si="17"/>
        <v>0</v>
      </c>
      <c r="M33" s="384">
        <f t="shared" si="17"/>
        <v>0</v>
      </c>
      <c r="N33" s="384">
        <f t="shared" si="17"/>
        <v>0</v>
      </c>
      <c r="O33" s="384">
        <f t="shared" si="17"/>
        <v>0</v>
      </c>
      <c r="P33" s="384">
        <f t="shared" si="17"/>
        <v>6359300</v>
      </c>
    </row>
    <row r="34" spans="1:20" ht="93" thickTop="1" thickBot="1" x14ac:dyDescent="0.25">
      <c r="A34" s="314" t="s">
        <v>262</v>
      </c>
      <c r="B34" s="314" t="s">
        <v>263</v>
      </c>
      <c r="C34" s="314" t="s">
        <v>264</v>
      </c>
      <c r="D34" s="314" t="s">
        <v>265</v>
      </c>
      <c r="E34" s="315">
        <f>F34</f>
        <v>6359300</v>
      </c>
      <c r="F34" s="320">
        <v>6359300</v>
      </c>
      <c r="G34" s="320"/>
      <c r="H34" s="320"/>
      <c r="I34" s="320"/>
      <c r="J34" s="315">
        <f>L34+O34</f>
        <v>0</v>
      </c>
      <c r="K34" s="320"/>
      <c r="L34" s="320"/>
      <c r="M34" s="320"/>
      <c r="N34" s="320"/>
      <c r="O34" s="319">
        <f>K34</f>
        <v>0</v>
      </c>
      <c r="P34" s="315">
        <f>E34+J34</f>
        <v>6359300</v>
      </c>
    </row>
    <row r="35" spans="1:20" s="403" customFormat="1" ht="47.25" thickTop="1" thickBot="1" x14ac:dyDescent="0.25">
      <c r="A35" s="477" t="s">
        <v>876</v>
      </c>
      <c r="B35" s="477" t="s">
        <v>877</v>
      </c>
      <c r="C35" s="477"/>
      <c r="D35" s="477" t="s">
        <v>878</v>
      </c>
      <c r="E35" s="410">
        <f t="shared" ref="E35:P35" si="18">E36+E39</f>
        <v>3120100</v>
      </c>
      <c r="F35" s="661">
        <f t="shared" si="18"/>
        <v>3120100</v>
      </c>
      <c r="G35" s="661">
        <f t="shared" si="18"/>
        <v>0</v>
      </c>
      <c r="H35" s="661">
        <f t="shared" si="18"/>
        <v>0</v>
      </c>
      <c r="I35" s="661">
        <f t="shared" si="18"/>
        <v>0</v>
      </c>
      <c r="J35" s="661">
        <f t="shared" si="18"/>
        <v>960000</v>
      </c>
      <c r="K35" s="661">
        <f t="shared" si="18"/>
        <v>960000</v>
      </c>
      <c r="L35" s="661">
        <f t="shared" si="18"/>
        <v>0</v>
      </c>
      <c r="M35" s="661">
        <f t="shared" si="18"/>
        <v>0</v>
      </c>
      <c r="N35" s="661">
        <f t="shared" si="18"/>
        <v>0</v>
      </c>
      <c r="O35" s="661">
        <f t="shared" si="18"/>
        <v>960000</v>
      </c>
      <c r="P35" s="661">
        <f t="shared" si="18"/>
        <v>4080100</v>
      </c>
      <c r="Q35" s="408"/>
      <c r="R35" s="408"/>
    </row>
    <row r="36" spans="1:20" s="39" customFormat="1" ht="271.5" thickTop="1" thickBot="1" x14ac:dyDescent="0.25">
      <c r="A36" s="425" t="s">
        <v>879</v>
      </c>
      <c r="B36" s="425" t="s">
        <v>880</v>
      </c>
      <c r="C36" s="425"/>
      <c r="D36" s="425" t="s">
        <v>881</v>
      </c>
      <c r="E36" s="384">
        <f>SUM(E37:E38)</f>
        <v>420100</v>
      </c>
      <c r="F36" s="384">
        <f t="shared" ref="F36:P36" si="19">SUM(F37:F38)</f>
        <v>420100</v>
      </c>
      <c r="G36" s="384">
        <f t="shared" si="19"/>
        <v>0</v>
      </c>
      <c r="H36" s="384">
        <f t="shared" si="19"/>
        <v>0</v>
      </c>
      <c r="I36" s="384">
        <f t="shared" si="19"/>
        <v>0</v>
      </c>
      <c r="J36" s="384">
        <f t="shared" si="19"/>
        <v>0</v>
      </c>
      <c r="K36" s="384">
        <f t="shared" si="19"/>
        <v>0</v>
      </c>
      <c r="L36" s="384">
        <f t="shared" si="19"/>
        <v>0</v>
      </c>
      <c r="M36" s="384">
        <f t="shared" si="19"/>
        <v>0</v>
      </c>
      <c r="N36" s="384">
        <f t="shared" si="19"/>
        <v>0</v>
      </c>
      <c r="O36" s="384">
        <f t="shared" si="19"/>
        <v>0</v>
      </c>
      <c r="P36" s="384">
        <f t="shared" si="19"/>
        <v>420100</v>
      </c>
      <c r="Q36" s="199"/>
      <c r="R36" s="199"/>
    </row>
    <row r="37" spans="1:20" ht="276" thickTop="1" thickBot="1" x14ac:dyDescent="0.25">
      <c r="A37" s="307" t="s">
        <v>266</v>
      </c>
      <c r="B37" s="307" t="s">
        <v>267</v>
      </c>
      <c r="C37" s="307" t="s">
        <v>45</v>
      </c>
      <c r="D37" s="307" t="s">
        <v>479</v>
      </c>
      <c r="E37" s="306">
        <f t="shared" si="5"/>
        <v>300000</v>
      </c>
      <c r="F37" s="324">
        <v>300000</v>
      </c>
      <c r="G37" s="324"/>
      <c r="H37" s="324"/>
      <c r="I37" s="324"/>
      <c r="J37" s="306">
        <f>L37+O37</f>
        <v>0</v>
      </c>
      <c r="K37" s="324"/>
      <c r="L37" s="324"/>
      <c r="M37" s="324"/>
      <c r="N37" s="324"/>
      <c r="O37" s="305">
        <f>K37</f>
        <v>0</v>
      </c>
      <c r="P37" s="306">
        <f>E37+J37</f>
        <v>300000</v>
      </c>
    </row>
    <row r="38" spans="1:20" s="189" customFormat="1" ht="93" thickTop="1" thickBot="1" x14ac:dyDescent="0.25">
      <c r="A38" s="307" t="s">
        <v>704</v>
      </c>
      <c r="B38" s="307" t="s">
        <v>392</v>
      </c>
      <c r="C38" s="307" t="s">
        <v>45</v>
      </c>
      <c r="D38" s="307" t="s">
        <v>393</v>
      </c>
      <c r="E38" s="306">
        <f t="shared" ref="E38:E39" si="20">F38</f>
        <v>120100</v>
      </c>
      <c r="F38" s="324">
        <v>120100</v>
      </c>
      <c r="G38" s="324"/>
      <c r="H38" s="324"/>
      <c r="I38" s="324"/>
      <c r="J38" s="306">
        <f>L38+O38</f>
        <v>0</v>
      </c>
      <c r="K38" s="324"/>
      <c r="L38" s="324"/>
      <c r="M38" s="324"/>
      <c r="N38" s="324"/>
      <c r="O38" s="305">
        <f>K38</f>
        <v>0</v>
      </c>
      <c r="P38" s="306">
        <f>E38+J38</f>
        <v>120100</v>
      </c>
      <c r="Q38" s="214"/>
      <c r="R38" s="214"/>
    </row>
    <row r="39" spans="1:20" s="656" customFormat="1" ht="271.5" thickTop="1" thickBot="1" x14ac:dyDescent="0.25">
      <c r="A39" s="425" t="s">
        <v>563</v>
      </c>
      <c r="B39" s="425" t="s">
        <v>564</v>
      </c>
      <c r="C39" s="425" t="s">
        <v>45</v>
      </c>
      <c r="D39" s="425" t="s">
        <v>565</v>
      </c>
      <c r="E39" s="384">
        <f t="shared" si="20"/>
        <v>2700000</v>
      </c>
      <c r="F39" s="384">
        <f>500000+400000+80000+400000+80000+60000+200000+80000+300000+500000+100000</f>
        <v>2700000</v>
      </c>
      <c r="G39" s="384"/>
      <c r="H39" s="384"/>
      <c r="I39" s="384"/>
      <c r="J39" s="384">
        <f>L39+O39</f>
        <v>960000</v>
      </c>
      <c r="K39" s="320">
        <f>80000+300000+500000+80000</f>
        <v>960000</v>
      </c>
      <c r="L39" s="384"/>
      <c r="M39" s="384"/>
      <c r="N39" s="384"/>
      <c r="O39" s="384">
        <f>K39</f>
        <v>960000</v>
      </c>
      <c r="P39" s="384">
        <f>E39+J39</f>
        <v>3660000</v>
      </c>
      <c r="Q39" s="665"/>
      <c r="R39" s="124" t="b">
        <f>K39='d6'!J17+'d6'!J16</f>
        <v>1</v>
      </c>
    </row>
    <row r="40" spans="1:20" ht="136.5" thickTop="1" thickBot="1" x14ac:dyDescent="0.25">
      <c r="A40" s="595" t="s">
        <v>169</v>
      </c>
      <c r="B40" s="595"/>
      <c r="C40" s="595"/>
      <c r="D40" s="596" t="s">
        <v>0</v>
      </c>
      <c r="E40" s="597">
        <f>E41</f>
        <v>1577334989.1299999</v>
      </c>
      <c r="F40" s="598">
        <f t="shared" ref="F40" si="21">F41</f>
        <v>1577334989.1299999</v>
      </c>
      <c r="G40" s="598">
        <f>G41</f>
        <v>1111738916.47</v>
      </c>
      <c r="H40" s="598">
        <f>H41</f>
        <v>88639939.789999992</v>
      </c>
      <c r="I40" s="598">
        <f t="shared" ref="I40" si="22">I41</f>
        <v>0</v>
      </c>
      <c r="J40" s="597">
        <f>J41</f>
        <v>185870310.25</v>
      </c>
      <c r="K40" s="598">
        <f>K41</f>
        <v>41973070.250000007</v>
      </c>
      <c r="L40" s="598">
        <f>L41</f>
        <v>142092020</v>
      </c>
      <c r="M40" s="598">
        <f t="shared" ref="M40" si="23">M41</f>
        <v>41217060</v>
      </c>
      <c r="N40" s="597">
        <f>N41</f>
        <v>8654190</v>
      </c>
      <c r="O40" s="597">
        <f>O41</f>
        <v>43778290.250000007</v>
      </c>
      <c r="P40" s="598">
        <f t="shared" ref="P40" si="24">P41</f>
        <v>1763205299.3799999</v>
      </c>
    </row>
    <row r="41" spans="1:20" ht="136.5" thickTop="1" thickBot="1" x14ac:dyDescent="0.25">
      <c r="A41" s="599" t="s">
        <v>170</v>
      </c>
      <c r="B41" s="599"/>
      <c r="C41" s="599"/>
      <c r="D41" s="600" t="s">
        <v>1</v>
      </c>
      <c r="E41" s="601">
        <f>E42+E67</f>
        <v>1577334989.1299999</v>
      </c>
      <c r="F41" s="601">
        <f t="shared" ref="F41:I41" si="25">F42+F67</f>
        <v>1577334989.1299999</v>
      </c>
      <c r="G41" s="601">
        <f t="shared" si="25"/>
        <v>1111738916.47</v>
      </c>
      <c r="H41" s="601">
        <f t="shared" si="25"/>
        <v>88639939.789999992</v>
      </c>
      <c r="I41" s="601">
        <f t="shared" si="25"/>
        <v>0</v>
      </c>
      <c r="J41" s="601">
        <f>L41+O41</f>
        <v>185870310.25</v>
      </c>
      <c r="K41" s="601">
        <f>K42+K67</f>
        <v>41973070.250000007</v>
      </c>
      <c r="L41" s="601">
        <f t="shared" ref="L41:O41" si="26">L42+L67</f>
        <v>142092020</v>
      </c>
      <c r="M41" s="601">
        <f t="shared" si="26"/>
        <v>41217060</v>
      </c>
      <c r="N41" s="601">
        <f t="shared" si="26"/>
        <v>8654190</v>
      </c>
      <c r="O41" s="601">
        <f t="shared" si="26"/>
        <v>43778290.250000007</v>
      </c>
      <c r="P41" s="602">
        <f>E41+J41</f>
        <v>1763205299.3799999</v>
      </c>
      <c r="Q41" s="124" t="b">
        <f>P41=P43+P45+P46+P48+P52+P54+P55+P57+P58+P60+P61+P62+P64+P65+P68+P51+P66</f>
        <v>1</v>
      </c>
      <c r="R41" s="124" t="b">
        <f>K41='d6'!J19</f>
        <v>1</v>
      </c>
    </row>
    <row r="42" spans="1:20" s="403" customFormat="1" ht="47.25" thickTop="1" thickBot="1" x14ac:dyDescent="0.25">
      <c r="A42" s="477" t="s">
        <v>882</v>
      </c>
      <c r="B42" s="477" t="s">
        <v>883</v>
      </c>
      <c r="C42" s="477"/>
      <c r="D42" s="477" t="s">
        <v>884</v>
      </c>
      <c r="E42" s="410">
        <f>E43+E44+E47+E52+E53+E56+E59+E62+E63+E65+E49+E66</f>
        <v>1577334989.1299999</v>
      </c>
      <c r="F42" s="647">
        <f>F43+F44+F47+F52+F53+F56+F59+F62+F63+F65+F49+F66</f>
        <v>1577334989.1299999</v>
      </c>
      <c r="G42" s="647">
        <f>G43+G44+G47+G52+G53+G56+G59+G62+G63+G65+G49+G66</f>
        <v>1111738916.47</v>
      </c>
      <c r="H42" s="647">
        <f>H43+H44+H47+H52+H53+H56+H59+H62+H63+H65+H49+H66</f>
        <v>88639939.789999992</v>
      </c>
      <c r="I42" s="647">
        <f>I43+I44+I47+I52+I53+I56+I59+I62+I63+I65+I49+I66</f>
        <v>0</v>
      </c>
      <c r="J42" s="647">
        <f t="shared" ref="J42:P42" si="27">J43+J44+J47+J52+J53+J56+J59+J62+J63+J65+J49</f>
        <v>185294120.25</v>
      </c>
      <c r="K42" s="647">
        <f>K43+K44+K47+K52+K53+K56+K59+K62+K63+K65+K49+K66</f>
        <v>41973070.250000007</v>
      </c>
      <c r="L42" s="647">
        <f>L43+L44+L47+L52+L53+L56+L59+L62+L63+L65+L49+L66</f>
        <v>142092020</v>
      </c>
      <c r="M42" s="647">
        <f>M43+M44+M47+M52+M53+M56+M59+M62+M63+M65+M49+M66</f>
        <v>41217060</v>
      </c>
      <c r="N42" s="647">
        <f>N43+N44+N47+N52+N53+N56+N59+N62+N63+N65+N49+N66</f>
        <v>8654190</v>
      </c>
      <c r="O42" s="647">
        <f>O43+O44+O47+O52+O53+O56+O59+O62+O63+O65+O49+O66</f>
        <v>43778290.250000007</v>
      </c>
      <c r="P42" s="647">
        <f t="shared" si="27"/>
        <v>1761556674.3800001</v>
      </c>
      <c r="Q42" s="124"/>
      <c r="R42" s="124"/>
    </row>
    <row r="43" spans="1:20" ht="99" customHeight="1" thickTop="1" thickBot="1" x14ac:dyDescent="0.6">
      <c r="A43" s="360" t="s">
        <v>219</v>
      </c>
      <c r="B43" s="360" t="s">
        <v>220</v>
      </c>
      <c r="C43" s="360" t="s">
        <v>222</v>
      </c>
      <c r="D43" s="360" t="s">
        <v>223</v>
      </c>
      <c r="E43" s="361">
        <f>F43</f>
        <v>464539579</v>
      </c>
      <c r="F43" s="324">
        <f>(372491460+6155150+631440+29930200+2557000+20309300+734740+914480+6850060+1542435+90625+530000+37683.94+102316.06+90274+29393+150000+101020+33980+1000000+18794374+1868908)-1600000-400000+14500+180000+1400000-19760+20000</f>
        <v>464539579</v>
      </c>
      <c r="G43" s="324">
        <f>(305204300+12733230+1420850)-1600000</f>
        <v>317758380</v>
      </c>
      <c r="H43" s="324">
        <f>(20309300+734740+914480+6850060+1542435+1159227+80427)+1400000-19760</f>
        <v>32970909</v>
      </c>
      <c r="I43" s="324"/>
      <c r="J43" s="361">
        <f t="shared" ref="J43:J64" si="28">L43+O43</f>
        <v>71919748.370000005</v>
      </c>
      <c r="K43" s="324">
        <f>(800000+3100000+160000+440000+130000+30333+15000+300000+1172122-1172122)+48000+542134.23+700000+500000+500000+59561.14+49000</f>
        <v>7374028.3700000001</v>
      </c>
      <c r="L43" s="324">
        <f>(12568180+2758370+5329340+76070+37006700+2376280+17030+812980+26200+2000+18400+2848150)</f>
        <v>63839700</v>
      </c>
      <c r="M43" s="324">
        <f>(12568180+803420)</f>
        <v>13371600</v>
      </c>
      <c r="N43" s="324">
        <f>(222380+222120+356490+1320+10670+30130)</f>
        <v>843110</v>
      </c>
      <c r="O43" s="359">
        <f>K43+667020+39000</f>
        <v>8080048.3700000001</v>
      </c>
      <c r="P43" s="361">
        <f t="shared" ref="P43:P64" si="29">E43+J43</f>
        <v>536459327.37</v>
      </c>
      <c r="Q43" s="200"/>
      <c r="R43" s="124" t="b">
        <f>K43='d6'!J20+'d6'!J21+'d6'!J22+'d6'!J23+'d6'!J24+'d6'!J25+'d6'!J26+'d6'!J27+'d6'!J28+'d6'!J29+'d6'!J30</f>
        <v>1</v>
      </c>
    </row>
    <row r="44" spans="1:20" s="79" customFormat="1" ht="138.75" thickTop="1" thickBot="1" x14ac:dyDescent="0.6">
      <c r="A44" s="383" t="s">
        <v>224</v>
      </c>
      <c r="B44" s="383" t="s">
        <v>221</v>
      </c>
      <c r="C44" s="383"/>
      <c r="D44" s="383" t="s">
        <v>818</v>
      </c>
      <c r="E44" s="385">
        <f>E45+E46</f>
        <v>310309616.13999999</v>
      </c>
      <c r="F44" s="385">
        <f>F45+F46</f>
        <v>310309616.13999999</v>
      </c>
      <c r="G44" s="385">
        <f t="shared" ref="G44:O44" si="30">G45+G46</f>
        <v>173699335</v>
      </c>
      <c r="H44" s="385">
        <f t="shared" si="30"/>
        <v>42162660.789999999</v>
      </c>
      <c r="I44" s="385">
        <f t="shared" si="30"/>
        <v>0</v>
      </c>
      <c r="J44" s="385">
        <f t="shared" si="30"/>
        <v>71271731.890000001</v>
      </c>
      <c r="K44" s="385">
        <f t="shared" si="30"/>
        <v>18662781.890000004</v>
      </c>
      <c r="L44" s="385">
        <f t="shared" si="30"/>
        <v>51790750</v>
      </c>
      <c r="M44" s="385">
        <f t="shared" si="30"/>
        <v>19457250</v>
      </c>
      <c r="N44" s="385">
        <f t="shared" si="30"/>
        <v>945120</v>
      </c>
      <c r="O44" s="386">
        <f t="shared" si="30"/>
        <v>19480981.890000004</v>
      </c>
      <c r="P44" s="385">
        <f t="shared" si="29"/>
        <v>381581348.02999997</v>
      </c>
      <c r="Q44" s="200"/>
      <c r="R44" s="48"/>
    </row>
    <row r="45" spans="1:20" ht="138.75" thickTop="1" thickBot="1" x14ac:dyDescent="0.6">
      <c r="A45" s="391" t="s">
        <v>815</v>
      </c>
      <c r="B45" s="391" t="s">
        <v>816</v>
      </c>
      <c r="C45" s="391" t="s">
        <v>225</v>
      </c>
      <c r="D45" s="391" t="s">
        <v>817</v>
      </c>
      <c r="E45" s="389">
        <f t="shared" ref="E45:E54" si="31">F45</f>
        <v>288359034.13999999</v>
      </c>
      <c r="F45" s="324">
        <f>(293431677)+314737.33-3489794.54-2700000-2424285.65+35000+199620+70000+155500+5000+5000+85000+126230+99400+45000+150000+50000+20000+40000+49900+662500+80000+34010+1101400+17170-165000-635000+200000+795970</f>
        <v>288359034.13999999</v>
      </c>
      <c r="G45" s="324">
        <f>(665932900-12733230-496181500)</f>
        <v>157018170</v>
      </c>
      <c r="H45" s="324">
        <f>(28409070+505115+696000+1555400+9873130+1177895-1159227+6058967)+314737.33-3489794.54-2700000+662500-165000-635000+200000</f>
        <v>41303792.789999999</v>
      </c>
      <c r="I45" s="324"/>
      <c r="J45" s="389">
        <f t="shared" si="28"/>
        <v>70270690.890000001</v>
      </c>
      <c r="K45" s="324">
        <f>(548818+750000+750000+1000000+200000+750000+400000+2000000+3000000+1970000+500000+500000+50000+50000+300000+92450+1224076-1224076-1970000)+400000+17500+75000+42000+48000+1738790+1007090+500000+292490.88+49000+110000+78000+220000+250000+250000+49000+49000+1261682+92850.01+291970</f>
        <v>17713640.890000004</v>
      </c>
      <c r="L45" s="324">
        <f>(20260670+4446400+3714280+69930+22978640+1904840+107920+944650+28110+4600+143360-2848150)-16400</f>
        <v>51738850</v>
      </c>
      <c r="M45" s="324">
        <f>(20260670-803420)</f>
        <v>19457250</v>
      </c>
      <c r="N45" s="324">
        <f>(315710+155250+435040+38650-30130)</f>
        <v>914520</v>
      </c>
      <c r="O45" s="390">
        <f>(K45+840800-39000)+16400</f>
        <v>18531840.890000004</v>
      </c>
      <c r="P45" s="389">
        <f t="shared" si="29"/>
        <v>358629725.02999997</v>
      </c>
      <c r="Q45" s="200"/>
      <c r="R45" s="387" t="b">
        <f>K45='d6'!J31+'d6'!J32+'d6'!J33+'d6'!J34+'d6'!J35+'d6'!J36+'d6'!J37+'d6'!J38+'d6'!J39+'d6'!J40+'d6'!J41+'d6'!J42+'d6'!J43+'d6'!J44+'d6'!J45+'d6'!J46+'d6'!J47+'d6'!J48+'d6'!J49+'d6'!J50+'d6'!J51+'d6'!J52+'d6'!J53+'d6'!J54</f>
        <v>1</v>
      </c>
      <c r="T45" s="241"/>
    </row>
    <row r="46" spans="1:20" ht="276" thickTop="1" thickBot="1" x14ac:dyDescent="0.25">
      <c r="A46" s="391" t="s">
        <v>825</v>
      </c>
      <c r="B46" s="391" t="s">
        <v>826</v>
      </c>
      <c r="C46" s="391" t="s">
        <v>228</v>
      </c>
      <c r="D46" s="391" t="s">
        <v>546</v>
      </c>
      <c r="E46" s="389">
        <f t="shared" si="31"/>
        <v>21950582</v>
      </c>
      <c r="F46" s="324">
        <f>(21983082)+14000-38115-8385</f>
        <v>21950582</v>
      </c>
      <c r="G46" s="324">
        <f>(18140130-1420850)-38115</f>
        <v>16681165</v>
      </c>
      <c r="H46" s="324">
        <f>(779700+14900+108615+22080-80427)+14000</f>
        <v>858868</v>
      </c>
      <c r="I46" s="324"/>
      <c r="J46" s="389">
        <f t="shared" si="28"/>
        <v>1001041</v>
      </c>
      <c r="K46" s="324">
        <f>(300000+100000+120000+38430+59425+30000-30000)+16386+314900</f>
        <v>949141</v>
      </c>
      <c r="L46" s="324">
        <f>(10100+6900+2500+30600+1800)</f>
        <v>51900</v>
      </c>
      <c r="M46" s="324"/>
      <c r="N46" s="324">
        <f>(18600+800+10600+600)</f>
        <v>30600</v>
      </c>
      <c r="O46" s="390">
        <f>K46</f>
        <v>949141</v>
      </c>
      <c r="P46" s="389">
        <f t="shared" si="29"/>
        <v>22951623</v>
      </c>
      <c r="R46" s="387" t="b">
        <f>K46='d6'!J56+'d6'!J55</f>
        <v>1</v>
      </c>
    </row>
    <row r="47" spans="1:20" s="79" customFormat="1" ht="138.75" thickTop="1" thickBot="1" x14ac:dyDescent="0.25">
      <c r="A47" s="383" t="s">
        <v>547</v>
      </c>
      <c r="B47" s="383" t="s">
        <v>226</v>
      </c>
      <c r="C47" s="383"/>
      <c r="D47" s="383" t="s">
        <v>833</v>
      </c>
      <c r="E47" s="385">
        <f>E48</f>
        <v>608795058</v>
      </c>
      <c r="F47" s="385">
        <f>F48</f>
        <v>608795058</v>
      </c>
      <c r="G47" s="385">
        <f t="shared" ref="G47:P47" si="32">G48</f>
        <v>496181500</v>
      </c>
      <c r="H47" s="385">
        <f t="shared" si="32"/>
        <v>0</v>
      </c>
      <c r="I47" s="385">
        <f t="shared" si="32"/>
        <v>0</v>
      </c>
      <c r="J47" s="385">
        <f t="shared" si="32"/>
        <v>0</v>
      </c>
      <c r="K47" s="385">
        <f t="shared" si="32"/>
        <v>0</v>
      </c>
      <c r="L47" s="385">
        <f t="shared" si="32"/>
        <v>0</v>
      </c>
      <c r="M47" s="385">
        <f t="shared" si="32"/>
        <v>0</v>
      </c>
      <c r="N47" s="385">
        <f t="shared" si="32"/>
        <v>0</v>
      </c>
      <c r="O47" s="385">
        <f t="shared" si="32"/>
        <v>0</v>
      </c>
      <c r="P47" s="385">
        <f t="shared" si="32"/>
        <v>608795058</v>
      </c>
      <c r="Q47" s="408"/>
      <c r="R47" s="430"/>
    </row>
    <row r="48" spans="1:20" s="363" customFormat="1" ht="138.75" thickTop="1" thickBot="1" x14ac:dyDescent="0.25">
      <c r="A48" s="391" t="s">
        <v>834</v>
      </c>
      <c r="B48" s="391" t="s">
        <v>835</v>
      </c>
      <c r="C48" s="391" t="s">
        <v>225</v>
      </c>
      <c r="D48" s="646" t="s">
        <v>817</v>
      </c>
      <c r="E48" s="389">
        <f t="shared" ref="E48" si="33">F48</f>
        <v>608795058</v>
      </c>
      <c r="F48" s="324">
        <v>608795058</v>
      </c>
      <c r="G48" s="324">
        <v>496181500</v>
      </c>
      <c r="H48" s="324"/>
      <c r="I48" s="324"/>
      <c r="J48" s="389">
        <f t="shared" ref="J48" si="34">L48+O48</f>
        <v>0</v>
      </c>
      <c r="K48" s="324"/>
      <c r="L48" s="324"/>
      <c r="M48" s="324"/>
      <c r="N48" s="324"/>
      <c r="O48" s="390">
        <f>K48</f>
        <v>0</v>
      </c>
      <c r="P48" s="389">
        <f t="shared" ref="P48:P51" si="35">E48+J48</f>
        <v>608795058</v>
      </c>
      <c r="Q48" s="369"/>
      <c r="R48" s="196"/>
    </row>
    <row r="49" spans="1:18" s="640" customFormat="1" ht="409.6" thickTop="1" x14ac:dyDescent="0.65">
      <c r="A49" s="892" t="s">
        <v>1196</v>
      </c>
      <c r="B49" s="892" t="s">
        <v>52</v>
      </c>
      <c r="C49" s="892"/>
      <c r="D49" s="653" t="s">
        <v>1199</v>
      </c>
      <c r="E49" s="894">
        <f t="shared" ref="E49:O49" si="36">E51</f>
        <v>0</v>
      </c>
      <c r="F49" s="894">
        <f t="shared" si="36"/>
        <v>0</v>
      </c>
      <c r="G49" s="894">
        <f t="shared" si="36"/>
        <v>0</v>
      </c>
      <c r="H49" s="894">
        <f t="shared" si="36"/>
        <v>0</v>
      </c>
      <c r="I49" s="894">
        <f t="shared" si="36"/>
        <v>0</v>
      </c>
      <c r="J49" s="894">
        <f t="shared" si="36"/>
        <v>6197509.9900000002</v>
      </c>
      <c r="K49" s="894">
        <f t="shared" si="36"/>
        <v>6197509.9900000002</v>
      </c>
      <c r="L49" s="894">
        <f t="shared" si="36"/>
        <v>0</v>
      </c>
      <c r="M49" s="894">
        <f t="shared" si="36"/>
        <v>0</v>
      </c>
      <c r="N49" s="894">
        <f t="shared" si="36"/>
        <v>0</v>
      </c>
      <c r="O49" s="894">
        <f t="shared" si="36"/>
        <v>6197509.9900000002</v>
      </c>
      <c r="P49" s="894">
        <f>E49+J49</f>
        <v>6197509.9900000002</v>
      </c>
      <c r="Q49" s="652"/>
      <c r="R49" s="196"/>
    </row>
    <row r="50" spans="1:18" s="640" customFormat="1" ht="183.75" thickBot="1" x14ac:dyDescent="0.25">
      <c r="A50" s="893"/>
      <c r="B50" s="893"/>
      <c r="C50" s="893"/>
      <c r="D50" s="654" t="s">
        <v>1200</v>
      </c>
      <c r="E50" s="893"/>
      <c r="F50" s="893"/>
      <c r="G50" s="893"/>
      <c r="H50" s="893"/>
      <c r="I50" s="893"/>
      <c r="J50" s="893"/>
      <c r="K50" s="893"/>
      <c r="L50" s="893"/>
      <c r="M50" s="893"/>
      <c r="N50" s="893"/>
      <c r="O50" s="893"/>
      <c r="P50" s="893"/>
      <c r="Q50" s="652"/>
      <c r="R50" s="196"/>
    </row>
    <row r="51" spans="1:18" s="640" customFormat="1" ht="138.75" thickTop="1" thickBot="1" x14ac:dyDescent="0.25">
      <c r="A51" s="646" t="s">
        <v>1197</v>
      </c>
      <c r="B51" s="646" t="s">
        <v>1198</v>
      </c>
      <c r="C51" s="646" t="s">
        <v>225</v>
      </c>
      <c r="D51" s="646" t="s">
        <v>1201</v>
      </c>
      <c r="E51" s="647">
        <f t="shared" ref="E51" si="37">F51</f>
        <v>0</v>
      </c>
      <c r="F51" s="324"/>
      <c r="G51" s="324"/>
      <c r="H51" s="324"/>
      <c r="I51" s="324"/>
      <c r="J51" s="647">
        <f t="shared" ref="J51" si="38">L51+O51</f>
        <v>6197509.9900000002</v>
      </c>
      <c r="K51" s="324">
        <f>700000+700000+2000000+700000+500000+107149.99+400000+400000+690360</f>
        <v>6197509.9900000002</v>
      </c>
      <c r="L51" s="324"/>
      <c r="M51" s="324"/>
      <c r="N51" s="324"/>
      <c r="O51" s="644">
        <f>K51</f>
        <v>6197509.9900000002</v>
      </c>
      <c r="P51" s="647">
        <f t="shared" si="35"/>
        <v>6197509.9900000002</v>
      </c>
      <c r="Q51" s="652"/>
      <c r="R51" s="124" t="b">
        <f>K51='d6'!J65+'d6'!J64+'d6'!J63+'d6'!J62+'d6'!J61+'d6'!J60+'d6'!J59+'d6'!J58+'d6'!J57</f>
        <v>1</v>
      </c>
    </row>
    <row r="52" spans="1:18" ht="184.5" thickTop="1" thickBot="1" x14ac:dyDescent="0.25">
      <c r="A52" s="366" t="s">
        <v>836</v>
      </c>
      <c r="B52" s="366" t="s">
        <v>227</v>
      </c>
      <c r="C52" s="366" t="s">
        <v>202</v>
      </c>
      <c r="D52" s="366" t="s">
        <v>548</v>
      </c>
      <c r="E52" s="364">
        <f t="shared" si="31"/>
        <v>33802238</v>
      </c>
      <c r="F52" s="324">
        <f>(27590745+205730+10500+221500+130820+1620460+33365+388480+37100+8875+121133)+56500+75000+918750+1201665+264366+22418+49800+391485+31000+93850+328696</f>
        <v>33802238</v>
      </c>
      <c r="G52" s="324">
        <f>(22671115)+1201665</f>
        <v>23872780</v>
      </c>
      <c r="H52" s="324">
        <f>(1620460+33365+388480+37100)+56500</f>
        <v>2135905</v>
      </c>
      <c r="I52" s="324"/>
      <c r="J52" s="364">
        <f t="shared" si="28"/>
        <v>8537695</v>
      </c>
      <c r="K52" s="324">
        <f>(761045)+177100+2000000</f>
        <v>2938145</v>
      </c>
      <c r="L52" s="324">
        <f>(1398310+307720+983700+48960+1732500+659140+33260+245150+4900+64910)</f>
        <v>5478550</v>
      </c>
      <c r="M52" s="324">
        <v>1398310</v>
      </c>
      <c r="N52" s="324">
        <f>(14930+1030+228040+1150)</f>
        <v>245150</v>
      </c>
      <c r="O52" s="365">
        <f>K52+121000</f>
        <v>3059145</v>
      </c>
      <c r="P52" s="364">
        <f t="shared" si="29"/>
        <v>42339933</v>
      </c>
      <c r="R52" s="124" t="b">
        <f>K52='d6'!J67+'d6'!J66</f>
        <v>1</v>
      </c>
    </row>
    <row r="53" spans="1:18" s="79" customFormat="1" ht="184.5" thickTop="1" thickBot="1" x14ac:dyDescent="0.25">
      <c r="A53" s="383" t="s">
        <v>229</v>
      </c>
      <c r="B53" s="383" t="s">
        <v>212</v>
      </c>
      <c r="C53" s="383"/>
      <c r="D53" s="383" t="s">
        <v>550</v>
      </c>
      <c r="E53" s="385">
        <f>E54+E55</f>
        <v>116067578.98999999</v>
      </c>
      <c r="F53" s="385">
        <f t="shared" ref="F53:O53" si="39">F54+F55</f>
        <v>116067578.98999999</v>
      </c>
      <c r="G53" s="385">
        <f t="shared" si="39"/>
        <v>69630895.469999999</v>
      </c>
      <c r="H53" s="385">
        <f t="shared" si="39"/>
        <v>10459845</v>
      </c>
      <c r="I53" s="385">
        <f t="shared" si="39"/>
        <v>0</v>
      </c>
      <c r="J53" s="385">
        <f t="shared" si="39"/>
        <v>22456637</v>
      </c>
      <c r="K53" s="385">
        <f t="shared" si="39"/>
        <v>1728217</v>
      </c>
      <c r="L53" s="385">
        <f t="shared" si="39"/>
        <v>20568420</v>
      </c>
      <c r="M53" s="385">
        <f t="shared" si="39"/>
        <v>6797480</v>
      </c>
      <c r="N53" s="385">
        <f t="shared" si="39"/>
        <v>6568900</v>
      </c>
      <c r="O53" s="385">
        <f t="shared" si="39"/>
        <v>1888217</v>
      </c>
      <c r="P53" s="385">
        <f t="shared" si="29"/>
        <v>138524215.99000001</v>
      </c>
      <c r="Q53" s="408"/>
      <c r="R53" s="430"/>
    </row>
    <row r="54" spans="1:18" ht="230.25" thickTop="1" thickBot="1" x14ac:dyDescent="0.25">
      <c r="A54" s="391" t="s">
        <v>837</v>
      </c>
      <c r="B54" s="391" t="s">
        <v>838</v>
      </c>
      <c r="C54" s="391" t="s">
        <v>230</v>
      </c>
      <c r="D54" s="391" t="s">
        <v>839</v>
      </c>
      <c r="E54" s="389">
        <f t="shared" si="31"/>
        <v>98296478.989999995</v>
      </c>
      <c r="F54" s="324">
        <f>(99149586)+227750+30185+47050+160945+1806575+765263-2155895.53-398189.48-455467-6740-34278-840305</f>
        <v>98296478.989999995</v>
      </c>
      <c r="G54" s="324">
        <f>(71786791-14686900)-2155895.53</f>
        <v>54943995.469999999</v>
      </c>
      <c r="H54" s="324">
        <f>(6850730+76600+19000+3448900+561100)-455467-6740-34278</f>
        <v>10459845</v>
      </c>
      <c r="I54" s="324"/>
      <c r="J54" s="389">
        <f>L54+O54</f>
        <v>22456637</v>
      </c>
      <c r="K54" s="324">
        <f>1170637+15000+542580</f>
        <v>1728217</v>
      </c>
      <c r="L54" s="324">
        <f>(6797480+1421290+1203730+12000+1235200+849000+70500+6568900+81500+2101880+60940+71000)+95000</f>
        <v>20568420</v>
      </c>
      <c r="M54" s="324">
        <v>6797480</v>
      </c>
      <c r="N54" s="324">
        <f>(3761200+749500+1883100+35000+140100)</f>
        <v>6568900</v>
      </c>
      <c r="O54" s="390">
        <f>K54+160000</f>
        <v>1888217</v>
      </c>
      <c r="P54" s="389">
        <f t="shared" si="29"/>
        <v>120753115.98999999</v>
      </c>
      <c r="R54" s="124" t="b">
        <f>K54='d6'!J70+'d6'!J69+'d6'!J68</f>
        <v>1</v>
      </c>
    </row>
    <row r="55" spans="1:18" s="363" customFormat="1" ht="230.25" thickTop="1" thickBot="1" x14ac:dyDescent="0.25">
      <c r="A55" s="391" t="s">
        <v>841</v>
      </c>
      <c r="B55" s="391" t="s">
        <v>840</v>
      </c>
      <c r="C55" s="391" t="s">
        <v>230</v>
      </c>
      <c r="D55" s="391" t="s">
        <v>842</v>
      </c>
      <c r="E55" s="389">
        <f t="shared" ref="E55" si="40">F55</f>
        <v>17771100</v>
      </c>
      <c r="F55" s="324">
        <v>17771100</v>
      </c>
      <c r="G55" s="324">
        <v>14686900</v>
      </c>
      <c r="H55" s="324"/>
      <c r="I55" s="324"/>
      <c r="J55" s="389">
        <f>L55+O55</f>
        <v>0</v>
      </c>
      <c r="K55" s="324"/>
      <c r="L55" s="324"/>
      <c r="M55" s="324"/>
      <c r="N55" s="324"/>
      <c r="O55" s="390"/>
      <c r="P55" s="389">
        <f t="shared" ref="P55" si="41">E55+J55</f>
        <v>17771100</v>
      </c>
      <c r="Q55" s="369"/>
      <c r="R55" s="196"/>
    </row>
    <row r="56" spans="1:18" s="79" customFormat="1" ht="93" thickTop="1" thickBot="1" x14ac:dyDescent="0.25">
      <c r="A56" s="383" t="s">
        <v>844</v>
      </c>
      <c r="B56" s="383" t="s">
        <v>843</v>
      </c>
      <c r="C56" s="383"/>
      <c r="D56" s="383" t="s">
        <v>845</v>
      </c>
      <c r="E56" s="385">
        <f>E57+E58</f>
        <v>28031600</v>
      </c>
      <c r="F56" s="385">
        <f t="shared" ref="F56:O56" si="42">F57+F58</f>
        <v>28031600</v>
      </c>
      <c r="G56" s="385">
        <f t="shared" si="42"/>
        <v>20668662</v>
      </c>
      <c r="H56" s="385">
        <f t="shared" si="42"/>
        <v>740115</v>
      </c>
      <c r="I56" s="385">
        <f t="shared" si="42"/>
        <v>0</v>
      </c>
      <c r="J56" s="385">
        <f t="shared" si="42"/>
        <v>414600</v>
      </c>
      <c r="K56" s="385">
        <f t="shared" si="42"/>
        <v>0</v>
      </c>
      <c r="L56" s="385">
        <f t="shared" si="42"/>
        <v>414600</v>
      </c>
      <c r="M56" s="385">
        <f t="shared" si="42"/>
        <v>192420</v>
      </c>
      <c r="N56" s="385">
        <f t="shared" si="42"/>
        <v>51910</v>
      </c>
      <c r="O56" s="385">
        <f t="shared" si="42"/>
        <v>0</v>
      </c>
      <c r="P56" s="385">
        <f>E56+J56</f>
        <v>28446200</v>
      </c>
      <c r="Q56" s="408"/>
      <c r="R56" s="430"/>
    </row>
    <row r="57" spans="1:18" s="363" customFormat="1" ht="93" thickTop="1" thickBot="1" x14ac:dyDescent="0.25">
      <c r="A57" s="391" t="s">
        <v>846</v>
      </c>
      <c r="B57" s="391" t="s">
        <v>847</v>
      </c>
      <c r="C57" s="391" t="s">
        <v>231</v>
      </c>
      <c r="D57" s="391" t="s">
        <v>551</v>
      </c>
      <c r="E57" s="389">
        <f>F57</f>
        <v>27831600</v>
      </c>
      <c r="F57" s="324">
        <f>(27876650+503000+1370+1193900+45500+638560+11800+2700+192610+15890+5070+2700+300+50000-2996350)+53000+151800+63100+20000</f>
        <v>27831600</v>
      </c>
      <c r="G57" s="324">
        <f>(22849710-2181048)</f>
        <v>20668662</v>
      </c>
      <c r="H57" s="324">
        <f>(638560+11800+2700+192610+15890-174445)+53000</f>
        <v>740115</v>
      </c>
      <c r="I57" s="324"/>
      <c r="J57" s="389">
        <f>L57+O57</f>
        <v>414600</v>
      </c>
      <c r="K57" s="324"/>
      <c r="L57" s="324">
        <f>(192420+42340+66010+2500+46010+1210+51910+3000+9200)</f>
        <v>414600</v>
      </c>
      <c r="M57" s="324">
        <v>192420</v>
      </c>
      <c r="N57" s="324">
        <f>(45600+2540+3440+330)</f>
        <v>51910</v>
      </c>
      <c r="O57" s="390">
        <f>K57</f>
        <v>0</v>
      </c>
      <c r="P57" s="389">
        <f>E57+J57</f>
        <v>28246200</v>
      </c>
      <c r="Q57" s="369"/>
      <c r="R57" s="196"/>
    </row>
    <row r="58" spans="1:18" s="363" customFormat="1" ht="93" thickTop="1" thickBot="1" x14ac:dyDescent="0.25">
      <c r="A58" s="391" t="s">
        <v>848</v>
      </c>
      <c r="B58" s="391" t="s">
        <v>849</v>
      </c>
      <c r="C58" s="391" t="s">
        <v>231</v>
      </c>
      <c r="D58" s="391" t="s">
        <v>365</v>
      </c>
      <c r="E58" s="389">
        <f>F58</f>
        <v>200000</v>
      </c>
      <c r="F58" s="324">
        <v>200000</v>
      </c>
      <c r="G58" s="324"/>
      <c r="H58" s="324"/>
      <c r="I58" s="324"/>
      <c r="J58" s="389">
        <f>L58+O58</f>
        <v>0</v>
      </c>
      <c r="K58" s="324"/>
      <c r="L58" s="324"/>
      <c r="M58" s="324"/>
      <c r="N58" s="324"/>
      <c r="O58" s="390">
        <f>K58</f>
        <v>0</v>
      </c>
      <c r="P58" s="389">
        <f>E58+J58</f>
        <v>200000</v>
      </c>
      <c r="Q58" s="369"/>
      <c r="R58" s="196"/>
    </row>
    <row r="59" spans="1:18" s="79" customFormat="1" ht="93" thickTop="1" thickBot="1" x14ac:dyDescent="0.25">
      <c r="A59" s="383" t="s">
        <v>850</v>
      </c>
      <c r="B59" s="383" t="s">
        <v>851</v>
      </c>
      <c r="C59" s="383"/>
      <c r="D59" s="383" t="s">
        <v>462</v>
      </c>
      <c r="E59" s="385">
        <f>E60+E61</f>
        <v>5034485</v>
      </c>
      <c r="F59" s="385">
        <f>F60+F61</f>
        <v>5034485</v>
      </c>
      <c r="G59" s="385">
        <f t="shared" ref="G59:O59" si="43">G60+G61</f>
        <v>3766490</v>
      </c>
      <c r="H59" s="385">
        <f t="shared" si="43"/>
        <v>87755</v>
      </c>
      <c r="I59" s="385">
        <f t="shared" si="43"/>
        <v>0</v>
      </c>
      <c r="J59" s="385">
        <f t="shared" si="43"/>
        <v>50000</v>
      </c>
      <c r="K59" s="385">
        <f t="shared" si="43"/>
        <v>50000</v>
      </c>
      <c r="L59" s="385">
        <f t="shared" si="43"/>
        <v>0</v>
      </c>
      <c r="M59" s="385">
        <f t="shared" si="43"/>
        <v>0</v>
      </c>
      <c r="N59" s="385">
        <f t="shared" si="43"/>
        <v>0</v>
      </c>
      <c r="O59" s="385">
        <f t="shared" si="43"/>
        <v>50000</v>
      </c>
      <c r="P59" s="385">
        <f>E59+J59</f>
        <v>5084485</v>
      </c>
      <c r="Q59" s="408"/>
      <c r="R59" s="430"/>
    </row>
    <row r="60" spans="1:18" s="363" customFormat="1" ht="184.5" thickTop="1" thickBot="1" x14ac:dyDescent="0.25">
      <c r="A60" s="391" t="s">
        <v>852</v>
      </c>
      <c r="B60" s="391" t="s">
        <v>853</v>
      </c>
      <c r="C60" s="391" t="s">
        <v>231</v>
      </c>
      <c r="D60" s="391" t="s">
        <v>854</v>
      </c>
      <c r="E60" s="389">
        <f>F60</f>
        <v>1147685</v>
      </c>
      <c r="F60" s="324">
        <f>(708190+179200+39200+15020+76200+1430+6000+4125+2320)+116000</f>
        <v>1147685</v>
      </c>
      <c r="G60" s="324">
        <f>(580490)</f>
        <v>580490</v>
      </c>
      <c r="H60" s="324">
        <f>(76200+1430+6000+4125)</f>
        <v>87755</v>
      </c>
      <c r="I60" s="324"/>
      <c r="J60" s="389">
        <f>L60+O60</f>
        <v>50000</v>
      </c>
      <c r="K60" s="324">
        <v>50000</v>
      </c>
      <c r="L60" s="324"/>
      <c r="M60" s="324"/>
      <c r="N60" s="324"/>
      <c r="O60" s="390">
        <f>K60</f>
        <v>50000</v>
      </c>
      <c r="P60" s="389">
        <f>E60+J60</f>
        <v>1197685</v>
      </c>
      <c r="Q60" s="369"/>
      <c r="R60" s="124" t="b">
        <f>K60='d6'!J71</f>
        <v>1</v>
      </c>
    </row>
    <row r="61" spans="1:18" s="363" customFormat="1" ht="138.75" thickTop="1" thickBot="1" x14ac:dyDescent="0.25">
      <c r="A61" s="391" t="s">
        <v>855</v>
      </c>
      <c r="B61" s="391" t="s">
        <v>856</v>
      </c>
      <c r="C61" s="391" t="s">
        <v>231</v>
      </c>
      <c r="D61" s="391" t="s">
        <v>857</v>
      </c>
      <c r="E61" s="389">
        <f>F61</f>
        <v>3886800</v>
      </c>
      <c r="F61" s="324">
        <f>(3886800)</f>
        <v>3886800</v>
      </c>
      <c r="G61" s="324">
        <f>(3186000)</f>
        <v>3186000</v>
      </c>
      <c r="H61" s="324"/>
      <c r="I61" s="324"/>
      <c r="J61" s="389">
        <f t="shared" ref="J61" si="44">L61+O61</f>
        <v>0</v>
      </c>
      <c r="K61" s="324"/>
      <c r="L61" s="324"/>
      <c r="M61" s="324"/>
      <c r="N61" s="324"/>
      <c r="O61" s="390">
        <f t="shared" ref="O61" si="45">K61</f>
        <v>0</v>
      </c>
      <c r="P61" s="389">
        <f t="shared" ref="P61" si="46">E61+J61</f>
        <v>3886800</v>
      </c>
      <c r="Q61" s="369"/>
      <c r="R61" s="196"/>
    </row>
    <row r="62" spans="1:18" s="357" customFormat="1" ht="138.75" thickTop="1" thickBot="1" x14ac:dyDescent="0.25">
      <c r="A62" s="360" t="s">
        <v>822</v>
      </c>
      <c r="B62" s="360" t="s">
        <v>823</v>
      </c>
      <c r="C62" s="360" t="s">
        <v>231</v>
      </c>
      <c r="D62" s="360" t="s">
        <v>824</v>
      </c>
      <c r="E62" s="361">
        <f t="shared" ref="E62" si="47">F62</f>
        <v>2060415</v>
      </c>
      <c r="F62" s="324">
        <f>(2996350)-692000-152240-80795-2000-8900</f>
        <v>2060415</v>
      </c>
      <c r="G62" s="324">
        <f>(2181048)-692000</f>
        <v>1489048</v>
      </c>
      <c r="H62" s="324">
        <f>(174445)-80795-2000-8900</f>
        <v>82750</v>
      </c>
      <c r="I62" s="324"/>
      <c r="J62" s="361">
        <f t="shared" ref="J62" si="48">L62+O62</f>
        <v>50000</v>
      </c>
      <c r="K62" s="324">
        <v>50000</v>
      </c>
      <c r="L62" s="324"/>
      <c r="M62" s="324"/>
      <c r="N62" s="324"/>
      <c r="O62" s="359">
        <f t="shared" ref="O62" si="49">K62</f>
        <v>50000</v>
      </c>
      <c r="P62" s="361">
        <f t="shared" ref="P62" si="50">E62+J62</f>
        <v>2110415</v>
      </c>
      <c r="Q62" s="362"/>
      <c r="R62" s="124" t="b">
        <f>K62='d6'!J72</f>
        <v>1</v>
      </c>
    </row>
    <row r="63" spans="1:18" s="39" customFormat="1" ht="230.25" thickTop="1" thickBot="1" x14ac:dyDescent="0.25">
      <c r="A63" s="383" t="s">
        <v>827</v>
      </c>
      <c r="B63" s="383" t="s">
        <v>828</v>
      </c>
      <c r="C63" s="383"/>
      <c r="D63" s="383" t="s">
        <v>829</v>
      </c>
      <c r="E63" s="385">
        <f t="shared" ref="E63:E68" si="51">F63</f>
        <v>2900000</v>
      </c>
      <c r="F63" s="385">
        <f>F64</f>
        <v>2900000</v>
      </c>
      <c r="G63" s="385">
        <f t="shared" ref="G63:I63" si="52">G64</f>
        <v>0</v>
      </c>
      <c r="H63" s="385">
        <f t="shared" si="52"/>
        <v>0</v>
      </c>
      <c r="I63" s="385">
        <f t="shared" si="52"/>
        <v>0</v>
      </c>
      <c r="J63" s="385">
        <f t="shared" si="28"/>
        <v>2000000</v>
      </c>
      <c r="K63" s="385">
        <f>K64</f>
        <v>2000000</v>
      </c>
      <c r="L63" s="385">
        <f t="shared" ref="L63:N63" si="53">L64</f>
        <v>0</v>
      </c>
      <c r="M63" s="385">
        <f t="shared" si="53"/>
        <v>0</v>
      </c>
      <c r="N63" s="385">
        <f t="shared" si="53"/>
        <v>0</v>
      </c>
      <c r="O63" s="385">
        <f>O64</f>
        <v>2000000</v>
      </c>
      <c r="P63" s="385">
        <f t="shared" si="29"/>
        <v>4900000</v>
      </c>
      <c r="Q63" s="199"/>
      <c r="R63" s="48"/>
    </row>
    <row r="64" spans="1:18" s="39" customFormat="1" ht="367.5" thickTop="1" thickBot="1" x14ac:dyDescent="0.25">
      <c r="A64" s="391" t="s">
        <v>830</v>
      </c>
      <c r="B64" s="391" t="s">
        <v>831</v>
      </c>
      <c r="C64" s="391" t="s">
        <v>231</v>
      </c>
      <c r="D64" s="391" t="s">
        <v>832</v>
      </c>
      <c r="E64" s="389">
        <f t="shared" si="51"/>
        <v>2900000</v>
      </c>
      <c r="F64" s="324">
        <f>(2300000+600000)</f>
        <v>2900000</v>
      </c>
      <c r="G64" s="324"/>
      <c r="H64" s="324"/>
      <c r="I64" s="324"/>
      <c r="J64" s="389">
        <f t="shared" si="28"/>
        <v>2000000</v>
      </c>
      <c r="K64" s="324">
        <v>2000000</v>
      </c>
      <c r="L64" s="324"/>
      <c r="M64" s="324"/>
      <c r="N64" s="324"/>
      <c r="O64" s="390">
        <f t="shared" ref="O64" si="54">K64</f>
        <v>2000000</v>
      </c>
      <c r="P64" s="389">
        <f t="shared" si="29"/>
        <v>4900000</v>
      </c>
      <c r="Q64" s="199"/>
      <c r="R64" s="124" t="b">
        <f>'d6'!J73=K64</f>
        <v>1</v>
      </c>
    </row>
    <row r="65" spans="1:18" s="39" customFormat="1" ht="321.75" thickTop="1" thickBot="1" x14ac:dyDescent="0.25">
      <c r="A65" s="360" t="s">
        <v>819</v>
      </c>
      <c r="B65" s="360" t="s">
        <v>820</v>
      </c>
      <c r="C65" s="360" t="s">
        <v>231</v>
      </c>
      <c r="D65" s="360" t="s">
        <v>821</v>
      </c>
      <c r="E65" s="361">
        <f t="shared" si="51"/>
        <v>4721984</v>
      </c>
      <c r="F65" s="324">
        <f>4721984</f>
        <v>4721984</v>
      </c>
      <c r="G65" s="324">
        <f>(1855198+1937278)</f>
        <v>3792476</v>
      </c>
      <c r="H65" s="324"/>
      <c r="I65" s="324"/>
      <c r="J65" s="361">
        <f t="shared" ref="J65" si="55">L65+O65</f>
        <v>2396198</v>
      </c>
      <c r="K65" s="324">
        <v>2396198</v>
      </c>
      <c r="L65" s="324"/>
      <c r="M65" s="324"/>
      <c r="N65" s="324"/>
      <c r="O65" s="359">
        <f t="shared" ref="O65" si="56">K65</f>
        <v>2396198</v>
      </c>
      <c r="P65" s="361">
        <f t="shared" ref="P65" si="57">E65+J65</f>
        <v>7118182</v>
      </c>
      <c r="Q65" s="199"/>
      <c r="R65" s="124" t="b">
        <f>K65='d6'!J74</f>
        <v>1</v>
      </c>
    </row>
    <row r="66" spans="1:18" s="39" customFormat="1" ht="321.75" thickTop="1" thickBot="1" x14ac:dyDescent="0.25">
      <c r="A66" s="701" t="s">
        <v>1244</v>
      </c>
      <c r="B66" s="701" t="s">
        <v>1245</v>
      </c>
      <c r="C66" s="701" t="s">
        <v>231</v>
      </c>
      <c r="D66" s="701" t="s">
        <v>1246</v>
      </c>
      <c r="E66" s="704">
        <f t="shared" ref="E66" si="58">F66</f>
        <v>1072435</v>
      </c>
      <c r="F66" s="324">
        <f>879350+193085</f>
        <v>1072435</v>
      </c>
      <c r="G66" s="324">
        <v>879350</v>
      </c>
      <c r="H66" s="324"/>
      <c r="I66" s="324"/>
      <c r="J66" s="704">
        <f t="shared" ref="J66" si="59">L66+O66</f>
        <v>576190</v>
      </c>
      <c r="K66" s="324">
        <v>576190</v>
      </c>
      <c r="L66" s="324"/>
      <c r="M66" s="324"/>
      <c r="N66" s="324"/>
      <c r="O66" s="703">
        <f t="shared" ref="O66" si="60">K66</f>
        <v>576190</v>
      </c>
      <c r="P66" s="704">
        <f t="shared" ref="P66" si="61">E66+J66</f>
        <v>1648625</v>
      </c>
      <c r="Q66" s="199"/>
      <c r="R66" s="124" t="b">
        <f>K66='d6'!J75</f>
        <v>1</v>
      </c>
    </row>
    <row r="67" spans="1:18" s="39" customFormat="1" ht="91.5" hidden="1" thickTop="1" thickBot="1" x14ac:dyDescent="0.25">
      <c r="A67" s="477" t="s">
        <v>885</v>
      </c>
      <c r="B67" s="477" t="s">
        <v>886</v>
      </c>
      <c r="C67" s="477"/>
      <c r="D67" s="477" t="s">
        <v>887</v>
      </c>
      <c r="E67" s="410">
        <f>SUM(E68)</f>
        <v>0</v>
      </c>
      <c r="F67" s="410">
        <f t="shared" ref="F67:O67" si="62">SUM(F68)</f>
        <v>0</v>
      </c>
      <c r="G67" s="410">
        <f t="shared" si="62"/>
        <v>0</v>
      </c>
      <c r="H67" s="410">
        <f t="shared" si="62"/>
        <v>0</v>
      </c>
      <c r="I67" s="410">
        <f t="shared" si="62"/>
        <v>0</v>
      </c>
      <c r="J67" s="410">
        <f t="shared" si="62"/>
        <v>0</v>
      </c>
      <c r="K67" s="410">
        <f t="shared" si="62"/>
        <v>0</v>
      </c>
      <c r="L67" s="410">
        <f t="shared" si="62"/>
        <v>0</v>
      </c>
      <c r="M67" s="410">
        <f t="shared" si="62"/>
        <v>0</v>
      </c>
      <c r="N67" s="410">
        <f t="shared" si="62"/>
        <v>0</v>
      </c>
      <c r="O67" s="410">
        <f t="shared" si="62"/>
        <v>0</v>
      </c>
      <c r="P67" s="410">
        <f>SUM(P68)</f>
        <v>0</v>
      </c>
      <c r="Q67" s="199"/>
      <c r="R67" s="124"/>
    </row>
    <row r="68" spans="1:18" s="39" customFormat="1" ht="367.5" hidden="1" thickTop="1" thickBot="1" x14ac:dyDescent="0.25">
      <c r="A68" s="366" t="s">
        <v>464</v>
      </c>
      <c r="B68" s="366" t="s">
        <v>465</v>
      </c>
      <c r="C68" s="366" t="s">
        <v>206</v>
      </c>
      <c r="D68" s="366" t="s">
        <v>463</v>
      </c>
      <c r="E68" s="364">
        <f t="shared" si="51"/>
        <v>0</v>
      </c>
      <c r="F68" s="324">
        <f>(2688000)-2688000</f>
        <v>0</v>
      </c>
      <c r="G68" s="324"/>
      <c r="H68" s="324"/>
      <c r="I68" s="324"/>
      <c r="J68" s="364">
        <f>L68+O68</f>
        <v>0</v>
      </c>
      <c r="K68" s="324"/>
      <c r="L68" s="324"/>
      <c r="M68" s="324"/>
      <c r="N68" s="324"/>
      <c r="O68" s="365">
        <f>K68</f>
        <v>0</v>
      </c>
      <c r="P68" s="364">
        <f>E68+J68</f>
        <v>0</v>
      </c>
      <c r="Q68" s="199"/>
      <c r="R68" s="201"/>
    </row>
    <row r="69" spans="1:18" ht="136.5" thickTop="1" thickBot="1" x14ac:dyDescent="0.25">
      <c r="A69" s="595" t="s">
        <v>171</v>
      </c>
      <c r="B69" s="595"/>
      <c r="C69" s="595"/>
      <c r="D69" s="596" t="s">
        <v>18</v>
      </c>
      <c r="E69" s="597">
        <f>E70</f>
        <v>74069474</v>
      </c>
      <c r="F69" s="598">
        <f t="shared" ref="F69:G69" si="63">F70</f>
        <v>74069474</v>
      </c>
      <c r="G69" s="598">
        <f t="shared" si="63"/>
        <v>4186600</v>
      </c>
      <c r="H69" s="598">
        <f>H70</f>
        <v>201540</v>
      </c>
      <c r="I69" s="598">
        <f t="shared" ref="I69" si="64">I70</f>
        <v>0</v>
      </c>
      <c r="J69" s="597">
        <f>J70</f>
        <v>16253823</v>
      </c>
      <c r="K69" s="598">
        <f>K70</f>
        <v>16231823</v>
      </c>
      <c r="L69" s="598">
        <f>L70</f>
        <v>22000</v>
      </c>
      <c r="M69" s="598">
        <f t="shared" ref="M69" si="65">M70</f>
        <v>0</v>
      </c>
      <c r="N69" s="597">
        <f>N70</f>
        <v>0</v>
      </c>
      <c r="O69" s="597">
        <f>O70</f>
        <v>16231823</v>
      </c>
      <c r="P69" s="598">
        <f>P70</f>
        <v>90323297</v>
      </c>
    </row>
    <row r="70" spans="1:18" ht="136.5" thickTop="1" thickBot="1" x14ac:dyDescent="0.25">
      <c r="A70" s="599" t="s">
        <v>172</v>
      </c>
      <c r="B70" s="599"/>
      <c r="C70" s="599"/>
      <c r="D70" s="600" t="s">
        <v>38</v>
      </c>
      <c r="E70" s="601">
        <f>E71+E73+E86</f>
        <v>74069474</v>
      </c>
      <c r="F70" s="601">
        <f t="shared" ref="F70:I70" si="66">F71+F73+F86</f>
        <v>74069474</v>
      </c>
      <c r="G70" s="601">
        <f t="shared" si="66"/>
        <v>4186600</v>
      </c>
      <c r="H70" s="601">
        <f t="shared" si="66"/>
        <v>201540</v>
      </c>
      <c r="I70" s="601">
        <f t="shared" si="66"/>
        <v>0</v>
      </c>
      <c r="J70" s="601">
        <f>L70+O70</f>
        <v>16253823</v>
      </c>
      <c r="K70" s="601">
        <f t="shared" ref="K70:O70" si="67">K71+K73+K86</f>
        <v>16231823</v>
      </c>
      <c r="L70" s="601">
        <f t="shared" si="67"/>
        <v>22000</v>
      </c>
      <c r="M70" s="601">
        <f t="shared" si="67"/>
        <v>0</v>
      </c>
      <c r="N70" s="601">
        <f t="shared" si="67"/>
        <v>0</v>
      </c>
      <c r="O70" s="601">
        <f t="shared" si="67"/>
        <v>16231823</v>
      </c>
      <c r="P70" s="602">
        <f t="shared" ref="P70:P89" si="68">E70+J70</f>
        <v>90323297</v>
      </c>
      <c r="Q70" s="124" t="b">
        <f>P70=P72+P74+P75+P76+P77+P78+P80+P82+P84+P85+P88</f>
        <v>1</v>
      </c>
      <c r="R70" s="124" t="b">
        <f>K70='d6'!J76</f>
        <v>1</v>
      </c>
    </row>
    <row r="71" spans="1:18" s="403" customFormat="1" ht="47.25" thickTop="1" thickBot="1" x14ac:dyDescent="0.25">
      <c r="A71" s="477" t="s">
        <v>888</v>
      </c>
      <c r="B71" s="477" t="s">
        <v>859</v>
      </c>
      <c r="C71" s="477"/>
      <c r="D71" s="477" t="s">
        <v>860</v>
      </c>
      <c r="E71" s="410">
        <f>SUM(E72)</f>
        <v>2447825</v>
      </c>
      <c r="F71" s="410">
        <f t="shared" ref="F71:O71" si="69">SUM(F72)</f>
        <v>2447825</v>
      </c>
      <c r="G71" s="410">
        <f t="shared" si="69"/>
        <v>1821600</v>
      </c>
      <c r="H71" s="410">
        <f t="shared" si="69"/>
        <v>110635</v>
      </c>
      <c r="I71" s="410">
        <f t="shared" si="69"/>
        <v>0</v>
      </c>
      <c r="J71" s="410">
        <f t="shared" si="69"/>
        <v>0</v>
      </c>
      <c r="K71" s="410">
        <f t="shared" si="69"/>
        <v>0</v>
      </c>
      <c r="L71" s="410">
        <f t="shared" si="69"/>
        <v>0</v>
      </c>
      <c r="M71" s="410">
        <f t="shared" si="69"/>
        <v>0</v>
      </c>
      <c r="N71" s="410">
        <f t="shared" si="69"/>
        <v>0</v>
      </c>
      <c r="O71" s="410">
        <f t="shared" si="69"/>
        <v>0</v>
      </c>
      <c r="P71" s="410">
        <f>SUM(P72)</f>
        <v>2447825</v>
      </c>
      <c r="Q71" s="124"/>
      <c r="R71" s="124"/>
    </row>
    <row r="72" spans="1:18" ht="230.25" thickTop="1" thickBot="1" x14ac:dyDescent="0.25">
      <c r="A72" s="347" t="s">
        <v>447</v>
      </c>
      <c r="B72" s="347" t="s">
        <v>257</v>
      </c>
      <c r="C72" s="347" t="s">
        <v>255</v>
      </c>
      <c r="D72" s="347" t="s">
        <v>256</v>
      </c>
      <c r="E72" s="345">
        <f>F72</f>
        <v>2447825</v>
      </c>
      <c r="F72" s="324">
        <f>(1821600+400750+56870+45495+11375+110635+1100)</f>
        <v>2447825</v>
      </c>
      <c r="G72" s="324">
        <f>(1821600)</f>
        <v>1821600</v>
      </c>
      <c r="H72" s="324">
        <f>(1900+27000+81735)</f>
        <v>110635</v>
      </c>
      <c r="I72" s="324"/>
      <c r="J72" s="345">
        <f t="shared" ref="J72:J89" si="70">L72+O72</f>
        <v>0</v>
      </c>
      <c r="K72" s="345"/>
      <c r="L72" s="345"/>
      <c r="M72" s="345"/>
      <c r="N72" s="345"/>
      <c r="O72" s="346">
        <f>K72</f>
        <v>0</v>
      </c>
      <c r="P72" s="345">
        <f t="shared" si="68"/>
        <v>2447825</v>
      </c>
      <c r="Q72" s="201"/>
      <c r="R72" s="201"/>
    </row>
    <row r="73" spans="1:18" s="403" customFormat="1" ht="47.25" thickTop="1" thickBot="1" x14ac:dyDescent="0.25">
      <c r="A73" s="477" t="s">
        <v>889</v>
      </c>
      <c r="B73" s="477" t="s">
        <v>890</v>
      </c>
      <c r="C73" s="477"/>
      <c r="D73" s="477" t="s">
        <v>891</v>
      </c>
      <c r="E73" s="410">
        <f>SUM(E74:E85)-E79-E81-E83</f>
        <v>71621649</v>
      </c>
      <c r="F73" s="410">
        <f t="shared" ref="F73:P73" si="71">SUM(F74:F85)-F79-F81-F83</f>
        <v>71621649</v>
      </c>
      <c r="G73" s="410">
        <f t="shared" si="71"/>
        <v>2365000</v>
      </c>
      <c r="H73" s="410">
        <f t="shared" si="71"/>
        <v>90905</v>
      </c>
      <c r="I73" s="410">
        <f t="shared" si="71"/>
        <v>0</v>
      </c>
      <c r="J73" s="410">
        <f t="shared" si="71"/>
        <v>22000</v>
      </c>
      <c r="K73" s="410">
        <f t="shared" si="71"/>
        <v>0</v>
      </c>
      <c r="L73" s="410">
        <f t="shared" si="71"/>
        <v>22000</v>
      </c>
      <c r="M73" s="410">
        <f t="shared" si="71"/>
        <v>0</v>
      </c>
      <c r="N73" s="410">
        <f t="shared" si="71"/>
        <v>0</v>
      </c>
      <c r="O73" s="410">
        <f t="shared" si="71"/>
        <v>0</v>
      </c>
      <c r="P73" s="410">
        <f t="shared" si="71"/>
        <v>71643649</v>
      </c>
      <c r="Q73" s="201"/>
      <c r="R73" s="201"/>
    </row>
    <row r="74" spans="1:18" ht="93" thickTop="1" thickBot="1" x14ac:dyDescent="0.25">
      <c r="A74" s="347" t="s">
        <v>235</v>
      </c>
      <c r="B74" s="347" t="s">
        <v>232</v>
      </c>
      <c r="C74" s="347" t="s">
        <v>236</v>
      </c>
      <c r="D74" s="347" t="s">
        <v>19</v>
      </c>
      <c r="E74" s="345">
        <f>F74</f>
        <v>15249455</v>
      </c>
      <c r="F74" s="324">
        <f>(14263455+200000+78000)+508000+200000</f>
        <v>15249455</v>
      </c>
      <c r="G74" s="324"/>
      <c r="H74" s="324"/>
      <c r="I74" s="324"/>
      <c r="J74" s="345">
        <f t="shared" si="70"/>
        <v>0</v>
      </c>
      <c r="K74" s="324"/>
      <c r="L74" s="324"/>
      <c r="M74" s="324"/>
      <c r="N74" s="324"/>
      <c r="O74" s="346">
        <f>K74</f>
        <v>0</v>
      </c>
      <c r="P74" s="345">
        <f t="shared" si="68"/>
        <v>15249455</v>
      </c>
      <c r="R74" s="196"/>
    </row>
    <row r="75" spans="1:18" ht="93" thickTop="1" thickBot="1" x14ac:dyDescent="0.25">
      <c r="A75" s="347" t="s">
        <v>555</v>
      </c>
      <c r="B75" s="347" t="s">
        <v>558</v>
      </c>
      <c r="C75" s="347" t="s">
        <v>557</v>
      </c>
      <c r="D75" s="347" t="s">
        <v>556</v>
      </c>
      <c r="E75" s="345">
        <f>F75</f>
        <v>7638429</v>
      </c>
      <c r="F75" s="324">
        <f>(6277220+100000+165100)+122207+973902</f>
        <v>7638429</v>
      </c>
      <c r="G75" s="324"/>
      <c r="H75" s="324"/>
      <c r="I75" s="324"/>
      <c r="J75" s="345">
        <f t="shared" si="70"/>
        <v>0</v>
      </c>
      <c r="K75" s="324"/>
      <c r="L75" s="324"/>
      <c r="M75" s="324"/>
      <c r="N75" s="324"/>
      <c r="O75" s="346"/>
      <c r="P75" s="345">
        <f t="shared" si="68"/>
        <v>7638429</v>
      </c>
      <c r="R75" s="201"/>
    </row>
    <row r="76" spans="1:18" ht="138.75" thickTop="1" thickBot="1" x14ac:dyDescent="0.25">
      <c r="A76" s="347" t="s">
        <v>237</v>
      </c>
      <c r="B76" s="347" t="s">
        <v>238</v>
      </c>
      <c r="C76" s="347" t="s">
        <v>239</v>
      </c>
      <c r="D76" s="347" t="s">
        <v>240</v>
      </c>
      <c r="E76" s="345">
        <f t="shared" ref="E76:E89" si="72">F76</f>
        <v>5291200</v>
      </c>
      <c r="F76" s="324">
        <f>(4320000+100000+31200)+840000</f>
        <v>5291200</v>
      </c>
      <c r="G76" s="324"/>
      <c r="H76" s="324"/>
      <c r="I76" s="324"/>
      <c r="J76" s="345">
        <f t="shared" si="70"/>
        <v>0</v>
      </c>
      <c r="K76" s="324"/>
      <c r="L76" s="324"/>
      <c r="M76" s="324"/>
      <c r="N76" s="324"/>
      <c r="O76" s="346">
        <f>K76</f>
        <v>0</v>
      </c>
      <c r="P76" s="345">
        <f t="shared" si="68"/>
        <v>5291200</v>
      </c>
      <c r="R76" s="201"/>
    </row>
    <row r="77" spans="1:18" ht="138.75" thickTop="1" thickBot="1" x14ac:dyDescent="0.25">
      <c r="A77" s="347" t="s">
        <v>241</v>
      </c>
      <c r="B77" s="347" t="s">
        <v>242</v>
      </c>
      <c r="C77" s="347" t="s">
        <v>243</v>
      </c>
      <c r="D77" s="347" t="s">
        <v>374</v>
      </c>
      <c r="E77" s="345">
        <f t="shared" si="72"/>
        <v>9696090</v>
      </c>
      <c r="F77" s="324">
        <f>(7180650+300000+100000+9100)+748920+336950+50000+265000+705470</f>
        <v>9696090</v>
      </c>
      <c r="G77" s="324"/>
      <c r="H77" s="324"/>
      <c r="I77" s="324"/>
      <c r="J77" s="345">
        <f t="shared" si="70"/>
        <v>0</v>
      </c>
      <c r="K77" s="324"/>
      <c r="L77" s="324"/>
      <c r="M77" s="324"/>
      <c r="N77" s="324"/>
      <c r="O77" s="346">
        <f>K77</f>
        <v>0</v>
      </c>
      <c r="P77" s="345">
        <f t="shared" si="68"/>
        <v>9696090</v>
      </c>
      <c r="R77" s="201"/>
    </row>
    <row r="78" spans="1:18" ht="93" thickTop="1" thickBot="1" x14ac:dyDescent="0.25">
      <c r="A78" s="347" t="s">
        <v>244</v>
      </c>
      <c r="B78" s="347" t="s">
        <v>245</v>
      </c>
      <c r="C78" s="347" t="s">
        <v>246</v>
      </c>
      <c r="D78" s="347" t="s">
        <v>247</v>
      </c>
      <c r="E78" s="345">
        <f t="shared" si="72"/>
        <v>6881935</v>
      </c>
      <c r="F78" s="324">
        <v>6881935</v>
      </c>
      <c r="G78" s="324"/>
      <c r="H78" s="324"/>
      <c r="I78" s="324"/>
      <c r="J78" s="345">
        <f t="shared" si="70"/>
        <v>0</v>
      </c>
      <c r="K78" s="324"/>
      <c r="L78" s="324"/>
      <c r="M78" s="324"/>
      <c r="N78" s="324"/>
      <c r="O78" s="346">
        <f>K78</f>
        <v>0</v>
      </c>
      <c r="P78" s="345">
        <f t="shared" si="68"/>
        <v>6881935</v>
      </c>
      <c r="R78" s="201"/>
    </row>
    <row r="79" spans="1:18" s="403" customFormat="1" ht="93" thickTop="1" thickBot="1" x14ac:dyDescent="0.25">
      <c r="A79" s="383" t="s">
        <v>892</v>
      </c>
      <c r="B79" s="383" t="s">
        <v>893</v>
      </c>
      <c r="C79" s="383"/>
      <c r="D79" s="383" t="s">
        <v>894</v>
      </c>
      <c r="E79" s="385">
        <f>E80</f>
        <v>11147515</v>
      </c>
      <c r="F79" s="385">
        <f t="shared" ref="F79:P79" si="73">F80</f>
        <v>11147515</v>
      </c>
      <c r="G79" s="385">
        <f t="shared" si="73"/>
        <v>0</v>
      </c>
      <c r="H79" s="385">
        <f t="shared" si="73"/>
        <v>0</v>
      </c>
      <c r="I79" s="385">
        <f t="shared" si="73"/>
        <v>0</v>
      </c>
      <c r="J79" s="385">
        <f t="shared" si="73"/>
        <v>0</v>
      </c>
      <c r="K79" s="385">
        <f t="shared" si="73"/>
        <v>0</v>
      </c>
      <c r="L79" s="385">
        <f t="shared" si="73"/>
        <v>0</v>
      </c>
      <c r="M79" s="385">
        <f t="shared" si="73"/>
        <v>0</v>
      </c>
      <c r="N79" s="385">
        <f t="shared" si="73"/>
        <v>0</v>
      </c>
      <c r="O79" s="385">
        <f t="shared" si="73"/>
        <v>0</v>
      </c>
      <c r="P79" s="385">
        <f t="shared" si="73"/>
        <v>11147515</v>
      </c>
      <c r="Q79" s="408"/>
      <c r="R79" s="201"/>
    </row>
    <row r="80" spans="1:18" ht="184.5" thickTop="1" thickBot="1" x14ac:dyDescent="0.25">
      <c r="A80" s="347" t="s">
        <v>248</v>
      </c>
      <c r="B80" s="347" t="s">
        <v>249</v>
      </c>
      <c r="C80" s="347" t="s">
        <v>375</v>
      </c>
      <c r="D80" s="347" t="s">
        <v>250</v>
      </c>
      <c r="E80" s="345">
        <f t="shared" si="72"/>
        <v>11147515</v>
      </c>
      <c r="F80" s="324">
        <f>(10788065+359450)</f>
        <v>11147515</v>
      </c>
      <c r="G80" s="324"/>
      <c r="H80" s="324"/>
      <c r="I80" s="324"/>
      <c r="J80" s="345">
        <f t="shared" si="70"/>
        <v>0</v>
      </c>
      <c r="K80" s="324"/>
      <c r="L80" s="324"/>
      <c r="M80" s="324"/>
      <c r="N80" s="324"/>
      <c r="O80" s="346">
        <f t="shared" ref="O80:O89" si="74">K80</f>
        <v>0</v>
      </c>
      <c r="P80" s="345">
        <f t="shared" si="68"/>
        <v>11147515</v>
      </c>
      <c r="R80" s="201"/>
    </row>
    <row r="81" spans="1:20" s="403" customFormat="1" ht="138.75" thickTop="1" thickBot="1" x14ac:dyDescent="0.25">
      <c r="A81" s="383" t="s">
        <v>895</v>
      </c>
      <c r="B81" s="383" t="s">
        <v>896</v>
      </c>
      <c r="C81" s="383"/>
      <c r="D81" s="383" t="s">
        <v>897</v>
      </c>
      <c r="E81" s="385">
        <f>E82</f>
        <v>9471600</v>
      </c>
      <c r="F81" s="385">
        <f t="shared" ref="F81:P81" si="75">F82</f>
        <v>9471600</v>
      </c>
      <c r="G81" s="385">
        <f t="shared" si="75"/>
        <v>0</v>
      </c>
      <c r="H81" s="385">
        <f t="shared" si="75"/>
        <v>0</v>
      </c>
      <c r="I81" s="385">
        <f t="shared" si="75"/>
        <v>0</v>
      </c>
      <c r="J81" s="385">
        <f t="shared" si="75"/>
        <v>0</v>
      </c>
      <c r="K81" s="385">
        <f t="shared" si="75"/>
        <v>0</v>
      </c>
      <c r="L81" s="385">
        <f t="shared" si="75"/>
        <v>0</v>
      </c>
      <c r="M81" s="385">
        <f t="shared" si="75"/>
        <v>0</v>
      </c>
      <c r="N81" s="385">
        <f t="shared" si="75"/>
        <v>0</v>
      </c>
      <c r="O81" s="385">
        <f t="shared" si="75"/>
        <v>0</v>
      </c>
      <c r="P81" s="385">
        <f t="shared" si="75"/>
        <v>9471600</v>
      </c>
      <c r="Q81" s="408"/>
      <c r="R81" s="201"/>
    </row>
    <row r="82" spans="1:20" ht="138.75" thickTop="1" thickBot="1" x14ac:dyDescent="0.25">
      <c r="A82" s="347" t="s">
        <v>522</v>
      </c>
      <c r="B82" s="347" t="s">
        <v>523</v>
      </c>
      <c r="C82" s="347" t="s">
        <v>251</v>
      </c>
      <c r="D82" s="347" t="s">
        <v>524</v>
      </c>
      <c r="E82" s="345">
        <f t="shared" si="72"/>
        <v>9471600</v>
      </c>
      <c r="F82" s="324">
        <f>(9137200)+334400</f>
        <v>9471600</v>
      </c>
      <c r="G82" s="324"/>
      <c r="H82" s="324"/>
      <c r="I82" s="324"/>
      <c r="J82" s="345">
        <f t="shared" si="70"/>
        <v>0</v>
      </c>
      <c r="K82" s="324"/>
      <c r="L82" s="324"/>
      <c r="M82" s="324"/>
      <c r="N82" s="324"/>
      <c r="O82" s="346">
        <f t="shared" si="74"/>
        <v>0</v>
      </c>
      <c r="P82" s="345">
        <f t="shared" si="68"/>
        <v>9471600</v>
      </c>
      <c r="R82" s="201"/>
    </row>
    <row r="83" spans="1:20" s="403" customFormat="1" ht="138.75" thickTop="1" thickBot="1" x14ac:dyDescent="0.25">
      <c r="A83" s="383" t="s">
        <v>898</v>
      </c>
      <c r="B83" s="383" t="s">
        <v>899</v>
      </c>
      <c r="C83" s="383"/>
      <c r="D83" s="383" t="s">
        <v>900</v>
      </c>
      <c r="E83" s="385">
        <f>SUM(E84:E85)</f>
        <v>6245425</v>
      </c>
      <c r="F83" s="385">
        <f t="shared" ref="F83:P83" si="76">SUM(F84:F85)</f>
        <v>6245425</v>
      </c>
      <c r="G83" s="385">
        <f t="shared" si="76"/>
        <v>2365000</v>
      </c>
      <c r="H83" s="385">
        <f t="shared" si="76"/>
        <v>90905</v>
      </c>
      <c r="I83" s="385">
        <f t="shared" si="76"/>
        <v>0</v>
      </c>
      <c r="J83" s="385">
        <f t="shared" si="76"/>
        <v>22000</v>
      </c>
      <c r="K83" s="385">
        <f t="shared" si="76"/>
        <v>0</v>
      </c>
      <c r="L83" s="385">
        <f t="shared" si="76"/>
        <v>22000</v>
      </c>
      <c r="M83" s="385">
        <f t="shared" si="76"/>
        <v>0</v>
      </c>
      <c r="N83" s="385">
        <f t="shared" si="76"/>
        <v>0</v>
      </c>
      <c r="O83" s="385">
        <f t="shared" si="76"/>
        <v>0</v>
      </c>
      <c r="P83" s="385">
        <f t="shared" si="76"/>
        <v>6267425</v>
      </c>
      <c r="Q83" s="408"/>
      <c r="R83" s="201"/>
    </row>
    <row r="84" spans="1:20" s="39" customFormat="1" ht="138.75" thickTop="1" thickBot="1" x14ac:dyDescent="0.25">
      <c r="A84" s="347" t="s">
        <v>349</v>
      </c>
      <c r="B84" s="347" t="s">
        <v>351</v>
      </c>
      <c r="C84" s="347" t="s">
        <v>251</v>
      </c>
      <c r="D84" s="353" t="s">
        <v>347</v>
      </c>
      <c r="E84" s="345">
        <f t="shared" si="72"/>
        <v>3229425</v>
      </c>
      <c r="F84" s="324">
        <f>(2365000+520300+93000+157000+3220+90905)</f>
        <v>3229425</v>
      </c>
      <c r="G84" s="324">
        <f>(2365000)</f>
        <v>2365000</v>
      </c>
      <c r="H84" s="324">
        <f>(1900+22650+55260+11095)</f>
        <v>90905</v>
      </c>
      <c r="I84" s="324"/>
      <c r="J84" s="345">
        <f t="shared" si="70"/>
        <v>22000</v>
      </c>
      <c r="K84" s="324"/>
      <c r="L84" s="324">
        <v>22000</v>
      </c>
      <c r="M84" s="324"/>
      <c r="N84" s="324"/>
      <c r="O84" s="346">
        <f t="shared" si="74"/>
        <v>0</v>
      </c>
      <c r="P84" s="345">
        <f t="shared" si="68"/>
        <v>3251425</v>
      </c>
      <c r="Q84" s="199"/>
      <c r="R84" s="201"/>
    </row>
    <row r="85" spans="1:20" s="39" customFormat="1" ht="93" thickTop="1" thickBot="1" x14ac:dyDescent="0.25">
      <c r="A85" s="347" t="s">
        <v>350</v>
      </c>
      <c r="B85" s="347" t="s">
        <v>352</v>
      </c>
      <c r="C85" s="347" t="s">
        <v>251</v>
      </c>
      <c r="D85" s="353" t="s">
        <v>348</v>
      </c>
      <c r="E85" s="345">
        <f t="shared" si="72"/>
        <v>3016000</v>
      </c>
      <c r="F85" s="324">
        <f>(3016000)</f>
        <v>3016000</v>
      </c>
      <c r="G85" s="324"/>
      <c r="H85" s="324"/>
      <c r="I85" s="324"/>
      <c r="J85" s="345">
        <f t="shared" si="70"/>
        <v>0</v>
      </c>
      <c r="K85" s="324"/>
      <c r="L85" s="324"/>
      <c r="M85" s="324"/>
      <c r="N85" s="324"/>
      <c r="O85" s="346">
        <f t="shared" si="74"/>
        <v>0</v>
      </c>
      <c r="P85" s="345">
        <f t="shared" si="68"/>
        <v>3016000</v>
      </c>
      <c r="Q85" s="199"/>
      <c r="R85" s="201"/>
    </row>
    <row r="86" spans="1:20" s="39" customFormat="1" ht="47.25" thickTop="1" thickBot="1" x14ac:dyDescent="0.25">
      <c r="A86" s="477" t="s">
        <v>929</v>
      </c>
      <c r="B86" s="476" t="s">
        <v>927</v>
      </c>
      <c r="C86" s="476"/>
      <c r="D86" s="476" t="s">
        <v>928</v>
      </c>
      <c r="E86" s="410">
        <f>SUM(E87)</f>
        <v>0</v>
      </c>
      <c r="F86" s="410">
        <f t="shared" ref="F86:P86" si="77">SUM(F87)</f>
        <v>0</v>
      </c>
      <c r="G86" s="410">
        <f t="shared" si="77"/>
        <v>0</v>
      </c>
      <c r="H86" s="410">
        <f t="shared" si="77"/>
        <v>0</v>
      </c>
      <c r="I86" s="410">
        <f t="shared" si="77"/>
        <v>0</v>
      </c>
      <c r="J86" s="410">
        <f t="shared" si="77"/>
        <v>16231823</v>
      </c>
      <c r="K86" s="410">
        <f t="shared" si="77"/>
        <v>16231823</v>
      </c>
      <c r="L86" s="410">
        <f t="shared" si="77"/>
        <v>0</v>
      </c>
      <c r="M86" s="410">
        <f t="shared" si="77"/>
        <v>0</v>
      </c>
      <c r="N86" s="410">
        <f t="shared" si="77"/>
        <v>0</v>
      </c>
      <c r="O86" s="410">
        <f t="shared" si="77"/>
        <v>16231823</v>
      </c>
      <c r="P86" s="410">
        <f t="shared" si="77"/>
        <v>16231823</v>
      </c>
      <c r="Q86" s="199"/>
      <c r="R86" s="201"/>
    </row>
    <row r="87" spans="1:20" s="423" customFormat="1" ht="136.5" thickTop="1" thickBot="1" x14ac:dyDescent="0.25">
      <c r="A87" s="425" t="s">
        <v>901</v>
      </c>
      <c r="B87" s="425" t="s">
        <v>866</v>
      </c>
      <c r="C87" s="425"/>
      <c r="D87" s="425" t="s">
        <v>864</v>
      </c>
      <c r="E87" s="384">
        <f>SUM(E88)</f>
        <v>0</v>
      </c>
      <c r="F87" s="384">
        <f t="shared" ref="F87:P87" si="78">SUM(F88)</f>
        <v>0</v>
      </c>
      <c r="G87" s="384">
        <f t="shared" si="78"/>
        <v>0</v>
      </c>
      <c r="H87" s="384">
        <f t="shared" si="78"/>
        <v>0</v>
      </c>
      <c r="I87" s="384">
        <f t="shared" si="78"/>
        <v>0</v>
      </c>
      <c r="J87" s="384">
        <f t="shared" si="78"/>
        <v>16231823</v>
      </c>
      <c r="K87" s="384">
        <f t="shared" si="78"/>
        <v>16231823</v>
      </c>
      <c r="L87" s="384">
        <f t="shared" si="78"/>
        <v>0</v>
      </c>
      <c r="M87" s="384">
        <f t="shared" si="78"/>
        <v>0</v>
      </c>
      <c r="N87" s="384">
        <f t="shared" si="78"/>
        <v>0</v>
      </c>
      <c r="O87" s="384">
        <f t="shared" si="78"/>
        <v>16231823</v>
      </c>
      <c r="P87" s="384">
        <f t="shared" si="78"/>
        <v>16231823</v>
      </c>
      <c r="Q87" s="428"/>
      <c r="R87" s="431"/>
    </row>
    <row r="88" spans="1:20" s="39" customFormat="1" ht="93" thickTop="1" thickBot="1" x14ac:dyDescent="0.25">
      <c r="A88" s="347" t="s">
        <v>469</v>
      </c>
      <c r="B88" s="347" t="s">
        <v>218</v>
      </c>
      <c r="C88" s="347" t="s">
        <v>187</v>
      </c>
      <c r="D88" s="347" t="s">
        <v>36</v>
      </c>
      <c r="E88" s="345">
        <f t="shared" si="72"/>
        <v>0</v>
      </c>
      <c r="F88" s="324"/>
      <c r="G88" s="324"/>
      <c r="H88" s="324"/>
      <c r="I88" s="324"/>
      <c r="J88" s="345">
        <f t="shared" si="70"/>
        <v>16231823</v>
      </c>
      <c r="K88" s="324">
        <f>(5413599+372664+500000+500000+201012+437500)+800000+355048+952000-100000+6800000</f>
        <v>16231823</v>
      </c>
      <c r="L88" s="324"/>
      <c r="M88" s="324"/>
      <c r="N88" s="324"/>
      <c r="O88" s="346">
        <f t="shared" si="74"/>
        <v>16231823</v>
      </c>
      <c r="P88" s="345">
        <f t="shared" si="68"/>
        <v>16231823</v>
      </c>
      <c r="Q88" s="199"/>
      <c r="R88" s="124" t="b">
        <f>K88='d6'!J89+'d6'!J88+'d6'!J87+'d6'!J86+'d6'!J85+'d6'!J84+'d6'!J83+'d6'!J82+'d6'!J81+'d6'!J80+'d6'!J79+'d6'!J78+'d6'!J90</f>
        <v>1</v>
      </c>
    </row>
    <row r="89" spans="1:20" s="39" customFormat="1" ht="93" hidden="1" thickTop="1" thickBot="1" x14ac:dyDescent="0.25">
      <c r="A89" s="158" t="s">
        <v>559</v>
      </c>
      <c r="B89" s="158" t="s">
        <v>392</v>
      </c>
      <c r="C89" s="158" t="s">
        <v>45</v>
      </c>
      <c r="D89" s="158" t="s">
        <v>393</v>
      </c>
      <c r="E89" s="157">
        <f t="shared" si="72"/>
        <v>0</v>
      </c>
      <c r="F89" s="159"/>
      <c r="G89" s="159"/>
      <c r="H89" s="159"/>
      <c r="I89" s="159"/>
      <c r="J89" s="157">
        <f t="shared" si="70"/>
        <v>0</v>
      </c>
      <c r="K89" s="159"/>
      <c r="L89" s="159"/>
      <c r="M89" s="159"/>
      <c r="N89" s="159"/>
      <c r="O89" s="160">
        <f t="shared" si="74"/>
        <v>0</v>
      </c>
      <c r="P89" s="157">
        <f t="shared" si="68"/>
        <v>0</v>
      </c>
      <c r="Q89" s="199"/>
      <c r="R89" s="196"/>
    </row>
    <row r="90" spans="1:20" ht="226.5" thickTop="1" thickBot="1" x14ac:dyDescent="0.25">
      <c r="A90" s="595" t="s">
        <v>173</v>
      </c>
      <c r="B90" s="595"/>
      <c r="C90" s="595"/>
      <c r="D90" s="596" t="s">
        <v>39</v>
      </c>
      <c r="E90" s="597">
        <f>E91</f>
        <v>218329629</v>
      </c>
      <c r="F90" s="598">
        <f t="shared" ref="F90:G90" si="79">F91</f>
        <v>218329629</v>
      </c>
      <c r="G90" s="598">
        <f t="shared" si="79"/>
        <v>68381820</v>
      </c>
      <c r="H90" s="598">
        <f>H91</f>
        <v>2088707</v>
      </c>
      <c r="I90" s="598">
        <f t="shared" ref="I90" si="80">I91</f>
        <v>0</v>
      </c>
      <c r="J90" s="597">
        <f>J91</f>
        <v>6906780</v>
      </c>
      <c r="K90" s="598">
        <f>K91</f>
        <v>6289780</v>
      </c>
      <c r="L90" s="598">
        <f>L91</f>
        <v>617000</v>
      </c>
      <c r="M90" s="598">
        <f t="shared" ref="M90" si="81">M91</f>
        <v>104000</v>
      </c>
      <c r="N90" s="597">
        <f>N91</f>
        <v>137000</v>
      </c>
      <c r="O90" s="597">
        <f>O91</f>
        <v>6289780</v>
      </c>
      <c r="P90" s="598">
        <f>P91</f>
        <v>225236409</v>
      </c>
    </row>
    <row r="91" spans="1:20" ht="226.5" thickTop="1" thickBot="1" x14ac:dyDescent="0.25">
      <c r="A91" s="599" t="s">
        <v>174</v>
      </c>
      <c r="B91" s="599"/>
      <c r="C91" s="599"/>
      <c r="D91" s="600" t="s">
        <v>40</v>
      </c>
      <c r="E91" s="601">
        <f>E92+E96+E120+E123</f>
        <v>218329629</v>
      </c>
      <c r="F91" s="601">
        <f t="shared" ref="F91:I91" si="82">F92+F96+F120+F123</f>
        <v>218329629</v>
      </c>
      <c r="G91" s="601">
        <f t="shared" si="82"/>
        <v>68381820</v>
      </c>
      <c r="H91" s="601">
        <f t="shared" si="82"/>
        <v>2088707</v>
      </c>
      <c r="I91" s="601">
        <f t="shared" si="82"/>
        <v>0</v>
      </c>
      <c r="J91" s="601">
        <f t="shared" ref="J91:J116" si="83">L91+O91</f>
        <v>6906780</v>
      </c>
      <c r="K91" s="601">
        <f t="shared" ref="K91:O91" si="84">K92+K96+K120+K123</f>
        <v>6289780</v>
      </c>
      <c r="L91" s="601">
        <f t="shared" si="84"/>
        <v>617000</v>
      </c>
      <c r="M91" s="601">
        <f t="shared" si="84"/>
        <v>104000</v>
      </c>
      <c r="N91" s="601">
        <f t="shared" si="84"/>
        <v>137000</v>
      </c>
      <c r="O91" s="601">
        <f t="shared" si="84"/>
        <v>6289780</v>
      </c>
      <c r="P91" s="602">
        <f t="shared" ref="P91:P108" si="85">E91+J91</f>
        <v>225236409</v>
      </c>
      <c r="Q91" s="125" t="b">
        <f>P91=P93+P94+P98+P99+P100+P101+P102+P107+P108+P109+P112+P114+P116+P118+P119+P122+P129+P103+P105+P111+P95+P104+P126</f>
        <v>1</v>
      </c>
      <c r="R91" s="243" t="b">
        <f>K91='d6'!J92</f>
        <v>1</v>
      </c>
      <c r="S91" s="243" t="b">
        <f>P91=P92+P96+P120+P123</f>
        <v>1</v>
      </c>
      <c r="T91" s="125"/>
    </row>
    <row r="92" spans="1:20" s="409" customFormat="1" ht="47.25" thickTop="1" thickBot="1" x14ac:dyDescent="0.25">
      <c r="A92" s="477" t="s">
        <v>903</v>
      </c>
      <c r="B92" s="477" t="s">
        <v>859</v>
      </c>
      <c r="C92" s="477"/>
      <c r="D92" s="477" t="s">
        <v>860</v>
      </c>
      <c r="E92" s="410">
        <f t="shared" ref="E92:P92" si="86">SUM(E93:E95)</f>
        <v>52532540</v>
      </c>
      <c r="F92" s="631">
        <f t="shared" si="86"/>
        <v>52532540</v>
      </c>
      <c r="G92" s="631">
        <f t="shared" si="86"/>
        <v>38906520</v>
      </c>
      <c r="H92" s="631">
        <f t="shared" si="86"/>
        <v>856085</v>
      </c>
      <c r="I92" s="631">
        <f t="shared" si="86"/>
        <v>0</v>
      </c>
      <c r="J92" s="631">
        <f t="shared" si="86"/>
        <v>1161000</v>
      </c>
      <c r="K92" s="631">
        <f t="shared" si="86"/>
        <v>1161000</v>
      </c>
      <c r="L92" s="631">
        <f t="shared" si="86"/>
        <v>0</v>
      </c>
      <c r="M92" s="631">
        <f t="shared" si="86"/>
        <v>0</v>
      </c>
      <c r="N92" s="631">
        <f t="shared" si="86"/>
        <v>0</v>
      </c>
      <c r="O92" s="631">
        <f t="shared" si="86"/>
        <v>1161000</v>
      </c>
      <c r="P92" s="631">
        <f t="shared" si="86"/>
        <v>53693540</v>
      </c>
      <c r="Q92" s="125"/>
      <c r="R92" s="243"/>
      <c r="T92" s="125"/>
    </row>
    <row r="93" spans="1:20" ht="230.25" thickTop="1" thickBot="1" x14ac:dyDescent="0.25">
      <c r="A93" s="284" t="s">
        <v>446</v>
      </c>
      <c r="B93" s="284" t="s">
        <v>257</v>
      </c>
      <c r="C93" s="284" t="s">
        <v>255</v>
      </c>
      <c r="D93" s="284" t="s">
        <v>256</v>
      </c>
      <c r="E93" s="334">
        <f t="shared" ref="E93" si="87">F93</f>
        <v>52492540</v>
      </c>
      <c r="F93" s="335">
        <f>(51797540-10000)+205000+300000+200000</f>
        <v>52492540</v>
      </c>
      <c r="G93" s="335">
        <v>38906520</v>
      </c>
      <c r="H93" s="335">
        <f>(511665+29000+284370+31050)</f>
        <v>856085</v>
      </c>
      <c r="I93" s="335"/>
      <c r="J93" s="334">
        <f t="shared" si="83"/>
        <v>1161000</v>
      </c>
      <c r="K93" s="335">
        <f>(911000)+250000</f>
        <v>1161000</v>
      </c>
      <c r="L93" s="335"/>
      <c r="M93" s="335"/>
      <c r="N93" s="335"/>
      <c r="O93" s="336">
        <f>K93</f>
        <v>1161000</v>
      </c>
      <c r="P93" s="334">
        <f t="shared" si="85"/>
        <v>53653540</v>
      </c>
      <c r="Q93" s="202"/>
      <c r="R93" s="243" t="b">
        <f>K93='d6'!J93+'d6'!J94</f>
        <v>1</v>
      </c>
      <c r="T93" s="125"/>
    </row>
    <row r="94" spans="1:20" s="331" customFormat="1" ht="184.5" thickTop="1" thickBot="1" x14ac:dyDescent="0.25">
      <c r="A94" s="338" t="s">
        <v>802</v>
      </c>
      <c r="B94" s="338" t="s">
        <v>391</v>
      </c>
      <c r="C94" s="338" t="s">
        <v>794</v>
      </c>
      <c r="D94" s="338" t="s">
        <v>795</v>
      </c>
      <c r="E94" s="334">
        <f t="shared" ref="E94:E95" si="88">F94</f>
        <v>10000</v>
      </c>
      <c r="F94" s="335">
        <v>10000</v>
      </c>
      <c r="G94" s="335"/>
      <c r="H94" s="335"/>
      <c r="I94" s="335"/>
      <c r="J94" s="334">
        <f t="shared" ref="J94:J95" si="89">L94+O94</f>
        <v>0</v>
      </c>
      <c r="K94" s="335"/>
      <c r="L94" s="335"/>
      <c r="M94" s="335"/>
      <c r="N94" s="335"/>
      <c r="O94" s="336">
        <f>K94</f>
        <v>0</v>
      </c>
      <c r="P94" s="334">
        <f t="shared" ref="P94:P95" si="90">E94+J94</f>
        <v>10000</v>
      </c>
      <c r="Q94" s="202"/>
      <c r="R94" s="243"/>
      <c r="T94" s="125"/>
    </row>
    <row r="95" spans="1:20" s="626" customFormat="1" ht="93" thickTop="1" thickBot="1" x14ac:dyDescent="0.25">
      <c r="A95" s="632" t="s">
        <v>1160</v>
      </c>
      <c r="B95" s="632" t="s">
        <v>45</v>
      </c>
      <c r="C95" s="632" t="s">
        <v>44</v>
      </c>
      <c r="D95" s="632" t="s">
        <v>269</v>
      </c>
      <c r="E95" s="629">
        <f t="shared" si="88"/>
        <v>30000</v>
      </c>
      <c r="F95" s="335">
        <v>30000</v>
      </c>
      <c r="G95" s="335"/>
      <c r="H95" s="335"/>
      <c r="I95" s="335"/>
      <c r="J95" s="629">
        <f t="shared" si="89"/>
        <v>0</v>
      </c>
      <c r="K95" s="335"/>
      <c r="L95" s="335"/>
      <c r="M95" s="335"/>
      <c r="N95" s="335"/>
      <c r="O95" s="630"/>
      <c r="P95" s="629">
        <f t="shared" si="90"/>
        <v>30000</v>
      </c>
      <c r="Q95" s="202"/>
      <c r="R95" s="243"/>
      <c r="T95" s="125"/>
    </row>
    <row r="96" spans="1:20" s="409" customFormat="1" ht="91.5" thickTop="1" thickBot="1" x14ac:dyDescent="0.25">
      <c r="A96" s="477" t="s">
        <v>904</v>
      </c>
      <c r="B96" s="477" t="s">
        <v>886</v>
      </c>
      <c r="C96" s="477"/>
      <c r="D96" s="477" t="s">
        <v>887</v>
      </c>
      <c r="E96" s="412">
        <f>SUM(E97:E119)-E97-E106-E113-E115-E117-E110</f>
        <v>165797089</v>
      </c>
      <c r="F96" s="412">
        <f>SUM(F97:F119)-F97-F106-F113-F115-F117-F110</f>
        <v>165797089</v>
      </c>
      <c r="G96" s="412">
        <f>SUM(G97:G119)-G97-G106-G113-G115-G117-G110</f>
        <v>29475300</v>
      </c>
      <c r="H96" s="412">
        <f>SUM(H97:H119)-H97-H106-H113-H115-H117-H110</f>
        <v>1232622</v>
      </c>
      <c r="I96" s="412">
        <f>SUM(I97:I119)-I97-I106-I113-I115-I117-I111</f>
        <v>0</v>
      </c>
      <c r="J96" s="412">
        <f>SUM(J97:J119)-J97-J106-J113-J115-J117-J110</f>
        <v>1203780</v>
      </c>
      <c r="K96" s="412">
        <f>SUM(K97:K119)-K97-K106-K113-K115-K117-K111</f>
        <v>908780</v>
      </c>
      <c r="L96" s="412">
        <f>SUM(L97:L119)-L97-L106-L113-L115-L117-L111</f>
        <v>295000</v>
      </c>
      <c r="M96" s="412">
        <f>SUM(M97:M119)-M97-M106-M113-M115-M117-M111</f>
        <v>104000</v>
      </c>
      <c r="N96" s="412">
        <f>SUM(N97:N119)-N97-N106-N113-N115-N117-N111</f>
        <v>137000</v>
      </c>
      <c r="O96" s="412">
        <f>SUM(O97:O119)-O97-O106-O113-O115-O117-O110</f>
        <v>908780</v>
      </c>
      <c r="P96" s="412">
        <f>SUM(P97:P119)-P97-P106-P113-P115-P117-P110</f>
        <v>167000869</v>
      </c>
      <c r="Q96" s="202"/>
      <c r="R96" s="243"/>
      <c r="T96" s="125"/>
    </row>
    <row r="97" spans="1:20" s="79" customFormat="1" ht="276" thickTop="1" thickBot="1" x14ac:dyDescent="0.25">
      <c r="A97" s="467" t="s">
        <v>905</v>
      </c>
      <c r="B97" s="383" t="s">
        <v>906</v>
      </c>
      <c r="C97" s="383"/>
      <c r="D97" s="383" t="s">
        <v>907</v>
      </c>
      <c r="E97" s="468">
        <f>SUM(E98:E102)</f>
        <v>88312240</v>
      </c>
      <c r="F97" s="468">
        <f t="shared" ref="F97:P97" si="91">SUM(F98:F102)</f>
        <v>88312240</v>
      </c>
      <c r="G97" s="468">
        <f t="shared" si="91"/>
        <v>0</v>
      </c>
      <c r="H97" s="468">
        <f t="shared" si="91"/>
        <v>0</v>
      </c>
      <c r="I97" s="468">
        <f t="shared" si="91"/>
        <v>0</v>
      </c>
      <c r="J97" s="468">
        <f t="shared" si="91"/>
        <v>199000</v>
      </c>
      <c r="K97" s="468">
        <f t="shared" si="91"/>
        <v>199000</v>
      </c>
      <c r="L97" s="468">
        <f t="shared" si="91"/>
        <v>0</v>
      </c>
      <c r="M97" s="468">
        <f t="shared" si="91"/>
        <v>0</v>
      </c>
      <c r="N97" s="468">
        <f t="shared" si="91"/>
        <v>0</v>
      </c>
      <c r="O97" s="468">
        <f t="shared" si="91"/>
        <v>199000</v>
      </c>
      <c r="P97" s="468">
        <f t="shared" si="91"/>
        <v>88511240</v>
      </c>
      <c r="Q97" s="228"/>
      <c r="R97" s="465"/>
      <c r="T97" s="466"/>
    </row>
    <row r="98" spans="1:20" s="39" customFormat="1" ht="138.75" thickTop="1" thickBot="1" x14ac:dyDescent="0.25">
      <c r="A98" s="284" t="s">
        <v>290</v>
      </c>
      <c r="B98" s="284" t="s">
        <v>291</v>
      </c>
      <c r="C98" s="284" t="s">
        <v>226</v>
      </c>
      <c r="D98" s="285" t="s">
        <v>292</v>
      </c>
      <c r="E98" s="334">
        <f>F98</f>
        <v>270000</v>
      </c>
      <c r="F98" s="335">
        <f>(570000)-300000</f>
        <v>270000</v>
      </c>
      <c r="G98" s="335"/>
      <c r="H98" s="335"/>
      <c r="I98" s="335"/>
      <c r="J98" s="334">
        <f t="shared" si="83"/>
        <v>199000</v>
      </c>
      <c r="K98" s="335">
        <v>199000</v>
      </c>
      <c r="L98" s="335"/>
      <c r="M98" s="335"/>
      <c r="N98" s="335"/>
      <c r="O98" s="336">
        <f t="shared" ref="O98:O116" si="92">K98</f>
        <v>199000</v>
      </c>
      <c r="P98" s="334">
        <f t="shared" si="85"/>
        <v>469000</v>
      </c>
      <c r="Q98" s="199"/>
      <c r="R98" s="243" t="b">
        <f>K98='d6'!J95</f>
        <v>1</v>
      </c>
    </row>
    <row r="99" spans="1:20" s="39" customFormat="1" ht="138.75" thickTop="1" thickBot="1" x14ac:dyDescent="0.25">
      <c r="A99" s="284" t="s">
        <v>293</v>
      </c>
      <c r="B99" s="284" t="s">
        <v>294</v>
      </c>
      <c r="C99" s="284" t="s">
        <v>227</v>
      </c>
      <c r="D99" s="284" t="s">
        <v>6</v>
      </c>
      <c r="E99" s="334">
        <f t="shared" ref="E99:E129" si="93">F99</f>
        <v>1350000</v>
      </c>
      <c r="F99" s="335">
        <v>1350000</v>
      </c>
      <c r="G99" s="335"/>
      <c r="H99" s="335"/>
      <c r="I99" s="335"/>
      <c r="J99" s="334">
        <f t="shared" si="83"/>
        <v>0</v>
      </c>
      <c r="K99" s="335"/>
      <c r="L99" s="335"/>
      <c r="M99" s="335"/>
      <c r="N99" s="335"/>
      <c r="O99" s="336">
        <f t="shared" si="92"/>
        <v>0</v>
      </c>
      <c r="P99" s="334">
        <f t="shared" si="85"/>
        <v>1350000</v>
      </c>
      <c r="Q99" s="199"/>
      <c r="R99" s="203"/>
    </row>
    <row r="100" spans="1:20" s="39" customFormat="1" ht="184.5" thickTop="1" thickBot="1" x14ac:dyDescent="0.25">
      <c r="A100" s="284" t="s">
        <v>296</v>
      </c>
      <c r="B100" s="284" t="s">
        <v>297</v>
      </c>
      <c r="C100" s="284" t="s">
        <v>227</v>
      </c>
      <c r="D100" s="284" t="s">
        <v>7</v>
      </c>
      <c r="E100" s="334">
        <f t="shared" si="93"/>
        <v>11250000</v>
      </c>
      <c r="F100" s="335">
        <v>11250000</v>
      </c>
      <c r="G100" s="335"/>
      <c r="H100" s="335"/>
      <c r="I100" s="335"/>
      <c r="J100" s="334">
        <f t="shared" si="83"/>
        <v>0</v>
      </c>
      <c r="K100" s="335"/>
      <c r="L100" s="335"/>
      <c r="M100" s="335"/>
      <c r="N100" s="335"/>
      <c r="O100" s="336">
        <f t="shared" si="92"/>
        <v>0</v>
      </c>
      <c r="P100" s="334">
        <f t="shared" si="85"/>
        <v>11250000</v>
      </c>
      <c r="Q100" s="199"/>
      <c r="R100" s="203"/>
    </row>
    <row r="101" spans="1:20" s="39" customFormat="1" ht="184.5" thickTop="1" thickBot="1" x14ac:dyDescent="0.25">
      <c r="A101" s="284" t="s">
        <v>298</v>
      </c>
      <c r="B101" s="284" t="s">
        <v>295</v>
      </c>
      <c r="C101" s="284" t="s">
        <v>227</v>
      </c>
      <c r="D101" s="284" t="s">
        <v>8</v>
      </c>
      <c r="E101" s="334">
        <f t="shared" si="93"/>
        <v>500000</v>
      </c>
      <c r="F101" s="335">
        <v>500000</v>
      </c>
      <c r="G101" s="335"/>
      <c r="H101" s="335"/>
      <c r="I101" s="335"/>
      <c r="J101" s="334">
        <f t="shared" si="83"/>
        <v>0</v>
      </c>
      <c r="K101" s="335"/>
      <c r="L101" s="335"/>
      <c r="M101" s="335"/>
      <c r="N101" s="335"/>
      <c r="O101" s="336">
        <f t="shared" si="92"/>
        <v>0</v>
      </c>
      <c r="P101" s="334">
        <f t="shared" si="85"/>
        <v>500000</v>
      </c>
      <c r="Q101" s="199"/>
      <c r="R101" s="203"/>
    </row>
    <row r="102" spans="1:20" s="39" customFormat="1" ht="184.5" thickTop="1" thickBot="1" x14ac:dyDescent="0.25">
      <c r="A102" s="284" t="s">
        <v>299</v>
      </c>
      <c r="B102" s="284" t="s">
        <v>300</v>
      </c>
      <c r="C102" s="284" t="s">
        <v>227</v>
      </c>
      <c r="D102" s="284" t="s">
        <v>9</v>
      </c>
      <c r="E102" s="334">
        <f t="shared" si="93"/>
        <v>74942240</v>
      </c>
      <c r="F102" s="335">
        <f>74942240</f>
        <v>74942240</v>
      </c>
      <c r="G102" s="335"/>
      <c r="H102" s="335"/>
      <c r="I102" s="335"/>
      <c r="J102" s="334">
        <f t="shared" si="83"/>
        <v>0</v>
      </c>
      <c r="K102" s="335"/>
      <c r="L102" s="335"/>
      <c r="M102" s="335"/>
      <c r="N102" s="335"/>
      <c r="O102" s="336">
        <f t="shared" si="92"/>
        <v>0</v>
      </c>
      <c r="P102" s="334">
        <f t="shared" si="85"/>
        <v>74942240</v>
      </c>
      <c r="Q102" s="199"/>
      <c r="R102" s="203"/>
    </row>
    <row r="103" spans="1:20" s="39" customFormat="1" ht="184.5" thickTop="1" thickBot="1" x14ac:dyDescent="0.25">
      <c r="A103" s="522" t="s">
        <v>525</v>
      </c>
      <c r="B103" s="522" t="s">
        <v>526</v>
      </c>
      <c r="C103" s="522" t="s">
        <v>227</v>
      </c>
      <c r="D103" s="522" t="s">
        <v>527</v>
      </c>
      <c r="E103" s="523">
        <f t="shared" si="93"/>
        <v>206796</v>
      </c>
      <c r="F103" s="335">
        <v>206796</v>
      </c>
      <c r="G103" s="335"/>
      <c r="H103" s="335"/>
      <c r="I103" s="335"/>
      <c r="J103" s="523">
        <f t="shared" si="83"/>
        <v>0</v>
      </c>
      <c r="K103" s="335"/>
      <c r="L103" s="335"/>
      <c r="M103" s="335"/>
      <c r="N103" s="335"/>
      <c r="O103" s="524">
        <f t="shared" si="92"/>
        <v>0</v>
      </c>
      <c r="P103" s="523">
        <f t="shared" si="85"/>
        <v>206796</v>
      </c>
      <c r="Q103" s="199"/>
      <c r="R103" s="203"/>
    </row>
    <row r="104" spans="1:20" s="39" customFormat="1" ht="138.75" thickTop="1" thickBot="1" x14ac:dyDescent="0.25">
      <c r="A104" s="628" t="s">
        <v>1161</v>
      </c>
      <c r="B104" s="628" t="s">
        <v>1162</v>
      </c>
      <c r="C104" s="628" t="s">
        <v>227</v>
      </c>
      <c r="D104" s="628" t="s">
        <v>1163</v>
      </c>
      <c r="E104" s="629">
        <f t="shared" ref="E104" si="94">F104</f>
        <v>180000</v>
      </c>
      <c r="F104" s="335">
        <v>180000</v>
      </c>
      <c r="G104" s="335"/>
      <c r="H104" s="335"/>
      <c r="I104" s="335"/>
      <c r="J104" s="629">
        <f t="shared" ref="J104" si="95">L104+O104</f>
        <v>0</v>
      </c>
      <c r="K104" s="335"/>
      <c r="L104" s="335"/>
      <c r="M104" s="335"/>
      <c r="N104" s="335"/>
      <c r="O104" s="630">
        <f t="shared" ref="O104" si="96">K104</f>
        <v>0</v>
      </c>
      <c r="P104" s="629">
        <f t="shared" ref="P104" si="97">E104+J104</f>
        <v>180000</v>
      </c>
      <c r="Q104" s="199"/>
      <c r="R104" s="203"/>
    </row>
    <row r="105" spans="1:20" ht="138.75" thickTop="1" thickBot="1" x14ac:dyDescent="0.25">
      <c r="A105" s="522" t="s">
        <v>528</v>
      </c>
      <c r="B105" s="522" t="s">
        <v>529</v>
      </c>
      <c r="C105" s="522" t="s">
        <v>226</v>
      </c>
      <c r="D105" s="522" t="s">
        <v>530</v>
      </c>
      <c r="E105" s="523">
        <f t="shared" si="93"/>
        <v>353047</v>
      </c>
      <c r="F105" s="335">
        <v>353047</v>
      </c>
      <c r="G105" s="335"/>
      <c r="H105" s="335"/>
      <c r="I105" s="335"/>
      <c r="J105" s="523">
        <f t="shared" si="83"/>
        <v>0</v>
      </c>
      <c r="K105" s="335"/>
      <c r="L105" s="335"/>
      <c r="M105" s="335"/>
      <c r="N105" s="335"/>
      <c r="O105" s="524">
        <f>K105</f>
        <v>0</v>
      </c>
      <c r="P105" s="523">
        <f t="shared" si="85"/>
        <v>353047</v>
      </c>
      <c r="R105" s="203"/>
    </row>
    <row r="106" spans="1:20" s="39" customFormat="1" ht="276" thickTop="1" thickBot="1" x14ac:dyDescent="0.25">
      <c r="A106" s="467" t="s">
        <v>908</v>
      </c>
      <c r="B106" s="467" t="s">
        <v>909</v>
      </c>
      <c r="C106" s="467"/>
      <c r="D106" s="467" t="s">
        <v>910</v>
      </c>
      <c r="E106" s="468">
        <f>SUM(E107:E108)</f>
        <v>35503210</v>
      </c>
      <c r="F106" s="468">
        <f t="shared" ref="F106:P106" si="98">SUM(F107:F108)</f>
        <v>35503210</v>
      </c>
      <c r="G106" s="468">
        <f t="shared" si="98"/>
        <v>25148685</v>
      </c>
      <c r="H106" s="468">
        <f t="shared" si="98"/>
        <v>742295</v>
      </c>
      <c r="I106" s="468">
        <f t="shared" si="98"/>
        <v>0</v>
      </c>
      <c r="J106" s="468">
        <f t="shared" si="98"/>
        <v>321440</v>
      </c>
      <c r="K106" s="468">
        <f t="shared" si="98"/>
        <v>171440</v>
      </c>
      <c r="L106" s="468">
        <f t="shared" si="98"/>
        <v>150000</v>
      </c>
      <c r="M106" s="468">
        <f t="shared" si="98"/>
        <v>100000</v>
      </c>
      <c r="N106" s="468">
        <f t="shared" si="98"/>
        <v>3000</v>
      </c>
      <c r="O106" s="468">
        <f t="shared" si="98"/>
        <v>171440</v>
      </c>
      <c r="P106" s="468">
        <f t="shared" si="98"/>
        <v>35824650</v>
      </c>
      <c r="Q106" s="199"/>
      <c r="R106" s="469"/>
    </row>
    <row r="107" spans="1:20" ht="276" thickTop="1" thickBot="1" x14ac:dyDescent="0.25">
      <c r="A107" s="284" t="s">
        <v>288</v>
      </c>
      <c r="B107" s="284" t="s">
        <v>286</v>
      </c>
      <c r="C107" s="284" t="s">
        <v>221</v>
      </c>
      <c r="D107" s="284" t="s">
        <v>17</v>
      </c>
      <c r="E107" s="334">
        <f t="shared" si="93"/>
        <v>27961120</v>
      </c>
      <c r="F107" s="335">
        <f>(27960820)-25000+2060+10800+12440</f>
        <v>27961120</v>
      </c>
      <c r="G107" s="335">
        <v>19746545</v>
      </c>
      <c r="H107" s="335">
        <f>(266000+30800+72660+10800)+2060+10800+12440</f>
        <v>405560</v>
      </c>
      <c r="I107" s="335"/>
      <c r="J107" s="334">
        <f t="shared" si="83"/>
        <v>278000</v>
      </c>
      <c r="K107" s="335">
        <f>58000+15000+25000+30000</f>
        <v>128000</v>
      </c>
      <c r="L107" s="335">
        <f>(100000+22000+15000+4000+6000+1500+500+1000)</f>
        <v>150000</v>
      </c>
      <c r="M107" s="335">
        <v>100000</v>
      </c>
      <c r="N107" s="335">
        <f>(1500+500+1000)</f>
        <v>3000</v>
      </c>
      <c r="O107" s="336">
        <f t="shared" si="92"/>
        <v>128000</v>
      </c>
      <c r="P107" s="334">
        <f t="shared" si="85"/>
        <v>28239120</v>
      </c>
      <c r="R107" s="243" t="b">
        <f>K107='d6'!J96</f>
        <v>1</v>
      </c>
    </row>
    <row r="108" spans="1:20" ht="138.75" thickTop="1" thickBot="1" x14ac:dyDescent="0.25">
      <c r="A108" s="284" t="s">
        <v>289</v>
      </c>
      <c r="B108" s="284" t="s">
        <v>287</v>
      </c>
      <c r="C108" s="284" t="s">
        <v>220</v>
      </c>
      <c r="D108" s="284" t="s">
        <v>494</v>
      </c>
      <c r="E108" s="334">
        <f t="shared" si="93"/>
        <v>7542090</v>
      </c>
      <c r="F108" s="335">
        <f>(7298180)+112800+1570+107500+19900+2140</f>
        <v>7542090</v>
      </c>
      <c r="G108" s="335">
        <f>(3013390+2388750)</f>
        <v>5402140</v>
      </c>
      <c r="H108" s="335">
        <f>(133610+1950+28250+148195+4870+19620+240)</f>
        <v>336735</v>
      </c>
      <c r="I108" s="335"/>
      <c r="J108" s="334">
        <f t="shared" si="83"/>
        <v>43440</v>
      </c>
      <c r="K108" s="335">
        <v>43440</v>
      </c>
      <c r="L108" s="335"/>
      <c r="M108" s="335"/>
      <c r="N108" s="335"/>
      <c r="O108" s="336">
        <f t="shared" si="92"/>
        <v>43440</v>
      </c>
      <c r="P108" s="334">
        <f t="shared" si="85"/>
        <v>7585530</v>
      </c>
      <c r="R108" s="243" t="b">
        <f>K108='d6'!J97</f>
        <v>1</v>
      </c>
    </row>
    <row r="109" spans="1:20" ht="409.6" thickTop="1" thickBot="1" x14ac:dyDescent="0.25">
      <c r="A109" s="284" t="s">
        <v>284</v>
      </c>
      <c r="B109" s="284" t="s">
        <v>285</v>
      </c>
      <c r="C109" s="284" t="s">
        <v>220</v>
      </c>
      <c r="D109" s="284" t="s">
        <v>492</v>
      </c>
      <c r="E109" s="334">
        <f t="shared" si="93"/>
        <v>2242695</v>
      </c>
      <c r="F109" s="324">
        <f>(1242695)+1000000</f>
        <v>2242695</v>
      </c>
      <c r="G109" s="335"/>
      <c r="H109" s="335"/>
      <c r="I109" s="335"/>
      <c r="J109" s="334">
        <f t="shared" si="83"/>
        <v>0</v>
      </c>
      <c r="K109" s="334"/>
      <c r="L109" s="335"/>
      <c r="M109" s="335"/>
      <c r="N109" s="335"/>
      <c r="O109" s="336">
        <f t="shared" si="92"/>
        <v>0</v>
      </c>
      <c r="P109" s="334">
        <f>+J109+E109</f>
        <v>2242695</v>
      </c>
      <c r="R109" s="203"/>
    </row>
    <row r="110" spans="1:20" s="532" customFormat="1" ht="138.75" thickTop="1" thickBot="1" x14ac:dyDescent="0.25">
      <c r="A110" s="467" t="s">
        <v>1075</v>
      </c>
      <c r="B110" s="467" t="s">
        <v>1076</v>
      </c>
      <c r="C110" s="467"/>
      <c r="D110" s="467" t="s">
        <v>1077</v>
      </c>
      <c r="E110" s="468">
        <f t="shared" si="93"/>
        <v>147491</v>
      </c>
      <c r="F110" s="468">
        <f>F111</f>
        <v>147491</v>
      </c>
      <c r="G110" s="468">
        <f t="shared" ref="G110:I110" si="99">G111</f>
        <v>0</v>
      </c>
      <c r="H110" s="468">
        <f t="shared" si="99"/>
        <v>0</v>
      </c>
      <c r="I110" s="468">
        <f t="shared" si="99"/>
        <v>0</v>
      </c>
      <c r="J110" s="468">
        <f t="shared" si="83"/>
        <v>0</v>
      </c>
      <c r="K110" s="468">
        <f t="shared" ref="K110:N110" si="100">K111</f>
        <v>0</v>
      </c>
      <c r="L110" s="468">
        <f t="shared" si="100"/>
        <v>0</v>
      </c>
      <c r="M110" s="468">
        <f t="shared" si="100"/>
        <v>0</v>
      </c>
      <c r="N110" s="468">
        <f t="shared" si="100"/>
        <v>0</v>
      </c>
      <c r="O110" s="468">
        <f t="shared" si="92"/>
        <v>0</v>
      </c>
      <c r="P110" s="468">
        <f>+J110+E110</f>
        <v>147491</v>
      </c>
      <c r="Q110" s="537"/>
      <c r="R110" s="203"/>
    </row>
    <row r="111" spans="1:20" ht="276" thickTop="1" thickBot="1" x14ac:dyDescent="0.25">
      <c r="A111" s="536" t="s">
        <v>531</v>
      </c>
      <c r="B111" s="536" t="s">
        <v>532</v>
      </c>
      <c r="C111" s="536" t="s">
        <v>220</v>
      </c>
      <c r="D111" s="536" t="s">
        <v>533</v>
      </c>
      <c r="E111" s="533">
        <f t="shared" si="93"/>
        <v>147491</v>
      </c>
      <c r="F111" s="335">
        <v>147491</v>
      </c>
      <c r="G111" s="335"/>
      <c r="H111" s="335"/>
      <c r="I111" s="335"/>
      <c r="J111" s="533">
        <f t="shared" si="83"/>
        <v>0</v>
      </c>
      <c r="K111" s="533"/>
      <c r="L111" s="335"/>
      <c r="M111" s="335"/>
      <c r="N111" s="335"/>
      <c r="O111" s="535">
        <f t="shared" si="92"/>
        <v>0</v>
      </c>
      <c r="P111" s="533">
        <f>+J111+E111</f>
        <v>147491</v>
      </c>
      <c r="R111" s="203"/>
    </row>
    <row r="112" spans="1:20" ht="367.5" thickTop="1" thickBot="1" x14ac:dyDescent="0.25">
      <c r="A112" s="284" t="s">
        <v>377</v>
      </c>
      <c r="B112" s="284" t="s">
        <v>376</v>
      </c>
      <c r="C112" s="284" t="s">
        <v>52</v>
      </c>
      <c r="D112" s="284" t="s">
        <v>493</v>
      </c>
      <c r="E112" s="334">
        <f t="shared" si="93"/>
        <v>2625425</v>
      </c>
      <c r="F112" s="335">
        <v>2625425</v>
      </c>
      <c r="G112" s="335"/>
      <c r="H112" s="335"/>
      <c r="I112" s="335"/>
      <c r="J112" s="334">
        <f t="shared" si="83"/>
        <v>0</v>
      </c>
      <c r="K112" s="334"/>
      <c r="L112" s="335"/>
      <c r="M112" s="335"/>
      <c r="N112" s="335"/>
      <c r="O112" s="336">
        <f t="shared" si="92"/>
        <v>0</v>
      </c>
      <c r="P112" s="334">
        <f>E112+J112</f>
        <v>2625425</v>
      </c>
      <c r="R112" s="203"/>
    </row>
    <row r="113" spans="1:18" s="39" customFormat="1" ht="93" thickTop="1" thickBot="1" x14ac:dyDescent="0.25">
      <c r="A113" s="467" t="s">
        <v>911</v>
      </c>
      <c r="B113" s="467" t="s">
        <v>912</v>
      </c>
      <c r="C113" s="467"/>
      <c r="D113" s="467" t="s">
        <v>913</v>
      </c>
      <c r="E113" s="468">
        <f>E114</f>
        <v>500000</v>
      </c>
      <c r="F113" s="468">
        <f t="shared" ref="F113:P113" si="101">F114</f>
        <v>500000</v>
      </c>
      <c r="G113" s="468">
        <f t="shared" si="101"/>
        <v>0</v>
      </c>
      <c r="H113" s="468">
        <f t="shared" si="101"/>
        <v>0</v>
      </c>
      <c r="I113" s="468">
        <f t="shared" si="101"/>
        <v>0</v>
      </c>
      <c r="J113" s="468">
        <f t="shared" si="101"/>
        <v>0</v>
      </c>
      <c r="K113" s="468">
        <f t="shared" si="101"/>
        <v>0</v>
      </c>
      <c r="L113" s="468">
        <f t="shared" si="101"/>
        <v>0</v>
      </c>
      <c r="M113" s="468">
        <f t="shared" si="101"/>
        <v>0</v>
      </c>
      <c r="N113" s="468">
        <f t="shared" si="101"/>
        <v>0</v>
      </c>
      <c r="O113" s="468">
        <f t="shared" si="101"/>
        <v>0</v>
      </c>
      <c r="P113" s="468">
        <f t="shared" si="101"/>
        <v>500000</v>
      </c>
      <c r="Q113" s="199"/>
      <c r="R113" s="469"/>
    </row>
    <row r="114" spans="1:18" ht="230.25" thickTop="1" thickBot="1" x14ac:dyDescent="0.25">
      <c r="A114" s="284" t="s">
        <v>353</v>
      </c>
      <c r="B114" s="284" t="s">
        <v>354</v>
      </c>
      <c r="C114" s="284" t="s">
        <v>226</v>
      </c>
      <c r="D114" s="284" t="s">
        <v>809</v>
      </c>
      <c r="E114" s="334">
        <f t="shared" si="93"/>
        <v>500000</v>
      </c>
      <c r="F114" s="335">
        <f>(500000)</f>
        <v>500000</v>
      </c>
      <c r="G114" s="335"/>
      <c r="H114" s="335"/>
      <c r="I114" s="335"/>
      <c r="J114" s="334">
        <f t="shared" si="83"/>
        <v>0</v>
      </c>
      <c r="K114" s="335"/>
      <c r="L114" s="335"/>
      <c r="M114" s="335"/>
      <c r="N114" s="335"/>
      <c r="O114" s="336">
        <f t="shared" si="92"/>
        <v>0</v>
      </c>
      <c r="P114" s="334">
        <f>E114+J114</f>
        <v>500000</v>
      </c>
      <c r="R114" s="203"/>
    </row>
    <row r="115" spans="1:18" s="39" customFormat="1" ht="184.5" thickTop="1" thickBot="1" x14ac:dyDescent="0.25">
      <c r="A115" s="467" t="s">
        <v>914</v>
      </c>
      <c r="B115" s="467" t="s">
        <v>915</v>
      </c>
      <c r="C115" s="467"/>
      <c r="D115" s="467" t="s">
        <v>916</v>
      </c>
      <c r="E115" s="468">
        <f t="shared" ref="E115:P115" si="102">E116</f>
        <v>100040</v>
      </c>
      <c r="F115" s="468">
        <f t="shared" si="102"/>
        <v>100040</v>
      </c>
      <c r="G115" s="468">
        <f t="shared" si="102"/>
        <v>82000</v>
      </c>
      <c r="H115" s="468">
        <f t="shared" si="102"/>
        <v>0</v>
      </c>
      <c r="I115" s="468">
        <f t="shared" si="102"/>
        <v>0</v>
      </c>
      <c r="J115" s="468">
        <f t="shared" si="102"/>
        <v>0</v>
      </c>
      <c r="K115" s="468">
        <f t="shared" si="102"/>
        <v>0</v>
      </c>
      <c r="L115" s="468">
        <f t="shared" si="102"/>
        <v>0</v>
      </c>
      <c r="M115" s="468">
        <f t="shared" si="102"/>
        <v>0</v>
      </c>
      <c r="N115" s="468">
        <f t="shared" si="102"/>
        <v>0</v>
      </c>
      <c r="O115" s="468">
        <f t="shared" si="102"/>
        <v>0</v>
      </c>
      <c r="P115" s="468">
        <f t="shared" si="102"/>
        <v>100040</v>
      </c>
      <c r="Q115" s="199"/>
      <c r="R115" s="469"/>
    </row>
    <row r="116" spans="1:18" ht="93" thickTop="1" thickBot="1" x14ac:dyDescent="0.25">
      <c r="A116" s="284" t="s">
        <v>459</v>
      </c>
      <c r="B116" s="284" t="s">
        <v>401</v>
      </c>
      <c r="C116" s="284" t="s">
        <v>402</v>
      </c>
      <c r="D116" s="284" t="s">
        <v>400</v>
      </c>
      <c r="E116" s="354">
        <f t="shared" si="93"/>
        <v>100040</v>
      </c>
      <c r="F116" s="335">
        <v>100040</v>
      </c>
      <c r="G116" s="335">
        <v>82000</v>
      </c>
      <c r="H116" s="335"/>
      <c r="I116" s="335"/>
      <c r="J116" s="334">
        <f t="shared" si="83"/>
        <v>0</v>
      </c>
      <c r="K116" s="335"/>
      <c r="L116" s="335"/>
      <c r="M116" s="335"/>
      <c r="N116" s="335"/>
      <c r="O116" s="336">
        <f t="shared" si="92"/>
        <v>0</v>
      </c>
      <c r="P116" s="334">
        <f>E116+J116</f>
        <v>100040</v>
      </c>
      <c r="R116" s="203"/>
    </row>
    <row r="117" spans="1:18" s="39" customFormat="1" ht="48" thickTop="1" thickBot="1" x14ac:dyDescent="0.25">
      <c r="A117" s="467" t="s">
        <v>917</v>
      </c>
      <c r="B117" s="467" t="s">
        <v>918</v>
      </c>
      <c r="C117" s="467"/>
      <c r="D117" s="467" t="s">
        <v>919</v>
      </c>
      <c r="E117" s="468">
        <f>SUM(E118:E119)</f>
        <v>35626145</v>
      </c>
      <c r="F117" s="468">
        <f t="shared" ref="F117:P117" si="103">SUM(F118:F119)</f>
        <v>35626145</v>
      </c>
      <c r="G117" s="468">
        <f t="shared" si="103"/>
        <v>4244615</v>
      </c>
      <c r="H117" s="468">
        <f t="shared" si="103"/>
        <v>490327</v>
      </c>
      <c r="I117" s="468">
        <f t="shared" si="103"/>
        <v>0</v>
      </c>
      <c r="J117" s="468">
        <f t="shared" si="103"/>
        <v>683340</v>
      </c>
      <c r="K117" s="468">
        <f t="shared" si="103"/>
        <v>538340</v>
      </c>
      <c r="L117" s="468">
        <f t="shared" si="103"/>
        <v>145000</v>
      </c>
      <c r="M117" s="468">
        <f t="shared" si="103"/>
        <v>4000</v>
      </c>
      <c r="N117" s="468">
        <f t="shared" si="103"/>
        <v>134000</v>
      </c>
      <c r="O117" s="468">
        <f t="shared" si="103"/>
        <v>538340</v>
      </c>
      <c r="P117" s="468">
        <f t="shared" si="103"/>
        <v>36309485</v>
      </c>
      <c r="Q117" s="199"/>
      <c r="R117" s="469"/>
    </row>
    <row r="118" spans="1:18" ht="184.5" thickTop="1" thickBot="1" x14ac:dyDescent="0.25">
      <c r="A118" s="284" t="s">
        <v>355</v>
      </c>
      <c r="B118" s="284" t="s">
        <v>357</v>
      </c>
      <c r="C118" s="284" t="s">
        <v>212</v>
      </c>
      <c r="D118" s="353" t="s">
        <v>359</v>
      </c>
      <c r="E118" s="345">
        <f t="shared" si="93"/>
        <v>7847022</v>
      </c>
      <c r="F118" s="335">
        <f>(8173362-388340)+17000+45000</f>
        <v>7847022</v>
      </c>
      <c r="G118" s="173">
        <f>(1948670+2295945)</f>
        <v>4244615</v>
      </c>
      <c r="H118" s="173">
        <f>(245557+131600+6000+27000+40000+39000+1170)</f>
        <v>490327</v>
      </c>
      <c r="I118" s="335"/>
      <c r="J118" s="334">
        <f t="shared" ref="J118:J129" si="104">L118+O118</f>
        <v>533340</v>
      </c>
      <c r="K118" s="335">
        <f>(72894+138259+40788+136399)</f>
        <v>388340</v>
      </c>
      <c r="L118" s="335">
        <f>(4000+900+6100+23000+65000+45000+1000)</f>
        <v>145000</v>
      </c>
      <c r="M118" s="335">
        <v>4000</v>
      </c>
      <c r="N118" s="335">
        <f>(23000+65000+45000+1000)</f>
        <v>134000</v>
      </c>
      <c r="O118" s="336">
        <f t="shared" ref="O118:O129" si="105">K118</f>
        <v>388340</v>
      </c>
      <c r="P118" s="334">
        <f t="shared" ref="P118:P129" si="106">E118+J118</f>
        <v>8380362</v>
      </c>
      <c r="R118" s="243" t="b">
        <f>K118='d6'!J98</f>
        <v>1</v>
      </c>
    </row>
    <row r="119" spans="1:18" ht="138.75" thickTop="1" thickBot="1" x14ac:dyDescent="0.25">
      <c r="A119" s="284" t="s">
        <v>356</v>
      </c>
      <c r="B119" s="284" t="s">
        <v>358</v>
      </c>
      <c r="C119" s="284" t="s">
        <v>212</v>
      </c>
      <c r="D119" s="353" t="s">
        <v>360</v>
      </c>
      <c r="E119" s="334">
        <f t="shared" si="93"/>
        <v>27779123</v>
      </c>
      <c r="F119" s="335">
        <f>(27403151)+44000+81972+200000+50000</f>
        <v>27779123</v>
      </c>
      <c r="G119" s="335"/>
      <c r="H119" s="335"/>
      <c r="I119" s="335"/>
      <c r="J119" s="334">
        <f t="shared" si="104"/>
        <v>150000</v>
      </c>
      <c r="K119" s="335">
        <v>150000</v>
      </c>
      <c r="L119" s="335"/>
      <c r="M119" s="335"/>
      <c r="N119" s="335"/>
      <c r="O119" s="336">
        <f t="shared" si="105"/>
        <v>150000</v>
      </c>
      <c r="P119" s="334">
        <f t="shared" si="106"/>
        <v>27929123</v>
      </c>
      <c r="R119" s="243" t="b">
        <f>K119='d6'!J99</f>
        <v>1</v>
      </c>
    </row>
    <row r="120" spans="1:18" s="409" customFormat="1" ht="91.5" thickTop="1" thickBot="1" x14ac:dyDescent="0.25">
      <c r="A120" s="177" t="s">
        <v>920</v>
      </c>
      <c r="B120" s="177" t="s">
        <v>921</v>
      </c>
      <c r="C120" s="177"/>
      <c r="D120" s="471" t="s">
        <v>922</v>
      </c>
      <c r="E120" s="412">
        <f>SUM(E121)</f>
        <v>0</v>
      </c>
      <c r="F120" s="412">
        <f t="shared" ref="F120:P121" si="107">SUM(F121)</f>
        <v>0</v>
      </c>
      <c r="G120" s="412">
        <f t="shared" si="107"/>
        <v>0</v>
      </c>
      <c r="H120" s="412">
        <f t="shared" si="107"/>
        <v>0</v>
      </c>
      <c r="I120" s="412">
        <f t="shared" si="107"/>
        <v>0</v>
      </c>
      <c r="J120" s="412">
        <f t="shared" si="107"/>
        <v>4000000</v>
      </c>
      <c r="K120" s="412">
        <f t="shared" si="107"/>
        <v>4000000</v>
      </c>
      <c r="L120" s="412">
        <f t="shared" si="107"/>
        <v>0</v>
      </c>
      <c r="M120" s="412">
        <f t="shared" si="107"/>
        <v>0</v>
      </c>
      <c r="N120" s="412">
        <f t="shared" si="107"/>
        <v>0</v>
      </c>
      <c r="O120" s="412">
        <f t="shared" si="107"/>
        <v>4000000</v>
      </c>
      <c r="P120" s="412">
        <f t="shared" si="107"/>
        <v>4000000</v>
      </c>
      <c r="Q120" s="414"/>
      <c r="R120" s="243"/>
    </row>
    <row r="121" spans="1:18" s="39" customFormat="1" ht="93" thickTop="1" thickBot="1" x14ac:dyDescent="0.25">
      <c r="A121" s="467" t="s">
        <v>923</v>
      </c>
      <c r="B121" s="467" t="s">
        <v>924</v>
      </c>
      <c r="C121" s="467"/>
      <c r="D121" s="473" t="s">
        <v>925</v>
      </c>
      <c r="E121" s="468">
        <f>SUM(E122)</f>
        <v>0</v>
      </c>
      <c r="F121" s="468">
        <f t="shared" si="107"/>
        <v>0</v>
      </c>
      <c r="G121" s="468">
        <f t="shared" si="107"/>
        <v>0</v>
      </c>
      <c r="H121" s="468">
        <f t="shared" si="107"/>
        <v>0</v>
      </c>
      <c r="I121" s="468">
        <f t="shared" si="107"/>
        <v>0</v>
      </c>
      <c r="J121" s="468">
        <f t="shared" si="107"/>
        <v>4000000</v>
      </c>
      <c r="K121" s="468">
        <f t="shared" si="107"/>
        <v>4000000</v>
      </c>
      <c r="L121" s="468">
        <f t="shared" si="107"/>
        <v>0</v>
      </c>
      <c r="M121" s="468">
        <f t="shared" si="107"/>
        <v>0</v>
      </c>
      <c r="N121" s="468">
        <f t="shared" si="107"/>
        <v>0</v>
      </c>
      <c r="O121" s="468">
        <f t="shared" si="107"/>
        <v>4000000</v>
      </c>
      <c r="P121" s="468">
        <f t="shared" si="107"/>
        <v>4000000</v>
      </c>
      <c r="Q121" s="199"/>
      <c r="R121" s="475"/>
    </row>
    <row r="122" spans="1:18" ht="138.75" thickTop="1" thickBot="1" x14ac:dyDescent="0.25">
      <c r="A122" s="284" t="s">
        <v>396</v>
      </c>
      <c r="B122" s="284" t="s">
        <v>394</v>
      </c>
      <c r="C122" s="284" t="s">
        <v>368</v>
      </c>
      <c r="D122" s="353" t="s">
        <v>395</v>
      </c>
      <c r="E122" s="334">
        <f t="shared" si="93"/>
        <v>0</v>
      </c>
      <c r="F122" s="335"/>
      <c r="G122" s="335"/>
      <c r="H122" s="335"/>
      <c r="I122" s="335"/>
      <c r="J122" s="334">
        <f t="shared" si="104"/>
        <v>4000000</v>
      </c>
      <c r="K122" s="335">
        <v>4000000</v>
      </c>
      <c r="L122" s="335"/>
      <c r="M122" s="335"/>
      <c r="N122" s="335"/>
      <c r="O122" s="336">
        <f t="shared" si="105"/>
        <v>4000000</v>
      </c>
      <c r="P122" s="334">
        <f t="shared" si="106"/>
        <v>4000000</v>
      </c>
      <c r="R122" s="243" t="b">
        <f>K122='d6'!J100</f>
        <v>1</v>
      </c>
    </row>
    <row r="123" spans="1:18" s="409" customFormat="1" ht="47.25" thickTop="1" thickBot="1" x14ac:dyDescent="0.25">
      <c r="A123" s="477" t="s">
        <v>930</v>
      </c>
      <c r="B123" s="476" t="s">
        <v>927</v>
      </c>
      <c r="C123" s="476"/>
      <c r="D123" s="476" t="s">
        <v>928</v>
      </c>
      <c r="E123" s="412">
        <f t="shared" ref="E123:P123" si="108">E127+E124</f>
        <v>0</v>
      </c>
      <c r="F123" s="643">
        <f t="shared" si="108"/>
        <v>0</v>
      </c>
      <c r="G123" s="643">
        <f t="shared" si="108"/>
        <v>0</v>
      </c>
      <c r="H123" s="643">
        <f t="shared" si="108"/>
        <v>0</v>
      </c>
      <c r="I123" s="643">
        <f t="shared" si="108"/>
        <v>0</v>
      </c>
      <c r="J123" s="643">
        <f t="shared" si="108"/>
        <v>542000</v>
      </c>
      <c r="K123" s="643">
        <f t="shared" si="108"/>
        <v>220000</v>
      </c>
      <c r="L123" s="643">
        <f t="shared" si="108"/>
        <v>322000</v>
      </c>
      <c r="M123" s="643">
        <f t="shared" si="108"/>
        <v>0</v>
      </c>
      <c r="N123" s="643">
        <f t="shared" si="108"/>
        <v>0</v>
      </c>
      <c r="O123" s="643">
        <f t="shared" si="108"/>
        <v>220000</v>
      </c>
      <c r="P123" s="643">
        <f t="shared" si="108"/>
        <v>542000</v>
      </c>
      <c r="Q123" s="414"/>
      <c r="R123" s="243"/>
    </row>
    <row r="124" spans="1:18" s="640" customFormat="1" ht="91.5" thickTop="1" thickBot="1" x14ac:dyDescent="0.25">
      <c r="A124" s="425" t="s">
        <v>1170</v>
      </c>
      <c r="B124" s="426" t="s">
        <v>983</v>
      </c>
      <c r="C124" s="426"/>
      <c r="D124" s="426" t="s">
        <v>984</v>
      </c>
      <c r="E124" s="470">
        <f>E125</f>
        <v>0</v>
      </c>
      <c r="F124" s="470">
        <f t="shared" ref="F124:P128" si="109">F125</f>
        <v>0</v>
      </c>
      <c r="G124" s="470">
        <f t="shared" si="109"/>
        <v>0</v>
      </c>
      <c r="H124" s="470">
        <f t="shared" si="109"/>
        <v>0</v>
      </c>
      <c r="I124" s="470">
        <f t="shared" si="109"/>
        <v>0</v>
      </c>
      <c r="J124" s="470">
        <f t="shared" si="109"/>
        <v>220000</v>
      </c>
      <c r="K124" s="470">
        <f t="shared" si="109"/>
        <v>220000</v>
      </c>
      <c r="L124" s="470">
        <f t="shared" si="109"/>
        <v>0</v>
      </c>
      <c r="M124" s="470">
        <f t="shared" si="109"/>
        <v>0</v>
      </c>
      <c r="N124" s="470">
        <f t="shared" si="109"/>
        <v>0</v>
      </c>
      <c r="O124" s="470">
        <f t="shared" si="109"/>
        <v>220000</v>
      </c>
      <c r="P124" s="470">
        <f t="shared" si="109"/>
        <v>220000</v>
      </c>
      <c r="Q124" s="652"/>
      <c r="R124" s="243"/>
    </row>
    <row r="125" spans="1:18" s="640" customFormat="1" ht="146.25" thickTop="1" thickBot="1" x14ac:dyDescent="0.25">
      <c r="A125" s="383" t="s">
        <v>1166</v>
      </c>
      <c r="B125" s="383" t="s">
        <v>1002</v>
      </c>
      <c r="C125" s="383"/>
      <c r="D125" s="383" t="s">
        <v>1003</v>
      </c>
      <c r="E125" s="385">
        <f>E126</f>
        <v>0</v>
      </c>
      <c r="F125" s="385">
        <f t="shared" si="109"/>
        <v>0</v>
      </c>
      <c r="G125" s="385">
        <f t="shared" si="109"/>
        <v>0</v>
      </c>
      <c r="H125" s="385">
        <f t="shared" si="109"/>
        <v>0</v>
      </c>
      <c r="I125" s="385">
        <f t="shared" si="109"/>
        <v>0</v>
      </c>
      <c r="J125" s="385">
        <f t="shared" si="109"/>
        <v>220000</v>
      </c>
      <c r="K125" s="385">
        <f t="shared" si="109"/>
        <v>220000</v>
      </c>
      <c r="L125" s="385">
        <f t="shared" si="109"/>
        <v>0</v>
      </c>
      <c r="M125" s="385">
        <f t="shared" si="109"/>
        <v>0</v>
      </c>
      <c r="N125" s="385">
        <f t="shared" si="109"/>
        <v>0</v>
      </c>
      <c r="O125" s="385">
        <f t="shared" si="109"/>
        <v>220000</v>
      </c>
      <c r="P125" s="385">
        <f t="shared" si="109"/>
        <v>220000</v>
      </c>
      <c r="Q125" s="652"/>
      <c r="R125" s="243"/>
    </row>
    <row r="126" spans="1:18" s="640" customFormat="1" ht="99.75" thickTop="1" thickBot="1" x14ac:dyDescent="0.25">
      <c r="A126" s="646" t="s">
        <v>1167</v>
      </c>
      <c r="B126" s="646" t="s">
        <v>1168</v>
      </c>
      <c r="C126" s="646" t="s">
        <v>326</v>
      </c>
      <c r="D126" s="646" t="s">
        <v>1169</v>
      </c>
      <c r="E126" s="647">
        <f>E127</f>
        <v>0</v>
      </c>
      <c r="F126" s="324"/>
      <c r="G126" s="324"/>
      <c r="H126" s="324"/>
      <c r="I126" s="324"/>
      <c r="J126" s="647">
        <f>L126+O126</f>
        <v>220000</v>
      </c>
      <c r="K126" s="324">
        <f>180000+40000</f>
        <v>220000</v>
      </c>
      <c r="L126" s="324"/>
      <c r="M126" s="324"/>
      <c r="N126" s="324"/>
      <c r="O126" s="644">
        <f>K126</f>
        <v>220000</v>
      </c>
      <c r="P126" s="647">
        <f>E126+J126</f>
        <v>220000</v>
      </c>
      <c r="Q126" s="652"/>
      <c r="R126" s="243" t="b">
        <f>K126='d6'!J101</f>
        <v>1</v>
      </c>
    </row>
    <row r="127" spans="1:18" s="409" customFormat="1" ht="136.5" thickTop="1" thickBot="1" x14ac:dyDescent="0.25">
      <c r="A127" s="425" t="s">
        <v>932</v>
      </c>
      <c r="B127" s="426" t="s">
        <v>866</v>
      </c>
      <c r="C127" s="426"/>
      <c r="D127" s="426" t="s">
        <v>864</v>
      </c>
      <c r="E127" s="470">
        <f>E128</f>
        <v>0</v>
      </c>
      <c r="F127" s="470">
        <f t="shared" si="109"/>
        <v>0</v>
      </c>
      <c r="G127" s="470">
        <f t="shared" si="109"/>
        <v>0</v>
      </c>
      <c r="H127" s="470">
        <f t="shared" si="109"/>
        <v>0</v>
      </c>
      <c r="I127" s="470">
        <f t="shared" si="109"/>
        <v>0</v>
      </c>
      <c r="J127" s="470">
        <f t="shared" si="109"/>
        <v>322000</v>
      </c>
      <c r="K127" s="470">
        <f t="shared" si="109"/>
        <v>0</v>
      </c>
      <c r="L127" s="470">
        <f t="shared" si="109"/>
        <v>322000</v>
      </c>
      <c r="M127" s="470">
        <f t="shared" si="109"/>
        <v>0</v>
      </c>
      <c r="N127" s="470">
        <f t="shared" si="109"/>
        <v>0</v>
      </c>
      <c r="O127" s="470">
        <f t="shared" si="109"/>
        <v>0</v>
      </c>
      <c r="P127" s="470">
        <f t="shared" si="109"/>
        <v>322000</v>
      </c>
      <c r="Q127" s="414"/>
      <c r="R127" s="243"/>
    </row>
    <row r="128" spans="1:18" s="409" customFormat="1" ht="48" thickTop="1" thickBot="1" x14ac:dyDescent="0.25">
      <c r="A128" s="424" t="s">
        <v>931</v>
      </c>
      <c r="B128" s="424" t="s">
        <v>869</v>
      </c>
      <c r="C128" s="424"/>
      <c r="D128" s="473" t="s">
        <v>867</v>
      </c>
      <c r="E128" s="468">
        <f>E129</f>
        <v>0</v>
      </c>
      <c r="F128" s="468">
        <f t="shared" si="109"/>
        <v>0</v>
      </c>
      <c r="G128" s="468">
        <f t="shared" si="109"/>
        <v>0</v>
      </c>
      <c r="H128" s="468">
        <f t="shared" si="109"/>
        <v>0</v>
      </c>
      <c r="I128" s="468">
        <f t="shared" si="109"/>
        <v>0</v>
      </c>
      <c r="J128" s="468">
        <f t="shared" si="109"/>
        <v>322000</v>
      </c>
      <c r="K128" s="468">
        <f t="shared" si="109"/>
        <v>0</v>
      </c>
      <c r="L128" s="468">
        <f t="shared" si="109"/>
        <v>322000</v>
      </c>
      <c r="M128" s="468">
        <f t="shared" si="109"/>
        <v>0</v>
      </c>
      <c r="N128" s="468">
        <f t="shared" si="109"/>
        <v>0</v>
      </c>
      <c r="O128" s="468">
        <f t="shared" si="109"/>
        <v>0</v>
      </c>
      <c r="P128" s="468">
        <f t="shared" si="109"/>
        <v>322000</v>
      </c>
      <c r="Q128" s="414"/>
      <c r="R128" s="243"/>
    </row>
    <row r="129" spans="1:18" ht="409.6" thickTop="1" thickBot="1" x14ac:dyDescent="0.7">
      <c r="A129" s="895" t="s">
        <v>454</v>
      </c>
      <c r="B129" s="895" t="s">
        <v>366</v>
      </c>
      <c r="C129" s="895" t="s">
        <v>187</v>
      </c>
      <c r="D129" s="339" t="s">
        <v>476</v>
      </c>
      <c r="E129" s="882">
        <f t="shared" si="93"/>
        <v>0</v>
      </c>
      <c r="F129" s="885"/>
      <c r="G129" s="885"/>
      <c r="H129" s="885"/>
      <c r="I129" s="885"/>
      <c r="J129" s="882">
        <f t="shared" si="104"/>
        <v>322000</v>
      </c>
      <c r="K129" s="885"/>
      <c r="L129" s="885">
        <v>322000</v>
      </c>
      <c r="M129" s="885"/>
      <c r="N129" s="885"/>
      <c r="O129" s="887">
        <f t="shared" si="105"/>
        <v>0</v>
      </c>
      <c r="P129" s="889">
        <f t="shared" si="106"/>
        <v>322000</v>
      </c>
      <c r="R129" s="203"/>
    </row>
    <row r="130" spans="1:18" ht="184.5" thickTop="1" thickBot="1" x14ac:dyDescent="0.25">
      <c r="A130" s="883"/>
      <c r="B130" s="896"/>
      <c r="C130" s="883"/>
      <c r="D130" s="343" t="s">
        <v>477</v>
      </c>
      <c r="E130" s="883"/>
      <c r="F130" s="886"/>
      <c r="G130" s="886"/>
      <c r="H130" s="886"/>
      <c r="I130" s="886"/>
      <c r="J130" s="883"/>
      <c r="K130" s="883"/>
      <c r="L130" s="886"/>
      <c r="M130" s="886"/>
      <c r="N130" s="886"/>
      <c r="O130" s="888"/>
      <c r="P130" s="890"/>
      <c r="R130" s="203"/>
    </row>
    <row r="131" spans="1:18" ht="181.5" thickTop="1" thickBot="1" x14ac:dyDescent="0.25">
      <c r="A131" s="595">
        <v>1000000</v>
      </c>
      <c r="B131" s="595"/>
      <c r="C131" s="595"/>
      <c r="D131" s="596" t="s">
        <v>24</v>
      </c>
      <c r="E131" s="597">
        <f>E132</f>
        <v>123163207</v>
      </c>
      <c r="F131" s="598">
        <f t="shared" ref="F131:G131" si="110">F132</f>
        <v>123163207</v>
      </c>
      <c r="G131" s="598">
        <f t="shared" si="110"/>
        <v>90402850</v>
      </c>
      <c r="H131" s="598">
        <f>H132</f>
        <v>3907125</v>
      </c>
      <c r="I131" s="598">
        <f>I132</f>
        <v>0</v>
      </c>
      <c r="J131" s="597">
        <f>J132</f>
        <v>17396400</v>
      </c>
      <c r="K131" s="598">
        <f>K132</f>
        <v>7566000</v>
      </c>
      <c r="L131" s="598">
        <f>L132</f>
        <v>9724400</v>
      </c>
      <c r="M131" s="598">
        <f t="shared" ref="M131" si="111">M132</f>
        <v>7345900</v>
      </c>
      <c r="N131" s="597">
        <f>N132</f>
        <v>257400</v>
      </c>
      <c r="O131" s="597">
        <f>O132</f>
        <v>7672000</v>
      </c>
      <c r="P131" s="598">
        <f t="shared" ref="P131" si="112">P132</f>
        <v>140559607</v>
      </c>
    </row>
    <row r="132" spans="1:18" ht="181.5" thickTop="1" thickBot="1" x14ac:dyDescent="0.25">
      <c r="A132" s="599">
        <v>1010000</v>
      </c>
      <c r="B132" s="599"/>
      <c r="C132" s="599"/>
      <c r="D132" s="600" t="s">
        <v>41</v>
      </c>
      <c r="E132" s="601">
        <f>E133+E135+E146+E143</f>
        <v>123163207</v>
      </c>
      <c r="F132" s="601">
        <f>F133+F135+F146+F143</f>
        <v>123163207</v>
      </c>
      <c r="G132" s="601">
        <f>G133+G135+G146+G143</f>
        <v>90402850</v>
      </c>
      <c r="H132" s="601">
        <f>H133+H135+H146+H143</f>
        <v>3907125</v>
      </c>
      <c r="I132" s="601">
        <f>I133+I135+I146+I143</f>
        <v>0</v>
      </c>
      <c r="J132" s="601">
        <f t="shared" ref="J132:J142" si="113">L132+O132</f>
        <v>17396400</v>
      </c>
      <c r="K132" s="601">
        <f>K133+K135+K146+K143</f>
        <v>7566000</v>
      </c>
      <c r="L132" s="601">
        <f>L133+L135+L146+L143</f>
        <v>9724400</v>
      </c>
      <c r="M132" s="601">
        <f>M133+M135+M146+M143</f>
        <v>7345900</v>
      </c>
      <c r="N132" s="601">
        <f>N133+N135+N146+N143</f>
        <v>257400</v>
      </c>
      <c r="O132" s="601">
        <f>O133+O135+O146+O143</f>
        <v>7672000</v>
      </c>
      <c r="P132" s="602">
        <f t="shared" ref="P132:P142" si="114">E132+J132</f>
        <v>140559607</v>
      </c>
      <c r="Q132" s="125" t="b">
        <f>P132=P134+P136+P137+P138+P139+P141+P142+P148+P145</f>
        <v>1</v>
      </c>
      <c r="R132" s="243" t="b">
        <f>K132='d6'!J103</f>
        <v>1</v>
      </c>
    </row>
    <row r="133" spans="1:18" s="409" customFormat="1" ht="47.25" thickTop="1" thickBot="1" x14ac:dyDescent="0.25">
      <c r="A133" s="477" t="s">
        <v>933</v>
      </c>
      <c r="B133" s="477" t="s">
        <v>883</v>
      </c>
      <c r="C133" s="477"/>
      <c r="D133" s="477" t="s">
        <v>884</v>
      </c>
      <c r="E133" s="410">
        <f>E134</f>
        <v>68969585</v>
      </c>
      <c r="F133" s="410">
        <f t="shared" ref="F133:P133" si="115">F134</f>
        <v>68969585</v>
      </c>
      <c r="G133" s="410">
        <f t="shared" si="115"/>
        <v>54164900</v>
      </c>
      <c r="H133" s="410">
        <f t="shared" si="115"/>
        <v>2247815</v>
      </c>
      <c r="I133" s="410">
        <f t="shared" si="115"/>
        <v>0</v>
      </c>
      <c r="J133" s="410">
        <f t="shared" si="115"/>
        <v>10062100</v>
      </c>
      <c r="K133" s="410">
        <f t="shared" si="115"/>
        <v>1000000</v>
      </c>
      <c r="L133" s="410">
        <f t="shared" si="115"/>
        <v>9029100</v>
      </c>
      <c r="M133" s="410">
        <f t="shared" si="115"/>
        <v>6977500</v>
      </c>
      <c r="N133" s="410">
        <f t="shared" si="115"/>
        <v>190100</v>
      </c>
      <c r="O133" s="410">
        <f t="shared" si="115"/>
        <v>1033000</v>
      </c>
      <c r="P133" s="410">
        <f t="shared" si="115"/>
        <v>79031685</v>
      </c>
      <c r="Q133" s="125"/>
      <c r="R133" s="243"/>
    </row>
    <row r="134" spans="1:18" ht="93" thickTop="1" thickBot="1" x14ac:dyDescent="0.25">
      <c r="A134" s="347" t="s">
        <v>810</v>
      </c>
      <c r="B134" s="347" t="s">
        <v>811</v>
      </c>
      <c r="C134" s="347" t="s">
        <v>202</v>
      </c>
      <c r="D134" s="347" t="s">
        <v>549</v>
      </c>
      <c r="E134" s="345">
        <f>F134</f>
        <v>68969585</v>
      </c>
      <c r="F134" s="324">
        <f>(54164900+11916270+176295+394855+51550+1849900+30235+235500+100600+31580+17900)</f>
        <v>68969585</v>
      </c>
      <c r="G134" s="324">
        <f>(54164900)</f>
        <v>54164900</v>
      </c>
      <c r="H134" s="324">
        <f>(1849900+30235+235500+100600+31580)</f>
        <v>2247815</v>
      </c>
      <c r="I134" s="324"/>
      <c r="J134" s="345">
        <f t="shared" si="113"/>
        <v>10062100</v>
      </c>
      <c r="K134" s="324">
        <v>1000000</v>
      </c>
      <c r="L134" s="324">
        <f>(6977500+1530200+218650+101550+5500+190100+4000+1600)</f>
        <v>9029100</v>
      </c>
      <c r="M134" s="324">
        <v>6977500</v>
      </c>
      <c r="N134" s="324">
        <f>(160400+4900+18800+6000)</f>
        <v>190100</v>
      </c>
      <c r="O134" s="346">
        <f>K134+33000</f>
        <v>1033000</v>
      </c>
      <c r="P134" s="345">
        <f t="shared" si="114"/>
        <v>79031685</v>
      </c>
      <c r="R134" s="243" t="b">
        <f>K134='d6'!J104</f>
        <v>1</v>
      </c>
    </row>
    <row r="135" spans="1:18" s="2" customFormat="1" ht="47.25" thickTop="1" thickBot="1" x14ac:dyDescent="0.25">
      <c r="A135" s="477" t="s">
        <v>934</v>
      </c>
      <c r="B135" s="477" t="s">
        <v>935</v>
      </c>
      <c r="C135" s="477"/>
      <c r="D135" s="477" t="s">
        <v>936</v>
      </c>
      <c r="E135" s="410">
        <f>SUM(E136:E142)-E140</f>
        <v>53635485</v>
      </c>
      <c r="F135" s="410">
        <f t="shared" ref="F135:P135" si="116">SUM(F136:F142)-F140</f>
        <v>53635485</v>
      </c>
      <c r="G135" s="410">
        <f t="shared" si="116"/>
        <v>36237950</v>
      </c>
      <c r="H135" s="410">
        <f t="shared" si="116"/>
        <v>1659310</v>
      </c>
      <c r="I135" s="410">
        <f t="shared" si="116"/>
        <v>0</v>
      </c>
      <c r="J135" s="410">
        <f t="shared" si="116"/>
        <v>7034300</v>
      </c>
      <c r="K135" s="410">
        <f t="shared" si="116"/>
        <v>6266000</v>
      </c>
      <c r="L135" s="410">
        <f t="shared" si="116"/>
        <v>695300</v>
      </c>
      <c r="M135" s="410">
        <f t="shared" si="116"/>
        <v>368400</v>
      </c>
      <c r="N135" s="410">
        <f t="shared" si="116"/>
        <v>67300</v>
      </c>
      <c r="O135" s="410">
        <f t="shared" si="116"/>
        <v>6339000</v>
      </c>
      <c r="P135" s="410">
        <f t="shared" si="116"/>
        <v>60669785</v>
      </c>
      <c r="Q135" s="195"/>
      <c r="R135" s="203"/>
    </row>
    <row r="136" spans="1:18" ht="48" thickTop="1" thickBot="1" x14ac:dyDescent="0.25">
      <c r="A136" s="347" t="s">
        <v>188</v>
      </c>
      <c r="B136" s="347" t="s">
        <v>189</v>
      </c>
      <c r="C136" s="347" t="s">
        <v>191</v>
      </c>
      <c r="D136" s="347" t="s">
        <v>192</v>
      </c>
      <c r="E136" s="345">
        <f t="shared" ref="E136:E139" si="117">F136</f>
        <v>1030790</v>
      </c>
      <c r="F136" s="324">
        <f>(964300)+66490</f>
        <v>1030790</v>
      </c>
      <c r="G136" s="324"/>
      <c r="H136" s="324"/>
      <c r="I136" s="324"/>
      <c r="J136" s="345">
        <f t="shared" si="113"/>
        <v>0</v>
      </c>
      <c r="K136" s="324"/>
      <c r="L136" s="324"/>
      <c r="M136" s="324"/>
      <c r="N136" s="324"/>
      <c r="O136" s="346">
        <f t="shared" ref="O136:O142" si="118">K136</f>
        <v>0</v>
      </c>
      <c r="P136" s="345">
        <f t="shared" si="114"/>
        <v>1030790</v>
      </c>
      <c r="R136" s="203"/>
    </row>
    <row r="137" spans="1:18" ht="93" thickTop="1" thickBot="1" x14ac:dyDescent="0.25">
      <c r="A137" s="347" t="s">
        <v>193</v>
      </c>
      <c r="B137" s="347" t="s">
        <v>194</v>
      </c>
      <c r="C137" s="347" t="s">
        <v>195</v>
      </c>
      <c r="D137" s="347" t="s">
        <v>196</v>
      </c>
      <c r="E137" s="345">
        <f t="shared" si="117"/>
        <v>13756395</v>
      </c>
      <c r="F137" s="324">
        <f>(10344300+2275745+143250+311400+5000+399000+9000+108420+19500+19280+56000+55000)+10500</f>
        <v>13756395</v>
      </c>
      <c r="G137" s="324">
        <v>10344300</v>
      </c>
      <c r="H137" s="324">
        <f>(399000+9000+108420+19500+19280)</f>
        <v>555200</v>
      </c>
      <c r="I137" s="324"/>
      <c r="J137" s="345">
        <f t="shared" si="113"/>
        <v>1050000</v>
      </c>
      <c r="K137" s="324">
        <f>(10000+84000+28000+67000)+766000</f>
        <v>955000</v>
      </c>
      <c r="L137" s="324">
        <f>(15600+4400+29500+26200+19000+300)</f>
        <v>95000</v>
      </c>
      <c r="M137" s="324">
        <v>15600</v>
      </c>
      <c r="N137" s="324">
        <f>(17500+500+1000)</f>
        <v>19000</v>
      </c>
      <c r="O137" s="346">
        <f t="shared" si="118"/>
        <v>955000</v>
      </c>
      <c r="P137" s="345">
        <f t="shared" si="114"/>
        <v>14806395</v>
      </c>
      <c r="R137" s="243" t="b">
        <f>K137='d6'!J105+'d6'!J106+'d6'!J107</f>
        <v>1</v>
      </c>
    </row>
    <row r="138" spans="1:18" ht="93" thickTop="1" thickBot="1" x14ac:dyDescent="0.25">
      <c r="A138" s="347" t="s">
        <v>197</v>
      </c>
      <c r="B138" s="347" t="s">
        <v>198</v>
      </c>
      <c r="C138" s="347" t="s">
        <v>195</v>
      </c>
      <c r="D138" s="347" t="s">
        <v>503</v>
      </c>
      <c r="E138" s="345">
        <f t="shared" si="117"/>
        <v>1856955</v>
      </c>
      <c r="F138" s="324">
        <f>(1328500+292270+14055+20330+139800+4305+53715+3980)</f>
        <v>1856955</v>
      </c>
      <c r="G138" s="324">
        <v>1328500</v>
      </c>
      <c r="H138" s="324">
        <f>(139800+4305+53715+3980)</f>
        <v>201800</v>
      </c>
      <c r="I138" s="324"/>
      <c r="J138" s="345">
        <f t="shared" si="113"/>
        <v>5245100</v>
      </c>
      <c r="K138" s="324">
        <f>(3000000)+2000000+14900+150000</f>
        <v>5164900</v>
      </c>
      <c r="L138" s="324">
        <f>(8100+1900+35800+27700+5700+1000)</f>
        <v>80200</v>
      </c>
      <c r="M138" s="324">
        <v>8100</v>
      </c>
      <c r="N138" s="324">
        <f>(3800+400+1500)</f>
        <v>5700</v>
      </c>
      <c r="O138" s="346">
        <f t="shared" si="118"/>
        <v>5164900</v>
      </c>
      <c r="P138" s="345">
        <f t="shared" si="114"/>
        <v>7102055</v>
      </c>
      <c r="R138" s="243" t="b">
        <f>K138='d6'!J109+'d6'!J108</f>
        <v>1</v>
      </c>
    </row>
    <row r="139" spans="1:18" ht="184.5" thickTop="1" thickBot="1" x14ac:dyDescent="0.25">
      <c r="A139" s="347" t="s">
        <v>199</v>
      </c>
      <c r="B139" s="347" t="s">
        <v>190</v>
      </c>
      <c r="C139" s="347" t="s">
        <v>200</v>
      </c>
      <c r="D139" s="347" t="s">
        <v>201</v>
      </c>
      <c r="E139" s="345">
        <f t="shared" si="117"/>
        <v>13492915</v>
      </c>
      <c r="F139" s="324">
        <f>(8640350+1900875+330000+342570+7900+428200+11375+288695+93120+37570+3760+24800)+7500+7000+1122300+246900</f>
        <v>13492915</v>
      </c>
      <c r="G139" s="324">
        <f>(8640350)+1122300</f>
        <v>9762650</v>
      </c>
      <c r="H139" s="324">
        <f>(428200+11375+288695+93120+37570)</f>
        <v>858960</v>
      </c>
      <c r="I139" s="324"/>
      <c r="J139" s="345">
        <f t="shared" si="113"/>
        <v>602200</v>
      </c>
      <c r="K139" s="324">
        <f>(124500)+16500+5100</f>
        <v>146100</v>
      </c>
      <c r="L139" s="324">
        <f>(334300+73600+5500+42600+100)</f>
        <v>456100</v>
      </c>
      <c r="M139" s="324">
        <v>334300</v>
      </c>
      <c r="N139" s="324">
        <f>(32600+800+9200)</f>
        <v>42600</v>
      </c>
      <c r="O139" s="346">
        <f>K139</f>
        <v>146100</v>
      </c>
      <c r="P139" s="345">
        <f t="shared" si="114"/>
        <v>14095115</v>
      </c>
      <c r="R139" s="243" t="b">
        <f>K139='d6'!J110</f>
        <v>1</v>
      </c>
    </row>
    <row r="140" spans="1:18" s="409" customFormat="1" ht="93" thickTop="1" thickBot="1" x14ac:dyDescent="0.25">
      <c r="A140" s="383" t="s">
        <v>937</v>
      </c>
      <c r="B140" s="383" t="s">
        <v>938</v>
      </c>
      <c r="C140" s="383"/>
      <c r="D140" s="383" t="s">
        <v>939</v>
      </c>
      <c r="E140" s="385">
        <f>SUM(E141:E142)</f>
        <v>23498430</v>
      </c>
      <c r="F140" s="385">
        <f t="shared" ref="F140:P140" si="119">SUM(F141:F142)</f>
        <v>23498430</v>
      </c>
      <c r="G140" s="385">
        <f t="shared" si="119"/>
        <v>14802500</v>
      </c>
      <c r="H140" s="385">
        <f t="shared" si="119"/>
        <v>43350</v>
      </c>
      <c r="I140" s="385">
        <f t="shared" si="119"/>
        <v>0</v>
      </c>
      <c r="J140" s="385">
        <f t="shared" si="119"/>
        <v>137000</v>
      </c>
      <c r="K140" s="385">
        <f t="shared" si="119"/>
        <v>0</v>
      </c>
      <c r="L140" s="385">
        <f t="shared" si="119"/>
        <v>64000</v>
      </c>
      <c r="M140" s="385">
        <f t="shared" si="119"/>
        <v>10400</v>
      </c>
      <c r="N140" s="385">
        <f t="shared" si="119"/>
        <v>0</v>
      </c>
      <c r="O140" s="385">
        <f t="shared" si="119"/>
        <v>73000</v>
      </c>
      <c r="P140" s="385">
        <f t="shared" si="119"/>
        <v>23635430</v>
      </c>
      <c r="Q140" s="414"/>
      <c r="R140" s="243"/>
    </row>
    <row r="141" spans="1:18" ht="138.75" thickTop="1" thickBot="1" x14ac:dyDescent="0.25">
      <c r="A141" s="347" t="s">
        <v>361</v>
      </c>
      <c r="B141" s="347" t="s">
        <v>362</v>
      </c>
      <c r="C141" s="347" t="s">
        <v>203</v>
      </c>
      <c r="D141" s="347" t="s">
        <v>504</v>
      </c>
      <c r="E141" s="345">
        <f>F141</f>
        <v>19182270</v>
      </c>
      <c r="F141" s="324">
        <f>(14802500+3256550+131640+99230+39000+3900+450+804000)+45000</f>
        <v>19182270</v>
      </c>
      <c r="G141" s="324">
        <v>14802500</v>
      </c>
      <c r="H141" s="324">
        <f>(39000+3900+450)</f>
        <v>43350</v>
      </c>
      <c r="I141" s="324"/>
      <c r="J141" s="345">
        <f t="shared" si="113"/>
        <v>137000</v>
      </c>
      <c r="K141" s="324"/>
      <c r="L141" s="324">
        <f>(10400+2200+6000+45400)</f>
        <v>64000</v>
      </c>
      <c r="M141" s="324">
        <v>10400</v>
      </c>
      <c r="N141" s="324"/>
      <c r="O141" s="346">
        <f>K141+73000</f>
        <v>73000</v>
      </c>
      <c r="P141" s="345">
        <f t="shared" si="114"/>
        <v>19319270</v>
      </c>
      <c r="R141" s="203"/>
    </row>
    <row r="142" spans="1:18" ht="93" thickTop="1" thickBot="1" x14ac:dyDescent="0.25">
      <c r="A142" s="347" t="s">
        <v>363</v>
      </c>
      <c r="B142" s="347" t="s">
        <v>364</v>
      </c>
      <c r="C142" s="347" t="s">
        <v>203</v>
      </c>
      <c r="D142" s="347" t="s">
        <v>505</v>
      </c>
      <c r="E142" s="345">
        <f>F142</f>
        <v>4316160</v>
      </c>
      <c r="F142" s="324">
        <f>(1195320+2805840+315000)</f>
        <v>4316160</v>
      </c>
      <c r="G142" s="324"/>
      <c r="H142" s="324"/>
      <c r="I142" s="324"/>
      <c r="J142" s="345">
        <f t="shared" si="113"/>
        <v>0</v>
      </c>
      <c r="K142" s="324"/>
      <c r="L142" s="324"/>
      <c r="M142" s="324"/>
      <c r="N142" s="324"/>
      <c r="O142" s="346">
        <f t="shared" si="118"/>
        <v>0</v>
      </c>
      <c r="P142" s="345">
        <f t="shared" si="114"/>
        <v>4316160</v>
      </c>
      <c r="R142" s="203"/>
    </row>
    <row r="143" spans="1:18" s="584" customFormat="1" ht="47.25" thickTop="1" thickBot="1" x14ac:dyDescent="0.25">
      <c r="A143" s="477" t="s">
        <v>1146</v>
      </c>
      <c r="B143" s="476" t="s">
        <v>927</v>
      </c>
      <c r="C143" s="476"/>
      <c r="D143" s="476" t="s">
        <v>928</v>
      </c>
      <c r="E143" s="585">
        <f>SUM(E144)</f>
        <v>0</v>
      </c>
      <c r="F143" s="585">
        <f t="shared" ref="F143:P144" si="120">SUM(F144)</f>
        <v>0</v>
      </c>
      <c r="G143" s="585">
        <f t="shared" si="120"/>
        <v>0</v>
      </c>
      <c r="H143" s="585">
        <f t="shared" si="120"/>
        <v>0</v>
      </c>
      <c r="I143" s="585">
        <f t="shared" si="120"/>
        <v>0</v>
      </c>
      <c r="J143" s="585">
        <f t="shared" si="120"/>
        <v>300000</v>
      </c>
      <c r="K143" s="585">
        <f t="shared" si="120"/>
        <v>300000</v>
      </c>
      <c r="L143" s="585">
        <f t="shared" si="120"/>
        <v>0</v>
      </c>
      <c r="M143" s="585">
        <f t="shared" si="120"/>
        <v>0</v>
      </c>
      <c r="N143" s="585">
        <f t="shared" si="120"/>
        <v>0</v>
      </c>
      <c r="O143" s="585">
        <f t="shared" si="120"/>
        <v>300000</v>
      </c>
      <c r="P143" s="585">
        <f t="shared" si="120"/>
        <v>300000</v>
      </c>
      <c r="Q143" s="593"/>
      <c r="R143" s="203"/>
    </row>
    <row r="144" spans="1:18" s="584" customFormat="1" ht="136.5" thickTop="1" thickBot="1" x14ac:dyDescent="0.25">
      <c r="A144" s="425" t="s">
        <v>1147</v>
      </c>
      <c r="B144" s="425" t="s">
        <v>866</v>
      </c>
      <c r="C144" s="425"/>
      <c r="D144" s="425" t="s">
        <v>864</v>
      </c>
      <c r="E144" s="384">
        <f>SUM(E145)</f>
        <v>0</v>
      </c>
      <c r="F144" s="384">
        <f t="shared" si="120"/>
        <v>0</v>
      </c>
      <c r="G144" s="384">
        <f t="shared" si="120"/>
        <v>0</v>
      </c>
      <c r="H144" s="384">
        <f t="shared" si="120"/>
        <v>0</v>
      </c>
      <c r="I144" s="384">
        <f t="shared" si="120"/>
        <v>0</v>
      </c>
      <c r="J144" s="384">
        <f t="shared" si="120"/>
        <v>300000</v>
      </c>
      <c r="K144" s="384">
        <f t="shared" si="120"/>
        <v>300000</v>
      </c>
      <c r="L144" s="384">
        <f t="shared" si="120"/>
        <v>0</v>
      </c>
      <c r="M144" s="384">
        <f t="shared" si="120"/>
        <v>0</v>
      </c>
      <c r="N144" s="384">
        <f t="shared" si="120"/>
        <v>0</v>
      </c>
      <c r="O144" s="384">
        <f t="shared" si="120"/>
        <v>300000</v>
      </c>
      <c r="P144" s="384">
        <f t="shared" si="120"/>
        <v>300000</v>
      </c>
      <c r="Q144" s="593"/>
      <c r="R144" s="203"/>
    </row>
    <row r="145" spans="1:18" s="584" customFormat="1" ht="93" thickTop="1" thickBot="1" x14ac:dyDescent="0.25">
      <c r="A145" s="588" t="s">
        <v>1148</v>
      </c>
      <c r="B145" s="588" t="s">
        <v>218</v>
      </c>
      <c r="C145" s="588" t="s">
        <v>187</v>
      </c>
      <c r="D145" s="588" t="s">
        <v>36</v>
      </c>
      <c r="E145" s="585">
        <f t="shared" ref="E145" si="121">F145</f>
        <v>0</v>
      </c>
      <c r="F145" s="324"/>
      <c r="G145" s="324"/>
      <c r="H145" s="324"/>
      <c r="I145" s="324"/>
      <c r="J145" s="585">
        <f t="shared" ref="J145" si="122">L145+O145</f>
        <v>300000</v>
      </c>
      <c r="K145" s="324">
        <f>200000+100000</f>
        <v>300000</v>
      </c>
      <c r="L145" s="324"/>
      <c r="M145" s="324"/>
      <c r="N145" s="324"/>
      <c r="O145" s="587">
        <f t="shared" ref="O145" si="123">K145</f>
        <v>300000</v>
      </c>
      <c r="P145" s="585">
        <f t="shared" ref="P145" si="124">E145+J145</f>
        <v>300000</v>
      </c>
      <c r="Q145" s="593"/>
      <c r="R145" s="243" t="b">
        <f>K145='d6'!J111+'d6'!J112</f>
        <v>1</v>
      </c>
    </row>
    <row r="146" spans="1:18" s="409" customFormat="1" ht="47.25" thickTop="1" thickBot="1" x14ac:dyDescent="0.25">
      <c r="A146" s="477" t="s">
        <v>940</v>
      </c>
      <c r="B146" s="477" t="s">
        <v>877</v>
      </c>
      <c r="C146" s="477"/>
      <c r="D146" s="477" t="s">
        <v>878</v>
      </c>
      <c r="E146" s="410">
        <f>E147</f>
        <v>558137</v>
      </c>
      <c r="F146" s="410">
        <f t="shared" ref="F146:P147" si="125">F147</f>
        <v>558137</v>
      </c>
      <c r="G146" s="410">
        <f t="shared" si="125"/>
        <v>0</v>
      </c>
      <c r="H146" s="410">
        <f t="shared" si="125"/>
        <v>0</v>
      </c>
      <c r="I146" s="410">
        <f t="shared" si="125"/>
        <v>0</v>
      </c>
      <c r="J146" s="410">
        <f t="shared" si="125"/>
        <v>0</v>
      </c>
      <c r="K146" s="410">
        <f t="shared" si="125"/>
        <v>0</v>
      </c>
      <c r="L146" s="410">
        <f t="shared" si="125"/>
        <v>0</v>
      </c>
      <c r="M146" s="410">
        <f t="shared" si="125"/>
        <v>0</v>
      </c>
      <c r="N146" s="410">
        <f t="shared" si="125"/>
        <v>0</v>
      </c>
      <c r="O146" s="410">
        <f t="shared" si="125"/>
        <v>0</v>
      </c>
      <c r="P146" s="410">
        <f t="shared" si="125"/>
        <v>558137</v>
      </c>
      <c r="Q146" s="414"/>
      <c r="R146" s="203"/>
    </row>
    <row r="147" spans="1:18" s="409" customFormat="1" ht="271.5" thickTop="1" thickBot="1" x14ac:dyDescent="0.25">
      <c r="A147" s="425" t="s">
        <v>941</v>
      </c>
      <c r="B147" s="425" t="s">
        <v>880</v>
      </c>
      <c r="C147" s="425"/>
      <c r="D147" s="425" t="s">
        <v>881</v>
      </c>
      <c r="E147" s="384">
        <f>E148</f>
        <v>558137</v>
      </c>
      <c r="F147" s="384">
        <f t="shared" si="125"/>
        <v>558137</v>
      </c>
      <c r="G147" s="384">
        <f t="shared" si="125"/>
        <v>0</v>
      </c>
      <c r="H147" s="384">
        <f t="shared" si="125"/>
        <v>0</v>
      </c>
      <c r="I147" s="384">
        <f t="shared" si="125"/>
        <v>0</v>
      </c>
      <c r="J147" s="384">
        <f t="shared" si="125"/>
        <v>0</v>
      </c>
      <c r="K147" s="384">
        <f t="shared" si="125"/>
        <v>0</v>
      </c>
      <c r="L147" s="384">
        <f t="shared" si="125"/>
        <v>0</v>
      </c>
      <c r="M147" s="384">
        <f t="shared" si="125"/>
        <v>0</v>
      </c>
      <c r="N147" s="384">
        <f t="shared" si="125"/>
        <v>0</v>
      </c>
      <c r="O147" s="384">
        <f t="shared" si="125"/>
        <v>0</v>
      </c>
      <c r="P147" s="384">
        <f t="shared" si="125"/>
        <v>558137</v>
      </c>
      <c r="Q147" s="414"/>
      <c r="R147" s="203"/>
    </row>
    <row r="148" spans="1:18" s="244" customFormat="1" ht="93" thickTop="1" thickBot="1" x14ac:dyDescent="0.25">
      <c r="A148" s="347" t="s">
        <v>727</v>
      </c>
      <c r="B148" s="347" t="s">
        <v>392</v>
      </c>
      <c r="C148" s="347" t="s">
        <v>45</v>
      </c>
      <c r="D148" s="347" t="s">
        <v>393</v>
      </c>
      <c r="E148" s="345">
        <f t="shared" ref="E148" si="126">F148</f>
        <v>558137</v>
      </c>
      <c r="F148" s="324">
        <v>558137</v>
      </c>
      <c r="G148" s="324"/>
      <c r="H148" s="324"/>
      <c r="I148" s="324"/>
      <c r="J148" s="345">
        <f>L148+O148</f>
        <v>0</v>
      </c>
      <c r="K148" s="324"/>
      <c r="L148" s="324"/>
      <c r="M148" s="324"/>
      <c r="N148" s="324"/>
      <c r="O148" s="346">
        <f>K148</f>
        <v>0</v>
      </c>
      <c r="P148" s="345">
        <f>E148+J148</f>
        <v>558137</v>
      </c>
      <c r="Q148" s="245"/>
      <c r="R148" s="203"/>
    </row>
    <row r="149" spans="1:18" ht="136.5" thickTop="1" thickBot="1" x14ac:dyDescent="0.25">
      <c r="A149" s="595" t="s">
        <v>22</v>
      </c>
      <c r="B149" s="595"/>
      <c r="C149" s="595"/>
      <c r="D149" s="596" t="s">
        <v>23</v>
      </c>
      <c r="E149" s="597">
        <f>E150</f>
        <v>87814266.530000001</v>
      </c>
      <c r="F149" s="598">
        <f t="shared" ref="F149:G149" si="127">F150</f>
        <v>87814266.530000001</v>
      </c>
      <c r="G149" s="598">
        <f t="shared" si="127"/>
        <v>40854695</v>
      </c>
      <c r="H149" s="598">
        <f>H150</f>
        <v>2243165</v>
      </c>
      <c r="I149" s="598">
        <f t="shared" ref="I149" si="128">I150</f>
        <v>0</v>
      </c>
      <c r="J149" s="597">
        <f>J150</f>
        <v>6171703</v>
      </c>
      <c r="K149" s="598">
        <f>K150</f>
        <v>4267458</v>
      </c>
      <c r="L149" s="598">
        <f>L150</f>
        <v>1894298</v>
      </c>
      <c r="M149" s="598">
        <f t="shared" ref="M149" si="129">M150</f>
        <v>866362</v>
      </c>
      <c r="N149" s="597">
        <f>N150</f>
        <v>308978</v>
      </c>
      <c r="O149" s="597">
        <f>O150</f>
        <v>4277405</v>
      </c>
      <c r="P149" s="598">
        <f t="shared" ref="P149" si="130">P150</f>
        <v>93985969.530000001</v>
      </c>
    </row>
    <row r="150" spans="1:18" ht="136.5" thickTop="1" thickBot="1" x14ac:dyDescent="0.25">
      <c r="A150" s="599" t="s">
        <v>21</v>
      </c>
      <c r="B150" s="599"/>
      <c r="C150" s="599"/>
      <c r="D150" s="600" t="s">
        <v>37</v>
      </c>
      <c r="E150" s="601">
        <f>E151+E157+E170+E173</f>
        <v>87814266.530000001</v>
      </c>
      <c r="F150" s="601">
        <f t="shared" ref="F150:I150" si="131">F151+F157+F170+F173</f>
        <v>87814266.530000001</v>
      </c>
      <c r="G150" s="601">
        <f t="shared" si="131"/>
        <v>40854695</v>
      </c>
      <c r="H150" s="601">
        <f t="shared" si="131"/>
        <v>2243165</v>
      </c>
      <c r="I150" s="601">
        <f t="shared" si="131"/>
        <v>0</v>
      </c>
      <c r="J150" s="601">
        <f>L150+O150</f>
        <v>6171703</v>
      </c>
      <c r="K150" s="601">
        <f t="shared" ref="K150:N150" si="132">K151+K157+K170+K173</f>
        <v>4267458</v>
      </c>
      <c r="L150" s="601">
        <f t="shared" si="132"/>
        <v>1894298</v>
      </c>
      <c r="M150" s="601">
        <f t="shared" si="132"/>
        <v>866362</v>
      </c>
      <c r="N150" s="601">
        <f t="shared" si="132"/>
        <v>308978</v>
      </c>
      <c r="O150" s="601">
        <f>O151+O157+O170+O173</f>
        <v>4277405</v>
      </c>
      <c r="P150" s="602">
        <f>E150+J150</f>
        <v>93985969.530000001</v>
      </c>
      <c r="Q150" s="125" t="b">
        <f>P150=P153+P155+P156+P159+P160+P162+P164+P165+P167+P168+P169+P172+P175</f>
        <v>1</v>
      </c>
      <c r="R150" s="243" t="b">
        <f>K150='d6'!J113</f>
        <v>1</v>
      </c>
    </row>
    <row r="151" spans="1:18" s="409" customFormat="1" ht="91.5" thickTop="1" thickBot="1" x14ac:dyDescent="0.25">
      <c r="A151" s="477" t="s">
        <v>942</v>
      </c>
      <c r="B151" s="477" t="s">
        <v>886</v>
      </c>
      <c r="C151" s="477"/>
      <c r="D151" s="477" t="s">
        <v>887</v>
      </c>
      <c r="E151" s="487">
        <f>SUM(E152:E156)-E152-E154</f>
        <v>16518191</v>
      </c>
      <c r="F151" s="487">
        <f t="shared" ref="F151:P151" si="133">SUM(F152:F156)-F152-F154</f>
        <v>16518191</v>
      </c>
      <c r="G151" s="487">
        <f t="shared" si="133"/>
        <v>7871695</v>
      </c>
      <c r="H151" s="487">
        <f t="shared" si="133"/>
        <v>636305</v>
      </c>
      <c r="I151" s="487">
        <f t="shared" si="133"/>
        <v>0</v>
      </c>
      <c r="J151" s="487">
        <f t="shared" si="133"/>
        <v>1061957</v>
      </c>
      <c r="K151" s="487">
        <f t="shared" si="133"/>
        <v>733957</v>
      </c>
      <c r="L151" s="487">
        <f t="shared" si="133"/>
        <v>318053</v>
      </c>
      <c r="M151" s="487">
        <f t="shared" si="133"/>
        <v>175000</v>
      </c>
      <c r="N151" s="487">
        <f t="shared" si="133"/>
        <v>78200</v>
      </c>
      <c r="O151" s="487">
        <f t="shared" si="133"/>
        <v>743904</v>
      </c>
      <c r="P151" s="487">
        <f t="shared" si="133"/>
        <v>17580148</v>
      </c>
      <c r="Q151" s="125"/>
      <c r="R151" s="243"/>
    </row>
    <row r="152" spans="1:18" s="39" customFormat="1" ht="138.75" thickTop="1" thickBot="1" x14ac:dyDescent="0.25">
      <c r="A152" s="383" t="s">
        <v>943</v>
      </c>
      <c r="B152" s="383" t="s">
        <v>944</v>
      </c>
      <c r="C152" s="383"/>
      <c r="D152" s="383" t="s">
        <v>945</v>
      </c>
      <c r="E152" s="484">
        <f>E153</f>
        <v>5303095</v>
      </c>
      <c r="F152" s="484">
        <f t="shared" ref="F152:P152" si="134">F153</f>
        <v>5303095</v>
      </c>
      <c r="G152" s="484">
        <f t="shared" si="134"/>
        <v>4125520</v>
      </c>
      <c r="H152" s="484">
        <f t="shared" si="134"/>
        <v>90420</v>
      </c>
      <c r="I152" s="484">
        <f t="shared" si="134"/>
        <v>0</v>
      </c>
      <c r="J152" s="484">
        <f t="shared" si="134"/>
        <v>0</v>
      </c>
      <c r="K152" s="484">
        <f t="shared" si="134"/>
        <v>0</v>
      </c>
      <c r="L152" s="484">
        <f t="shared" si="134"/>
        <v>0</v>
      </c>
      <c r="M152" s="484">
        <f t="shared" si="134"/>
        <v>0</v>
      </c>
      <c r="N152" s="484">
        <f t="shared" si="134"/>
        <v>0</v>
      </c>
      <c r="O152" s="484">
        <f t="shared" si="134"/>
        <v>0</v>
      </c>
      <c r="P152" s="484">
        <f t="shared" si="134"/>
        <v>5303095</v>
      </c>
      <c r="Q152" s="483"/>
      <c r="R152" s="475"/>
    </row>
    <row r="153" spans="1:18" ht="138.75" thickTop="1" thickBot="1" x14ac:dyDescent="0.25">
      <c r="A153" s="347" t="s">
        <v>204</v>
      </c>
      <c r="B153" s="347" t="s">
        <v>205</v>
      </c>
      <c r="C153" s="347" t="s">
        <v>206</v>
      </c>
      <c r="D153" s="347" t="s">
        <v>812</v>
      </c>
      <c r="E153" s="337">
        <f t="shared" ref="E153:E168" si="135">F153</f>
        <v>5303095</v>
      </c>
      <c r="F153" s="173">
        <f>(4125520+907615+59600+79015+35280+49795+2585+34440+3600+2145)+3500</f>
        <v>5303095</v>
      </c>
      <c r="G153" s="173">
        <v>4125520</v>
      </c>
      <c r="H153" s="173">
        <f>(49795+2585+34440+3600)</f>
        <v>90420</v>
      </c>
      <c r="I153" s="173"/>
      <c r="J153" s="345">
        <f t="shared" ref="J153:J175" si="136">L153+O153</f>
        <v>0</v>
      </c>
      <c r="K153" s="173"/>
      <c r="L153" s="174"/>
      <c r="M153" s="174"/>
      <c r="N153" s="174"/>
      <c r="O153" s="346">
        <f t="shared" ref="O153:O175" si="137">K153</f>
        <v>0</v>
      </c>
      <c r="P153" s="345">
        <f>+J153+E153</f>
        <v>5303095</v>
      </c>
      <c r="Q153" s="203"/>
      <c r="R153" s="203"/>
    </row>
    <row r="154" spans="1:18" s="39" customFormat="1" ht="93" thickTop="1" thickBot="1" x14ac:dyDescent="0.25">
      <c r="A154" s="383" t="s">
        <v>946</v>
      </c>
      <c r="B154" s="383" t="s">
        <v>947</v>
      </c>
      <c r="C154" s="383"/>
      <c r="D154" s="383" t="s">
        <v>948</v>
      </c>
      <c r="E154" s="486">
        <f>SUM(E155:E156)</f>
        <v>11215096</v>
      </c>
      <c r="F154" s="486">
        <f t="shared" ref="F154:P154" si="138">SUM(F155:F156)</f>
        <v>11215096</v>
      </c>
      <c r="G154" s="486">
        <f t="shared" si="138"/>
        <v>3746175</v>
      </c>
      <c r="H154" s="486">
        <f t="shared" si="138"/>
        <v>545885</v>
      </c>
      <c r="I154" s="486">
        <f t="shared" si="138"/>
        <v>0</v>
      </c>
      <c r="J154" s="486">
        <f t="shared" si="138"/>
        <v>1061957</v>
      </c>
      <c r="K154" s="486">
        <f t="shared" si="138"/>
        <v>733957</v>
      </c>
      <c r="L154" s="486">
        <f t="shared" si="138"/>
        <v>318053</v>
      </c>
      <c r="M154" s="486">
        <f t="shared" si="138"/>
        <v>175000</v>
      </c>
      <c r="N154" s="486">
        <f t="shared" si="138"/>
        <v>78200</v>
      </c>
      <c r="O154" s="486">
        <f t="shared" si="138"/>
        <v>743904</v>
      </c>
      <c r="P154" s="486">
        <f t="shared" si="138"/>
        <v>12277053</v>
      </c>
      <c r="Q154" s="469"/>
      <c r="R154" s="469"/>
    </row>
    <row r="155" spans="1:18" s="527" customFormat="1" ht="93" thickTop="1" thickBot="1" x14ac:dyDescent="0.25">
      <c r="A155" s="543" t="s">
        <v>210</v>
      </c>
      <c r="B155" s="543" t="s">
        <v>211</v>
      </c>
      <c r="C155" s="543" t="s">
        <v>206</v>
      </c>
      <c r="D155" s="543" t="s">
        <v>10</v>
      </c>
      <c r="E155" s="337">
        <f t="shared" si="135"/>
        <v>4435310</v>
      </c>
      <c r="F155" s="173">
        <f>(2725415+599590+377485+251835+384905+4560+86670+3450+1400)</f>
        <v>4435310</v>
      </c>
      <c r="G155" s="173">
        <v>2725415</v>
      </c>
      <c r="H155" s="173">
        <f>(384905+4560+86670+3450)</f>
        <v>479585</v>
      </c>
      <c r="I155" s="173"/>
      <c r="J155" s="541">
        <f t="shared" si="136"/>
        <v>1058957</v>
      </c>
      <c r="K155" s="173">
        <f>(733957)</f>
        <v>733957</v>
      </c>
      <c r="L155" s="174">
        <f>(175000+38500+27300+5000+36500+4800+35400+1500+1000)-9947</f>
        <v>315053</v>
      </c>
      <c r="M155" s="174">
        <v>175000</v>
      </c>
      <c r="N155" s="174">
        <f>(36500+4800+35400+1500)</f>
        <v>78200</v>
      </c>
      <c r="O155" s="542">
        <f>K155+9947</f>
        <v>743904</v>
      </c>
      <c r="P155" s="541">
        <f t="shared" ref="P155:P175" si="139">E155+J155</f>
        <v>5494267</v>
      </c>
      <c r="Q155" s="525"/>
      <c r="R155" s="528" t="b">
        <f>K155='d6'!J115</f>
        <v>1</v>
      </c>
    </row>
    <row r="156" spans="1:18" s="531" customFormat="1" ht="93" thickTop="1" thickBot="1" x14ac:dyDescent="0.25">
      <c r="A156" s="521" t="s">
        <v>380</v>
      </c>
      <c r="B156" s="521" t="s">
        <v>381</v>
      </c>
      <c r="C156" s="521" t="s">
        <v>206</v>
      </c>
      <c r="D156" s="521" t="s">
        <v>382</v>
      </c>
      <c r="E156" s="337">
        <f t="shared" si="135"/>
        <v>6779786</v>
      </c>
      <c r="F156" s="173">
        <f>(83645+830710+1020760+224570+61795+14860+37320+2075+23905+3000+2478500+545270+473390+27940+536310+404810)+10926</f>
        <v>6779786</v>
      </c>
      <c r="G156" s="173">
        <v>1020760</v>
      </c>
      <c r="H156" s="173">
        <f>(37320+2075+23905+3000)</f>
        <v>66300</v>
      </c>
      <c r="I156" s="173"/>
      <c r="J156" s="519">
        <f t="shared" si="136"/>
        <v>3000</v>
      </c>
      <c r="K156" s="173"/>
      <c r="L156" s="174">
        <v>3000</v>
      </c>
      <c r="M156" s="174"/>
      <c r="N156" s="174"/>
      <c r="O156" s="520">
        <f t="shared" si="137"/>
        <v>0</v>
      </c>
      <c r="P156" s="519">
        <f t="shared" si="139"/>
        <v>6782786</v>
      </c>
      <c r="Q156" s="529"/>
      <c r="R156" s="530"/>
    </row>
    <row r="157" spans="1:18" s="409" customFormat="1" ht="47.25" thickTop="1" thickBot="1" x14ac:dyDescent="0.25">
      <c r="A157" s="477" t="s">
        <v>949</v>
      </c>
      <c r="B157" s="477" t="s">
        <v>950</v>
      </c>
      <c r="C157" s="413"/>
      <c r="D157" s="477" t="s">
        <v>951</v>
      </c>
      <c r="E157" s="337">
        <f>SUM(E158:E169)-E158-E161-E163-E166</f>
        <v>71270651</v>
      </c>
      <c r="F157" s="337">
        <f t="shared" ref="F157:P157" si="140">SUM(F158:F169)-F158-F161-F163-F166</f>
        <v>71270651</v>
      </c>
      <c r="G157" s="337">
        <f t="shared" si="140"/>
        <v>32983000</v>
      </c>
      <c r="H157" s="337">
        <f t="shared" si="140"/>
        <v>1606860</v>
      </c>
      <c r="I157" s="337">
        <f t="shared" si="140"/>
        <v>0</v>
      </c>
      <c r="J157" s="337">
        <f t="shared" si="140"/>
        <v>4088272</v>
      </c>
      <c r="K157" s="337">
        <f t="shared" si="140"/>
        <v>2512027</v>
      </c>
      <c r="L157" s="337">
        <f t="shared" si="140"/>
        <v>1576245</v>
      </c>
      <c r="M157" s="337">
        <f t="shared" si="140"/>
        <v>691362</v>
      </c>
      <c r="N157" s="337">
        <f t="shared" si="140"/>
        <v>230778</v>
      </c>
      <c r="O157" s="337">
        <f t="shared" si="140"/>
        <v>2512027</v>
      </c>
      <c r="P157" s="337">
        <f t="shared" si="140"/>
        <v>75358923</v>
      </c>
      <c r="Q157" s="414"/>
      <c r="R157" s="243"/>
    </row>
    <row r="158" spans="1:18" s="39" customFormat="1" ht="93" thickTop="1" thickBot="1" x14ac:dyDescent="0.25">
      <c r="A158" s="383" t="s">
        <v>952</v>
      </c>
      <c r="B158" s="383" t="s">
        <v>953</v>
      </c>
      <c r="C158" s="383"/>
      <c r="D158" s="383" t="s">
        <v>954</v>
      </c>
      <c r="E158" s="486">
        <f>SUM(E159:E160)</f>
        <v>14074487</v>
      </c>
      <c r="F158" s="486">
        <f t="shared" ref="F158:P158" si="141">SUM(F159:F160)</f>
        <v>14074487</v>
      </c>
      <c r="G158" s="486">
        <f t="shared" si="141"/>
        <v>0</v>
      </c>
      <c r="H158" s="486">
        <f t="shared" si="141"/>
        <v>0</v>
      </c>
      <c r="I158" s="486">
        <f t="shared" si="141"/>
        <v>0</v>
      </c>
      <c r="J158" s="486">
        <f t="shared" si="141"/>
        <v>0</v>
      </c>
      <c r="K158" s="486">
        <f t="shared" si="141"/>
        <v>0</v>
      </c>
      <c r="L158" s="486">
        <f t="shared" si="141"/>
        <v>0</v>
      </c>
      <c r="M158" s="486">
        <f t="shared" si="141"/>
        <v>0</v>
      </c>
      <c r="N158" s="486">
        <f t="shared" si="141"/>
        <v>0</v>
      </c>
      <c r="O158" s="486">
        <f t="shared" si="141"/>
        <v>0</v>
      </c>
      <c r="P158" s="486">
        <f t="shared" si="141"/>
        <v>14074487</v>
      </c>
      <c r="Q158" s="199"/>
      <c r="R158" s="475"/>
    </row>
    <row r="159" spans="1:18" s="527" customFormat="1" ht="138.75" thickTop="1" thickBot="1" x14ac:dyDescent="0.25">
      <c r="A159" s="543" t="s">
        <v>46</v>
      </c>
      <c r="B159" s="543" t="s">
        <v>207</v>
      </c>
      <c r="C159" s="543" t="s">
        <v>216</v>
      </c>
      <c r="D159" s="543" t="s">
        <v>47</v>
      </c>
      <c r="E159" s="337">
        <f t="shared" si="135"/>
        <v>12164902</v>
      </c>
      <c r="F159" s="173">
        <f>(171260+11395570)+500000+98072</f>
        <v>12164902</v>
      </c>
      <c r="G159" s="324"/>
      <c r="H159" s="324"/>
      <c r="I159" s="324"/>
      <c r="J159" s="541">
        <f t="shared" si="136"/>
        <v>0</v>
      </c>
      <c r="K159" s="324"/>
      <c r="L159" s="324"/>
      <c r="M159" s="324"/>
      <c r="N159" s="324"/>
      <c r="O159" s="542">
        <f t="shared" si="137"/>
        <v>0</v>
      </c>
      <c r="P159" s="541">
        <f t="shared" si="139"/>
        <v>12164902</v>
      </c>
      <c r="Q159" s="525"/>
      <c r="R159" s="528"/>
    </row>
    <row r="160" spans="1:18" s="527" customFormat="1" ht="138.75" thickTop="1" thickBot="1" x14ac:dyDescent="0.25">
      <c r="A160" s="543" t="s">
        <v>48</v>
      </c>
      <c r="B160" s="543" t="s">
        <v>208</v>
      </c>
      <c r="C160" s="543" t="s">
        <v>216</v>
      </c>
      <c r="D160" s="543" t="s">
        <v>4</v>
      </c>
      <c r="E160" s="337">
        <f t="shared" si="135"/>
        <v>1909585</v>
      </c>
      <c r="F160" s="173">
        <f>(99315+1810270)</f>
        <v>1909585</v>
      </c>
      <c r="G160" s="324"/>
      <c r="H160" s="324"/>
      <c r="I160" s="324"/>
      <c r="J160" s="541">
        <f t="shared" si="136"/>
        <v>0</v>
      </c>
      <c r="K160" s="324"/>
      <c r="L160" s="324"/>
      <c r="M160" s="324"/>
      <c r="N160" s="324"/>
      <c r="O160" s="542">
        <f t="shared" si="137"/>
        <v>0</v>
      </c>
      <c r="P160" s="541">
        <f t="shared" si="139"/>
        <v>1909585</v>
      </c>
      <c r="Q160" s="525"/>
      <c r="R160" s="528"/>
    </row>
    <row r="161" spans="1:18" s="39" customFormat="1" ht="184.5" thickTop="1" thickBot="1" x14ac:dyDescent="0.25">
      <c r="A161" s="383" t="s">
        <v>955</v>
      </c>
      <c r="B161" s="383" t="s">
        <v>956</v>
      </c>
      <c r="C161" s="383"/>
      <c r="D161" s="383" t="s">
        <v>957</v>
      </c>
      <c r="E161" s="486">
        <f>E162</f>
        <v>60300</v>
      </c>
      <c r="F161" s="486">
        <f t="shared" ref="F161:P161" si="142">F162</f>
        <v>60300</v>
      </c>
      <c r="G161" s="486">
        <f t="shared" si="142"/>
        <v>0</v>
      </c>
      <c r="H161" s="486">
        <f t="shared" si="142"/>
        <v>0</v>
      </c>
      <c r="I161" s="486">
        <f t="shared" si="142"/>
        <v>0</v>
      </c>
      <c r="J161" s="486">
        <f t="shared" si="142"/>
        <v>0</v>
      </c>
      <c r="K161" s="486">
        <f t="shared" si="142"/>
        <v>0</v>
      </c>
      <c r="L161" s="486">
        <f t="shared" si="142"/>
        <v>0</v>
      </c>
      <c r="M161" s="486">
        <f t="shared" si="142"/>
        <v>0</v>
      </c>
      <c r="N161" s="486">
        <f t="shared" si="142"/>
        <v>0</v>
      </c>
      <c r="O161" s="486">
        <f t="shared" si="142"/>
        <v>0</v>
      </c>
      <c r="P161" s="486">
        <f t="shared" si="142"/>
        <v>60300</v>
      </c>
      <c r="Q161" s="199"/>
      <c r="R161" s="474"/>
    </row>
    <row r="162" spans="1:18" s="527" customFormat="1" ht="184.5" thickTop="1" thickBot="1" x14ac:dyDescent="0.25">
      <c r="A162" s="543" t="s">
        <v>49</v>
      </c>
      <c r="B162" s="543" t="s">
        <v>209</v>
      </c>
      <c r="C162" s="543" t="s">
        <v>216</v>
      </c>
      <c r="D162" s="543" t="s">
        <v>378</v>
      </c>
      <c r="E162" s="337">
        <f>F162</f>
        <v>60300</v>
      </c>
      <c r="F162" s="173">
        <f>(4295+56005)</f>
        <v>60300</v>
      </c>
      <c r="G162" s="173"/>
      <c r="H162" s="173"/>
      <c r="I162" s="324"/>
      <c r="J162" s="541">
        <f t="shared" si="136"/>
        <v>0</v>
      </c>
      <c r="K162" s="324"/>
      <c r="L162" s="173"/>
      <c r="M162" s="173"/>
      <c r="N162" s="173"/>
      <c r="O162" s="542">
        <f t="shared" si="137"/>
        <v>0</v>
      </c>
      <c r="P162" s="541">
        <f t="shared" si="139"/>
        <v>60300</v>
      </c>
      <c r="Q162" s="525"/>
      <c r="R162" s="528"/>
    </row>
    <row r="163" spans="1:18" s="409" customFormat="1" ht="93" thickTop="1" thickBot="1" x14ac:dyDescent="0.25">
      <c r="A163" s="383" t="s">
        <v>958</v>
      </c>
      <c r="B163" s="383" t="s">
        <v>959</v>
      </c>
      <c r="C163" s="383"/>
      <c r="D163" s="383" t="s">
        <v>960</v>
      </c>
      <c r="E163" s="486">
        <f>SUM(E164:E165)</f>
        <v>52686293</v>
      </c>
      <c r="F163" s="486">
        <f t="shared" ref="F163:P163" si="143">SUM(F164:F165)</f>
        <v>52686293</v>
      </c>
      <c r="G163" s="486">
        <f t="shared" si="143"/>
        <v>31776270</v>
      </c>
      <c r="H163" s="486">
        <f t="shared" si="143"/>
        <v>1606860</v>
      </c>
      <c r="I163" s="486">
        <f t="shared" si="143"/>
        <v>0</v>
      </c>
      <c r="J163" s="486">
        <f t="shared" si="143"/>
        <v>4058272</v>
      </c>
      <c r="K163" s="486">
        <f t="shared" si="143"/>
        <v>2482027</v>
      </c>
      <c r="L163" s="486">
        <f t="shared" si="143"/>
        <v>1576245</v>
      </c>
      <c r="M163" s="486">
        <f t="shared" si="143"/>
        <v>691362</v>
      </c>
      <c r="N163" s="486">
        <f t="shared" si="143"/>
        <v>230778</v>
      </c>
      <c r="O163" s="486">
        <f t="shared" si="143"/>
        <v>2482027</v>
      </c>
      <c r="P163" s="486">
        <f t="shared" si="143"/>
        <v>56744565</v>
      </c>
      <c r="Q163" s="414"/>
      <c r="R163" s="243"/>
    </row>
    <row r="164" spans="1:18" s="527" customFormat="1" ht="184.5" thickTop="1" thickBot="1" x14ac:dyDescent="0.25">
      <c r="A164" s="543" t="s">
        <v>28</v>
      </c>
      <c r="B164" s="543" t="s">
        <v>213</v>
      </c>
      <c r="C164" s="543" t="s">
        <v>216</v>
      </c>
      <c r="D164" s="543" t="s">
        <v>50</v>
      </c>
      <c r="E164" s="337">
        <f t="shared" si="135"/>
        <v>44588703</v>
      </c>
      <c r="F164" s="173">
        <f>(44066325)+254271+54363+132144+3050+3780+5880+7980+8760+19000+19150+14000</f>
        <v>44588703</v>
      </c>
      <c r="G164" s="173">
        <v>31776270</v>
      </c>
      <c r="H164" s="173">
        <f>(559555+134000+494595+408705+10005)</f>
        <v>1606860</v>
      </c>
      <c r="I164" s="173"/>
      <c r="J164" s="541">
        <f t="shared" si="136"/>
        <v>4043072</v>
      </c>
      <c r="K164" s="173">
        <f>(91670+32400+77910+16200+405800+200000)+4838-255801+48600+1509600+86000+33250+216360</f>
        <v>2466827</v>
      </c>
      <c r="L164" s="173">
        <f>(691362+141099+226744+1030+112354+105648+5500+230778+2000+59730)</f>
        <v>1576245</v>
      </c>
      <c r="M164" s="173">
        <v>691362</v>
      </c>
      <c r="N164" s="173">
        <f>(92672+44368+72322+15587+5829)</f>
        <v>230778</v>
      </c>
      <c r="O164" s="542">
        <f>(K164)</f>
        <v>2466827</v>
      </c>
      <c r="P164" s="541">
        <f t="shared" si="139"/>
        <v>48631775</v>
      </c>
      <c r="Q164" s="525"/>
      <c r="R164" s="528" t="b">
        <f>K164='d6'!J116+'d6'!J117+'d6'!J118+'d6'!J119+'d6'!J120+'d6'!J121</f>
        <v>1</v>
      </c>
    </row>
    <row r="165" spans="1:18" s="527" customFormat="1" ht="184.5" thickTop="1" thickBot="1" x14ac:dyDescent="0.25">
      <c r="A165" s="543" t="s">
        <v>29</v>
      </c>
      <c r="B165" s="543" t="s">
        <v>214</v>
      </c>
      <c r="C165" s="543" t="s">
        <v>216</v>
      </c>
      <c r="D165" s="543" t="s">
        <v>51</v>
      </c>
      <c r="E165" s="337">
        <f t="shared" si="135"/>
        <v>8097590</v>
      </c>
      <c r="F165" s="173">
        <v>8097590</v>
      </c>
      <c r="G165" s="173"/>
      <c r="H165" s="173"/>
      <c r="I165" s="173"/>
      <c r="J165" s="541">
        <f t="shared" si="136"/>
        <v>15200</v>
      </c>
      <c r="K165" s="173">
        <f>(15200)</f>
        <v>15200</v>
      </c>
      <c r="L165" s="173"/>
      <c r="M165" s="173"/>
      <c r="N165" s="173"/>
      <c r="O165" s="542">
        <f t="shared" si="137"/>
        <v>15200</v>
      </c>
      <c r="P165" s="541">
        <f t="shared" si="139"/>
        <v>8112790</v>
      </c>
      <c r="Q165" s="525"/>
      <c r="R165" s="528" t="b">
        <f>K165='d6'!J122</f>
        <v>1</v>
      </c>
    </row>
    <row r="166" spans="1:18" s="409" customFormat="1" ht="93" thickTop="1" thickBot="1" x14ac:dyDescent="0.25">
      <c r="A166" s="488" t="s">
        <v>961</v>
      </c>
      <c r="B166" s="383" t="s">
        <v>962</v>
      </c>
      <c r="C166" s="383"/>
      <c r="D166" s="383" t="s">
        <v>963</v>
      </c>
      <c r="E166" s="486">
        <f>SUM(E167:E169)</f>
        <v>4449571</v>
      </c>
      <c r="F166" s="486">
        <f t="shared" ref="F166:P166" si="144">SUM(F167:F169)</f>
        <v>4449571</v>
      </c>
      <c r="G166" s="486">
        <f t="shared" si="144"/>
        <v>1206730</v>
      </c>
      <c r="H166" s="486">
        <f t="shared" si="144"/>
        <v>0</v>
      </c>
      <c r="I166" s="486">
        <f t="shared" si="144"/>
        <v>0</v>
      </c>
      <c r="J166" s="486">
        <f t="shared" si="144"/>
        <v>30000</v>
      </c>
      <c r="K166" s="486">
        <f t="shared" si="144"/>
        <v>30000</v>
      </c>
      <c r="L166" s="486">
        <f t="shared" si="144"/>
        <v>0</v>
      </c>
      <c r="M166" s="486">
        <f t="shared" si="144"/>
        <v>0</v>
      </c>
      <c r="N166" s="486">
        <f t="shared" si="144"/>
        <v>0</v>
      </c>
      <c r="O166" s="486">
        <f t="shared" si="144"/>
        <v>30000</v>
      </c>
      <c r="P166" s="486">
        <f t="shared" si="144"/>
        <v>4479571</v>
      </c>
      <c r="Q166" s="414"/>
      <c r="R166" s="243"/>
    </row>
    <row r="167" spans="1:18" s="527" customFormat="1" ht="276" thickTop="1" thickBot="1" x14ac:dyDescent="0.25">
      <c r="A167" s="544" t="s">
        <v>30</v>
      </c>
      <c r="B167" s="544" t="s">
        <v>215</v>
      </c>
      <c r="C167" s="544" t="s">
        <v>216</v>
      </c>
      <c r="D167" s="543" t="s">
        <v>31</v>
      </c>
      <c r="E167" s="337">
        <f t="shared" si="135"/>
        <v>768820</v>
      </c>
      <c r="F167" s="173">
        <f>(48380+64440)+500000+156000</f>
        <v>768820</v>
      </c>
      <c r="G167" s="324"/>
      <c r="H167" s="324"/>
      <c r="I167" s="324"/>
      <c r="J167" s="541">
        <f t="shared" si="136"/>
        <v>0</v>
      </c>
      <c r="K167" s="324"/>
      <c r="L167" s="324"/>
      <c r="M167" s="324"/>
      <c r="N167" s="324"/>
      <c r="O167" s="542">
        <f t="shared" si="137"/>
        <v>0</v>
      </c>
      <c r="P167" s="541">
        <f t="shared" si="139"/>
        <v>768820</v>
      </c>
      <c r="Q167" s="525"/>
      <c r="R167" s="528"/>
    </row>
    <row r="168" spans="1:18" s="527" customFormat="1" ht="184.5" thickTop="1" thickBot="1" x14ac:dyDescent="0.25">
      <c r="A168" s="544" t="s">
        <v>562</v>
      </c>
      <c r="B168" s="544" t="s">
        <v>560</v>
      </c>
      <c r="C168" s="544" t="s">
        <v>216</v>
      </c>
      <c r="D168" s="543" t="s">
        <v>561</v>
      </c>
      <c r="E168" s="337">
        <f t="shared" si="135"/>
        <v>1969086</v>
      </c>
      <c r="F168" s="173">
        <f>(1968927)-98072+98231</f>
        <v>1969086</v>
      </c>
      <c r="G168" s="324"/>
      <c r="H168" s="324"/>
      <c r="I168" s="324"/>
      <c r="J168" s="541">
        <f t="shared" si="136"/>
        <v>0</v>
      </c>
      <c r="K168" s="324"/>
      <c r="L168" s="324"/>
      <c r="M168" s="324"/>
      <c r="N168" s="324"/>
      <c r="O168" s="542">
        <f t="shared" si="137"/>
        <v>0</v>
      </c>
      <c r="P168" s="541">
        <f t="shared" si="139"/>
        <v>1969086</v>
      </c>
      <c r="Q168" s="525"/>
      <c r="R168" s="528"/>
    </row>
    <row r="169" spans="1:18" s="527" customFormat="1" ht="93" thickTop="1" thickBot="1" x14ac:dyDescent="0.25">
      <c r="A169" s="544" t="s">
        <v>32</v>
      </c>
      <c r="B169" s="544" t="s">
        <v>217</v>
      </c>
      <c r="C169" s="544" t="s">
        <v>216</v>
      </c>
      <c r="D169" s="543" t="s">
        <v>33</v>
      </c>
      <c r="E169" s="337">
        <f>F169</f>
        <v>1711665</v>
      </c>
      <c r="F169" s="173">
        <f>(1206730+265480+98410+141045)</f>
        <v>1711665</v>
      </c>
      <c r="G169" s="324">
        <v>1206730</v>
      </c>
      <c r="H169" s="324"/>
      <c r="I169" s="324"/>
      <c r="J169" s="541">
        <f t="shared" si="136"/>
        <v>30000</v>
      </c>
      <c r="K169" s="324">
        <f>(30000)</f>
        <v>30000</v>
      </c>
      <c r="L169" s="324"/>
      <c r="M169" s="324"/>
      <c r="N169" s="324"/>
      <c r="O169" s="542">
        <f t="shared" si="137"/>
        <v>30000</v>
      </c>
      <c r="P169" s="541">
        <f t="shared" si="139"/>
        <v>1741665</v>
      </c>
      <c r="Q169" s="525"/>
      <c r="R169" s="528" t="b">
        <f>K169='d6'!J123</f>
        <v>1</v>
      </c>
    </row>
    <row r="170" spans="1:18" s="409" customFormat="1" ht="91.5" thickTop="1" thickBot="1" x14ac:dyDescent="0.25">
      <c r="A170" s="177" t="s">
        <v>964</v>
      </c>
      <c r="B170" s="177" t="s">
        <v>921</v>
      </c>
      <c r="C170" s="177"/>
      <c r="D170" s="471" t="s">
        <v>922</v>
      </c>
      <c r="E170" s="337">
        <f>E171</f>
        <v>25424.53</v>
      </c>
      <c r="F170" s="337">
        <f t="shared" ref="F170:P171" si="145">F171</f>
        <v>25424.53</v>
      </c>
      <c r="G170" s="337">
        <f t="shared" si="145"/>
        <v>0</v>
      </c>
      <c r="H170" s="337">
        <f t="shared" si="145"/>
        <v>0</v>
      </c>
      <c r="I170" s="337">
        <f t="shared" si="145"/>
        <v>0</v>
      </c>
      <c r="J170" s="337">
        <f t="shared" si="145"/>
        <v>0</v>
      </c>
      <c r="K170" s="337">
        <f t="shared" si="145"/>
        <v>0</v>
      </c>
      <c r="L170" s="337">
        <f t="shared" si="145"/>
        <v>0</v>
      </c>
      <c r="M170" s="337">
        <f t="shared" si="145"/>
        <v>0</v>
      </c>
      <c r="N170" s="337">
        <f t="shared" si="145"/>
        <v>0</v>
      </c>
      <c r="O170" s="337">
        <f t="shared" si="145"/>
        <v>0</v>
      </c>
      <c r="P170" s="337">
        <f t="shared" si="145"/>
        <v>25424.53</v>
      </c>
      <c r="Q170" s="414"/>
      <c r="R170" s="243"/>
    </row>
    <row r="171" spans="1:18" s="409" customFormat="1" ht="93" thickTop="1" thickBot="1" x14ac:dyDescent="0.25">
      <c r="A171" s="488" t="s">
        <v>965</v>
      </c>
      <c r="B171" s="488" t="s">
        <v>924</v>
      </c>
      <c r="C171" s="488"/>
      <c r="D171" s="383" t="s">
        <v>925</v>
      </c>
      <c r="E171" s="486">
        <f>E172</f>
        <v>25424.53</v>
      </c>
      <c r="F171" s="486">
        <f t="shared" si="145"/>
        <v>25424.53</v>
      </c>
      <c r="G171" s="486">
        <f t="shared" si="145"/>
        <v>0</v>
      </c>
      <c r="H171" s="486">
        <f t="shared" si="145"/>
        <v>0</v>
      </c>
      <c r="I171" s="486">
        <f t="shared" si="145"/>
        <v>0</v>
      </c>
      <c r="J171" s="486">
        <f t="shared" si="145"/>
        <v>0</v>
      </c>
      <c r="K171" s="486">
        <f t="shared" si="145"/>
        <v>0</v>
      </c>
      <c r="L171" s="486">
        <f t="shared" si="145"/>
        <v>0</v>
      </c>
      <c r="M171" s="486">
        <f t="shared" si="145"/>
        <v>0</v>
      </c>
      <c r="N171" s="486">
        <f t="shared" si="145"/>
        <v>0</v>
      </c>
      <c r="O171" s="486">
        <f t="shared" si="145"/>
        <v>0</v>
      </c>
      <c r="P171" s="486">
        <f t="shared" si="145"/>
        <v>25424.53</v>
      </c>
      <c r="Q171" s="414"/>
      <c r="R171" s="243"/>
    </row>
    <row r="172" spans="1:18" s="527" customFormat="1" ht="276" thickTop="1" thickBot="1" x14ac:dyDescent="0.25">
      <c r="A172" s="544" t="s">
        <v>370</v>
      </c>
      <c r="B172" s="544" t="s">
        <v>369</v>
      </c>
      <c r="C172" s="544" t="s">
        <v>368</v>
      </c>
      <c r="D172" s="543" t="s">
        <v>813</v>
      </c>
      <c r="E172" s="337">
        <f>F172</f>
        <v>25424.53</v>
      </c>
      <c r="F172" s="173">
        <f>(18000)+7424.53</f>
        <v>25424.53</v>
      </c>
      <c r="G172" s="324"/>
      <c r="H172" s="324"/>
      <c r="I172" s="324"/>
      <c r="J172" s="541">
        <f t="shared" si="136"/>
        <v>0</v>
      </c>
      <c r="K172" s="324"/>
      <c r="L172" s="324"/>
      <c r="M172" s="324"/>
      <c r="N172" s="324"/>
      <c r="O172" s="542">
        <f t="shared" si="137"/>
        <v>0</v>
      </c>
      <c r="P172" s="541">
        <f t="shared" si="139"/>
        <v>25424.53</v>
      </c>
      <c r="Q172" s="525"/>
      <c r="R172" s="526"/>
    </row>
    <row r="173" spans="1:18" s="409" customFormat="1" ht="47.25" thickTop="1" thickBot="1" x14ac:dyDescent="0.25">
      <c r="A173" s="477" t="s">
        <v>966</v>
      </c>
      <c r="B173" s="476" t="s">
        <v>927</v>
      </c>
      <c r="C173" s="476"/>
      <c r="D173" s="476" t="s">
        <v>928</v>
      </c>
      <c r="E173" s="337">
        <f>E174</f>
        <v>0</v>
      </c>
      <c r="F173" s="337">
        <f t="shared" ref="F173:P174" si="146">F174</f>
        <v>0</v>
      </c>
      <c r="G173" s="337">
        <f t="shared" si="146"/>
        <v>0</v>
      </c>
      <c r="H173" s="337">
        <f t="shared" si="146"/>
        <v>0</v>
      </c>
      <c r="I173" s="337">
        <f t="shared" si="146"/>
        <v>0</v>
      </c>
      <c r="J173" s="337">
        <f t="shared" si="146"/>
        <v>1021474</v>
      </c>
      <c r="K173" s="337">
        <f t="shared" si="146"/>
        <v>1021474</v>
      </c>
      <c r="L173" s="337">
        <f t="shared" si="146"/>
        <v>0</v>
      </c>
      <c r="M173" s="337">
        <f t="shared" si="146"/>
        <v>0</v>
      </c>
      <c r="N173" s="337">
        <f t="shared" si="146"/>
        <v>0</v>
      </c>
      <c r="O173" s="337">
        <f t="shared" si="146"/>
        <v>1021474</v>
      </c>
      <c r="P173" s="337">
        <f t="shared" si="146"/>
        <v>1021474</v>
      </c>
      <c r="Q173" s="414"/>
      <c r="R173" s="203"/>
    </row>
    <row r="174" spans="1:18" s="409" customFormat="1" ht="136.5" thickTop="1" thickBot="1" x14ac:dyDescent="0.25">
      <c r="A174" s="425" t="s">
        <v>967</v>
      </c>
      <c r="B174" s="425" t="s">
        <v>866</v>
      </c>
      <c r="C174" s="425"/>
      <c r="D174" s="425" t="s">
        <v>864</v>
      </c>
      <c r="E174" s="485">
        <f>E175</f>
        <v>0</v>
      </c>
      <c r="F174" s="485">
        <f t="shared" si="146"/>
        <v>0</v>
      </c>
      <c r="G174" s="485">
        <f t="shared" si="146"/>
        <v>0</v>
      </c>
      <c r="H174" s="485">
        <f t="shared" si="146"/>
        <v>0</v>
      </c>
      <c r="I174" s="485">
        <f t="shared" si="146"/>
        <v>0</v>
      </c>
      <c r="J174" s="485">
        <f t="shared" si="146"/>
        <v>1021474</v>
      </c>
      <c r="K174" s="485">
        <f t="shared" si="146"/>
        <v>1021474</v>
      </c>
      <c r="L174" s="485">
        <f t="shared" si="146"/>
        <v>0</v>
      </c>
      <c r="M174" s="485">
        <f t="shared" si="146"/>
        <v>0</v>
      </c>
      <c r="N174" s="485">
        <f t="shared" si="146"/>
        <v>0</v>
      </c>
      <c r="O174" s="485">
        <f t="shared" si="146"/>
        <v>1021474</v>
      </c>
      <c r="P174" s="485">
        <f t="shared" si="146"/>
        <v>1021474</v>
      </c>
      <c r="Q174" s="414"/>
      <c r="R174" s="203"/>
    </row>
    <row r="175" spans="1:18" s="527" customFormat="1" ht="93" thickTop="1" thickBot="1" x14ac:dyDescent="0.25">
      <c r="A175" s="543" t="s">
        <v>757</v>
      </c>
      <c r="B175" s="543" t="s">
        <v>218</v>
      </c>
      <c r="C175" s="543" t="s">
        <v>187</v>
      </c>
      <c r="D175" s="543" t="s">
        <v>36</v>
      </c>
      <c r="E175" s="541">
        <f t="shared" ref="E175" si="147">F175</f>
        <v>0</v>
      </c>
      <c r="F175" s="324"/>
      <c r="G175" s="324"/>
      <c r="H175" s="324"/>
      <c r="I175" s="324"/>
      <c r="J175" s="541">
        <f t="shared" si="136"/>
        <v>1021474</v>
      </c>
      <c r="K175" s="324">
        <f>(45144)+976330</f>
        <v>1021474</v>
      </c>
      <c r="L175" s="324"/>
      <c r="M175" s="324"/>
      <c r="N175" s="324"/>
      <c r="O175" s="542">
        <f t="shared" si="137"/>
        <v>1021474</v>
      </c>
      <c r="P175" s="541">
        <f t="shared" si="139"/>
        <v>1021474</v>
      </c>
      <c r="Q175" s="525"/>
      <c r="R175" s="528" t="b">
        <f>K175='d6'!J124</f>
        <v>1</v>
      </c>
    </row>
    <row r="176" spans="1:18" s="161" customFormat="1" ht="181.5" thickTop="1" thickBot="1" x14ac:dyDescent="0.25">
      <c r="A176" s="595" t="s">
        <v>175</v>
      </c>
      <c r="B176" s="595"/>
      <c r="C176" s="595"/>
      <c r="D176" s="596" t="s">
        <v>682</v>
      </c>
      <c r="E176" s="597">
        <f>E177</f>
        <v>25382295</v>
      </c>
      <c r="F176" s="598">
        <f t="shared" ref="F176:G176" si="148">F177</f>
        <v>25382295</v>
      </c>
      <c r="G176" s="598">
        <f t="shared" si="148"/>
        <v>5441675</v>
      </c>
      <c r="H176" s="598">
        <f>H177</f>
        <v>137385</v>
      </c>
      <c r="I176" s="598">
        <f t="shared" ref="I176" si="149">I177</f>
        <v>0</v>
      </c>
      <c r="J176" s="597">
        <f>J177</f>
        <v>31309249</v>
      </c>
      <c r="K176" s="598">
        <f>K177</f>
        <v>31119249</v>
      </c>
      <c r="L176" s="598">
        <f>L177</f>
        <v>190000</v>
      </c>
      <c r="M176" s="598">
        <f t="shared" ref="M176" si="150">M177</f>
        <v>0</v>
      </c>
      <c r="N176" s="597">
        <f>N177</f>
        <v>0</v>
      </c>
      <c r="O176" s="597">
        <f>O177</f>
        <v>31119249</v>
      </c>
      <c r="P176" s="598">
        <f>P177</f>
        <v>56691544</v>
      </c>
      <c r="Q176" s="192"/>
      <c r="R176" s="203"/>
    </row>
    <row r="177" spans="1:18" s="161" customFormat="1" ht="181.5" thickTop="1" thickBot="1" x14ac:dyDescent="0.25">
      <c r="A177" s="599" t="s">
        <v>176</v>
      </c>
      <c r="B177" s="599"/>
      <c r="C177" s="599"/>
      <c r="D177" s="600" t="s">
        <v>683</v>
      </c>
      <c r="E177" s="601">
        <f>E178+E181+E188</f>
        <v>25382295</v>
      </c>
      <c r="F177" s="601">
        <f t="shared" ref="F177:I177" si="151">F178+F181+F188</f>
        <v>25382295</v>
      </c>
      <c r="G177" s="601">
        <f t="shared" si="151"/>
        <v>5441675</v>
      </c>
      <c r="H177" s="601">
        <f t="shared" si="151"/>
        <v>137385</v>
      </c>
      <c r="I177" s="601">
        <f t="shared" si="151"/>
        <v>0</v>
      </c>
      <c r="J177" s="601">
        <f t="shared" ref="J177:J193" si="152">L177+O177</f>
        <v>31309249</v>
      </c>
      <c r="K177" s="601">
        <f t="shared" ref="K177:O177" si="153">K178+K181+K188</f>
        <v>31119249</v>
      </c>
      <c r="L177" s="601">
        <f t="shared" si="153"/>
        <v>190000</v>
      </c>
      <c r="M177" s="601">
        <f t="shared" si="153"/>
        <v>0</v>
      </c>
      <c r="N177" s="601">
        <f t="shared" si="153"/>
        <v>0</v>
      </c>
      <c r="O177" s="601">
        <f t="shared" si="153"/>
        <v>31119249</v>
      </c>
      <c r="P177" s="602">
        <f>E177+J177</f>
        <v>56691544</v>
      </c>
      <c r="Q177" s="262" t="b">
        <f>P177=P179+P183+P184+P185+P187+P190+P193+P180+P191+P186</f>
        <v>1</v>
      </c>
      <c r="R177" s="262" t="b">
        <f>K177='d6'!J125</f>
        <v>1</v>
      </c>
    </row>
    <row r="178" spans="1:18" s="409" customFormat="1" ht="47.25" thickTop="1" thickBot="1" x14ac:dyDescent="0.25">
      <c r="A178" s="477" t="s">
        <v>968</v>
      </c>
      <c r="B178" s="477" t="s">
        <v>859</v>
      </c>
      <c r="C178" s="477"/>
      <c r="D178" s="477" t="s">
        <v>860</v>
      </c>
      <c r="E178" s="410">
        <f>SUM(E179:E180)</f>
        <v>7556995</v>
      </c>
      <c r="F178" s="410">
        <f t="shared" ref="F178" si="154">SUM(F179:F180)</f>
        <v>7556995</v>
      </c>
      <c r="G178" s="410">
        <f t="shared" ref="G178" si="155">SUM(G179:G180)</f>
        <v>5441675</v>
      </c>
      <c r="H178" s="410">
        <f t="shared" ref="H178" si="156">SUM(H179:H180)</f>
        <v>137385</v>
      </c>
      <c r="I178" s="410">
        <f t="shared" ref="I178" si="157">SUM(I179:I180)</f>
        <v>0</v>
      </c>
      <c r="J178" s="410">
        <f t="shared" ref="J178" si="158">SUM(J179:J180)</f>
        <v>163248</v>
      </c>
      <c r="K178" s="410">
        <f t="shared" ref="K178" si="159">SUM(K179:K180)</f>
        <v>163248</v>
      </c>
      <c r="L178" s="410">
        <f t="shared" ref="L178" si="160">SUM(L179:L180)</f>
        <v>0</v>
      </c>
      <c r="M178" s="410">
        <f t="shared" ref="M178" si="161">SUM(M179:M180)</f>
        <v>0</v>
      </c>
      <c r="N178" s="410">
        <f t="shared" ref="N178" si="162">SUM(N179:N180)</f>
        <v>0</v>
      </c>
      <c r="O178" s="410">
        <f>SUM(O179:O180)</f>
        <v>163248</v>
      </c>
      <c r="P178" s="410">
        <f t="shared" ref="P178" si="163">SUM(P179:P180)</f>
        <v>7720243</v>
      </c>
      <c r="Q178" s="262"/>
      <c r="R178" s="262"/>
    </row>
    <row r="179" spans="1:18" s="161" customFormat="1" ht="230.25" thickTop="1" thickBot="1" x14ac:dyDescent="0.25">
      <c r="A179" s="284" t="s">
        <v>452</v>
      </c>
      <c r="B179" s="284" t="s">
        <v>257</v>
      </c>
      <c r="C179" s="284" t="s">
        <v>255</v>
      </c>
      <c r="D179" s="284" t="s">
        <v>256</v>
      </c>
      <c r="E179" s="337">
        <f>F179</f>
        <v>7544995</v>
      </c>
      <c r="F179" s="173">
        <f>(5441675+1197170+253395+210390+14760+39015+5208+25686+4476+3400+34020-12000)+199000+65800+39500+23500</f>
        <v>7544995</v>
      </c>
      <c r="G179" s="173">
        <v>5441675</v>
      </c>
      <c r="H179" s="173">
        <f>(39015+5208+25686+4476)+39500+23500</f>
        <v>137385</v>
      </c>
      <c r="I179" s="173"/>
      <c r="J179" s="334">
        <f t="shared" si="152"/>
        <v>163248</v>
      </c>
      <c r="K179" s="173">
        <f>(36000)+31812+95436</f>
        <v>163248</v>
      </c>
      <c r="L179" s="174"/>
      <c r="M179" s="174"/>
      <c r="N179" s="174"/>
      <c r="O179" s="336">
        <f t="shared" ref="O179:O190" si="164">K179</f>
        <v>163248</v>
      </c>
      <c r="P179" s="334">
        <f t="shared" ref="P179:P185" si="165">+J179+E179</f>
        <v>7708243</v>
      </c>
      <c r="Q179" s="192"/>
      <c r="R179" s="262" t="b">
        <f>K179='d6'!J127</f>
        <v>1</v>
      </c>
    </row>
    <row r="180" spans="1:18" s="326" customFormat="1" ht="184.5" thickTop="1" thickBot="1" x14ac:dyDescent="0.25">
      <c r="A180" s="328" t="s">
        <v>801</v>
      </c>
      <c r="B180" s="328" t="s">
        <v>391</v>
      </c>
      <c r="C180" s="328" t="s">
        <v>794</v>
      </c>
      <c r="D180" s="328" t="s">
        <v>795</v>
      </c>
      <c r="E180" s="329">
        <f t="shared" ref="E180" si="166">F180</f>
        <v>12000</v>
      </c>
      <c r="F180" s="316">
        <v>12000</v>
      </c>
      <c r="G180" s="316"/>
      <c r="H180" s="316"/>
      <c r="I180" s="316"/>
      <c r="J180" s="329">
        <f t="shared" si="152"/>
        <v>0</v>
      </c>
      <c r="K180" s="316"/>
      <c r="L180" s="317"/>
      <c r="M180" s="318"/>
      <c r="N180" s="318"/>
      <c r="O180" s="327">
        <f t="shared" si="164"/>
        <v>0</v>
      </c>
      <c r="P180" s="329">
        <f>+J180+E180</f>
        <v>12000</v>
      </c>
      <c r="Q180" s="330"/>
      <c r="R180" s="262"/>
    </row>
    <row r="181" spans="1:18" s="409" customFormat="1" ht="91.5" thickTop="1" thickBot="1" x14ac:dyDescent="0.25">
      <c r="A181" s="177" t="s">
        <v>969</v>
      </c>
      <c r="B181" s="476" t="s">
        <v>921</v>
      </c>
      <c r="C181" s="476"/>
      <c r="D181" s="471" t="s">
        <v>922</v>
      </c>
      <c r="E181" s="411">
        <f>SUM(E182:E187)-E182</f>
        <v>17325300</v>
      </c>
      <c r="F181" s="411">
        <f t="shared" ref="F181:P181" si="167">SUM(F182:F187)-F182</f>
        <v>17325300</v>
      </c>
      <c r="G181" s="411">
        <f t="shared" si="167"/>
        <v>0</v>
      </c>
      <c r="H181" s="411">
        <f t="shared" si="167"/>
        <v>0</v>
      </c>
      <c r="I181" s="411">
        <f t="shared" si="167"/>
        <v>0</v>
      </c>
      <c r="J181" s="411">
        <f t="shared" si="167"/>
        <v>28466001</v>
      </c>
      <c r="K181" s="411">
        <f t="shared" si="167"/>
        <v>28466001</v>
      </c>
      <c r="L181" s="411">
        <f t="shared" si="167"/>
        <v>0</v>
      </c>
      <c r="M181" s="411">
        <f t="shared" si="167"/>
        <v>0</v>
      </c>
      <c r="N181" s="411">
        <f t="shared" si="167"/>
        <v>0</v>
      </c>
      <c r="O181" s="411">
        <f t="shared" si="167"/>
        <v>28466001</v>
      </c>
      <c r="P181" s="411">
        <f t="shared" si="167"/>
        <v>45791301</v>
      </c>
      <c r="Q181" s="414"/>
      <c r="R181" s="262"/>
    </row>
    <row r="182" spans="1:18" s="39" customFormat="1" ht="184.5" thickTop="1" thickBot="1" x14ac:dyDescent="0.25">
      <c r="A182" s="467" t="s">
        <v>970</v>
      </c>
      <c r="B182" s="424" t="s">
        <v>971</v>
      </c>
      <c r="C182" s="424"/>
      <c r="D182" s="424" t="s">
        <v>972</v>
      </c>
      <c r="E182" s="489">
        <f>SUM(E183:E185)</f>
        <v>3025300</v>
      </c>
      <c r="F182" s="489">
        <f t="shared" ref="F182:P182" si="168">SUM(F183:F185)</f>
        <v>3025300</v>
      </c>
      <c r="G182" s="489">
        <f t="shared" si="168"/>
        <v>0</v>
      </c>
      <c r="H182" s="489">
        <f t="shared" si="168"/>
        <v>0</v>
      </c>
      <c r="I182" s="489">
        <f t="shared" si="168"/>
        <v>0</v>
      </c>
      <c r="J182" s="489">
        <f t="shared" si="168"/>
        <v>28466001</v>
      </c>
      <c r="K182" s="489">
        <f t="shared" si="168"/>
        <v>28466001</v>
      </c>
      <c r="L182" s="489">
        <f t="shared" si="168"/>
        <v>0</v>
      </c>
      <c r="M182" s="489">
        <f t="shared" si="168"/>
        <v>0</v>
      </c>
      <c r="N182" s="489">
        <f t="shared" si="168"/>
        <v>0</v>
      </c>
      <c r="O182" s="489">
        <f t="shared" si="168"/>
        <v>28466001</v>
      </c>
      <c r="P182" s="489">
        <f t="shared" si="168"/>
        <v>31491301</v>
      </c>
      <c r="Q182" s="199"/>
      <c r="R182" s="262"/>
    </row>
    <row r="183" spans="1:18" s="161" customFormat="1" ht="138.75" thickTop="1" thickBot="1" x14ac:dyDescent="0.25">
      <c r="A183" s="284" t="s">
        <v>301</v>
      </c>
      <c r="B183" s="284" t="s">
        <v>302</v>
      </c>
      <c r="C183" s="284" t="s">
        <v>368</v>
      </c>
      <c r="D183" s="284" t="s">
        <v>303</v>
      </c>
      <c r="E183" s="337">
        <f t="shared" ref="E183:E193" si="169">F183</f>
        <v>2475300</v>
      </c>
      <c r="F183" s="173">
        <f>(2675300)-200000</f>
        <v>2475300</v>
      </c>
      <c r="G183" s="173"/>
      <c r="H183" s="173"/>
      <c r="I183" s="173"/>
      <c r="J183" s="334">
        <f t="shared" si="152"/>
        <v>10345240</v>
      </c>
      <c r="K183" s="173">
        <v>10345240</v>
      </c>
      <c r="L183" s="174"/>
      <c r="M183" s="174"/>
      <c r="N183" s="174"/>
      <c r="O183" s="336">
        <f t="shared" si="164"/>
        <v>10345240</v>
      </c>
      <c r="P183" s="334">
        <f t="shared" si="165"/>
        <v>12820540</v>
      </c>
      <c r="Q183" s="192"/>
      <c r="R183" s="262" t="b">
        <f>K183='d6'!J128</f>
        <v>1</v>
      </c>
    </row>
    <row r="184" spans="1:18" s="161" customFormat="1" ht="138.75" thickTop="1" thickBot="1" x14ac:dyDescent="0.25">
      <c r="A184" s="284" t="s">
        <v>323</v>
      </c>
      <c r="B184" s="284" t="s">
        <v>324</v>
      </c>
      <c r="C184" s="284" t="s">
        <v>304</v>
      </c>
      <c r="D184" s="284" t="s">
        <v>325</v>
      </c>
      <c r="E184" s="337">
        <f t="shared" si="169"/>
        <v>0</v>
      </c>
      <c r="F184" s="173"/>
      <c r="G184" s="173"/>
      <c r="H184" s="173"/>
      <c r="I184" s="173"/>
      <c r="J184" s="334">
        <f t="shared" si="152"/>
        <v>5000000</v>
      </c>
      <c r="K184" s="173">
        <v>5000000</v>
      </c>
      <c r="L184" s="174"/>
      <c r="M184" s="174"/>
      <c r="N184" s="174"/>
      <c r="O184" s="336">
        <f t="shared" si="164"/>
        <v>5000000</v>
      </c>
      <c r="P184" s="334">
        <f t="shared" si="165"/>
        <v>5000000</v>
      </c>
      <c r="Q184" s="192"/>
      <c r="R184" s="262" t="b">
        <f>K184='d6'!J129</f>
        <v>1</v>
      </c>
    </row>
    <row r="185" spans="1:18" s="161" customFormat="1" ht="184.5" thickTop="1" thickBot="1" x14ac:dyDescent="0.25">
      <c r="A185" s="284" t="s">
        <v>305</v>
      </c>
      <c r="B185" s="284" t="s">
        <v>306</v>
      </c>
      <c r="C185" s="284" t="s">
        <v>304</v>
      </c>
      <c r="D185" s="284" t="s">
        <v>506</v>
      </c>
      <c r="E185" s="337">
        <f t="shared" si="169"/>
        <v>550000</v>
      </c>
      <c r="F185" s="173">
        <v>550000</v>
      </c>
      <c r="G185" s="173"/>
      <c r="H185" s="173"/>
      <c r="I185" s="173"/>
      <c r="J185" s="334">
        <f t="shared" si="152"/>
        <v>13120761</v>
      </c>
      <c r="K185" s="173">
        <f>13120761</f>
        <v>13120761</v>
      </c>
      <c r="L185" s="174"/>
      <c r="M185" s="174"/>
      <c r="N185" s="174"/>
      <c r="O185" s="336">
        <f t="shared" si="164"/>
        <v>13120761</v>
      </c>
      <c r="P185" s="334">
        <f t="shared" si="165"/>
        <v>13670761</v>
      </c>
      <c r="Q185" s="192"/>
      <c r="R185" s="262" t="b">
        <f>K185='d6'!J134+'d6'!J133+'d6'!J132+'d6'!J131</f>
        <v>1</v>
      </c>
    </row>
    <row r="186" spans="1:18" s="640" customFormat="1" ht="230.25" thickTop="1" thickBot="1" x14ac:dyDescent="0.25">
      <c r="A186" s="642" t="s">
        <v>1182</v>
      </c>
      <c r="B186" s="642" t="s">
        <v>319</v>
      </c>
      <c r="C186" s="642" t="s">
        <v>304</v>
      </c>
      <c r="D186" s="642" t="s">
        <v>320</v>
      </c>
      <c r="E186" s="337">
        <f t="shared" ref="E186" si="170">F186</f>
        <v>200000</v>
      </c>
      <c r="F186" s="173">
        <v>200000</v>
      </c>
      <c r="G186" s="173"/>
      <c r="H186" s="173"/>
      <c r="I186" s="173"/>
      <c r="J186" s="643">
        <f t="shared" ref="J186" si="171">L186+O186</f>
        <v>0</v>
      </c>
      <c r="K186" s="173"/>
      <c r="L186" s="174"/>
      <c r="M186" s="174"/>
      <c r="N186" s="174"/>
      <c r="O186" s="645">
        <f t="shared" ref="O186" si="172">K186</f>
        <v>0</v>
      </c>
      <c r="P186" s="643">
        <f t="shared" ref="P186" si="173">+J186+E186</f>
        <v>200000</v>
      </c>
      <c r="Q186" s="652"/>
      <c r="R186" s="262"/>
    </row>
    <row r="187" spans="1:18" s="161" customFormat="1" ht="93" thickTop="1" thickBot="1" x14ac:dyDescent="0.25">
      <c r="A187" s="284" t="s">
        <v>309</v>
      </c>
      <c r="B187" s="284" t="s">
        <v>310</v>
      </c>
      <c r="C187" s="284" t="s">
        <v>304</v>
      </c>
      <c r="D187" s="284" t="s">
        <v>311</v>
      </c>
      <c r="E187" s="337">
        <f t="shared" si="169"/>
        <v>14100000</v>
      </c>
      <c r="F187" s="173">
        <v>14100000</v>
      </c>
      <c r="G187" s="173"/>
      <c r="H187" s="173"/>
      <c r="I187" s="173"/>
      <c r="J187" s="334">
        <f t="shared" si="152"/>
        <v>0</v>
      </c>
      <c r="K187" s="335"/>
      <c r="L187" s="173"/>
      <c r="M187" s="173"/>
      <c r="N187" s="173"/>
      <c r="O187" s="336">
        <f t="shared" si="164"/>
        <v>0</v>
      </c>
      <c r="P187" s="334">
        <f t="shared" ref="P187" si="174">E187+J187</f>
        <v>14100000</v>
      </c>
      <c r="Q187" s="192"/>
      <c r="R187" s="203"/>
    </row>
    <row r="188" spans="1:18" s="409" customFormat="1" ht="47.25" thickTop="1" thickBot="1" x14ac:dyDescent="0.25">
      <c r="A188" s="177" t="s">
        <v>973</v>
      </c>
      <c r="B188" s="177" t="s">
        <v>927</v>
      </c>
      <c r="C188" s="177"/>
      <c r="D188" s="177" t="s">
        <v>974</v>
      </c>
      <c r="E188" s="337">
        <f>E189</f>
        <v>500000</v>
      </c>
      <c r="F188" s="337">
        <f t="shared" ref="F188:P188" si="175">F189</f>
        <v>500000</v>
      </c>
      <c r="G188" s="337">
        <f t="shared" si="175"/>
        <v>0</v>
      </c>
      <c r="H188" s="337">
        <f t="shared" si="175"/>
        <v>0</v>
      </c>
      <c r="I188" s="337">
        <f t="shared" si="175"/>
        <v>0</v>
      </c>
      <c r="J188" s="337">
        <f>J189</f>
        <v>2680000</v>
      </c>
      <c r="K188" s="337">
        <f t="shared" si="175"/>
        <v>2490000</v>
      </c>
      <c r="L188" s="337">
        <f t="shared" si="175"/>
        <v>190000</v>
      </c>
      <c r="M188" s="337">
        <f t="shared" si="175"/>
        <v>0</v>
      </c>
      <c r="N188" s="337">
        <f t="shared" si="175"/>
        <v>0</v>
      </c>
      <c r="O188" s="337">
        <f t="shared" si="175"/>
        <v>2490000</v>
      </c>
      <c r="P188" s="337">
        <f t="shared" si="175"/>
        <v>3180000</v>
      </c>
      <c r="Q188" s="414"/>
      <c r="R188" s="203"/>
    </row>
    <row r="189" spans="1:18" s="409" customFormat="1" ht="136.5" thickTop="1" thickBot="1" x14ac:dyDescent="0.25">
      <c r="A189" s="472" t="s">
        <v>975</v>
      </c>
      <c r="B189" s="472" t="s">
        <v>866</v>
      </c>
      <c r="C189" s="472"/>
      <c r="D189" s="472" t="s">
        <v>864</v>
      </c>
      <c r="E189" s="485">
        <f t="shared" ref="E189:P189" si="176">E190+E192+E191</f>
        <v>500000</v>
      </c>
      <c r="F189" s="485">
        <f t="shared" si="176"/>
        <v>500000</v>
      </c>
      <c r="G189" s="485">
        <f t="shared" si="176"/>
        <v>0</v>
      </c>
      <c r="H189" s="485">
        <f t="shared" si="176"/>
        <v>0</v>
      </c>
      <c r="I189" s="485">
        <f t="shared" si="176"/>
        <v>0</v>
      </c>
      <c r="J189" s="485">
        <f t="shared" si="176"/>
        <v>2680000</v>
      </c>
      <c r="K189" s="485">
        <f t="shared" si="176"/>
        <v>2490000</v>
      </c>
      <c r="L189" s="485">
        <f t="shared" si="176"/>
        <v>190000</v>
      </c>
      <c r="M189" s="485">
        <f t="shared" si="176"/>
        <v>0</v>
      </c>
      <c r="N189" s="485">
        <f t="shared" si="176"/>
        <v>0</v>
      </c>
      <c r="O189" s="485">
        <f t="shared" si="176"/>
        <v>2490000</v>
      </c>
      <c r="P189" s="485">
        <f t="shared" si="176"/>
        <v>3180000</v>
      </c>
      <c r="Q189" s="414"/>
      <c r="R189" s="203"/>
    </row>
    <row r="190" spans="1:18" s="161" customFormat="1" ht="48" thickTop="1" thickBot="1" x14ac:dyDescent="0.25">
      <c r="A190" s="284" t="s">
        <v>318</v>
      </c>
      <c r="B190" s="284" t="s">
        <v>233</v>
      </c>
      <c r="C190" s="284" t="s">
        <v>234</v>
      </c>
      <c r="D190" s="284" t="s">
        <v>43</v>
      </c>
      <c r="E190" s="337">
        <f t="shared" si="169"/>
        <v>500000</v>
      </c>
      <c r="F190" s="173">
        <v>500000</v>
      </c>
      <c r="G190" s="173"/>
      <c r="H190" s="173"/>
      <c r="I190" s="173"/>
      <c r="J190" s="334">
        <f t="shared" si="152"/>
        <v>2100000</v>
      </c>
      <c r="K190" s="335">
        <v>2100000</v>
      </c>
      <c r="L190" s="173"/>
      <c r="M190" s="173"/>
      <c r="N190" s="173"/>
      <c r="O190" s="336">
        <f t="shared" si="164"/>
        <v>2100000</v>
      </c>
      <c r="P190" s="334">
        <f>E190+J190</f>
        <v>2600000</v>
      </c>
      <c r="Q190" s="192"/>
      <c r="R190" s="262" t="b">
        <f>K190='d6'!J135</f>
        <v>1</v>
      </c>
    </row>
    <row r="191" spans="1:18" s="614" customFormat="1" ht="93" thickTop="1" thickBot="1" x14ac:dyDescent="0.25">
      <c r="A191" s="621" t="s">
        <v>1151</v>
      </c>
      <c r="B191" s="621" t="s">
        <v>218</v>
      </c>
      <c r="C191" s="621" t="s">
        <v>187</v>
      </c>
      <c r="D191" s="621" t="s">
        <v>36</v>
      </c>
      <c r="E191" s="337">
        <f t="shared" ref="E191" si="177">F191</f>
        <v>0</v>
      </c>
      <c r="F191" s="173"/>
      <c r="G191" s="173"/>
      <c r="H191" s="173"/>
      <c r="I191" s="173"/>
      <c r="J191" s="616">
        <f t="shared" ref="J191" si="178">L191+O191</f>
        <v>390000</v>
      </c>
      <c r="K191" s="335">
        <v>390000</v>
      </c>
      <c r="L191" s="173"/>
      <c r="M191" s="173"/>
      <c r="N191" s="173"/>
      <c r="O191" s="620">
        <f t="shared" ref="O191" si="179">K191</f>
        <v>390000</v>
      </c>
      <c r="P191" s="616">
        <f>E191+J191</f>
        <v>390000</v>
      </c>
      <c r="Q191" s="624"/>
      <c r="R191" s="262" t="b">
        <f>K191='d6'!J138+'d6'!J137</f>
        <v>1</v>
      </c>
    </row>
    <row r="192" spans="1:18" s="409" customFormat="1" ht="48" thickTop="1" thickBot="1" x14ac:dyDescent="0.25">
      <c r="A192" s="467" t="s">
        <v>976</v>
      </c>
      <c r="B192" s="467" t="s">
        <v>869</v>
      </c>
      <c r="C192" s="467"/>
      <c r="D192" s="467" t="s">
        <v>977</v>
      </c>
      <c r="E192" s="486">
        <f>E193</f>
        <v>0</v>
      </c>
      <c r="F192" s="486">
        <f t="shared" ref="F192:P192" si="180">F193</f>
        <v>0</v>
      </c>
      <c r="G192" s="486">
        <f t="shared" si="180"/>
        <v>0</v>
      </c>
      <c r="H192" s="486">
        <f t="shared" si="180"/>
        <v>0</v>
      </c>
      <c r="I192" s="486">
        <f t="shared" si="180"/>
        <v>0</v>
      </c>
      <c r="J192" s="486">
        <f t="shared" si="180"/>
        <v>190000</v>
      </c>
      <c r="K192" s="486">
        <f t="shared" si="180"/>
        <v>0</v>
      </c>
      <c r="L192" s="486">
        <f t="shared" si="180"/>
        <v>190000</v>
      </c>
      <c r="M192" s="486">
        <f t="shared" si="180"/>
        <v>0</v>
      </c>
      <c r="N192" s="486">
        <f t="shared" si="180"/>
        <v>0</v>
      </c>
      <c r="O192" s="486">
        <f t="shared" si="180"/>
        <v>0</v>
      </c>
      <c r="P192" s="486">
        <f t="shared" si="180"/>
        <v>190000</v>
      </c>
      <c r="Q192" s="414"/>
      <c r="R192" s="203"/>
    </row>
    <row r="193" spans="1:18" s="161" customFormat="1" ht="409.6" thickTop="1" thickBot="1" x14ac:dyDescent="0.7">
      <c r="A193" s="881" t="s">
        <v>455</v>
      </c>
      <c r="B193" s="881" t="s">
        <v>366</v>
      </c>
      <c r="C193" s="881" t="s">
        <v>187</v>
      </c>
      <c r="D193" s="339" t="s">
        <v>476</v>
      </c>
      <c r="E193" s="861">
        <f t="shared" si="169"/>
        <v>0</v>
      </c>
      <c r="F193" s="862"/>
      <c r="G193" s="862"/>
      <c r="H193" s="862"/>
      <c r="I193" s="862"/>
      <c r="J193" s="861">
        <f t="shared" si="152"/>
        <v>190000</v>
      </c>
      <c r="K193" s="862"/>
      <c r="L193" s="862">
        <v>190000</v>
      </c>
      <c r="M193" s="862"/>
      <c r="N193" s="862"/>
      <c r="O193" s="891">
        <f>K193+0</f>
        <v>0</v>
      </c>
      <c r="P193" s="884">
        <f>E193+J193</f>
        <v>190000</v>
      </c>
      <c r="Q193" s="192"/>
      <c r="R193" s="203"/>
    </row>
    <row r="194" spans="1:18" s="161" customFormat="1" ht="184.5" thickTop="1" thickBot="1" x14ac:dyDescent="0.25">
      <c r="A194" s="881"/>
      <c r="B194" s="881"/>
      <c r="C194" s="881"/>
      <c r="D194" s="343" t="s">
        <v>477</v>
      </c>
      <c r="E194" s="861"/>
      <c r="F194" s="862"/>
      <c r="G194" s="862"/>
      <c r="H194" s="862"/>
      <c r="I194" s="862"/>
      <c r="J194" s="861"/>
      <c r="K194" s="862"/>
      <c r="L194" s="862"/>
      <c r="M194" s="862"/>
      <c r="N194" s="862"/>
      <c r="O194" s="891"/>
      <c r="P194" s="884"/>
      <c r="Q194" s="192"/>
      <c r="R194" s="203"/>
    </row>
    <row r="195" spans="1:18" s="161" customFormat="1" ht="181.5" thickTop="1" thickBot="1" x14ac:dyDescent="0.25">
      <c r="A195" s="595" t="s">
        <v>647</v>
      </c>
      <c r="B195" s="595"/>
      <c r="C195" s="595"/>
      <c r="D195" s="596" t="s">
        <v>680</v>
      </c>
      <c r="E195" s="597">
        <f>E196</f>
        <v>250760304</v>
      </c>
      <c r="F195" s="598">
        <f t="shared" ref="F195:G195" si="181">F196</f>
        <v>250760304</v>
      </c>
      <c r="G195" s="598">
        <f t="shared" si="181"/>
        <v>8782274</v>
      </c>
      <c r="H195" s="598">
        <f>H196</f>
        <v>154170</v>
      </c>
      <c r="I195" s="598">
        <f t="shared" ref="I195" si="182">I196</f>
        <v>0</v>
      </c>
      <c r="J195" s="597">
        <f>J196</f>
        <v>145286417.61000001</v>
      </c>
      <c r="K195" s="598">
        <f>K196</f>
        <v>144969402.57999998</v>
      </c>
      <c r="L195" s="598">
        <f>L196</f>
        <v>140000</v>
      </c>
      <c r="M195" s="598">
        <f t="shared" ref="M195" si="183">M196</f>
        <v>0</v>
      </c>
      <c r="N195" s="597">
        <f>N196</f>
        <v>0</v>
      </c>
      <c r="O195" s="597">
        <f>O196</f>
        <v>145146417.61000001</v>
      </c>
      <c r="P195" s="598">
        <f>P196</f>
        <v>396046721.61000001</v>
      </c>
      <c r="Q195" s="192"/>
      <c r="R195" s="203"/>
    </row>
    <row r="196" spans="1:18" s="161" customFormat="1" ht="181.5" thickTop="1" thickBot="1" x14ac:dyDescent="0.25">
      <c r="A196" s="599" t="s">
        <v>648</v>
      </c>
      <c r="B196" s="599"/>
      <c r="C196" s="599"/>
      <c r="D196" s="600" t="s">
        <v>681</v>
      </c>
      <c r="E196" s="601">
        <f>E197+E201+E207+E219</f>
        <v>250760304</v>
      </c>
      <c r="F196" s="601">
        <f t="shared" ref="F196:I196" si="184">F197+F201+F207+F219</f>
        <v>250760304</v>
      </c>
      <c r="G196" s="601">
        <f t="shared" si="184"/>
        <v>8782274</v>
      </c>
      <c r="H196" s="601">
        <f t="shared" si="184"/>
        <v>154170</v>
      </c>
      <c r="I196" s="601">
        <f t="shared" si="184"/>
        <v>0</v>
      </c>
      <c r="J196" s="601">
        <f t="shared" ref="J196:J217" si="185">L196+O196</f>
        <v>145286417.61000001</v>
      </c>
      <c r="K196" s="601">
        <f t="shared" ref="K196:O196" si="186">K197+K201+K207+K219</f>
        <v>144969402.57999998</v>
      </c>
      <c r="L196" s="601">
        <f t="shared" si="186"/>
        <v>140000</v>
      </c>
      <c r="M196" s="601">
        <f t="shared" si="186"/>
        <v>0</v>
      </c>
      <c r="N196" s="601">
        <f t="shared" si="186"/>
        <v>0</v>
      </c>
      <c r="O196" s="601">
        <f t="shared" si="186"/>
        <v>145146417.61000001</v>
      </c>
      <c r="P196" s="602">
        <f>E196+J196</f>
        <v>396046721.61000001</v>
      </c>
      <c r="Q196" s="125" t="b">
        <f>P196=P198+P199+P200+P203+P204+P205+P206+P209+P212+P214+P215+P217+P221+P222+P223</f>
        <v>1</v>
      </c>
      <c r="R196" s="125" t="b">
        <f>K196='d6'!J140</f>
        <v>1</v>
      </c>
    </row>
    <row r="197" spans="1:18" s="409" customFormat="1" ht="47.25" thickTop="1" thickBot="1" x14ac:dyDescent="0.25">
      <c r="A197" s="477" t="s">
        <v>978</v>
      </c>
      <c r="B197" s="477" t="s">
        <v>859</v>
      </c>
      <c r="C197" s="477"/>
      <c r="D197" s="477" t="s">
        <v>860</v>
      </c>
      <c r="E197" s="410">
        <f>SUM(E198:E200)</f>
        <v>8498737</v>
      </c>
      <c r="F197" s="410">
        <f t="shared" ref="F197:P197" si="187">SUM(F198:F200)</f>
        <v>8498737</v>
      </c>
      <c r="G197" s="410">
        <f t="shared" si="187"/>
        <v>6393415</v>
      </c>
      <c r="H197" s="410">
        <f t="shared" si="187"/>
        <v>74385</v>
      </c>
      <c r="I197" s="410">
        <f t="shared" si="187"/>
        <v>0</v>
      </c>
      <c r="J197" s="410">
        <f t="shared" si="187"/>
        <v>144000</v>
      </c>
      <c r="K197" s="410">
        <f t="shared" si="187"/>
        <v>144000</v>
      </c>
      <c r="L197" s="410">
        <f t="shared" si="187"/>
        <v>0</v>
      </c>
      <c r="M197" s="410">
        <f t="shared" si="187"/>
        <v>0</v>
      </c>
      <c r="N197" s="410">
        <f t="shared" si="187"/>
        <v>0</v>
      </c>
      <c r="O197" s="410">
        <f t="shared" si="187"/>
        <v>144000</v>
      </c>
      <c r="P197" s="410">
        <f t="shared" si="187"/>
        <v>8642737</v>
      </c>
      <c r="Q197" s="125"/>
      <c r="R197" s="125"/>
    </row>
    <row r="198" spans="1:18" s="161" customFormat="1" ht="230.25" thickTop="1" thickBot="1" x14ac:dyDescent="0.25">
      <c r="A198" s="284" t="s">
        <v>649</v>
      </c>
      <c r="B198" s="284" t="s">
        <v>257</v>
      </c>
      <c r="C198" s="284" t="s">
        <v>255</v>
      </c>
      <c r="D198" s="284" t="s">
        <v>256</v>
      </c>
      <c r="E198" s="337">
        <f>F198</f>
        <v>8390737</v>
      </c>
      <c r="F198" s="173">
        <f>(6393415+1406550+212730+120360+12160+22680+39015+5208+25686+4476-8000)+3600+6087+47020+36500+5000+41700+6400+10150</f>
        <v>8390737</v>
      </c>
      <c r="G198" s="173">
        <v>6393415</v>
      </c>
      <c r="H198" s="173">
        <f>(39015+5208+25686+4476)</f>
        <v>74385</v>
      </c>
      <c r="I198" s="173"/>
      <c r="J198" s="334">
        <f t="shared" si="185"/>
        <v>144000</v>
      </c>
      <c r="K198" s="173">
        <v>144000</v>
      </c>
      <c r="L198" s="174"/>
      <c r="M198" s="174"/>
      <c r="N198" s="174"/>
      <c r="O198" s="336">
        <f t="shared" ref="O198:O215" si="188">K198</f>
        <v>144000</v>
      </c>
      <c r="P198" s="334">
        <f t="shared" ref="P198:P204" si="189">+J198+E198</f>
        <v>8534737</v>
      </c>
      <c r="Q198" s="192"/>
      <c r="R198" s="125" t="b">
        <f>K198='d6'!J141</f>
        <v>1</v>
      </c>
    </row>
    <row r="199" spans="1:18" s="331" customFormat="1" ht="184.5" thickTop="1" thickBot="1" x14ac:dyDescent="0.25">
      <c r="A199" s="332" t="s">
        <v>803</v>
      </c>
      <c r="B199" s="332" t="s">
        <v>391</v>
      </c>
      <c r="C199" s="332" t="s">
        <v>794</v>
      </c>
      <c r="D199" s="332" t="s">
        <v>795</v>
      </c>
      <c r="E199" s="337">
        <f>F199</f>
        <v>8000</v>
      </c>
      <c r="F199" s="173">
        <v>8000</v>
      </c>
      <c r="G199" s="173"/>
      <c r="H199" s="173"/>
      <c r="I199" s="173"/>
      <c r="J199" s="334">
        <f t="shared" ref="J199" si="190">L199+O199</f>
        <v>0</v>
      </c>
      <c r="K199" s="173"/>
      <c r="L199" s="174"/>
      <c r="M199" s="174"/>
      <c r="N199" s="174"/>
      <c r="O199" s="336">
        <f t="shared" ref="O199" si="191">K199</f>
        <v>0</v>
      </c>
      <c r="P199" s="334">
        <f t="shared" ref="P199" si="192">+J199+E199</f>
        <v>8000</v>
      </c>
      <c r="Q199" s="333"/>
      <c r="R199" s="125"/>
    </row>
    <row r="200" spans="1:18" s="161" customFormat="1" ht="93" thickTop="1" thickBot="1" x14ac:dyDescent="0.25">
      <c r="A200" s="284" t="s">
        <v>650</v>
      </c>
      <c r="B200" s="284" t="s">
        <v>45</v>
      </c>
      <c r="C200" s="284" t="s">
        <v>44</v>
      </c>
      <c r="D200" s="284" t="s">
        <v>269</v>
      </c>
      <c r="E200" s="337">
        <f>F200</f>
        <v>100000</v>
      </c>
      <c r="F200" s="173">
        <v>100000</v>
      </c>
      <c r="G200" s="173"/>
      <c r="H200" s="173"/>
      <c r="I200" s="173"/>
      <c r="J200" s="334">
        <f t="shared" si="185"/>
        <v>0</v>
      </c>
      <c r="K200" s="173"/>
      <c r="L200" s="174"/>
      <c r="M200" s="174"/>
      <c r="N200" s="174"/>
      <c r="O200" s="336">
        <f t="shared" si="188"/>
        <v>0</v>
      </c>
      <c r="P200" s="334">
        <f t="shared" si="189"/>
        <v>100000</v>
      </c>
      <c r="Q200" s="192"/>
      <c r="R200" s="203"/>
    </row>
    <row r="201" spans="1:18" s="409" customFormat="1" ht="91.5" thickTop="1" thickBot="1" x14ac:dyDescent="0.25">
      <c r="A201" s="177" t="s">
        <v>979</v>
      </c>
      <c r="B201" s="476" t="s">
        <v>921</v>
      </c>
      <c r="C201" s="476"/>
      <c r="D201" s="471" t="s">
        <v>922</v>
      </c>
      <c r="E201" s="337">
        <f>SUM(E202:E206)-E202</f>
        <v>186232623</v>
      </c>
      <c r="F201" s="337">
        <f t="shared" ref="F201:O201" si="193">SUM(F202:F206)-F202</f>
        <v>186232623</v>
      </c>
      <c r="G201" s="337">
        <f t="shared" si="193"/>
        <v>0</v>
      </c>
      <c r="H201" s="337">
        <f t="shared" si="193"/>
        <v>50000</v>
      </c>
      <c r="I201" s="337">
        <f t="shared" si="193"/>
        <v>0</v>
      </c>
      <c r="J201" s="337">
        <f t="shared" si="193"/>
        <v>14710148</v>
      </c>
      <c r="K201" s="337">
        <f t="shared" si="193"/>
        <v>14710148</v>
      </c>
      <c r="L201" s="337">
        <f t="shared" si="193"/>
        <v>0</v>
      </c>
      <c r="M201" s="337">
        <f t="shared" si="193"/>
        <v>0</v>
      </c>
      <c r="N201" s="337">
        <f t="shared" si="193"/>
        <v>0</v>
      </c>
      <c r="O201" s="337">
        <f t="shared" si="193"/>
        <v>14710148</v>
      </c>
      <c r="P201" s="337">
        <f t="shared" ref="P201" si="194">SUM(P202:P206)-P202</f>
        <v>200942771</v>
      </c>
      <c r="Q201" s="414"/>
      <c r="R201" s="203"/>
    </row>
    <row r="202" spans="1:18" s="409" customFormat="1" ht="184.5" thickTop="1" thickBot="1" x14ac:dyDescent="0.25">
      <c r="A202" s="467" t="s">
        <v>980</v>
      </c>
      <c r="B202" s="424" t="s">
        <v>971</v>
      </c>
      <c r="C202" s="424"/>
      <c r="D202" s="424" t="s">
        <v>972</v>
      </c>
      <c r="E202" s="486">
        <f>SUM(E203:E204)</f>
        <v>31751000</v>
      </c>
      <c r="F202" s="486">
        <f t="shared" ref="F202:P202" si="195">SUM(F203:F204)</f>
        <v>31751000</v>
      </c>
      <c r="G202" s="486">
        <f t="shared" si="195"/>
        <v>0</v>
      </c>
      <c r="H202" s="486">
        <f t="shared" si="195"/>
        <v>0</v>
      </c>
      <c r="I202" s="486">
        <f t="shared" si="195"/>
        <v>0</v>
      </c>
      <c r="J202" s="486">
        <f t="shared" si="195"/>
        <v>0</v>
      </c>
      <c r="K202" s="486">
        <f t="shared" si="195"/>
        <v>0</v>
      </c>
      <c r="L202" s="486">
        <f t="shared" si="195"/>
        <v>0</v>
      </c>
      <c r="M202" s="486">
        <f t="shared" si="195"/>
        <v>0</v>
      </c>
      <c r="N202" s="486">
        <f t="shared" si="195"/>
        <v>0</v>
      </c>
      <c r="O202" s="486">
        <f t="shared" si="195"/>
        <v>0</v>
      </c>
      <c r="P202" s="486">
        <f t="shared" si="195"/>
        <v>31751000</v>
      </c>
      <c r="Q202" s="414"/>
      <c r="R202" s="203"/>
    </row>
    <row r="203" spans="1:18" s="161" customFormat="1" ht="138.75" thickTop="1" thickBot="1" x14ac:dyDescent="0.25">
      <c r="A203" s="284" t="s">
        <v>651</v>
      </c>
      <c r="B203" s="284" t="s">
        <v>406</v>
      </c>
      <c r="C203" s="284" t="s">
        <v>304</v>
      </c>
      <c r="D203" s="284" t="s">
        <v>407</v>
      </c>
      <c r="E203" s="337">
        <f t="shared" ref="E203:E215" si="196">F203</f>
        <v>28000000</v>
      </c>
      <c r="F203" s="173">
        <v>28000000</v>
      </c>
      <c r="G203" s="173"/>
      <c r="H203" s="173"/>
      <c r="I203" s="173"/>
      <c r="J203" s="334">
        <f t="shared" si="185"/>
        <v>0</v>
      </c>
      <c r="K203" s="173"/>
      <c r="L203" s="174"/>
      <c r="M203" s="174"/>
      <c r="N203" s="174"/>
      <c r="O203" s="336">
        <f t="shared" si="188"/>
        <v>0</v>
      </c>
      <c r="P203" s="334">
        <f t="shared" si="189"/>
        <v>28000000</v>
      </c>
      <c r="Q203" s="192"/>
      <c r="R203" s="203"/>
    </row>
    <row r="204" spans="1:18" s="161" customFormat="1" ht="138.75" thickTop="1" thickBot="1" x14ac:dyDescent="0.25">
      <c r="A204" s="284" t="s">
        <v>652</v>
      </c>
      <c r="B204" s="284" t="s">
        <v>307</v>
      </c>
      <c r="C204" s="284" t="s">
        <v>304</v>
      </c>
      <c r="D204" s="284" t="s">
        <v>308</v>
      </c>
      <c r="E204" s="337">
        <f t="shared" si="196"/>
        <v>3751000</v>
      </c>
      <c r="F204" s="173">
        <v>3751000</v>
      </c>
      <c r="G204" s="173"/>
      <c r="H204" s="173"/>
      <c r="I204" s="173"/>
      <c r="J204" s="334">
        <f t="shared" si="185"/>
        <v>0</v>
      </c>
      <c r="K204" s="173"/>
      <c r="L204" s="174"/>
      <c r="M204" s="174"/>
      <c r="N204" s="174"/>
      <c r="O204" s="336">
        <f t="shared" si="188"/>
        <v>0</v>
      </c>
      <c r="P204" s="334">
        <f t="shared" si="189"/>
        <v>3751000</v>
      </c>
      <c r="Q204" s="192"/>
      <c r="R204" s="203"/>
    </row>
    <row r="205" spans="1:18" s="161" customFormat="1" ht="230.25" thickTop="1" thickBot="1" x14ac:dyDescent="0.25">
      <c r="A205" s="284" t="s">
        <v>653</v>
      </c>
      <c r="B205" s="284" t="s">
        <v>319</v>
      </c>
      <c r="C205" s="284" t="s">
        <v>304</v>
      </c>
      <c r="D205" s="284" t="s">
        <v>320</v>
      </c>
      <c r="E205" s="337">
        <f t="shared" si="196"/>
        <v>3430000</v>
      </c>
      <c r="F205" s="173">
        <f>700000+2730000</f>
        <v>3430000</v>
      </c>
      <c r="G205" s="173"/>
      <c r="H205" s="173"/>
      <c r="I205" s="173"/>
      <c r="J205" s="334">
        <f t="shared" si="185"/>
        <v>0</v>
      </c>
      <c r="K205" s="335"/>
      <c r="L205" s="173"/>
      <c r="M205" s="173"/>
      <c r="N205" s="173"/>
      <c r="O205" s="336">
        <f t="shared" si="188"/>
        <v>0</v>
      </c>
      <c r="P205" s="334">
        <f t="shared" ref="P205:P209" si="197">E205+J205</f>
        <v>3430000</v>
      </c>
      <c r="Q205" s="192"/>
      <c r="R205" s="203"/>
    </row>
    <row r="206" spans="1:18" s="161" customFormat="1" ht="93" thickTop="1" thickBot="1" x14ac:dyDescent="0.25">
      <c r="A206" s="284" t="s">
        <v>654</v>
      </c>
      <c r="B206" s="284" t="s">
        <v>310</v>
      </c>
      <c r="C206" s="284" t="s">
        <v>304</v>
      </c>
      <c r="D206" s="284" t="s">
        <v>311</v>
      </c>
      <c r="E206" s="337">
        <f t="shared" si="196"/>
        <v>151051623</v>
      </c>
      <c r="F206" s="173">
        <f>(149686023)+1365600</f>
        <v>151051623</v>
      </c>
      <c r="G206" s="173"/>
      <c r="H206" s="173">
        <v>50000</v>
      </c>
      <c r="I206" s="173"/>
      <c r="J206" s="334">
        <f t="shared" si="185"/>
        <v>14710148</v>
      </c>
      <c r="K206" s="335">
        <f>(15915164)-1205016</f>
        <v>14710148</v>
      </c>
      <c r="L206" s="173"/>
      <c r="M206" s="173"/>
      <c r="N206" s="173"/>
      <c r="O206" s="336">
        <f t="shared" si="188"/>
        <v>14710148</v>
      </c>
      <c r="P206" s="334">
        <f t="shared" si="197"/>
        <v>165761771</v>
      </c>
      <c r="Q206" s="192"/>
      <c r="R206" s="125" t="b">
        <f>K206='d6'!J143+'d6'!J144+'d6'!J145+'d6'!J146+'d6'!J147+'d6'!J148+'d6'!J149+'d6'!J150+'d6'!J151+'d6'!J152+'d6'!J153+'d6'!J154+'d6'!J155+'d6'!J156+'d6'!J157+'d6'!J158</f>
        <v>1</v>
      </c>
    </row>
    <row r="207" spans="1:18" s="409" customFormat="1" ht="47.25" thickTop="1" thickBot="1" x14ac:dyDescent="0.25">
      <c r="A207" s="177" t="s">
        <v>981</v>
      </c>
      <c r="B207" s="476" t="s">
        <v>927</v>
      </c>
      <c r="C207" s="476"/>
      <c r="D207" s="476" t="s">
        <v>928</v>
      </c>
      <c r="E207" s="337">
        <f>E208+E210+E213</f>
        <v>52868366</v>
      </c>
      <c r="F207" s="337">
        <f t="shared" ref="F207:P207" si="198">F208+F210+F213</f>
        <v>52868366</v>
      </c>
      <c r="G207" s="337">
        <f t="shared" si="198"/>
        <v>0</v>
      </c>
      <c r="H207" s="337">
        <f t="shared" si="198"/>
        <v>0</v>
      </c>
      <c r="I207" s="337">
        <f t="shared" si="198"/>
        <v>0</v>
      </c>
      <c r="J207" s="337">
        <f>J208+J210+J213</f>
        <v>130432269.61</v>
      </c>
      <c r="K207" s="337">
        <f t="shared" si="198"/>
        <v>130115254.58</v>
      </c>
      <c r="L207" s="337">
        <f t="shared" si="198"/>
        <v>140000</v>
      </c>
      <c r="M207" s="337">
        <f t="shared" si="198"/>
        <v>0</v>
      </c>
      <c r="N207" s="337">
        <f t="shared" si="198"/>
        <v>0</v>
      </c>
      <c r="O207" s="337">
        <f t="shared" si="198"/>
        <v>130292269.61</v>
      </c>
      <c r="P207" s="337">
        <f t="shared" si="198"/>
        <v>183300635.61000001</v>
      </c>
      <c r="Q207" s="414"/>
      <c r="R207" s="203"/>
    </row>
    <row r="208" spans="1:18" s="409" customFormat="1" ht="91.5" thickTop="1" thickBot="1" x14ac:dyDescent="0.25">
      <c r="A208" s="472" t="s">
        <v>982</v>
      </c>
      <c r="B208" s="472" t="s">
        <v>983</v>
      </c>
      <c r="C208" s="472"/>
      <c r="D208" s="472" t="s">
        <v>984</v>
      </c>
      <c r="E208" s="485">
        <f>E209</f>
        <v>0</v>
      </c>
      <c r="F208" s="485">
        <f t="shared" ref="F208:P208" si="199">F209</f>
        <v>0</v>
      </c>
      <c r="G208" s="485">
        <f t="shared" si="199"/>
        <v>0</v>
      </c>
      <c r="H208" s="485">
        <f t="shared" si="199"/>
        <v>0</v>
      </c>
      <c r="I208" s="485">
        <f t="shared" si="199"/>
        <v>0</v>
      </c>
      <c r="J208" s="485">
        <f t="shared" si="199"/>
        <v>6280522</v>
      </c>
      <c r="K208" s="485">
        <f t="shared" si="199"/>
        <v>6280522</v>
      </c>
      <c r="L208" s="485">
        <f t="shared" si="199"/>
        <v>0</v>
      </c>
      <c r="M208" s="485">
        <f t="shared" si="199"/>
        <v>0</v>
      </c>
      <c r="N208" s="485">
        <f t="shared" si="199"/>
        <v>0</v>
      </c>
      <c r="O208" s="485">
        <f t="shared" si="199"/>
        <v>6280522</v>
      </c>
      <c r="P208" s="485">
        <f t="shared" si="199"/>
        <v>6280522</v>
      </c>
      <c r="Q208" s="414"/>
      <c r="R208" s="203"/>
    </row>
    <row r="209" spans="1:18" s="161" customFormat="1" ht="99.75" thickTop="1" thickBot="1" x14ac:dyDescent="0.25">
      <c r="A209" s="284" t="s">
        <v>655</v>
      </c>
      <c r="B209" s="284" t="s">
        <v>327</v>
      </c>
      <c r="C209" s="284" t="s">
        <v>326</v>
      </c>
      <c r="D209" s="284" t="s">
        <v>796</v>
      </c>
      <c r="E209" s="337">
        <f t="shared" si="196"/>
        <v>0</v>
      </c>
      <c r="F209" s="173"/>
      <c r="G209" s="173"/>
      <c r="H209" s="173"/>
      <c r="I209" s="173"/>
      <c r="J209" s="334">
        <f>L209+O209</f>
        <v>6280522</v>
      </c>
      <c r="K209" s="335">
        <f>(5200000)+1080522</f>
        <v>6280522</v>
      </c>
      <c r="L209" s="173"/>
      <c r="M209" s="173"/>
      <c r="N209" s="173"/>
      <c r="O209" s="336">
        <f>K209</f>
        <v>6280522</v>
      </c>
      <c r="P209" s="334">
        <f t="shared" si="197"/>
        <v>6280522</v>
      </c>
      <c r="Q209" s="192"/>
      <c r="R209" s="125" t="b">
        <f>K209='d6'!J166+'d6'!J165+'d6'!J164+'d6'!J162+'d6'!J163+'d6'!J161+'d6'!J160</f>
        <v>1</v>
      </c>
    </row>
    <row r="210" spans="1:18" s="409" customFormat="1" ht="136.5" thickTop="1" thickBot="1" x14ac:dyDescent="0.25">
      <c r="A210" s="472" t="s">
        <v>985</v>
      </c>
      <c r="B210" s="472" t="s">
        <v>986</v>
      </c>
      <c r="C210" s="472"/>
      <c r="D210" s="472" t="s">
        <v>987</v>
      </c>
      <c r="E210" s="485">
        <f t="shared" ref="E210:P211" si="200">E211</f>
        <v>52868366</v>
      </c>
      <c r="F210" s="485">
        <f t="shared" si="200"/>
        <v>52868366</v>
      </c>
      <c r="G210" s="485">
        <f t="shared" si="200"/>
        <v>0</v>
      </c>
      <c r="H210" s="485">
        <f t="shared" si="200"/>
        <v>0</v>
      </c>
      <c r="I210" s="485">
        <f t="shared" si="200"/>
        <v>0</v>
      </c>
      <c r="J210" s="485">
        <f t="shared" si="200"/>
        <v>64664228.030000001</v>
      </c>
      <c r="K210" s="485">
        <f t="shared" si="200"/>
        <v>64537213</v>
      </c>
      <c r="L210" s="485">
        <f t="shared" si="200"/>
        <v>0</v>
      </c>
      <c r="M210" s="485">
        <f t="shared" si="200"/>
        <v>0</v>
      </c>
      <c r="N210" s="485">
        <f t="shared" si="200"/>
        <v>0</v>
      </c>
      <c r="O210" s="485">
        <f t="shared" si="200"/>
        <v>64664228.030000001</v>
      </c>
      <c r="P210" s="485">
        <f t="shared" si="200"/>
        <v>117532594.03</v>
      </c>
      <c r="Q210" s="414"/>
      <c r="R210" s="203"/>
    </row>
    <row r="211" spans="1:18" s="785" customFormat="1" ht="138.75" thickTop="1" thickBot="1" x14ac:dyDescent="0.25">
      <c r="A211" s="786" t="s">
        <v>1273</v>
      </c>
      <c r="B211" s="467" t="s">
        <v>1274</v>
      </c>
      <c r="C211" s="472"/>
      <c r="D211" s="467" t="s">
        <v>1275</v>
      </c>
      <c r="E211" s="486">
        <f t="shared" si="200"/>
        <v>52868366</v>
      </c>
      <c r="F211" s="486">
        <f t="shared" si="200"/>
        <v>52868366</v>
      </c>
      <c r="G211" s="486">
        <f t="shared" si="200"/>
        <v>0</v>
      </c>
      <c r="H211" s="486">
        <f t="shared" si="200"/>
        <v>0</v>
      </c>
      <c r="I211" s="486">
        <f t="shared" si="200"/>
        <v>0</v>
      </c>
      <c r="J211" s="486">
        <f t="shared" si="200"/>
        <v>64664228.030000001</v>
      </c>
      <c r="K211" s="486">
        <f t="shared" si="200"/>
        <v>64537213</v>
      </c>
      <c r="L211" s="486">
        <f t="shared" si="200"/>
        <v>0</v>
      </c>
      <c r="M211" s="486">
        <f t="shared" si="200"/>
        <v>0</v>
      </c>
      <c r="N211" s="486">
        <f t="shared" si="200"/>
        <v>0</v>
      </c>
      <c r="O211" s="486">
        <f t="shared" si="200"/>
        <v>64664228.030000001</v>
      </c>
      <c r="P211" s="486">
        <f t="shared" si="200"/>
        <v>117532594.03</v>
      </c>
      <c r="Q211" s="787"/>
      <c r="R211" s="203"/>
    </row>
    <row r="212" spans="1:18" s="161" customFormat="1" ht="230.25" thickTop="1" thickBot="1" x14ac:dyDescent="0.25">
      <c r="A212" s="284" t="s">
        <v>656</v>
      </c>
      <c r="B212" s="284" t="s">
        <v>315</v>
      </c>
      <c r="C212" s="284" t="s">
        <v>317</v>
      </c>
      <c r="D212" s="284" t="s">
        <v>316</v>
      </c>
      <c r="E212" s="337">
        <f t="shared" si="196"/>
        <v>52868366</v>
      </c>
      <c r="F212" s="173">
        <f>(48273558)+4594808</f>
        <v>52868366</v>
      </c>
      <c r="G212" s="173"/>
      <c r="H212" s="173"/>
      <c r="I212" s="173"/>
      <c r="J212" s="334">
        <f t="shared" si="185"/>
        <v>64664228.030000001</v>
      </c>
      <c r="K212" s="173">
        <f>(16932021+60000000)-5594808-6800000</f>
        <v>64537213</v>
      </c>
      <c r="L212" s="174"/>
      <c r="M212" s="174"/>
      <c r="N212" s="174"/>
      <c r="O212" s="336">
        <f>K212+127015.03</f>
        <v>64664228.030000001</v>
      </c>
      <c r="P212" s="334">
        <f>+J212+E212</f>
        <v>117532594.03</v>
      </c>
      <c r="Q212" s="192"/>
      <c r="R212" s="125" t="b">
        <f>K212='d6'!J167</f>
        <v>1</v>
      </c>
    </row>
    <row r="213" spans="1:18" s="409" customFormat="1" ht="136.5" thickTop="1" thickBot="1" x14ac:dyDescent="0.25">
      <c r="A213" s="472" t="s">
        <v>988</v>
      </c>
      <c r="B213" s="472" t="s">
        <v>866</v>
      </c>
      <c r="C213" s="472"/>
      <c r="D213" s="472" t="s">
        <v>864</v>
      </c>
      <c r="E213" s="485">
        <f>SUM(E214:E218)-E216</f>
        <v>0</v>
      </c>
      <c r="F213" s="485">
        <f t="shared" ref="F213:I213" si="201">SUM(F214:F218)-F216</f>
        <v>0</v>
      </c>
      <c r="G213" s="485">
        <f t="shared" si="201"/>
        <v>0</v>
      </c>
      <c r="H213" s="485">
        <f t="shared" si="201"/>
        <v>0</v>
      </c>
      <c r="I213" s="485">
        <f t="shared" si="201"/>
        <v>0</v>
      </c>
      <c r="J213" s="485">
        <f>SUM(J214:J218)-J216</f>
        <v>59487519.579999998</v>
      </c>
      <c r="K213" s="485">
        <f t="shared" ref="K213:P213" si="202">SUM(K214:K218)-K216</f>
        <v>59297519.579999998</v>
      </c>
      <c r="L213" s="485">
        <f t="shared" si="202"/>
        <v>140000</v>
      </c>
      <c r="M213" s="485">
        <f t="shared" si="202"/>
        <v>0</v>
      </c>
      <c r="N213" s="485">
        <f t="shared" si="202"/>
        <v>0</v>
      </c>
      <c r="O213" s="485">
        <f t="shared" si="202"/>
        <v>59347519.579999998</v>
      </c>
      <c r="P213" s="485">
        <f t="shared" si="202"/>
        <v>59487519.579999998</v>
      </c>
      <c r="Q213" s="414"/>
      <c r="R213" s="125"/>
    </row>
    <row r="214" spans="1:18" s="161" customFormat="1" ht="48" thickTop="1" thickBot="1" x14ac:dyDescent="0.25">
      <c r="A214" s="284" t="s">
        <v>657</v>
      </c>
      <c r="B214" s="284" t="s">
        <v>233</v>
      </c>
      <c r="C214" s="284" t="s">
        <v>234</v>
      </c>
      <c r="D214" s="284" t="s">
        <v>43</v>
      </c>
      <c r="E214" s="337">
        <f t="shared" si="196"/>
        <v>0</v>
      </c>
      <c r="F214" s="173"/>
      <c r="G214" s="173"/>
      <c r="H214" s="173"/>
      <c r="I214" s="173"/>
      <c r="J214" s="334">
        <f t="shared" si="185"/>
        <v>18508795.579999998</v>
      </c>
      <c r="K214" s="335">
        <v>18508795.579999998</v>
      </c>
      <c r="L214" s="173"/>
      <c r="M214" s="173"/>
      <c r="N214" s="173"/>
      <c r="O214" s="336">
        <f t="shared" si="188"/>
        <v>18508795.579999998</v>
      </c>
      <c r="P214" s="334">
        <f>E214+J214</f>
        <v>18508795.579999998</v>
      </c>
      <c r="Q214" s="192"/>
      <c r="R214" s="125" t="b">
        <f>K214='d6'!J168</f>
        <v>1</v>
      </c>
    </row>
    <row r="215" spans="1:18" s="161" customFormat="1" ht="93" thickTop="1" thickBot="1" x14ac:dyDescent="0.25">
      <c r="A215" s="284" t="s">
        <v>658</v>
      </c>
      <c r="B215" s="284" t="s">
        <v>218</v>
      </c>
      <c r="C215" s="284" t="s">
        <v>187</v>
      </c>
      <c r="D215" s="284" t="s">
        <v>36</v>
      </c>
      <c r="E215" s="337">
        <f t="shared" si="196"/>
        <v>0</v>
      </c>
      <c r="F215" s="173"/>
      <c r="G215" s="173"/>
      <c r="H215" s="173"/>
      <c r="I215" s="173"/>
      <c r="J215" s="334">
        <f t="shared" si="185"/>
        <v>40788724</v>
      </c>
      <c r="K215" s="335">
        <f>(14547011+1000000)+25241713</f>
        <v>40788724</v>
      </c>
      <c r="L215" s="173"/>
      <c r="M215" s="173"/>
      <c r="N215" s="173"/>
      <c r="O215" s="336">
        <f t="shared" si="188"/>
        <v>40788724</v>
      </c>
      <c r="P215" s="334">
        <f>E215+J215</f>
        <v>40788724</v>
      </c>
      <c r="Q215" s="192"/>
      <c r="R215" s="125" t="b">
        <f>K215='d6'!J204+'d6'!J203+'d6'!J202+'d6'!J201+'d6'!J200+'d6'!J199+'d6'!J198+'d6'!J197+'d6'!J196+'d6'!J195+'d6'!J194+'d6'!J193+'d6'!J192+'d6'!J191+'d6'!J190+'d6'!J189+'d6'!J188+'d6'!J187+'d6'!J186+'d6'!J185+'d6'!J184+'d6'!J183+'d6'!J182+'d6'!J181+'d6'!J180+'d6'!J179+'d6'!J178+'d6'!J177+'d6'!J176+'d6'!J174+'d6'!J173+'d6'!J172+'d6'!J171+'d6'!J170+'d6'!J175</f>
        <v>1</v>
      </c>
    </row>
    <row r="216" spans="1:18" s="409" customFormat="1" ht="48" thickTop="1" thickBot="1" x14ac:dyDescent="0.25">
      <c r="A216" s="467" t="s">
        <v>989</v>
      </c>
      <c r="B216" s="467" t="s">
        <v>869</v>
      </c>
      <c r="C216" s="467"/>
      <c r="D216" s="467" t="s">
        <v>977</v>
      </c>
      <c r="E216" s="486">
        <f>E217</f>
        <v>0</v>
      </c>
      <c r="F216" s="486">
        <f t="shared" ref="F216:P216" si="203">F217</f>
        <v>0</v>
      </c>
      <c r="G216" s="486">
        <f t="shared" si="203"/>
        <v>0</v>
      </c>
      <c r="H216" s="486">
        <f t="shared" si="203"/>
        <v>0</v>
      </c>
      <c r="I216" s="486">
        <f t="shared" si="203"/>
        <v>0</v>
      </c>
      <c r="J216" s="486">
        <f t="shared" si="203"/>
        <v>190000</v>
      </c>
      <c r="K216" s="486">
        <f t="shared" si="203"/>
        <v>0</v>
      </c>
      <c r="L216" s="486">
        <f t="shared" si="203"/>
        <v>140000</v>
      </c>
      <c r="M216" s="486">
        <f t="shared" si="203"/>
        <v>0</v>
      </c>
      <c r="N216" s="486">
        <f t="shared" si="203"/>
        <v>0</v>
      </c>
      <c r="O216" s="486">
        <f t="shared" si="203"/>
        <v>50000</v>
      </c>
      <c r="P216" s="486">
        <f t="shared" si="203"/>
        <v>190000</v>
      </c>
      <c r="Q216" s="414"/>
      <c r="R216" s="203"/>
    </row>
    <row r="217" spans="1:18" s="161" customFormat="1" ht="409.6" thickTop="1" thickBot="1" x14ac:dyDescent="0.7">
      <c r="A217" s="881" t="s">
        <v>659</v>
      </c>
      <c r="B217" s="881" t="s">
        <v>366</v>
      </c>
      <c r="C217" s="881" t="s">
        <v>187</v>
      </c>
      <c r="D217" s="339" t="s">
        <v>476</v>
      </c>
      <c r="E217" s="861"/>
      <c r="F217" s="862"/>
      <c r="G217" s="862"/>
      <c r="H217" s="862"/>
      <c r="I217" s="862"/>
      <c r="J217" s="861">
        <f t="shared" si="185"/>
        <v>190000</v>
      </c>
      <c r="K217" s="862"/>
      <c r="L217" s="862">
        <f>(190000)-50000</f>
        <v>140000</v>
      </c>
      <c r="M217" s="862"/>
      <c r="N217" s="862"/>
      <c r="O217" s="891">
        <f>K217+50000</f>
        <v>50000</v>
      </c>
      <c r="P217" s="884">
        <f>E217+J217</f>
        <v>190000</v>
      </c>
      <c r="Q217" s="192"/>
      <c r="R217" s="203"/>
    </row>
    <row r="218" spans="1:18" s="161" customFormat="1" ht="184.5" thickTop="1" thickBot="1" x14ac:dyDescent="0.25">
      <c r="A218" s="881"/>
      <c r="B218" s="881"/>
      <c r="C218" s="881"/>
      <c r="D218" s="343" t="s">
        <v>477</v>
      </c>
      <c r="E218" s="861"/>
      <c r="F218" s="862"/>
      <c r="G218" s="862"/>
      <c r="H218" s="862"/>
      <c r="I218" s="862"/>
      <c r="J218" s="861"/>
      <c r="K218" s="862"/>
      <c r="L218" s="862"/>
      <c r="M218" s="862"/>
      <c r="N218" s="862"/>
      <c r="O218" s="891"/>
      <c r="P218" s="884"/>
      <c r="Q218" s="192"/>
      <c r="R218" s="203"/>
    </row>
    <row r="219" spans="1:18" s="409" customFormat="1" ht="47.25" thickTop="1" thickBot="1" x14ac:dyDescent="0.25">
      <c r="A219" s="177" t="s">
        <v>990</v>
      </c>
      <c r="B219" s="477" t="s">
        <v>871</v>
      </c>
      <c r="C219" s="477"/>
      <c r="D219" s="490" t="s">
        <v>872</v>
      </c>
      <c r="E219" s="410">
        <f>E220</f>
        <v>3160578</v>
      </c>
      <c r="F219" s="410">
        <f t="shared" ref="F219:P219" si="204">F220</f>
        <v>3160578</v>
      </c>
      <c r="G219" s="410">
        <f t="shared" si="204"/>
        <v>2388859</v>
      </c>
      <c r="H219" s="410">
        <f t="shared" si="204"/>
        <v>29785</v>
      </c>
      <c r="I219" s="410">
        <f t="shared" si="204"/>
        <v>0</v>
      </c>
      <c r="J219" s="410">
        <f t="shared" si="204"/>
        <v>0</v>
      </c>
      <c r="K219" s="410">
        <f t="shared" si="204"/>
        <v>0</v>
      </c>
      <c r="L219" s="410">
        <f t="shared" si="204"/>
        <v>0</v>
      </c>
      <c r="M219" s="410">
        <f t="shared" si="204"/>
        <v>0</v>
      </c>
      <c r="N219" s="410">
        <f t="shared" si="204"/>
        <v>0</v>
      </c>
      <c r="O219" s="410">
        <f t="shared" si="204"/>
        <v>0</v>
      </c>
      <c r="P219" s="410">
        <f t="shared" si="204"/>
        <v>3160578</v>
      </c>
      <c r="Q219" s="414"/>
      <c r="R219" s="203"/>
    </row>
    <row r="220" spans="1:18" s="409" customFormat="1" ht="181.5" thickTop="1" thickBot="1" x14ac:dyDescent="0.25">
      <c r="A220" s="472" t="s">
        <v>992</v>
      </c>
      <c r="B220" s="425" t="s">
        <v>993</v>
      </c>
      <c r="C220" s="425"/>
      <c r="D220" s="491" t="s">
        <v>991</v>
      </c>
      <c r="E220" s="384">
        <f>SUM(E221:E223)</f>
        <v>3160578</v>
      </c>
      <c r="F220" s="384">
        <f t="shared" ref="F220:P220" si="205">SUM(F221:F223)</f>
        <v>3160578</v>
      </c>
      <c r="G220" s="384">
        <f t="shared" si="205"/>
        <v>2388859</v>
      </c>
      <c r="H220" s="384">
        <f t="shared" si="205"/>
        <v>29785</v>
      </c>
      <c r="I220" s="384">
        <f t="shared" si="205"/>
        <v>0</v>
      </c>
      <c r="J220" s="384">
        <f t="shared" si="205"/>
        <v>0</v>
      </c>
      <c r="K220" s="384">
        <f t="shared" si="205"/>
        <v>0</v>
      </c>
      <c r="L220" s="384">
        <f t="shared" si="205"/>
        <v>0</v>
      </c>
      <c r="M220" s="384">
        <f t="shared" si="205"/>
        <v>0</v>
      </c>
      <c r="N220" s="384">
        <f t="shared" si="205"/>
        <v>0</v>
      </c>
      <c r="O220" s="384">
        <f t="shared" si="205"/>
        <v>0</v>
      </c>
      <c r="P220" s="384">
        <f t="shared" si="205"/>
        <v>3160578</v>
      </c>
      <c r="Q220" s="414"/>
      <c r="R220" s="203"/>
    </row>
    <row r="221" spans="1:18" s="161" customFormat="1" ht="184.5" thickTop="1" thickBot="1" x14ac:dyDescent="0.25">
      <c r="A221" s="284" t="s">
        <v>660</v>
      </c>
      <c r="B221" s="284" t="s">
        <v>568</v>
      </c>
      <c r="C221" s="284" t="s">
        <v>272</v>
      </c>
      <c r="D221" s="284" t="s">
        <v>569</v>
      </c>
      <c r="E221" s="337">
        <f>F221</f>
        <v>108400</v>
      </c>
      <c r="F221" s="173">
        <v>108400</v>
      </c>
      <c r="G221" s="173"/>
      <c r="H221" s="173"/>
      <c r="I221" s="173"/>
      <c r="J221" s="334">
        <f>L221+O221</f>
        <v>0</v>
      </c>
      <c r="K221" s="335"/>
      <c r="L221" s="173"/>
      <c r="M221" s="173"/>
      <c r="N221" s="173"/>
      <c r="O221" s="336">
        <f>K221</f>
        <v>0</v>
      </c>
      <c r="P221" s="334">
        <f>E221+J221</f>
        <v>108400</v>
      </c>
      <c r="Q221" s="192"/>
      <c r="R221" s="203"/>
    </row>
    <row r="222" spans="1:18" s="161" customFormat="1" ht="93" thickTop="1" thickBot="1" x14ac:dyDescent="0.25">
      <c r="A222" s="618" t="s">
        <v>661</v>
      </c>
      <c r="B222" s="618" t="s">
        <v>271</v>
      </c>
      <c r="C222" s="618" t="s">
        <v>272</v>
      </c>
      <c r="D222" s="618" t="s">
        <v>270</v>
      </c>
      <c r="E222" s="337">
        <f t="shared" ref="E222:E223" si="206">F222</f>
        <v>3052178</v>
      </c>
      <c r="F222" s="173">
        <f>1833178+1219000</f>
        <v>3052178</v>
      </c>
      <c r="G222" s="173">
        <f>(1494859)+894000</f>
        <v>2388859</v>
      </c>
      <c r="H222" s="173">
        <f>(20785)+9000</f>
        <v>29785</v>
      </c>
      <c r="I222" s="173"/>
      <c r="J222" s="615">
        <f>L222+O222</f>
        <v>0</v>
      </c>
      <c r="K222" s="324"/>
      <c r="L222" s="173"/>
      <c r="M222" s="173"/>
      <c r="N222" s="173"/>
      <c r="O222" s="617">
        <f>K222</f>
        <v>0</v>
      </c>
      <c r="P222" s="615">
        <f>E222+J222</f>
        <v>3052178</v>
      </c>
      <c r="Q222" s="192"/>
      <c r="R222" s="203"/>
    </row>
    <row r="223" spans="1:18" s="161" customFormat="1" ht="93" hidden="1" thickTop="1" thickBot="1" x14ac:dyDescent="0.25">
      <c r="A223" s="538" t="s">
        <v>662</v>
      </c>
      <c r="B223" s="538" t="s">
        <v>663</v>
      </c>
      <c r="C223" s="538" t="s">
        <v>272</v>
      </c>
      <c r="D223" s="538" t="s">
        <v>664</v>
      </c>
      <c r="E223" s="545">
        <f t="shared" si="206"/>
        <v>0</v>
      </c>
      <c r="F223" s="546">
        <f>(1219000)-1219000</f>
        <v>0</v>
      </c>
      <c r="G223" s="546">
        <f>(354000+540000)-894000</f>
        <v>0</v>
      </c>
      <c r="H223" s="546">
        <f>(6000+3000)-9000</f>
        <v>0</v>
      </c>
      <c r="I223" s="546"/>
      <c r="J223" s="547">
        <f>L223+O223</f>
        <v>0</v>
      </c>
      <c r="K223" s="548"/>
      <c r="L223" s="546"/>
      <c r="M223" s="546"/>
      <c r="N223" s="546"/>
      <c r="O223" s="549">
        <f>K223</f>
        <v>0</v>
      </c>
      <c r="P223" s="547">
        <f>E223+J223</f>
        <v>0</v>
      </c>
      <c r="Q223" s="192"/>
      <c r="R223" s="203"/>
    </row>
    <row r="224" spans="1:18" ht="316.5" thickTop="1" thickBot="1" x14ac:dyDescent="0.25">
      <c r="A224" s="595" t="s">
        <v>25</v>
      </c>
      <c r="B224" s="595"/>
      <c r="C224" s="595"/>
      <c r="D224" s="596" t="s">
        <v>403</v>
      </c>
      <c r="E224" s="597">
        <f>E225</f>
        <v>3464607</v>
      </c>
      <c r="F224" s="598">
        <f t="shared" ref="F224:G224" si="207">F225</f>
        <v>3464607</v>
      </c>
      <c r="G224" s="598">
        <f t="shared" si="207"/>
        <v>2367850</v>
      </c>
      <c r="H224" s="598">
        <f>H225</f>
        <v>79370</v>
      </c>
      <c r="I224" s="598">
        <f t="shared" ref="I224" si="208">I225</f>
        <v>0</v>
      </c>
      <c r="J224" s="597">
        <f>J225</f>
        <v>166450566.50999999</v>
      </c>
      <c r="K224" s="598">
        <f>K225</f>
        <v>166450566.50999999</v>
      </c>
      <c r="L224" s="598">
        <f>L225</f>
        <v>0</v>
      </c>
      <c r="M224" s="598">
        <f t="shared" ref="M224" si="209">M225</f>
        <v>0</v>
      </c>
      <c r="N224" s="597">
        <f>N225</f>
        <v>0</v>
      </c>
      <c r="O224" s="597">
        <f>O225</f>
        <v>166450566.50999999</v>
      </c>
      <c r="P224" s="598">
        <f t="shared" ref="P224" si="210">P225</f>
        <v>169915173.50999999</v>
      </c>
    </row>
    <row r="225" spans="1:18" ht="181.5" thickTop="1" thickBot="1" x14ac:dyDescent="0.25">
      <c r="A225" s="599" t="s">
        <v>26</v>
      </c>
      <c r="B225" s="599"/>
      <c r="C225" s="599"/>
      <c r="D225" s="600" t="s">
        <v>1088</v>
      </c>
      <c r="E225" s="601">
        <f>E226+E230+E233</f>
        <v>3464607</v>
      </c>
      <c r="F225" s="601">
        <f t="shared" ref="F225:I225" si="211">F226+F230+F233</f>
        <v>3464607</v>
      </c>
      <c r="G225" s="601">
        <f t="shared" si="211"/>
        <v>2367850</v>
      </c>
      <c r="H225" s="601">
        <f t="shared" si="211"/>
        <v>79370</v>
      </c>
      <c r="I225" s="601">
        <f t="shared" si="211"/>
        <v>0</v>
      </c>
      <c r="J225" s="601">
        <f>L225+O225</f>
        <v>166450566.50999999</v>
      </c>
      <c r="K225" s="601">
        <f t="shared" ref="K225:O225" si="212">K226+K230+K233</f>
        <v>166450566.50999999</v>
      </c>
      <c r="L225" s="601">
        <f t="shared" si="212"/>
        <v>0</v>
      </c>
      <c r="M225" s="601">
        <f t="shared" si="212"/>
        <v>0</v>
      </c>
      <c r="N225" s="601">
        <f t="shared" si="212"/>
        <v>0</v>
      </c>
      <c r="O225" s="601">
        <f t="shared" si="212"/>
        <v>166450566.50999999</v>
      </c>
      <c r="P225" s="602">
        <f t="shared" ref="P225:P241" si="213">E225+J225</f>
        <v>169915173.50999999</v>
      </c>
      <c r="Q225" s="125" t="b">
        <f>P225=P237+P239+P240+P227+P241+P232+P238+P228+P235+P229</f>
        <v>1</v>
      </c>
      <c r="R225" s="243" t="b">
        <f>K225='d6'!J205</f>
        <v>1</v>
      </c>
    </row>
    <row r="226" spans="1:18" s="458" customFormat="1" ht="47.25" thickTop="1" thickBot="1" x14ac:dyDescent="0.25">
      <c r="A226" s="477" t="s">
        <v>994</v>
      </c>
      <c r="B226" s="477" t="s">
        <v>859</v>
      </c>
      <c r="C226" s="477"/>
      <c r="D226" s="477" t="s">
        <v>860</v>
      </c>
      <c r="E226" s="462">
        <f t="shared" ref="E226:P226" si="214">SUM(E227:E229)</f>
        <v>3464607</v>
      </c>
      <c r="F226" s="647">
        <f t="shared" si="214"/>
        <v>3464607</v>
      </c>
      <c r="G226" s="647">
        <f t="shared" si="214"/>
        <v>2367850</v>
      </c>
      <c r="H226" s="647">
        <f t="shared" si="214"/>
        <v>79370</v>
      </c>
      <c r="I226" s="647">
        <f t="shared" si="214"/>
        <v>0</v>
      </c>
      <c r="J226" s="647">
        <f t="shared" si="214"/>
        <v>0</v>
      </c>
      <c r="K226" s="647">
        <f t="shared" si="214"/>
        <v>0</v>
      </c>
      <c r="L226" s="647">
        <f t="shared" si="214"/>
        <v>0</v>
      </c>
      <c r="M226" s="647">
        <f t="shared" si="214"/>
        <v>0</v>
      </c>
      <c r="N226" s="647">
        <f t="shared" si="214"/>
        <v>0</v>
      </c>
      <c r="O226" s="647">
        <f t="shared" si="214"/>
        <v>0</v>
      </c>
      <c r="P226" s="647">
        <f t="shared" si="214"/>
        <v>3464607</v>
      </c>
      <c r="Q226" s="125"/>
      <c r="R226" s="243"/>
    </row>
    <row r="227" spans="1:18" ht="230.25" thickTop="1" thickBot="1" x14ac:dyDescent="0.25">
      <c r="A227" s="338" t="s">
        <v>448</v>
      </c>
      <c r="B227" s="338" t="s">
        <v>257</v>
      </c>
      <c r="C227" s="338" t="s">
        <v>255</v>
      </c>
      <c r="D227" s="338" t="s">
        <v>256</v>
      </c>
      <c r="E227" s="340">
        <f>F227</f>
        <v>3309607</v>
      </c>
      <c r="F227" s="324">
        <f>(2367850+520950+61660+322000+2000+1570+24500+53300+1610+1075-5000)-145008-1000+1000+49750+17000+10000+20835+3015+1000+1500</f>
        <v>3309607</v>
      </c>
      <c r="G227" s="324">
        <v>2367850</v>
      </c>
      <c r="H227" s="324">
        <f>(1570+24500+53300)</f>
        <v>79370</v>
      </c>
      <c r="I227" s="324"/>
      <c r="J227" s="340">
        <f t="shared" ref="J227:J241" si="215">L227+O227</f>
        <v>0</v>
      </c>
      <c r="K227" s="324"/>
      <c r="L227" s="324"/>
      <c r="M227" s="324"/>
      <c r="N227" s="324"/>
      <c r="O227" s="342">
        <f>K227</f>
        <v>0</v>
      </c>
      <c r="P227" s="340">
        <f t="shared" si="213"/>
        <v>3309607</v>
      </c>
      <c r="Q227" s="202"/>
      <c r="R227" s="203"/>
    </row>
    <row r="228" spans="1:18" s="331" customFormat="1" ht="184.5" thickTop="1" thickBot="1" x14ac:dyDescent="0.25">
      <c r="A228" s="332" t="s">
        <v>804</v>
      </c>
      <c r="B228" s="332" t="s">
        <v>391</v>
      </c>
      <c r="C228" s="332" t="s">
        <v>794</v>
      </c>
      <c r="D228" s="332" t="s">
        <v>795</v>
      </c>
      <c r="E228" s="337">
        <f>F228</f>
        <v>5000</v>
      </c>
      <c r="F228" s="173">
        <v>5000</v>
      </c>
      <c r="G228" s="173"/>
      <c r="H228" s="173"/>
      <c r="I228" s="173"/>
      <c r="J228" s="334">
        <f t="shared" si="215"/>
        <v>0</v>
      </c>
      <c r="K228" s="173"/>
      <c r="L228" s="174"/>
      <c r="M228" s="174"/>
      <c r="N228" s="174"/>
      <c r="O228" s="336">
        <f t="shared" ref="O228" si="216">K228</f>
        <v>0</v>
      </c>
      <c r="P228" s="334">
        <f t="shared" ref="P228" si="217">+J228+E228</f>
        <v>5000</v>
      </c>
      <c r="Q228" s="202"/>
      <c r="R228" s="203"/>
    </row>
    <row r="229" spans="1:18" s="640" customFormat="1" ht="93" thickTop="1" thickBot="1" x14ac:dyDescent="0.25">
      <c r="A229" s="648" t="s">
        <v>1178</v>
      </c>
      <c r="B229" s="648" t="s">
        <v>45</v>
      </c>
      <c r="C229" s="648" t="s">
        <v>44</v>
      </c>
      <c r="D229" s="648" t="s">
        <v>269</v>
      </c>
      <c r="E229" s="337">
        <f>F229</f>
        <v>150000</v>
      </c>
      <c r="F229" s="173">
        <v>150000</v>
      </c>
      <c r="G229" s="173"/>
      <c r="H229" s="173"/>
      <c r="I229" s="173"/>
      <c r="J229" s="643">
        <f t="shared" ref="J229" si="218">L229+O229</f>
        <v>0</v>
      </c>
      <c r="K229" s="173"/>
      <c r="L229" s="174"/>
      <c r="M229" s="174"/>
      <c r="N229" s="174"/>
      <c r="O229" s="645">
        <f t="shared" ref="O229" si="219">K229</f>
        <v>0</v>
      </c>
      <c r="P229" s="643">
        <f t="shared" ref="P229" si="220">+J229+E229</f>
        <v>150000</v>
      </c>
      <c r="Q229" s="202"/>
      <c r="R229" s="203"/>
    </row>
    <row r="230" spans="1:18" s="458" customFormat="1" ht="47.25" thickTop="1" thickBot="1" x14ac:dyDescent="0.25">
      <c r="A230" s="477" t="s">
        <v>995</v>
      </c>
      <c r="B230" s="477" t="s">
        <v>950</v>
      </c>
      <c r="C230" s="461"/>
      <c r="D230" s="477" t="s">
        <v>951</v>
      </c>
      <c r="E230" s="337">
        <f>E231</f>
        <v>0</v>
      </c>
      <c r="F230" s="337">
        <f t="shared" ref="F230:P231" si="221">F231</f>
        <v>0</v>
      </c>
      <c r="G230" s="337">
        <f t="shared" si="221"/>
        <v>0</v>
      </c>
      <c r="H230" s="337">
        <f t="shared" si="221"/>
        <v>0</v>
      </c>
      <c r="I230" s="337">
        <f t="shared" si="221"/>
        <v>0</v>
      </c>
      <c r="J230" s="337">
        <f t="shared" si="221"/>
        <v>17000000</v>
      </c>
      <c r="K230" s="337">
        <f t="shared" si="221"/>
        <v>17000000</v>
      </c>
      <c r="L230" s="337">
        <f t="shared" si="221"/>
        <v>0</v>
      </c>
      <c r="M230" s="337">
        <f t="shared" si="221"/>
        <v>0</v>
      </c>
      <c r="N230" s="337">
        <f t="shared" si="221"/>
        <v>0</v>
      </c>
      <c r="O230" s="337">
        <f t="shared" si="221"/>
        <v>17000000</v>
      </c>
      <c r="P230" s="337">
        <f t="shared" si="221"/>
        <v>17000000</v>
      </c>
      <c r="Q230" s="202"/>
      <c r="R230" s="203"/>
    </row>
    <row r="231" spans="1:18" s="458" customFormat="1" ht="93" thickTop="1" thickBot="1" x14ac:dyDescent="0.25">
      <c r="A231" s="383" t="s">
        <v>996</v>
      </c>
      <c r="B231" s="383" t="s">
        <v>997</v>
      </c>
      <c r="C231" s="383"/>
      <c r="D231" s="383" t="s">
        <v>998</v>
      </c>
      <c r="E231" s="486">
        <f>E232</f>
        <v>0</v>
      </c>
      <c r="F231" s="486">
        <f t="shared" si="221"/>
        <v>0</v>
      </c>
      <c r="G231" s="486">
        <f t="shared" si="221"/>
        <v>0</v>
      </c>
      <c r="H231" s="486">
        <f t="shared" si="221"/>
        <v>0</v>
      </c>
      <c r="I231" s="486">
        <f t="shared" si="221"/>
        <v>0</v>
      </c>
      <c r="J231" s="486">
        <f t="shared" si="221"/>
        <v>17000000</v>
      </c>
      <c r="K231" s="486">
        <f t="shared" si="221"/>
        <v>17000000</v>
      </c>
      <c r="L231" s="486">
        <f t="shared" si="221"/>
        <v>0</v>
      </c>
      <c r="M231" s="486">
        <f t="shared" si="221"/>
        <v>0</v>
      </c>
      <c r="N231" s="486">
        <f t="shared" si="221"/>
        <v>0</v>
      </c>
      <c r="O231" s="486">
        <f t="shared" si="221"/>
        <v>17000000</v>
      </c>
      <c r="P231" s="486">
        <f t="shared" si="221"/>
        <v>17000000</v>
      </c>
      <c r="Q231" s="202"/>
      <c r="R231" s="203"/>
    </row>
    <row r="232" spans="1:18" ht="321.75" thickTop="1" thickBot="1" x14ac:dyDescent="0.25">
      <c r="A232" s="307" t="s">
        <v>466</v>
      </c>
      <c r="B232" s="307" t="s">
        <v>468</v>
      </c>
      <c r="C232" s="307" t="s">
        <v>216</v>
      </c>
      <c r="D232" s="307" t="s">
        <v>467</v>
      </c>
      <c r="E232" s="306">
        <f t="shared" ref="E232:E239" si="222">F232</f>
        <v>0</v>
      </c>
      <c r="F232" s="324"/>
      <c r="G232" s="324"/>
      <c r="H232" s="324"/>
      <c r="I232" s="324"/>
      <c r="J232" s="306">
        <f t="shared" si="215"/>
        <v>17000000</v>
      </c>
      <c r="K232" s="324">
        <f>(8000000+2000000+7000000)</f>
        <v>17000000</v>
      </c>
      <c r="L232" s="324"/>
      <c r="M232" s="324"/>
      <c r="N232" s="324"/>
      <c r="O232" s="305">
        <f t="shared" ref="O232" si="223">K232</f>
        <v>17000000</v>
      </c>
      <c r="P232" s="306">
        <f t="shared" si="213"/>
        <v>17000000</v>
      </c>
      <c r="Q232" s="202"/>
      <c r="R232" s="243" t="b">
        <f>K232='d6'!J207</f>
        <v>1</v>
      </c>
    </row>
    <row r="233" spans="1:18" s="458" customFormat="1" ht="47.25" thickTop="1" thickBot="1" x14ac:dyDescent="0.25">
      <c r="A233" s="477" t="s">
        <v>999</v>
      </c>
      <c r="B233" s="477" t="s">
        <v>927</v>
      </c>
      <c r="C233" s="461"/>
      <c r="D233" s="477" t="s">
        <v>974</v>
      </c>
      <c r="E233" s="462">
        <f>E234</f>
        <v>0</v>
      </c>
      <c r="F233" s="462">
        <f t="shared" ref="F233:P233" si="224">F234</f>
        <v>0</v>
      </c>
      <c r="G233" s="462">
        <f t="shared" si="224"/>
        <v>0</v>
      </c>
      <c r="H233" s="462">
        <f t="shared" si="224"/>
        <v>0</v>
      </c>
      <c r="I233" s="462">
        <f t="shared" si="224"/>
        <v>0</v>
      </c>
      <c r="J233" s="462">
        <f t="shared" si="224"/>
        <v>149450566.50999999</v>
      </c>
      <c r="K233" s="462">
        <f t="shared" si="224"/>
        <v>149450566.50999999</v>
      </c>
      <c r="L233" s="462">
        <f t="shared" si="224"/>
        <v>0</v>
      </c>
      <c r="M233" s="462">
        <f t="shared" si="224"/>
        <v>0</v>
      </c>
      <c r="N233" s="462">
        <f t="shared" si="224"/>
        <v>0</v>
      </c>
      <c r="O233" s="462">
        <f t="shared" si="224"/>
        <v>149450566.50999999</v>
      </c>
      <c r="P233" s="462">
        <f t="shared" si="224"/>
        <v>149450566.50999999</v>
      </c>
      <c r="Q233" s="202"/>
      <c r="R233" s="203"/>
    </row>
    <row r="234" spans="1:18" s="458" customFormat="1" ht="91.5" thickTop="1" thickBot="1" x14ac:dyDescent="0.25">
      <c r="A234" s="425" t="s">
        <v>1000</v>
      </c>
      <c r="B234" s="425" t="s">
        <v>983</v>
      </c>
      <c r="C234" s="425"/>
      <c r="D234" s="425" t="s">
        <v>984</v>
      </c>
      <c r="E234" s="384">
        <f t="shared" ref="E234:P234" si="225">SUM(E235:E241)-E236</f>
        <v>0</v>
      </c>
      <c r="F234" s="384">
        <f t="shared" si="225"/>
        <v>0</v>
      </c>
      <c r="G234" s="384">
        <f t="shared" si="225"/>
        <v>0</v>
      </c>
      <c r="H234" s="384">
        <f t="shared" si="225"/>
        <v>0</v>
      </c>
      <c r="I234" s="384">
        <f t="shared" si="225"/>
        <v>0</v>
      </c>
      <c r="J234" s="384">
        <f t="shared" si="225"/>
        <v>149450566.50999999</v>
      </c>
      <c r="K234" s="384">
        <f t="shared" si="225"/>
        <v>149450566.50999999</v>
      </c>
      <c r="L234" s="384">
        <f t="shared" si="225"/>
        <v>0</v>
      </c>
      <c r="M234" s="384">
        <f t="shared" si="225"/>
        <v>0</v>
      </c>
      <c r="N234" s="384">
        <f t="shared" si="225"/>
        <v>0</v>
      </c>
      <c r="O234" s="384">
        <f t="shared" si="225"/>
        <v>149450566.50999999</v>
      </c>
      <c r="P234" s="384">
        <f t="shared" si="225"/>
        <v>149450566.50999999</v>
      </c>
      <c r="Q234" s="202"/>
      <c r="R234" s="203"/>
    </row>
    <row r="235" spans="1:18" s="640" customFormat="1" ht="99.75" thickTop="1" thickBot="1" x14ac:dyDescent="0.25">
      <c r="A235" s="646" t="s">
        <v>1177</v>
      </c>
      <c r="B235" s="646" t="s">
        <v>327</v>
      </c>
      <c r="C235" s="646" t="s">
        <v>326</v>
      </c>
      <c r="D235" s="646" t="s">
        <v>796</v>
      </c>
      <c r="E235" s="647">
        <f t="shared" ref="E235" si="226">F235</f>
        <v>0</v>
      </c>
      <c r="F235" s="324"/>
      <c r="G235" s="324"/>
      <c r="H235" s="324"/>
      <c r="I235" s="324"/>
      <c r="J235" s="647">
        <f t="shared" ref="J235" si="227">L235+O235</f>
        <v>36872.51</v>
      </c>
      <c r="K235" s="324">
        <v>36872.51</v>
      </c>
      <c r="L235" s="324"/>
      <c r="M235" s="324"/>
      <c r="N235" s="324"/>
      <c r="O235" s="644">
        <f>K235</f>
        <v>36872.51</v>
      </c>
      <c r="P235" s="647">
        <f t="shared" ref="P235" si="228">E235+J235</f>
        <v>36872.51</v>
      </c>
      <c r="Q235" s="202"/>
      <c r="R235" s="243" t="b">
        <f>K235='d6'!J209</f>
        <v>1</v>
      </c>
    </row>
    <row r="236" spans="1:18" s="458" customFormat="1" ht="146.25" thickTop="1" thickBot="1" x14ac:dyDescent="0.25">
      <c r="A236" s="383" t="s">
        <v>1001</v>
      </c>
      <c r="B236" s="383" t="s">
        <v>1002</v>
      </c>
      <c r="C236" s="383"/>
      <c r="D236" s="383" t="s">
        <v>1003</v>
      </c>
      <c r="E236" s="385">
        <f>SUM(E237:E238)</f>
        <v>0</v>
      </c>
      <c r="F236" s="385">
        <f t="shared" ref="F236:P236" si="229">SUM(F237:F238)</f>
        <v>0</v>
      </c>
      <c r="G236" s="385">
        <f t="shared" si="229"/>
        <v>0</v>
      </c>
      <c r="H236" s="385">
        <f t="shared" si="229"/>
        <v>0</v>
      </c>
      <c r="I236" s="385">
        <f t="shared" si="229"/>
        <v>0</v>
      </c>
      <c r="J236" s="385">
        <f t="shared" si="229"/>
        <v>21970957</v>
      </c>
      <c r="K236" s="385">
        <f t="shared" si="229"/>
        <v>21970957</v>
      </c>
      <c r="L236" s="385">
        <f t="shared" si="229"/>
        <v>0</v>
      </c>
      <c r="M236" s="385">
        <f t="shared" si="229"/>
        <v>0</v>
      </c>
      <c r="N236" s="385">
        <f t="shared" si="229"/>
        <v>0</v>
      </c>
      <c r="O236" s="385">
        <f t="shared" si="229"/>
        <v>21970957</v>
      </c>
      <c r="P236" s="385">
        <f t="shared" si="229"/>
        <v>21970957</v>
      </c>
      <c r="Q236" s="202"/>
      <c r="R236" s="203"/>
    </row>
    <row r="237" spans="1:18" ht="99.75" thickTop="1" thickBot="1" x14ac:dyDescent="0.25">
      <c r="A237" s="307" t="s">
        <v>336</v>
      </c>
      <c r="B237" s="307" t="s">
        <v>337</v>
      </c>
      <c r="C237" s="307" t="s">
        <v>326</v>
      </c>
      <c r="D237" s="307" t="s">
        <v>797</v>
      </c>
      <c r="E237" s="306">
        <f t="shared" si="222"/>
        <v>0</v>
      </c>
      <c r="F237" s="324"/>
      <c r="G237" s="324"/>
      <c r="H237" s="324"/>
      <c r="I237" s="324"/>
      <c r="J237" s="306">
        <f t="shared" si="215"/>
        <v>21770957</v>
      </c>
      <c r="K237" s="324">
        <f>(6855987)+16002910-1087940</f>
        <v>21770957</v>
      </c>
      <c r="L237" s="324"/>
      <c r="M237" s="324"/>
      <c r="N237" s="324"/>
      <c r="O237" s="305">
        <f>K237</f>
        <v>21770957</v>
      </c>
      <c r="P237" s="306">
        <f t="shared" si="213"/>
        <v>21770957</v>
      </c>
      <c r="Q237" s="193"/>
      <c r="R237" s="243" t="b">
        <f>K237='d6'!J211+'d6'!J212+'d6'!J213+'d6'!J210</f>
        <v>1</v>
      </c>
    </row>
    <row r="238" spans="1:18" ht="99.75" thickTop="1" thickBot="1" x14ac:dyDescent="0.25">
      <c r="A238" s="307" t="s">
        <v>566</v>
      </c>
      <c r="B238" s="307" t="s">
        <v>567</v>
      </c>
      <c r="C238" s="307" t="s">
        <v>326</v>
      </c>
      <c r="D238" s="307" t="s">
        <v>798</v>
      </c>
      <c r="E238" s="306">
        <f t="shared" si="222"/>
        <v>0</v>
      </c>
      <c r="F238" s="324"/>
      <c r="G238" s="324"/>
      <c r="H238" s="324"/>
      <c r="I238" s="324"/>
      <c r="J238" s="306">
        <f t="shared" si="215"/>
        <v>200000</v>
      </c>
      <c r="K238" s="324">
        <v>200000</v>
      </c>
      <c r="L238" s="324"/>
      <c r="M238" s="324"/>
      <c r="N238" s="324"/>
      <c r="O238" s="305">
        <f>K238</f>
        <v>200000</v>
      </c>
      <c r="P238" s="306">
        <f t="shared" si="213"/>
        <v>200000</v>
      </c>
      <c r="Q238" s="193"/>
      <c r="R238" s="243" t="b">
        <f>K238='d6'!J214</f>
        <v>1</v>
      </c>
    </row>
    <row r="239" spans="1:18" ht="145.5" hidden="1" thickTop="1" thickBot="1" x14ac:dyDescent="0.25">
      <c r="A239" s="307" t="s">
        <v>338</v>
      </c>
      <c r="B239" s="307" t="s">
        <v>339</v>
      </c>
      <c r="C239" s="307" t="s">
        <v>326</v>
      </c>
      <c r="D239" s="307" t="s">
        <v>799</v>
      </c>
      <c r="E239" s="306">
        <f t="shared" si="222"/>
        <v>0</v>
      </c>
      <c r="F239" s="324"/>
      <c r="G239" s="324"/>
      <c r="H239" s="324"/>
      <c r="I239" s="324"/>
      <c r="J239" s="306">
        <f t="shared" si="215"/>
        <v>0</v>
      </c>
      <c r="K239" s="324">
        <v>0</v>
      </c>
      <c r="L239" s="324"/>
      <c r="M239" s="324"/>
      <c r="N239" s="324"/>
      <c r="O239" s="305">
        <f>K239</f>
        <v>0</v>
      </c>
      <c r="P239" s="306">
        <f t="shared" si="213"/>
        <v>0</v>
      </c>
      <c r="Q239" s="193"/>
    </row>
    <row r="240" spans="1:18" ht="99.75" thickTop="1" thickBot="1" x14ac:dyDescent="0.3">
      <c r="A240" s="307" t="s">
        <v>340</v>
      </c>
      <c r="B240" s="307" t="s">
        <v>341</v>
      </c>
      <c r="C240" s="307" t="s">
        <v>326</v>
      </c>
      <c r="D240" s="307" t="s">
        <v>800</v>
      </c>
      <c r="E240" s="306">
        <f>F240</f>
        <v>0</v>
      </c>
      <c r="F240" s="324"/>
      <c r="G240" s="324"/>
      <c r="H240" s="324"/>
      <c r="I240" s="324"/>
      <c r="J240" s="306">
        <f t="shared" si="215"/>
        <v>17361435</v>
      </c>
      <c r="K240" s="324">
        <f>(9126836+5000000+370000)+2068629+795970</f>
        <v>17361435</v>
      </c>
      <c r="L240" s="324"/>
      <c r="M240" s="324"/>
      <c r="N240" s="324"/>
      <c r="O240" s="305">
        <f>K240</f>
        <v>17361435</v>
      </c>
      <c r="P240" s="306">
        <f t="shared" si="213"/>
        <v>17361435</v>
      </c>
      <c r="Q240" s="205"/>
      <c r="R240" s="243" t="b">
        <f>K240='d6'!J215+'d6'!J216+'d6'!J217+'d6'!J218+'d6'!J219+'d6'!J220+'d6'!J221+'d6'!J222+'d6'!J223+'d6'!J225+'d6'!J224</f>
        <v>1</v>
      </c>
    </row>
    <row r="241" spans="1:18" ht="138.75" thickTop="1" thickBot="1" x14ac:dyDescent="0.25">
      <c r="A241" s="307" t="s">
        <v>472</v>
      </c>
      <c r="B241" s="307" t="s">
        <v>379</v>
      </c>
      <c r="C241" s="307" t="s">
        <v>187</v>
      </c>
      <c r="D241" s="307" t="s">
        <v>283</v>
      </c>
      <c r="E241" s="306">
        <f>F241</f>
        <v>0</v>
      </c>
      <c r="F241" s="324"/>
      <c r="G241" s="324"/>
      <c r="H241" s="324"/>
      <c r="I241" s="324"/>
      <c r="J241" s="306">
        <f t="shared" si="215"/>
        <v>110081302</v>
      </c>
      <c r="K241" s="324">
        <f>((23737852+6343450)+20000000)+60000000</f>
        <v>110081302</v>
      </c>
      <c r="L241" s="324"/>
      <c r="M241" s="324"/>
      <c r="N241" s="324"/>
      <c r="O241" s="305">
        <f>K241</f>
        <v>110081302</v>
      </c>
      <c r="P241" s="306">
        <f t="shared" si="213"/>
        <v>110081302</v>
      </c>
      <c r="R241" s="243" t="b">
        <f>K241='d6'!J226</f>
        <v>1</v>
      </c>
    </row>
    <row r="242" spans="1:18" ht="181.5" thickTop="1" thickBot="1" x14ac:dyDescent="0.25">
      <c r="A242" s="595" t="s">
        <v>177</v>
      </c>
      <c r="B242" s="595"/>
      <c r="C242" s="595"/>
      <c r="D242" s="596" t="s">
        <v>1089</v>
      </c>
      <c r="E242" s="597">
        <f>E243</f>
        <v>6735615</v>
      </c>
      <c r="F242" s="598">
        <f t="shared" ref="F242:G242" si="230">F243</f>
        <v>6735615</v>
      </c>
      <c r="G242" s="598">
        <f t="shared" si="230"/>
        <v>4925575</v>
      </c>
      <c r="H242" s="598">
        <f>H243</f>
        <v>129045</v>
      </c>
      <c r="I242" s="598">
        <f t="shared" ref="I242" si="231">I243</f>
        <v>0</v>
      </c>
      <c r="J242" s="597">
        <f>J243</f>
        <v>751000</v>
      </c>
      <c r="K242" s="598">
        <f>K243</f>
        <v>751000</v>
      </c>
      <c r="L242" s="598">
        <f>L243</f>
        <v>0</v>
      </c>
      <c r="M242" s="598">
        <f t="shared" ref="M242" si="232">M243</f>
        <v>0</v>
      </c>
      <c r="N242" s="597">
        <f>N243</f>
        <v>0</v>
      </c>
      <c r="O242" s="597">
        <f>O243</f>
        <v>751000</v>
      </c>
      <c r="P242" s="598">
        <f t="shared" ref="P242" si="233">P243</f>
        <v>7486615</v>
      </c>
    </row>
    <row r="243" spans="1:18" ht="181.5" thickTop="1" thickBot="1" x14ac:dyDescent="0.25">
      <c r="A243" s="599" t="s">
        <v>178</v>
      </c>
      <c r="B243" s="599"/>
      <c r="C243" s="599"/>
      <c r="D243" s="600" t="s">
        <v>1090</v>
      </c>
      <c r="E243" s="601">
        <f>E244+E247</f>
        <v>6735615</v>
      </c>
      <c r="F243" s="601">
        <f>F244+F247</f>
        <v>6735615</v>
      </c>
      <c r="G243" s="601">
        <f>G244+G247</f>
        <v>4925575</v>
      </c>
      <c r="H243" s="601">
        <f>H244+H247</f>
        <v>129045</v>
      </c>
      <c r="I243" s="601">
        <f>I244+I247</f>
        <v>0</v>
      </c>
      <c r="J243" s="601">
        <f>L243+O243</f>
        <v>751000</v>
      </c>
      <c r="K243" s="601">
        <f>K244+K247</f>
        <v>751000</v>
      </c>
      <c r="L243" s="601">
        <f>L244+L247</f>
        <v>0</v>
      </c>
      <c r="M243" s="601">
        <f>M244+M247</f>
        <v>0</v>
      </c>
      <c r="N243" s="601">
        <f>N244+N247</f>
        <v>0</v>
      </c>
      <c r="O243" s="601">
        <f>O244+O247</f>
        <v>751000</v>
      </c>
      <c r="P243" s="602">
        <f>E243+J243</f>
        <v>7486615</v>
      </c>
      <c r="Q243" s="125" t="b">
        <f>P243=P245+P246+P249</f>
        <v>1</v>
      </c>
      <c r="R243" s="243" t="b">
        <f>K243='d6'!J227</f>
        <v>1</v>
      </c>
    </row>
    <row r="244" spans="1:18" s="458" customFormat="1" ht="47.25" thickTop="1" thickBot="1" x14ac:dyDescent="0.25">
      <c r="A244" s="177" t="s">
        <v>1004</v>
      </c>
      <c r="B244" s="477" t="s">
        <v>859</v>
      </c>
      <c r="C244" s="477"/>
      <c r="D244" s="477" t="s">
        <v>860</v>
      </c>
      <c r="E244" s="462">
        <f>SUM(E245:E246)</f>
        <v>6735615</v>
      </c>
      <c r="F244" s="462">
        <f t="shared" ref="F244" si="234">SUM(F245:F246)</f>
        <v>6735615</v>
      </c>
      <c r="G244" s="462">
        <f t="shared" ref="G244" si="235">SUM(G245:G246)</f>
        <v>4925575</v>
      </c>
      <c r="H244" s="462">
        <f t="shared" ref="H244" si="236">SUM(H245:H246)</f>
        <v>129045</v>
      </c>
      <c r="I244" s="462">
        <f t="shared" ref="I244" si="237">SUM(I245:I246)</f>
        <v>0</v>
      </c>
      <c r="J244" s="462">
        <f t="shared" ref="J244" si="238">SUM(J245:J246)</f>
        <v>140000</v>
      </c>
      <c r="K244" s="462">
        <f t="shared" ref="K244" si="239">SUM(K245:K246)</f>
        <v>140000</v>
      </c>
      <c r="L244" s="462">
        <f t="shared" ref="L244" si="240">SUM(L245:L246)</f>
        <v>0</v>
      </c>
      <c r="M244" s="462">
        <f t="shared" ref="M244" si="241">SUM(M245:M246)</f>
        <v>0</v>
      </c>
      <c r="N244" s="462">
        <f t="shared" ref="N244" si="242">SUM(N245:N246)</f>
        <v>0</v>
      </c>
      <c r="O244" s="462">
        <f t="shared" ref="O244" si="243">SUM(O245:O246)</f>
        <v>140000</v>
      </c>
      <c r="P244" s="462">
        <f t="shared" ref="P244" si="244">SUM(P245:P246)</f>
        <v>6875615</v>
      </c>
      <c r="Q244" s="125"/>
      <c r="R244" s="243"/>
    </row>
    <row r="245" spans="1:18" ht="230.25" thickTop="1" thickBot="1" x14ac:dyDescent="0.25">
      <c r="A245" s="284" t="s">
        <v>450</v>
      </c>
      <c r="B245" s="284" t="s">
        <v>257</v>
      </c>
      <c r="C245" s="284" t="s">
        <v>255</v>
      </c>
      <c r="D245" s="284" t="s">
        <v>256</v>
      </c>
      <c r="E245" s="334">
        <f>F245</f>
        <v>6728615</v>
      </c>
      <c r="F245" s="335">
        <f>(6523715-7000)+55900+140000+16000</f>
        <v>6728615</v>
      </c>
      <c r="G245" s="335">
        <v>4925575</v>
      </c>
      <c r="H245" s="335">
        <f>(97095+1950+30000)</f>
        <v>129045</v>
      </c>
      <c r="I245" s="335"/>
      <c r="J245" s="334">
        <f>L245+O245</f>
        <v>140000</v>
      </c>
      <c r="K245" s="335">
        <v>140000</v>
      </c>
      <c r="L245" s="335"/>
      <c r="M245" s="335"/>
      <c r="N245" s="335"/>
      <c r="O245" s="336">
        <f>K245</f>
        <v>140000</v>
      </c>
      <c r="P245" s="334">
        <f>E245+J245</f>
        <v>6868615</v>
      </c>
      <c r="Q245" s="202"/>
      <c r="R245" s="243" t="b">
        <f>K245='d6'!J229</f>
        <v>1</v>
      </c>
    </row>
    <row r="246" spans="1:18" s="331" customFormat="1" ht="184.5" thickTop="1" thickBot="1" x14ac:dyDescent="0.25">
      <c r="A246" s="338" t="s">
        <v>805</v>
      </c>
      <c r="B246" s="338" t="s">
        <v>391</v>
      </c>
      <c r="C246" s="338" t="s">
        <v>794</v>
      </c>
      <c r="D246" s="338" t="s">
        <v>795</v>
      </c>
      <c r="E246" s="337">
        <f>F246</f>
        <v>7000</v>
      </c>
      <c r="F246" s="173">
        <v>7000</v>
      </c>
      <c r="G246" s="173"/>
      <c r="H246" s="173"/>
      <c r="I246" s="173"/>
      <c r="J246" s="334">
        <f t="shared" ref="J246" si="245">L246+O246</f>
        <v>0</v>
      </c>
      <c r="K246" s="173"/>
      <c r="L246" s="174"/>
      <c r="M246" s="174"/>
      <c r="N246" s="174"/>
      <c r="O246" s="336">
        <f t="shared" ref="O246" si="246">K246</f>
        <v>0</v>
      </c>
      <c r="P246" s="334">
        <f t="shared" ref="P246" si="247">+J246+E246</f>
        <v>7000</v>
      </c>
      <c r="Q246" s="202"/>
      <c r="R246" s="243"/>
    </row>
    <row r="247" spans="1:18" s="568" customFormat="1" ht="47.25" thickTop="1" thickBot="1" x14ac:dyDescent="0.25">
      <c r="A247" s="477" t="s">
        <v>1137</v>
      </c>
      <c r="B247" s="477" t="s">
        <v>927</v>
      </c>
      <c r="C247" s="571"/>
      <c r="D247" s="477" t="s">
        <v>974</v>
      </c>
      <c r="E247" s="572">
        <f>E248</f>
        <v>0</v>
      </c>
      <c r="F247" s="572">
        <f t="shared" ref="F247:P248" si="248">F248</f>
        <v>0</v>
      </c>
      <c r="G247" s="572">
        <f t="shared" si="248"/>
        <v>0</v>
      </c>
      <c r="H247" s="572">
        <f t="shared" si="248"/>
        <v>0</v>
      </c>
      <c r="I247" s="572">
        <f t="shared" si="248"/>
        <v>0</v>
      </c>
      <c r="J247" s="572">
        <f t="shared" si="248"/>
        <v>611000</v>
      </c>
      <c r="K247" s="572">
        <f t="shared" si="248"/>
        <v>611000</v>
      </c>
      <c r="L247" s="572">
        <f t="shared" si="248"/>
        <v>0</v>
      </c>
      <c r="M247" s="572">
        <f t="shared" si="248"/>
        <v>0</v>
      </c>
      <c r="N247" s="572">
        <f t="shared" si="248"/>
        <v>0</v>
      </c>
      <c r="O247" s="572">
        <f t="shared" si="248"/>
        <v>611000</v>
      </c>
      <c r="P247" s="572">
        <f t="shared" si="248"/>
        <v>611000</v>
      </c>
      <c r="Q247" s="202"/>
      <c r="R247" s="243"/>
    </row>
    <row r="248" spans="1:18" s="568" customFormat="1" ht="91.5" thickTop="1" thickBot="1" x14ac:dyDescent="0.25">
      <c r="A248" s="425" t="s">
        <v>1138</v>
      </c>
      <c r="B248" s="425" t="s">
        <v>983</v>
      </c>
      <c r="C248" s="425"/>
      <c r="D248" s="425" t="s">
        <v>984</v>
      </c>
      <c r="E248" s="384">
        <f>E249</f>
        <v>0</v>
      </c>
      <c r="F248" s="384">
        <f t="shared" si="248"/>
        <v>0</v>
      </c>
      <c r="G248" s="384">
        <f t="shared" si="248"/>
        <v>0</v>
      </c>
      <c r="H248" s="384">
        <f t="shared" si="248"/>
        <v>0</v>
      </c>
      <c r="I248" s="384">
        <f t="shared" si="248"/>
        <v>0</v>
      </c>
      <c r="J248" s="384">
        <f t="shared" si="248"/>
        <v>611000</v>
      </c>
      <c r="K248" s="384">
        <f t="shared" si="248"/>
        <v>611000</v>
      </c>
      <c r="L248" s="384">
        <f t="shared" si="248"/>
        <v>0</v>
      </c>
      <c r="M248" s="384">
        <f t="shared" si="248"/>
        <v>0</v>
      </c>
      <c r="N248" s="384">
        <f t="shared" si="248"/>
        <v>0</v>
      </c>
      <c r="O248" s="384">
        <f t="shared" si="248"/>
        <v>611000</v>
      </c>
      <c r="P248" s="384">
        <f t="shared" si="248"/>
        <v>611000</v>
      </c>
      <c r="Q248" s="202"/>
      <c r="R248" s="243"/>
    </row>
    <row r="249" spans="1:18" s="568" customFormat="1" ht="138.75" thickTop="1" thickBot="1" x14ac:dyDescent="0.25">
      <c r="A249" s="571" t="s">
        <v>1139</v>
      </c>
      <c r="B249" s="571" t="s">
        <v>1140</v>
      </c>
      <c r="C249" s="571" t="s">
        <v>326</v>
      </c>
      <c r="D249" s="571" t="s">
        <v>1141</v>
      </c>
      <c r="E249" s="337">
        <f>F249</f>
        <v>0</v>
      </c>
      <c r="F249" s="173"/>
      <c r="G249" s="173"/>
      <c r="H249" s="173"/>
      <c r="I249" s="173"/>
      <c r="J249" s="572">
        <f t="shared" ref="J249" si="249">L249+O249</f>
        <v>611000</v>
      </c>
      <c r="K249" s="173">
        <v>611000</v>
      </c>
      <c r="L249" s="174"/>
      <c r="M249" s="174"/>
      <c r="N249" s="174"/>
      <c r="O249" s="570">
        <f t="shared" ref="O249" si="250">K249</f>
        <v>611000</v>
      </c>
      <c r="P249" s="572">
        <f t="shared" ref="P249" si="251">+J249+E249</f>
        <v>611000</v>
      </c>
      <c r="Q249" s="202"/>
      <c r="R249" s="243" t="b">
        <f>K249='d6'!J230+'d6'!J231</f>
        <v>1</v>
      </c>
    </row>
    <row r="250" spans="1:18" ht="136.5" thickTop="1" thickBot="1" x14ac:dyDescent="0.25">
      <c r="A250" s="595" t="s">
        <v>480</v>
      </c>
      <c r="B250" s="595"/>
      <c r="C250" s="595"/>
      <c r="D250" s="596" t="s">
        <v>482</v>
      </c>
      <c r="E250" s="597">
        <f>E251</f>
        <v>58096583</v>
      </c>
      <c r="F250" s="598">
        <f t="shared" ref="F250:G250" si="252">F251</f>
        <v>58096583</v>
      </c>
      <c r="G250" s="598">
        <f t="shared" si="252"/>
        <v>2452610</v>
      </c>
      <c r="H250" s="598">
        <f>H251</f>
        <v>65145</v>
      </c>
      <c r="I250" s="598">
        <f t="shared" ref="I250" si="253">I251</f>
        <v>0</v>
      </c>
      <c r="J250" s="597">
        <f>J251</f>
        <v>36000</v>
      </c>
      <c r="K250" s="598">
        <f>K251</f>
        <v>36000</v>
      </c>
      <c r="L250" s="598">
        <f>L251</f>
        <v>0</v>
      </c>
      <c r="M250" s="598">
        <f t="shared" ref="M250" si="254">M251</f>
        <v>0</v>
      </c>
      <c r="N250" s="597">
        <f>N251</f>
        <v>0</v>
      </c>
      <c r="O250" s="597">
        <f>O251</f>
        <v>36000</v>
      </c>
      <c r="P250" s="598">
        <f t="shared" ref="P250" si="255">P251</f>
        <v>58132583</v>
      </c>
    </row>
    <row r="251" spans="1:18" ht="181.5" thickTop="1" thickBot="1" x14ac:dyDescent="0.25">
      <c r="A251" s="599" t="s">
        <v>481</v>
      </c>
      <c r="B251" s="599"/>
      <c r="C251" s="599"/>
      <c r="D251" s="600" t="s">
        <v>483</v>
      </c>
      <c r="E251" s="601">
        <f>E252+E256</f>
        <v>58096583</v>
      </c>
      <c r="F251" s="601">
        <f t="shared" ref="F251:I251" si="256">F252+F256</f>
        <v>58096583</v>
      </c>
      <c r="G251" s="601">
        <f t="shared" si="256"/>
        <v>2452610</v>
      </c>
      <c r="H251" s="601">
        <f t="shared" si="256"/>
        <v>65145</v>
      </c>
      <c r="I251" s="601">
        <f t="shared" si="256"/>
        <v>0</v>
      </c>
      <c r="J251" s="601">
        <f>L251+O251</f>
        <v>36000</v>
      </c>
      <c r="K251" s="601">
        <f t="shared" ref="K251:O251" si="257">K252+K256</f>
        <v>36000</v>
      </c>
      <c r="L251" s="601">
        <f t="shared" si="257"/>
        <v>0</v>
      </c>
      <c r="M251" s="601">
        <f t="shared" si="257"/>
        <v>0</v>
      </c>
      <c r="N251" s="601">
        <f t="shared" si="257"/>
        <v>0</v>
      </c>
      <c r="O251" s="601">
        <f t="shared" si="257"/>
        <v>36000</v>
      </c>
      <c r="P251" s="602">
        <f>E251+J251</f>
        <v>58132583</v>
      </c>
      <c r="Q251" s="125" t="b">
        <f>P251=P253+P255+P259+P254</f>
        <v>1</v>
      </c>
      <c r="R251" s="243" t="b">
        <f>K251='d6'!J233</f>
        <v>1</v>
      </c>
    </row>
    <row r="252" spans="1:18" s="458" customFormat="1" ht="47.25" thickTop="1" thickBot="1" x14ac:dyDescent="0.25">
      <c r="A252" s="177" t="s">
        <v>1005</v>
      </c>
      <c r="B252" s="477" t="s">
        <v>859</v>
      </c>
      <c r="C252" s="477"/>
      <c r="D252" s="477" t="s">
        <v>860</v>
      </c>
      <c r="E252" s="462">
        <f>SUM(E253:E254)</f>
        <v>3591510</v>
      </c>
      <c r="F252" s="462">
        <f t="shared" ref="F252" si="258">SUM(F253:F254)</f>
        <v>3591510</v>
      </c>
      <c r="G252" s="462">
        <f t="shared" ref="G252" si="259">SUM(G253:G254)</f>
        <v>2452610</v>
      </c>
      <c r="H252" s="462">
        <f t="shared" ref="H252" si="260">SUM(H253:H254)</f>
        <v>65145</v>
      </c>
      <c r="I252" s="462">
        <f t="shared" ref="I252" si="261">SUM(I253:I254)</f>
        <v>0</v>
      </c>
      <c r="J252" s="462">
        <f t="shared" ref="J252" si="262">SUM(J253:J254)</f>
        <v>36000</v>
      </c>
      <c r="K252" s="462">
        <f t="shared" ref="K252" si="263">SUM(K253:K254)</f>
        <v>36000</v>
      </c>
      <c r="L252" s="462">
        <f t="shared" ref="L252" si="264">SUM(L253:L254)</f>
        <v>0</v>
      </c>
      <c r="M252" s="462">
        <f t="shared" ref="M252" si="265">SUM(M253:M254)</f>
        <v>0</v>
      </c>
      <c r="N252" s="462">
        <f t="shared" ref="N252" si="266">SUM(N253:N254)</f>
        <v>0</v>
      </c>
      <c r="O252" s="462">
        <f t="shared" ref="O252" si="267">SUM(O253:O254)</f>
        <v>36000</v>
      </c>
      <c r="P252" s="462">
        <f t="shared" ref="P252" si="268">SUM(P253:P254)</f>
        <v>3627510</v>
      </c>
      <c r="Q252" s="125"/>
      <c r="R252" s="243"/>
    </row>
    <row r="253" spans="1:18" ht="230.25" thickTop="1" thickBot="1" x14ac:dyDescent="0.25">
      <c r="A253" s="284" t="s">
        <v>484</v>
      </c>
      <c r="B253" s="284" t="s">
        <v>257</v>
      </c>
      <c r="C253" s="284" t="s">
        <v>255</v>
      </c>
      <c r="D253" s="284" t="s">
        <v>256</v>
      </c>
      <c r="E253" s="334">
        <f>F253</f>
        <v>3586430</v>
      </c>
      <c r="F253" s="335">
        <f>(3546620-5080)+240240+4650-200000</f>
        <v>3586430</v>
      </c>
      <c r="G253" s="335">
        <v>2452610</v>
      </c>
      <c r="H253" s="335">
        <f>(40290+1200+22400+1255)</f>
        <v>65145</v>
      </c>
      <c r="I253" s="335"/>
      <c r="J253" s="334">
        <f>L253+O253</f>
        <v>36000</v>
      </c>
      <c r="K253" s="335">
        <f>(18000)+18000</f>
        <v>36000</v>
      </c>
      <c r="L253" s="335"/>
      <c r="M253" s="335"/>
      <c r="N253" s="335"/>
      <c r="O253" s="336">
        <f>K253</f>
        <v>36000</v>
      </c>
      <c r="P253" s="334">
        <f>E253+J253</f>
        <v>3622430</v>
      </c>
      <c r="Q253" s="202"/>
      <c r="R253" s="243" t="b">
        <f>K253='d6'!J234</f>
        <v>1</v>
      </c>
    </row>
    <row r="254" spans="1:18" s="331" customFormat="1" ht="184.5" thickTop="1" thickBot="1" x14ac:dyDescent="0.25">
      <c r="A254" s="338" t="s">
        <v>806</v>
      </c>
      <c r="B254" s="338" t="s">
        <v>391</v>
      </c>
      <c r="C254" s="338" t="s">
        <v>794</v>
      </c>
      <c r="D254" s="338" t="s">
        <v>795</v>
      </c>
      <c r="E254" s="337">
        <f>F254</f>
        <v>5080</v>
      </c>
      <c r="F254" s="173">
        <v>5080</v>
      </c>
      <c r="G254" s="173"/>
      <c r="H254" s="173"/>
      <c r="I254" s="173"/>
      <c r="J254" s="334">
        <f t="shared" ref="J254" si="269">L254+O254</f>
        <v>0</v>
      </c>
      <c r="K254" s="173"/>
      <c r="L254" s="174"/>
      <c r="M254" s="174"/>
      <c r="N254" s="174"/>
      <c r="O254" s="336">
        <f t="shared" ref="O254" si="270">K254</f>
        <v>0</v>
      </c>
      <c r="P254" s="334">
        <f t="shared" ref="P254" si="271">+J254+E254</f>
        <v>5080</v>
      </c>
      <c r="Q254" s="202"/>
      <c r="R254" s="243"/>
    </row>
    <row r="255" spans="1:18" ht="93" hidden="1" thickTop="1" thickBot="1" x14ac:dyDescent="0.25">
      <c r="A255" s="190" t="s">
        <v>507</v>
      </c>
      <c r="B255" s="190" t="s">
        <v>443</v>
      </c>
      <c r="C255" s="190" t="s">
        <v>444</v>
      </c>
      <c r="D255" s="190" t="s">
        <v>445</v>
      </c>
      <c r="E255" s="310">
        <f>F255</f>
        <v>0</v>
      </c>
      <c r="F255" s="311">
        <f>(34016813)-19850000-9713396-4453417</f>
        <v>0</v>
      </c>
      <c r="G255" s="311"/>
      <c r="H255" s="311"/>
      <c r="I255" s="311"/>
      <c r="J255" s="310">
        <f>L255+O255</f>
        <v>0</v>
      </c>
      <c r="K255" s="311"/>
      <c r="L255" s="311"/>
      <c r="M255" s="311"/>
      <c r="N255" s="311"/>
      <c r="O255" s="312">
        <f>K255</f>
        <v>0</v>
      </c>
      <c r="P255" s="310">
        <f>E255+J255</f>
        <v>0</v>
      </c>
      <c r="Q255" s="202"/>
      <c r="R255" s="203"/>
    </row>
    <row r="256" spans="1:18" s="458" customFormat="1" ht="47.25" thickTop="1" thickBot="1" x14ac:dyDescent="0.25">
      <c r="A256" s="177" t="s">
        <v>1006</v>
      </c>
      <c r="B256" s="477" t="s">
        <v>927</v>
      </c>
      <c r="C256" s="461"/>
      <c r="D256" s="477" t="s">
        <v>974</v>
      </c>
      <c r="E256" s="460">
        <f>E257</f>
        <v>54505073</v>
      </c>
      <c r="F256" s="460">
        <f t="shared" ref="F256:P258" si="272">F257</f>
        <v>54505073</v>
      </c>
      <c r="G256" s="460">
        <f t="shared" si="272"/>
        <v>0</v>
      </c>
      <c r="H256" s="460">
        <f t="shared" si="272"/>
        <v>0</v>
      </c>
      <c r="I256" s="460">
        <f t="shared" si="272"/>
        <v>0</v>
      </c>
      <c r="J256" s="460">
        <f t="shared" si="272"/>
        <v>0</v>
      </c>
      <c r="K256" s="460">
        <f t="shared" si="272"/>
        <v>0</v>
      </c>
      <c r="L256" s="460">
        <f t="shared" si="272"/>
        <v>0</v>
      </c>
      <c r="M256" s="460">
        <f t="shared" si="272"/>
        <v>0</v>
      </c>
      <c r="N256" s="460">
        <f t="shared" si="272"/>
        <v>0</v>
      </c>
      <c r="O256" s="460">
        <f t="shared" si="272"/>
        <v>0</v>
      </c>
      <c r="P256" s="460">
        <f t="shared" si="272"/>
        <v>54505073</v>
      </c>
      <c r="Q256" s="202"/>
      <c r="R256" s="203"/>
    </row>
    <row r="257" spans="1:18" s="458" customFormat="1" ht="136.5" thickTop="1" thickBot="1" x14ac:dyDescent="0.25">
      <c r="A257" s="472" t="s">
        <v>1007</v>
      </c>
      <c r="B257" s="472" t="s">
        <v>986</v>
      </c>
      <c r="C257" s="472"/>
      <c r="D257" s="472" t="s">
        <v>987</v>
      </c>
      <c r="E257" s="470">
        <f>E258</f>
        <v>54505073</v>
      </c>
      <c r="F257" s="470">
        <f t="shared" si="272"/>
        <v>54505073</v>
      </c>
      <c r="G257" s="470">
        <f t="shared" si="272"/>
        <v>0</v>
      </c>
      <c r="H257" s="470">
        <f t="shared" si="272"/>
        <v>0</v>
      </c>
      <c r="I257" s="470">
        <f t="shared" si="272"/>
        <v>0</v>
      </c>
      <c r="J257" s="470">
        <f t="shared" si="272"/>
        <v>0</v>
      </c>
      <c r="K257" s="470">
        <f t="shared" si="272"/>
        <v>0</v>
      </c>
      <c r="L257" s="470">
        <f t="shared" si="272"/>
        <v>0</v>
      </c>
      <c r="M257" s="470">
        <f t="shared" si="272"/>
        <v>0</v>
      </c>
      <c r="N257" s="470">
        <f t="shared" si="272"/>
        <v>0</v>
      </c>
      <c r="O257" s="470">
        <f t="shared" si="272"/>
        <v>0</v>
      </c>
      <c r="P257" s="470">
        <f t="shared" si="272"/>
        <v>54505073</v>
      </c>
      <c r="Q257" s="202"/>
      <c r="R257" s="203"/>
    </row>
    <row r="258" spans="1:18" s="458" customFormat="1" ht="138.75" thickTop="1" thickBot="1" x14ac:dyDescent="0.25">
      <c r="A258" s="467" t="s">
        <v>1008</v>
      </c>
      <c r="B258" s="467" t="s">
        <v>1009</v>
      </c>
      <c r="C258" s="467"/>
      <c r="D258" s="467" t="s">
        <v>1010</v>
      </c>
      <c r="E258" s="468">
        <f>E259</f>
        <v>54505073</v>
      </c>
      <c r="F258" s="468">
        <f t="shared" si="272"/>
        <v>54505073</v>
      </c>
      <c r="G258" s="468">
        <f t="shared" si="272"/>
        <v>0</v>
      </c>
      <c r="H258" s="468">
        <f t="shared" si="272"/>
        <v>0</v>
      </c>
      <c r="I258" s="468">
        <f t="shared" si="272"/>
        <v>0</v>
      </c>
      <c r="J258" s="468">
        <f t="shared" si="272"/>
        <v>0</v>
      </c>
      <c r="K258" s="468">
        <f t="shared" si="272"/>
        <v>0</v>
      </c>
      <c r="L258" s="468">
        <f t="shared" si="272"/>
        <v>0</v>
      </c>
      <c r="M258" s="468">
        <f t="shared" si="272"/>
        <v>0</v>
      </c>
      <c r="N258" s="468">
        <f t="shared" si="272"/>
        <v>0</v>
      </c>
      <c r="O258" s="468">
        <f t="shared" si="272"/>
        <v>0</v>
      </c>
      <c r="P258" s="468">
        <f t="shared" si="272"/>
        <v>54505073</v>
      </c>
      <c r="Q258" s="202"/>
      <c r="R258" s="203"/>
    </row>
    <row r="259" spans="1:18" ht="93" thickTop="1" thickBot="1" x14ac:dyDescent="0.25">
      <c r="A259" s="284" t="s">
        <v>508</v>
      </c>
      <c r="B259" s="284" t="s">
        <v>312</v>
      </c>
      <c r="C259" s="284" t="s">
        <v>314</v>
      </c>
      <c r="D259" s="284" t="s">
        <v>313</v>
      </c>
      <c r="E259" s="334">
        <f>F259</f>
        <v>54505073</v>
      </c>
      <c r="F259" s="335">
        <v>54505073</v>
      </c>
      <c r="G259" s="335"/>
      <c r="H259" s="335"/>
      <c r="I259" s="335"/>
      <c r="J259" s="334">
        <f>L259+O259</f>
        <v>0</v>
      </c>
      <c r="K259" s="335"/>
      <c r="L259" s="335"/>
      <c r="M259" s="335"/>
      <c r="N259" s="335"/>
      <c r="O259" s="336">
        <f>K259</f>
        <v>0</v>
      </c>
      <c r="P259" s="334">
        <f>E259+J259</f>
        <v>54505073</v>
      </c>
      <c r="Q259" s="202"/>
      <c r="R259" s="203"/>
    </row>
    <row r="260" spans="1:18" ht="136.5" thickTop="1" thickBot="1" x14ac:dyDescent="0.25">
      <c r="A260" s="595" t="s">
        <v>183</v>
      </c>
      <c r="B260" s="595"/>
      <c r="C260" s="595"/>
      <c r="D260" s="596" t="s">
        <v>383</v>
      </c>
      <c r="E260" s="597">
        <f>E261</f>
        <v>8486267.4100000001</v>
      </c>
      <c r="F260" s="598">
        <f t="shared" ref="F260:G260" si="273">F261</f>
        <v>8486267.4100000001</v>
      </c>
      <c r="G260" s="598">
        <f t="shared" si="273"/>
        <v>0</v>
      </c>
      <c r="H260" s="598">
        <f>H261</f>
        <v>0</v>
      </c>
      <c r="I260" s="598">
        <f t="shared" ref="I260" si="274">I261</f>
        <v>0</v>
      </c>
      <c r="J260" s="597">
        <f>J261</f>
        <v>1400000</v>
      </c>
      <c r="K260" s="598">
        <f>K261</f>
        <v>1400000</v>
      </c>
      <c r="L260" s="598">
        <f>L261</f>
        <v>0</v>
      </c>
      <c r="M260" s="598">
        <f t="shared" ref="M260" si="275">M261</f>
        <v>0</v>
      </c>
      <c r="N260" s="597">
        <f>N261</f>
        <v>0</v>
      </c>
      <c r="O260" s="597">
        <f>O261</f>
        <v>1400000</v>
      </c>
      <c r="P260" s="598">
        <f t="shared" ref="P260" si="276">P261</f>
        <v>9886267.4100000001</v>
      </c>
    </row>
    <row r="261" spans="1:18" ht="136.5" thickTop="1" thickBot="1" x14ac:dyDescent="0.25">
      <c r="A261" s="599" t="s">
        <v>184</v>
      </c>
      <c r="B261" s="599"/>
      <c r="C261" s="599"/>
      <c r="D261" s="600" t="s">
        <v>384</v>
      </c>
      <c r="E261" s="601">
        <f>E262+E268</f>
        <v>8486267.4100000001</v>
      </c>
      <c r="F261" s="601">
        <f>F262+F268</f>
        <v>8486267.4100000001</v>
      </c>
      <c r="G261" s="601">
        <f t="shared" ref="G261:K261" si="277">G262+G268</f>
        <v>0</v>
      </c>
      <c r="H261" s="601">
        <f t="shared" si="277"/>
        <v>0</v>
      </c>
      <c r="I261" s="601">
        <f t="shared" si="277"/>
        <v>0</v>
      </c>
      <c r="J261" s="601">
        <f t="shared" ref="J261:J267" si="278">L261+O261</f>
        <v>1400000</v>
      </c>
      <c r="K261" s="601">
        <f t="shared" si="277"/>
        <v>1400000</v>
      </c>
      <c r="L261" s="601">
        <f t="shared" ref="L261" si="279">L262+L268</f>
        <v>0</v>
      </c>
      <c r="M261" s="601">
        <f t="shared" ref="M261" si="280">M262+M268</f>
        <v>0</v>
      </c>
      <c r="N261" s="601">
        <f t="shared" ref="N261" si="281">N262+N268</f>
        <v>0</v>
      </c>
      <c r="O261" s="601">
        <f t="shared" ref="O261" si="282">O262+O268</f>
        <v>1400000</v>
      </c>
      <c r="P261" s="602">
        <f t="shared" ref="P261:P267" si="283">E261+J261</f>
        <v>9886267.4100000001</v>
      </c>
      <c r="Q261" s="125" t="b">
        <f>P261=P264+P265+P267+P270</f>
        <v>1</v>
      </c>
      <c r="R261" s="243" t="b">
        <f>K261='d6'!J236</f>
        <v>1</v>
      </c>
    </row>
    <row r="262" spans="1:18" s="458" customFormat="1" ht="47.25" thickTop="1" thickBot="1" x14ac:dyDescent="0.25">
      <c r="A262" s="477" t="s">
        <v>1011</v>
      </c>
      <c r="B262" s="477" t="s">
        <v>927</v>
      </c>
      <c r="C262" s="461"/>
      <c r="D262" s="477" t="s">
        <v>974</v>
      </c>
      <c r="E262" s="492">
        <f>E263</f>
        <v>7786267.4100000001</v>
      </c>
      <c r="F262" s="492">
        <f t="shared" ref="F262:P262" si="284">F263</f>
        <v>7786267.4100000001</v>
      </c>
      <c r="G262" s="492">
        <f t="shared" si="284"/>
        <v>0</v>
      </c>
      <c r="H262" s="492">
        <f t="shared" si="284"/>
        <v>0</v>
      </c>
      <c r="I262" s="492">
        <f t="shared" si="284"/>
        <v>0</v>
      </c>
      <c r="J262" s="492">
        <f t="shared" si="284"/>
        <v>400000</v>
      </c>
      <c r="K262" s="492">
        <f t="shared" si="284"/>
        <v>400000</v>
      </c>
      <c r="L262" s="492">
        <f t="shared" si="284"/>
        <v>0</v>
      </c>
      <c r="M262" s="492">
        <f t="shared" si="284"/>
        <v>0</v>
      </c>
      <c r="N262" s="492">
        <f t="shared" si="284"/>
        <v>0</v>
      </c>
      <c r="O262" s="492">
        <f t="shared" si="284"/>
        <v>400000</v>
      </c>
      <c r="P262" s="492">
        <f t="shared" si="284"/>
        <v>8186267.4100000001</v>
      </c>
      <c r="Q262" s="125"/>
      <c r="R262" s="243"/>
    </row>
    <row r="263" spans="1:18" s="458" customFormat="1" ht="136.5" thickTop="1" thickBot="1" x14ac:dyDescent="0.25">
      <c r="A263" s="425" t="s">
        <v>1012</v>
      </c>
      <c r="B263" s="425" t="s">
        <v>866</v>
      </c>
      <c r="C263" s="425"/>
      <c r="D263" s="425" t="s">
        <v>864</v>
      </c>
      <c r="E263" s="493">
        <f>SUM(E264:E267)-E266</f>
        <v>7786267.4100000001</v>
      </c>
      <c r="F263" s="493">
        <f t="shared" ref="F263:P263" si="285">SUM(F264:F267)-F266</f>
        <v>7786267.4100000001</v>
      </c>
      <c r="G263" s="493">
        <f t="shared" si="285"/>
        <v>0</v>
      </c>
      <c r="H263" s="493">
        <f t="shared" si="285"/>
        <v>0</v>
      </c>
      <c r="I263" s="493">
        <f t="shared" si="285"/>
        <v>0</v>
      </c>
      <c r="J263" s="493">
        <f t="shared" si="285"/>
        <v>400000</v>
      </c>
      <c r="K263" s="493">
        <f t="shared" si="285"/>
        <v>400000</v>
      </c>
      <c r="L263" s="493">
        <f t="shared" si="285"/>
        <v>0</v>
      </c>
      <c r="M263" s="493">
        <f t="shared" si="285"/>
        <v>0</v>
      </c>
      <c r="N263" s="493">
        <f t="shared" si="285"/>
        <v>0</v>
      </c>
      <c r="O263" s="493">
        <f t="shared" si="285"/>
        <v>400000</v>
      </c>
      <c r="P263" s="493">
        <f t="shared" si="285"/>
        <v>8186267.4100000001</v>
      </c>
      <c r="Q263" s="125"/>
      <c r="R263" s="243"/>
    </row>
    <row r="264" spans="1:18" ht="93" thickTop="1" thickBot="1" x14ac:dyDescent="0.25">
      <c r="A264" s="351" t="s">
        <v>281</v>
      </c>
      <c r="B264" s="351" t="s">
        <v>282</v>
      </c>
      <c r="C264" s="351" t="s">
        <v>280</v>
      </c>
      <c r="D264" s="351" t="s">
        <v>279</v>
      </c>
      <c r="E264" s="352">
        <f t="shared" ref="E264:E267" si="286">F264</f>
        <v>4792230</v>
      </c>
      <c r="F264" s="324">
        <f>(5588200)-795970</f>
        <v>4792230</v>
      </c>
      <c r="G264" s="324"/>
      <c r="H264" s="324"/>
      <c r="I264" s="324"/>
      <c r="J264" s="352">
        <f t="shared" si="278"/>
        <v>0</v>
      </c>
      <c r="K264" s="324"/>
      <c r="L264" s="324"/>
      <c r="M264" s="324"/>
      <c r="N264" s="324"/>
      <c r="O264" s="350">
        <f>K264</f>
        <v>0</v>
      </c>
      <c r="P264" s="352">
        <f t="shared" si="283"/>
        <v>4792230</v>
      </c>
      <c r="R264" s="243"/>
    </row>
    <row r="265" spans="1:18" ht="138.75" thickTop="1" thickBot="1" x14ac:dyDescent="0.25">
      <c r="A265" s="351" t="s">
        <v>273</v>
      </c>
      <c r="B265" s="351" t="s">
        <v>275</v>
      </c>
      <c r="C265" s="351" t="s">
        <v>234</v>
      </c>
      <c r="D265" s="351" t="s">
        <v>274</v>
      </c>
      <c r="E265" s="352">
        <f t="shared" si="286"/>
        <v>745000</v>
      </c>
      <c r="F265" s="324">
        <v>745000</v>
      </c>
      <c r="G265" s="324"/>
      <c r="H265" s="324"/>
      <c r="I265" s="324"/>
      <c r="J265" s="352">
        <f t="shared" si="278"/>
        <v>0</v>
      </c>
      <c r="K265" s="324"/>
      <c r="L265" s="324"/>
      <c r="M265" s="324"/>
      <c r="N265" s="324"/>
      <c r="O265" s="350">
        <f>K265</f>
        <v>0</v>
      </c>
      <c r="P265" s="352">
        <f t="shared" si="283"/>
        <v>745000</v>
      </c>
      <c r="R265" s="243"/>
    </row>
    <row r="266" spans="1:18" s="458" customFormat="1" ht="48" thickTop="1" thickBot="1" x14ac:dyDescent="0.25">
      <c r="A266" s="383" t="s">
        <v>1013</v>
      </c>
      <c r="B266" s="383" t="s">
        <v>869</v>
      </c>
      <c r="C266" s="383"/>
      <c r="D266" s="383" t="s">
        <v>867</v>
      </c>
      <c r="E266" s="385">
        <f>E267</f>
        <v>2249037.41</v>
      </c>
      <c r="F266" s="385">
        <f t="shared" ref="F266:P266" si="287">F267</f>
        <v>2249037.41</v>
      </c>
      <c r="G266" s="385">
        <f t="shared" si="287"/>
        <v>0</v>
      </c>
      <c r="H266" s="385">
        <f t="shared" si="287"/>
        <v>0</v>
      </c>
      <c r="I266" s="385">
        <f t="shared" si="287"/>
        <v>0</v>
      </c>
      <c r="J266" s="385">
        <f t="shared" si="287"/>
        <v>400000</v>
      </c>
      <c r="K266" s="385">
        <f t="shared" si="287"/>
        <v>400000</v>
      </c>
      <c r="L266" s="385">
        <f t="shared" si="287"/>
        <v>0</v>
      </c>
      <c r="M266" s="385">
        <f t="shared" si="287"/>
        <v>0</v>
      </c>
      <c r="N266" s="385">
        <f t="shared" si="287"/>
        <v>0</v>
      </c>
      <c r="O266" s="385">
        <f t="shared" si="287"/>
        <v>400000</v>
      </c>
      <c r="P266" s="385">
        <f t="shared" si="287"/>
        <v>2649037.41</v>
      </c>
      <c r="Q266" s="464"/>
      <c r="R266" s="243"/>
    </row>
    <row r="267" spans="1:18" ht="93" thickTop="1" thickBot="1" x14ac:dyDescent="0.25">
      <c r="A267" s="351" t="s">
        <v>277</v>
      </c>
      <c r="B267" s="351" t="s">
        <v>278</v>
      </c>
      <c r="C267" s="351" t="s">
        <v>187</v>
      </c>
      <c r="D267" s="351" t="s">
        <v>276</v>
      </c>
      <c r="E267" s="352">
        <f t="shared" si="286"/>
        <v>2249037.41</v>
      </c>
      <c r="F267" s="324">
        <f>(800000+2049580)-1600542.59+300000+700000</f>
        <v>2249037.41</v>
      </c>
      <c r="G267" s="324"/>
      <c r="H267" s="324"/>
      <c r="I267" s="324"/>
      <c r="J267" s="352">
        <f t="shared" si="278"/>
        <v>400000</v>
      </c>
      <c r="K267" s="324">
        <f>(400000)</f>
        <v>400000</v>
      </c>
      <c r="L267" s="324"/>
      <c r="M267" s="324"/>
      <c r="N267" s="324"/>
      <c r="O267" s="350">
        <f>K267</f>
        <v>400000</v>
      </c>
      <c r="P267" s="352">
        <f t="shared" si="283"/>
        <v>2649037.41</v>
      </c>
      <c r="R267" s="243" t="b">
        <f>K267='d6'!J237</f>
        <v>1</v>
      </c>
    </row>
    <row r="268" spans="1:18" s="550" customFormat="1" ht="47.25" thickTop="1" thickBot="1" x14ac:dyDescent="0.25">
      <c r="A268" s="477" t="s">
        <v>1124</v>
      </c>
      <c r="B268" s="477" t="s">
        <v>877</v>
      </c>
      <c r="C268" s="477"/>
      <c r="D268" s="477" t="s">
        <v>878</v>
      </c>
      <c r="E268" s="551">
        <f>E269</f>
        <v>700000</v>
      </c>
      <c r="F268" s="551">
        <f t="shared" ref="F268:P269" si="288">F269</f>
        <v>700000</v>
      </c>
      <c r="G268" s="551">
        <f t="shared" si="288"/>
        <v>0</v>
      </c>
      <c r="H268" s="551">
        <f t="shared" si="288"/>
        <v>0</v>
      </c>
      <c r="I268" s="551">
        <f t="shared" si="288"/>
        <v>0</v>
      </c>
      <c r="J268" s="551">
        <f t="shared" si="288"/>
        <v>1000000</v>
      </c>
      <c r="K268" s="551">
        <f t="shared" si="288"/>
        <v>1000000</v>
      </c>
      <c r="L268" s="551">
        <f t="shared" si="288"/>
        <v>0</v>
      </c>
      <c r="M268" s="551">
        <f t="shared" si="288"/>
        <v>0</v>
      </c>
      <c r="N268" s="551">
        <f t="shared" si="288"/>
        <v>0</v>
      </c>
      <c r="O268" s="551">
        <f t="shared" si="288"/>
        <v>1000000</v>
      </c>
      <c r="P268" s="551">
        <f t="shared" si="288"/>
        <v>1700000</v>
      </c>
      <c r="Q268" s="556"/>
      <c r="R268" s="243"/>
    </row>
    <row r="269" spans="1:18" s="550" customFormat="1" ht="271.5" thickTop="1" thickBot="1" x14ac:dyDescent="0.25">
      <c r="A269" s="425" t="s">
        <v>1125</v>
      </c>
      <c r="B269" s="425" t="s">
        <v>880</v>
      </c>
      <c r="C269" s="425"/>
      <c r="D269" s="425" t="s">
        <v>881</v>
      </c>
      <c r="E269" s="384">
        <f>E270</f>
        <v>700000</v>
      </c>
      <c r="F269" s="384">
        <f t="shared" si="288"/>
        <v>700000</v>
      </c>
      <c r="G269" s="384">
        <f t="shared" si="288"/>
        <v>0</v>
      </c>
      <c r="H269" s="384">
        <f t="shared" si="288"/>
        <v>0</v>
      </c>
      <c r="I269" s="384">
        <f t="shared" si="288"/>
        <v>0</v>
      </c>
      <c r="J269" s="384">
        <f t="shared" si="288"/>
        <v>1000000</v>
      </c>
      <c r="K269" s="384">
        <f t="shared" si="288"/>
        <v>1000000</v>
      </c>
      <c r="L269" s="384">
        <f t="shared" si="288"/>
        <v>0</v>
      </c>
      <c r="M269" s="384">
        <f t="shared" si="288"/>
        <v>0</v>
      </c>
      <c r="N269" s="384">
        <f t="shared" si="288"/>
        <v>0</v>
      </c>
      <c r="O269" s="384">
        <f t="shared" si="288"/>
        <v>1000000</v>
      </c>
      <c r="P269" s="384">
        <f t="shared" si="288"/>
        <v>1700000</v>
      </c>
      <c r="Q269" s="556"/>
      <c r="R269" s="243"/>
    </row>
    <row r="270" spans="1:18" s="550" customFormat="1" ht="93" thickTop="1" thickBot="1" x14ac:dyDescent="0.25">
      <c r="A270" s="553" t="s">
        <v>1126</v>
      </c>
      <c r="B270" s="553" t="s">
        <v>392</v>
      </c>
      <c r="C270" s="553" t="s">
        <v>45</v>
      </c>
      <c r="D270" s="553" t="s">
        <v>393</v>
      </c>
      <c r="E270" s="551">
        <f t="shared" ref="E270" si="289">F270</f>
        <v>700000</v>
      </c>
      <c r="F270" s="324">
        <v>700000</v>
      </c>
      <c r="G270" s="324"/>
      <c r="H270" s="324"/>
      <c r="I270" s="324"/>
      <c r="J270" s="551">
        <f>L270+O270</f>
        <v>1000000</v>
      </c>
      <c r="K270" s="324">
        <v>1000000</v>
      </c>
      <c r="L270" s="324"/>
      <c r="M270" s="324"/>
      <c r="N270" s="324"/>
      <c r="O270" s="552">
        <f>K270</f>
        <v>1000000</v>
      </c>
      <c r="P270" s="551">
        <f>E270+J270</f>
        <v>1700000</v>
      </c>
      <c r="Q270" s="556"/>
      <c r="R270" s="243"/>
    </row>
    <row r="271" spans="1:18" ht="226.5" thickTop="1" thickBot="1" x14ac:dyDescent="0.25">
      <c r="A271" s="595" t="s">
        <v>181</v>
      </c>
      <c r="B271" s="595"/>
      <c r="C271" s="595"/>
      <c r="D271" s="596" t="s">
        <v>1081</v>
      </c>
      <c r="E271" s="597">
        <f>E272</f>
        <v>5984385</v>
      </c>
      <c r="F271" s="598">
        <f t="shared" ref="F271:G271" si="290">F272</f>
        <v>5984385</v>
      </c>
      <c r="G271" s="598">
        <f t="shared" si="290"/>
        <v>4608055</v>
      </c>
      <c r="H271" s="598">
        <f>H272</f>
        <v>103700</v>
      </c>
      <c r="I271" s="598">
        <f t="shared" ref="I271" si="291">I272</f>
        <v>0</v>
      </c>
      <c r="J271" s="597">
        <f>J272</f>
        <v>3249138.96</v>
      </c>
      <c r="K271" s="598">
        <f>K272</f>
        <v>64000</v>
      </c>
      <c r="L271" s="598">
        <f>L272</f>
        <v>1485138.96</v>
      </c>
      <c r="M271" s="598">
        <f t="shared" ref="M271" si="292">M272</f>
        <v>0</v>
      </c>
      <c r="N271" s="597">
        <f>N272</f>
        <v>0</v>
      </c>
      <c r="O271" s="597">
        <f>O272</f>
        <v>1764000</v>
      </c>
      <c r="P271" s="598">
        <f t="shared" ref="P271" si="293">P272</f>
        <v>9233523.9600000009</v>
      </c>
    </row>
    <row r="272" spans="1:18" ht="181.5" thickTop="1" thickBot="1" x14ac:dyDescent="0.25">
      <c r="A272" s="599" t="s">
        <v>182</v>
      </c>
      <c r="B272" s="599"/>
      <c r="C272" s="599"/>
      <c r="D272" s="600" t="s">
        <v>1080</v>
      </c>
      <c r="E272" s="601">
        <f>E273+E276</f>
        <v>5984385</v>
      </c>
      <c r="F272" s="601">
        <f t="shared" ref="F272:I272" si="294">F273+F276</f>
        <v>5984385</v>
      </c>
      <c r="G272" s="601">
        <f t="shared" si="294"/>
        <v>4608055</v>
      </c>
      <c r="H272" s="601">
        <f t="shared" si="294"/>
        <v>103700</v>
      </c>
      <c r="I272" s="601">
        <f t="shared" si="294"/>
        <v>0</v>
      </c>
      <c r="J272" s="601">
        <f>L272+O272</f>
        <v>3249138.96</v>
      </c>
      <c r="K272" s="601">
        <f t="shared" ref="K272:O272" si="295">K273+K276</f>
        <v>64000</v>
      </c>
      <c r="L272" s="601">
        <f t="shared" si="295"/>
        <v>1485138.96</v>
      </c>
      <c r="M272" s="601">
        <f t="shared" si="295"/>
        <v>0</v>
      </c>
      <c r="N272" s="601">
        <f t="shared" si="295"/>
        <v>0</v>
      </c>
      <c r="O272" s="601">
        <f t="shared" si="295"/>
        <v>1764000</v>
      </c>
      <c r="P272" s="602">
        <f t="shared" ref="P272:P282" si="296">E272+J272</f>
        <v>9233523.9600000009</v>
      </c>
      <c r="Q272" s="125" t="b">
        <f>P272=P279+P282+P274+P280+P281+P275</f>
        <v>1</v>
      </c>
      <c r="R272" s="243" t="b">
        <f>K272='d6'!J239</f>
        <v>1</v>
      </c>
    </row>
    <row r="273" spans="1:18" s="458" customFormat="1" ht="47.25" thickTop="1" thickBot="1" x14ac:dyDescent="0.25">
      <c r="A273" s="177" t="s">
        <v>1014</v>
      </c>
      <c r="B273" s="477" t="s">
        <v>859</v>
      </c>
      <c r="C273" s="477"/>
      <c r="D273" s="477" t="s">
        <v>860</v>
      </c>
      <c r="E273" s="462">
        <f>SUM(E274:E275)</f>
        <v>5984385</v>
      </c>
      <c r="F273" s="462">
        <f t="shared" ref="F273" si="297">SUM(F274:F275)</f>
        <v>5984385</v>
      </c>
      <c r="G273" s="462">
        <f t="shared" ref="G273" si="298">SUM(G274:G275)</f>
        <v>4608055</v>
      </c>
      <c r="H273" s="462">
        <f t="shared" ref="H273" si="299">SUM(H274:H275)</f>
        <v>103700</v>
      </c>
      <c r="I273" s="462">
        <f t="shared" ref="I273" si="300">SUM(I274:I275)</f>
        <v>0</v>
      </c>
      <c r="J273" s="462">
        <f t="shared" ref="J273" si="301">SUM(J274:J275)</f>
        <v>64000</v>
      </c>
      <c r="K273" s="462">
        <f t="shared" ref="K273" si="302">SUM(K274:K275)</f>
        <v>64000</v>
      </c>
      <c r="L273" s="462">
        <f t="shared" ref="L273" si="303">SUM(L274:L275)</f>
        <v>0</v>
      </c>
      <c r="M273" s="462">
        <f t="shared" ref="M273" si="304">SUM(M274:M275)</f>
        <v>0</v>
      </c>
      <c r="N273" s="462">
        <f t="shared" ref="N273" si="305">SUM(N274:N275)</f>
        <v>0</v>
      </c>
      <c r="O273" s="462">
        <f>SUM(O274:O275)</f>
        <v>64000</v>
      </c>
      <c r="P273" s="462">
        <f t="shared" ref="P273" si="306">SUM(P274:P275)</f>
        <v>6048385</v>
      </c>
      <c r="Q273" s="125"/>
      <c r="R273" s="243"/>
    </row>
    <row r="274" spans="1:18" s="99" customFormat="1" ht="230.25" thickTop="1" thickBot="1" x14ac:dyDescent="0.25">
      <c r="A274" s="284" t="s">
        <v>453</v>
      </c>
      <c r="B274" s="284" t="s">
        <v>257</v>
      </c>
      <c r="C274" s="284" t="s">
        <v>255</v>
      </c>
      <c r="D274" s="284" t="s">
        <v>256</v>
      </c>
      <c r="E274" s="334">
        <f>F274</f>
        <v>5979385</v>
      </c>
      <c r="F274" s="335">
        <f>(5984385-5000)</f>
        <v>5979385</v>
      </c>
      <c r="G274" s="335">
        <v>4608055</v>
      </c>
      <c r="H274" s="335">
        <f>(70880+8160+21000+3660)</f>
        <v>103700</v>
      </c>
      <c r="I274" s="335"/>
      <c r="J274" s="334">
        <f t="shared" ref="J274:J282" si="307">L274+O274</f>
        <v>64000</v>
      </c>
      <c r="K274" s="335">
        <f>(18000)+46000</f>
        <v>64000</v>
      </c>
      <c r="L274" s="335"/>
      <c r="M274" s="335"/>
      <c r="N274" s="335"/>
      <c r="O274" s="336">
        <f>K274</f>
        <v>64000</v>
      </c>
      <c r="P274" s="334">
        <f t="shared" si="296"/>
        <v>6043385</v>
      </c>
      <c r="Q274" s="263"/>
      <c r="R274" s="243" t="b">
        <f>K274='d6'!J240</f>
        <v>1</v>
      </c>
    </row>
    <row r="275" spans="1:18" s="99" customFormat="1" ht="184.5" thickTop="1" thickBot="1" x14ac:dyDescent="0.25">
      <c r="A275" s="338" t="s">
        <v>807</v>
      </c>
      <c r="B275" s="338" t="s">
        <v>391</v>
      </c>
      <c r="C275" s="338" t="s">
        <v>794</v>
      </c>
      <c r="D275" s="338" t="s">
        <v>795</v>
      </c>
      <c r="E275" s="337">
        <f>F275</f>
        <v>5000</v>
      </c>
      <c r="F275" s="173">
        <v>5000</v>
      </c>
      <c r="G275" s="173"/>
      <c r="H275" s="173"/>
      <c r="I275" s="173"/>
      <c r="J275" s="334">
        <f t="shared" si="307"/>
        <v>0</v>
      </c>
      <c r="K275" s="173"/>
      <c r="L275" s="174"/>
      <c r="M275" s="174"/>
      <c r="N275" s="174"/>
      <c r="O275" s="336">
        <f t="shared" ref="O275" si="308">K275</f>
        <v>0</v>
      </c>
      <c r="P275" s="334">
        <f t="shared" ref="P275" si="309">+J275+E275</f>
        <v>5000</v>
      </c>
      <c r="Q275" s="263"/>
      <c r="R275" s="243"/>
    </row>
    <row r="276" spans="1:18" s="99" customFormat="1" ht="47.25" thickTop="1" thickBot="1" x14ac:dyDescent="0.25">
      <c r="A276" s="177" t="s">
        <v>1015</v>
      </c>
      <c r="B276" s="477" t="s">
        <v>871</v>
      </c>
      <c r="C276" s="477"/>
      <c r="D276" s="477" t="s">
        <v>872</v>
      </c>
      <c r="E276" s="337">
        <f>E277</f>
        <v>0</v>
      </c>
      <c r="F276" s="337">
        <f t="shared" ref="F276:P276" si="310">F277</f>
        <v>0</v>
      </c>
      <c r="G276" s="337">
        <f t="shared" si="310"/>
        <v>0</v>
      </c>
      <c r="H276" s="337">
        <f t="shared" si="310"/>
        <v>0</v>
      </c>
      <c r="I276" s="337">
        <f t="shared" si="310"/>
        <v>0</v>
      </c>
      <c r="J276" s="337">
        <f t="shared" si="310"/>
        <v>3185138.96</v>
      </c>
      <c r="K276" s="337">
        <f t="shared" si="310"/>
        <v>0</v>
      </c>
      <c r="L276" s="337">
        <f t="shared" si="310"/>
        <v>1485138.96</v>
      </c>
      <c r="M276" s="337">
        <f t="shared" si="310"/>
        <v>0</v>
      </c>
      <c r="N276" s="337">
        <f t="shared" si="310"/>
        <v>0</v>
      </c>
      <c r="O276" s="337">
        <f t="shared" si="310"/>
        <v>1700000</v>
      </c>
      <c r="P276" s="337">
        <f t="shared" si="310"/>
        <v>3185138.96</v>
      </c>
      <c r="Q276" s="263"/>
      <c r="R276" s="243"/>
    </row>
    <row r="277" spans="1:18" s="99" customFormat="1" ht="91.5" thickTop="1" thickBot="1" x14ac:dyDescent="0.25">
      <c r="A277" s="472" t="s">
        <v>1016</v>
      </c>
      <c r="B277" s="425" t="s">
        <v>1017</v>
      </c>
      <c r="C277" s="425"/>
      <c r="D277" s="425" t="s">
        <v>1018</v>
      </c>
      <c r="E277" s="485">
        <f>SUM(E278:E282)-E278</f>
        <v>0</v>
      </c>
      <c r="F277" s="485">
        <f t="shared" ref="F277:P277" si="311">SUM(F278:F282)-F278</f>
        <v>0</v>
      </c>
      <c r="G277" s="485">
        <f t="shared" si="311"/>
        <v>0</v>
      </c>
      <c r="H277" s="485">
        <f t="shared" si="311"/>
        <v>0</v>
      </c>
      <c r="I277" s="485">
        <f t="shared" si="311"/>
        <v>0</v>
      </c>
      <c r="J277" s="485">
        <f t="shared" si="311"/>
        <v>3185138.96</v>
      </c>
      <c r="K277" s="485">
        <f t="shared" si="311"/>
        <v>0</v>
      </c>
      <c r="L277" s="485">
        <f t="shared" si="311"/>
        <v>1485138.96</v>
      </c>
      <c r="M277" s="485">
        <f t="shared" si="311"/>
        <v>0</v>
      </c>
      <c r="N277" s="485">
        <f t="shared" si="311"/>
        <v>0</v>
      </c>
      <c r="O277" s="485">
        <f t="shared" si="311"/>
        <v>1700000</v>
      </c>
      <c r="P277" s="485">
        <f t="shared" si="311"/>
        <v>3185138.96</v>
      </c>
      <c r="Q277" s="263"/>
      <c r="R277" s="243"/>
    </row>
    <row r="278" spans="1:18" s="99" customFormat="1" ht="138.75" thickTop="1" thickBot="1" x14ac:dyDescent="0.25">
      <c r="A278" s="383" t="s">
        <v>1019</v>
      </c>
      <c r="B278" s="383" t="s">
        <v>1020</v>
      </c>
      <c r="C278" s="383"/>
      <c r="D278" s="383" t="s">
        <v>1021</v>
      </c>
      <c r="E278" s="486">
        <f>SUM(E279:E280)</f>
        <v>0</v>
      </c>
      <c r="F278" s="486">
        <f t="shared" ref="F278:P278" si="312">SUM(F279:F280)</f>
        <v>0</v>
      </c>
      <c r="G278" s="486">
        <f t="shared" si="312"/>
        <v>0</v>
      </c>
      <c r="H278" s="486">
        <f t="shared" si="312"/>
        <v>0</v>
      </c>
      <c r="I278" s="486">
        <f t="shared" si="312"/>
        <v>0</v>
      </c>
      <c r="J278" s="486">
        <f t="shared" si="312"/>
        <v>765138.96</v>
      </c>
      <c r="K278" s="486">
        <f t="shared" si="312"/>
        <v>0</v>
      </c>
      <c r="L278" s="486">
        <f t="shared" si="312"/>
        <v>765138.96</v>
      </c>
      <c r="M278" s="486">
        <f t="shared" si="312"/>
        <v>0</v>
      </c>
      <c r="N278" s="486">
        <f t="shared" si="312"/>
        <v>0</v>
      </c>
      <c r="O278" s="486">
        <f t="shared" si="312"/>
        <v>0</v>
      </c>
      <c r="P278" s="486">
        <f t="shared" si="312"/>
        <v>765138.96</v>
      </c>
      <c r="Q278" s="263"/>
      <c r="R278" s="243"/>
    </row>
    <row r="279" spans="1:18" s="99" customFormat="1" ht="138.75" thickTop="1" thickBot="1" x14ac:dyDescent="0.25">
      <c r="A279" s="784" t="s">
        <v>331</v>
      </c>
      <c r="B279" s="784" t="s">
        <v>332</v>
      </c>
      <c r="C279" s="784" t="s">
        <v>54</v>
      </c>
      <c r="D279" s="784" t="s">
        <v>55</v>
      </c>
      <c r="E279" s="541">
        <f t="shared" ref="E279:E281" si="313">F279</f>
        <v>0</v>
      </c>
      <c r="F279" s="324"/>
      <c r="G279" s="324"/>
      <c r="H279" s="324"/>
      <c r="I279" s="324"/>
      <c r="J279" s="541">
        <f t="shared" si="307"/>
        <v>403900</v>
      </c>
      <c r="K279" s="324"/>
      <c r="L279" s="324">
        <f>(248900)+155000</f>
        <v>403900</v>
      </c>
      <c r="M279" s="324"/>
      <c r="N279" s="324"/>
      <c r="O279" s="542">
        <f t="shared" ref="O279:O280" si="314">K279</f>
        <v>0</v>
      </c>
      <c r="P279" s="541">
        <f t="shared" si="296"/>
        <v>403900</v>
      </c>
      <c r="Q279" s="125" t="b">
        <f>J279='d9'!F13+'d9'!F14+'d9'!F15+'d9'!F16</f>
        <v>1</v>
      </c>
      <c r="R279" s="206"/>
    </row>
    <row r="280" spans="1:18" s="99" customFormat="1" ht="48" thickTop="1" thickBot="1" x14ac:dyDescent="0.25">
      <c r="A280" s="543" t="s">
        <v>511</v>
      </c>
      <c r="B280" s="543" t="s">
        <v>512</v>
      </c>
      <c r="C280" s="543" t="s">
        <v>510</v>
      </c>
      <c r="D280" s="543" t="s">
        <v>513</v>
      </c>
      <c r="E280" s="541">
        <f t="shared" si="313"/>
        <v>0</v>
      </c>
      <c r="F280" s="324"/>
      <c r="G280" s="324"/>
      <c r="H280" s="324"/>
      <c r="I280" s="324"/>
      <c r="J280" s="541">
        <f t="shared" si="307"/>
        <v>361238.96</v>
      </c>
      <c r="K280" s="324"/>
      <c r="L280" s="324">
        <f>(70000)+291238.96</f>
        <v>361238.96</v>
      </c>
      <c r="M280" s="324"/>
      <c r="N280" s="324"/>
      <c r="O280" s="542">
        <f t="shared" si="314"/>
        <v>0</v>
      </c>
      <c r="P280" s="541">
        <f t="shared" si="296"/>
        <v>361238.96</v>
      </c>
      <c r="Q280" s="125" t="b">
        <f>J280='d9'!F17+'d9'!F18</f>
        <v>1</v>
      </c>
      <c r="R280" s="206"/>
    </row>
    <row r="281" spans="1:18" s="99" customFormat="1" ht="93" thickTop="1" thickBot="1" x14ac:dyDescent="0.25">
      <c r="A281" s="543" t="s">
        <v>572</v>
      </c>
      <c r="B281" s="543" t="s">
        <v>570</v>
      </c>
      <c r="C281" s="543" t="s">
        <v>573</v>
      </c>
      <c r="D281" s="543" t="s">
        <v>571</v>
      </c>
      <c r="E281" s="541">
        <f t="shared" si="313"/>
        <v>0</v>
      </c>
      <c r="F281" s="324"/>
      <c r="G281" s="324"/>
      <c r="H281" s="324"/>
      <c r="I281" s="324"/>
      <c r="J281" s="541">
        <f t="shared" si="307"/>
        <v>175000</v>
      </c>
      <c r="K281" s="324"/>
      <c r="L281" s="324">
        <f>(125000)+50000</f>
        <v>175000</v>
      </c>
      <c r="M281" s="324"/>
      <c r="N281" s="324"/>
      <c r="O281" s="542">
        <f>K281</f>
        <v>0</v>
      </c>
      <c r="P281" s="541">
        <f t="shared" si="296"/>
        <v>175000</v>
      </c>
      <c r="Q281" s="125" t="b">
        <f>J281='d9'!F19+'d9'!F20+'d9'!F21</f>
        <v>1</v>
      </c>
      <c r="R281" s="206"/>
    </row>
    <row r="282" spans="1:18" s="99" customFormat="1" ht="93" thickTop="1" thickBot="1" x14ac:dyDescent="0.25">
      <c r="A282" s="543" t="s">
        <v>333</v>
      </c>
      <c r="B282" s="543" t="s">
        <v>334</v>
      </c>
      <c r="C282" s="543" t="s">
        <v>56</v>
      </c>
      <c r="D282" s="543" t="s">
        <v>514</v>
      </c>
      <c r="E282" s="541">
        <v>0</v>
      </c>
      <c r="F282" s="324"/>
      <c r="G282" s="324"/>
      <c r="H282" s="324"/>
      <c r="I282" s="324"/>
      <c r="J282" s="541">
        <f t="shared" si="307"/>
        <v>2245000</v>
      </c>
      <c r="K282" s="541"/>
      <c r="L282" s="324">
        <f>(187000)+358000</f>
        <v>545000</v>
      </c>
      <c r="M282" s="324"/>
      <c r="N282" s="324"/>
      <c r="O282" s="542">
        <f>K282+1700000</f>
        <v>1700000</v>
      </c>
      <c r="P282" s="541">
        <f t="shared" si="296"/>
        <v>2245000</v>
      </c>
      <c r="Q282" s="125" t="b">
        <f>J282='d9'!F22+'d9'!F23+'d9'!F24+'d9'!F25+'d9'!F26+'d9'!F27+'d9'!F28+1700000</f>
        <v>1</v>
      </c>
      <c r="R282" s="206"/>
    </row>
    <row r="283" spans="1:18" ht="136.5" thickTop="1" thickBot="1" x14ac:dyDescent="0.25">
      <c r="A283" s="595" t="s">
        <v>179</v>
      </c>
      <c r="B283" s="595"/>
      <c r="C283" s="595"/>
      <c r="D283" s="596" t="s">
        <v>1093</v>
      </c>
      <c r="E283" s="597">
        <f>E284</f>
        <v>5014525</v>
      </c>
      <c r="F283" s="598">
        <f t="shared" ref="F283:G283" si="315">F284</f>
        <v>5014525</v>
      </c>
      <c r="G283" s="598">
        <f t="shared" si="315"/>
        <v>3622500</v>
      </c>
      <c r="H283" s="598">
        <f>H284</f>
        <v>72700</v>
      </c>
      <c r="I283" s="598">
        <f t="shared" ref="I283" si="316">I284</f>
        <v>0</v>
      </c>
      <c r="J283" s="597">
        <f>J284</f>
        <v>350000</v>
      </c>
      <c r="K283" s="598">
        <f>K284</f>
        <v>350000</v>
      </c>
      <c r="L283" s="598">
        <f>L284</f>
        <v>0</v>
      </c>
      <c r="M283" s="598">
        <f t="shared" ref="M283" si="317">M284</f>
        <v>0</v>
      </c>
      <c r="N283" s="597">
        <f>N284</f>
        <v>0</v>
      </c>
      <c r="O283" s="597">
        <f>O284</f>
        <v>350000</v>
      </c>
      <c r="P283" s="598">
        <f t="shared" ref="P283" si="318">P284</f>
        <v>5364525</v>
      </c>
    </row>
    <row r="284" spans="1:18" ht="181.5" thickTop="1" thickBot="1" x14ac:dyDescent="0.25">
      <c r="A284" s="599" t="s">
        <v>180</v>
      </c>
      <c r="B284" s="599"/>
      <c r="C284" s="599"/>
      <c r="D284" s="600" t="s">
        <v>1092</v>
      </c>
      <c r="E284" s="601">
        <f>E285+E287</f>
        <v>5014525</v>
      </c>
      <c r="F284" s="601">
        <f t="shared" ref="F284:I284" si="319">F285+F287</f>
        <v>5014525</v>
      </c>
      <c r="G284" s="601">
        <f t="shared" si="319"/>
        <v>3622500</v>
      </c>
      <c r="H284" s="601">
        <f t="shared" si="319"/>
        <v>72700</v>
      </c>
      <c r="I284" s="601">
        <f t="shared" si="319"/>
        <v>0</v>
      </c>
      <c r="J284" s="601">
        <f>L284+O284</f>
        <v>350000</v>
      </c>
      <c r="K284" s="601">
        <f t="shared" ref="K284:O284" si="320">K285+K287</f>
        <v>350000</v>
      </c>
      <c r="L284" s="601">
        <f t="shared" si="320"/>
        <v>0</v>
      </c>
      <c r="M284" s="601">
        <f t="shared" si="320"/>
        <v>0</v>
      </c>
      <c r="N284" s="601">
        <f t="shared" si="320"/>
        <v>0</v>
      </c>
      <c r="O284" s="601">
        <f t="shared" si="320"/>
        <v>350000</v>
      </c>
      <c r="P284" s="602">
        <f>E284+J284</f>
        <v>5364525</v>
      </c>
      <c r="Q284" s="125" t="b">
        <f>P284=P289+P291+P286</f>
        <v>1</v>
      </c>
      <c r="R284" s="125" t="b">
        <f>K284='d6'!J243</f>
        <v>1</v>
      </c>
    </row>
    <row r="285" spans="1:18" s="458" customFormat="1" ht="47.25" thickTop="1" thickBot="1" x14ac:dyDescent="0.25">
      <c r="A285" s="177" t="s">
        <v>1022</v>
      </c>
      <c r="B285" s="477" t="s">
        <v>859</v>
      </c>
      <c r="C285" s="477"/>
      <c r="D285" s="477" t="s">
        <v>860</v>
      </c>
      <c r="E285" s="462">
        <f>SUM(E286)</f>
        <v>5014525</v>
      </c>
      <c r="F285" s="462">
        <f t="shared" ref="F285:P285" si="321">SUM(F286)</f>
        <v>5014525</v>
      </c>
      <c r="G285" s="462">
        <f t="shared" si="321"/>
        <v>3622500</v>
      </c>
      <c r="H285" s="462">
        <f t="shared" si="321"/>
        <v>72700</v>
      </c>
      <c r="I285" s="462">
        <f t="shared" si="321"/>
        <v>0</v>
      </c>
      <c r="J285" s="462">
        <f t="shared" si="321"/>
        <v>100000</v>
      </c>
      <c r="K285" s="462">
        <f t="shared" si="321"/>
        <v>100000</v>
      </c>
      <c r="L285" s="462">
        <f t="shared" si="321"/>
        <v>0</v>
      </c>
      <c r="M285" s="462">
        <f t="shared" si="321"/>
        <v>0</v>
      </c>
      <c r="N285" s="462">
        <f t="shared" si="321"/>
        <v>0</v>
      </c>
      <c r="O285" s="462">
        <f t="shared" si="321"/>
        <v>100000</v>
      </c>
      <c r="P285" s="462">
        <f t="shared" si="321"/>
        <v>5114525</v>
      </c>
      <c r="Q285" s="125"/>
      <c r="R285" s="125"/>
    </row>
    <row r="286" spans="1:18" ht="230.25" thickTop="1" thickBot="1" x14ac:dyDescent="0.25">
      <c r="A286" s="284" t="s">
        <v>449</v>
      </c>
      <c r="B286" s="284" t="s">
        <v>257</v>
      </c>
      <c r="C286" s="284" t="s">
        <v>255</v>
      </c>
      <c r="D286" s="284" t="s">
        <v>256</v>
      </c>
      <c r="E286" s="334">
        <f>F286</f>
        <v>5014525</v>
      </c>
      <c r="F286" s="335">
        <v>5014525</v>
      </c>
      <c r="G286" s="335">
        <v>3622500</v>
      </c>
      <c r="H286" s="335">
        <f>(53320+2000+17380)</f>
        <v>72700</v>
      </c>
      <c r="I286" s="335"/>
      <c r="J286" s="334">
        <f>L286+O286</f>
        <v>100000</v>
      </c>
      <c r="K286" s="335">
        <v>100000</v>
      </c>
      <c r="L286" s="335"/>
      <c r="M286" s="335"/>
      <c r="N286" s="335"/>
      <c r="O286" s="336">
        <f>K286</f>
        <v>100000</v>
      </c>
      <c r="P286" s="334">
        <f>E286+J286</f>
        <v>5114525</v>
      </c>
      <c r="Q286" s="125" t="b">
        <f>K286='d6'!J244</f>
        <v>1</v>
      </c>
      <c r="R286" s="202"/>
    </row>
    <row r="287" spans="1:18" s="458" customFormat="1" ht="47.25" thickTop="1" thickBot="1" x14ac:dyDescent="0.25">
      <c r="A287" s="177" t="s">
        <v>1023</v>
      </c>
      <c r="B287" s="477" t="s">
        <v>927</v>
      </c>
      <c r="C287" s="461"/>
      <c r="D287" s="477" t="s">
        <v>974</v>
      </c>
      <c r="E287" s="460">
        <f t="shared" ref="E287:P287" si="322">E288+E290</f>
        <v>0</v>
      </c>
      <c r="F287" s="460">
        <f t="shared" si="322"/>
        <v>0</v>
      </c>
      <c r="G287" s="460">
        <f t="shared" si="322"/>
        <v>0</v>
      </c>
      <c r="H287" s="460">
        <f t="shared" si="322"/>
        <v>0</v>
      </c>
      <c r="I287" s="460">
        <f t="shared" si="322"/>
        <v>0</v>
      </c>
      <c r="J287" s="460">
        <f t="shared" si="322"/>
        <v>250000</v>
      </c>
      <c r="K287" s="460">
        <f t="shared" si="322"/>
        <v>250000</v>
      </c>
      <c r="L287" s="460">
        <f t="shared" si="322"/>
        <v>0</v>
      </c>
      <c r="M287" s="460">
        <f t="shared" si="322"/>
        <v>0</v>
      </c>
      <c r="N287" s="460">
        <f t="shared" si="322"/>
        <v>0</v>
      </c>
      <c r="O287" s="460">
        <f t="shared" si="322"/>
        <v>250000</v>
      </c>
      <c r="P287" s="460">
        <f t="shared" si="322"/>
        <v>250000</v>
      </c>
      <c r="Q287" s="202"/>
      <c r="R287" s="202"/>
    </row>
    <row r="288" spans="1:18" s="458" customFormat="1" ht="91.5" thickTop="1" thickBot="1" x14ac:dyDescent="0.25">
      <c r="A288" s="472" t="s">
        <v>1024</v>
      </c>
      <c r="B288" s="472" t="s">
        <v>1025</v>
      </c>
      <c r="C288" s="472"/>
      <c r="D288" s="472" t="s">
        <v>1026</v>
      </c>
      <c r="E288" s="470">
        <f>SUM(E289)</f>
        <v>0</v>
      </c>
      <c r="F288" s="470">
        <f t="shared" ref="F288:P288" si="323">SUM(F289)</f>
        <v>0</v>
      </c>
      <c r="G288" s="470">
        <f t="shared" si="323"/>
        <v>0</v>
      </c>
      <c r="H288" s="470">
        <f t="shared" si="323"/>
        <v>0</v>
      </c>
      <c r="I288" s="470">
        <f t="shared" si="323"/>
        <v>0</v>
      </c>
      <c r="J288" s="470">
        <f t="shared" si="323"/>
        <v>200000</v>
      </c>
      <c r="K288" s="470">
        <f t="shared" si="323"/>
        <v>200000</v>
      </c>
      <c r="L288" s="470">
        <f t="shared" si="323"/>
        <v>0</v>
      </c>
      <c r="M288" s="470">
        <f t="shared" si="323"/>
        <v>0</v>
      </c>
      <c r="N288" s="470">
        <f t="shared" si="323"/>
        <v>0</v>
      </c>
      <c r="O288" s="470">
        <f t="shared" si="323"/>
        <v>200000</v>
      </c>
      <c r="P288" s="470">
        <f t="shared" si="323"/>
        <v>200000</v>
      </c>
      <c r="Q288" s="202"/>
      <c r="R288" s="202"/>
    </row>
    <row r="289" spans="1:18" ht="93" thickTop="1" thickBot="1" x14ac:dyDescent="0.25">
      <c r="A289" s="284" t="s">
        <v>328</v>
      </c>
      <c r="B289" s="284" t="s">
        <v>329</v>
      </c>
      <c r="C289" s="284" t="s">
        <v>330</v>
      </c>
      <c r="D289" s="284" t="s">
        <v>500</v>
      </c>
      <c r="E289" s="334">
        <f>F289</f>
        <v>0</v>
      </c>
      <c r="F289" s="335"/>
      <c r="G289" s="335"/>
      <c r="H289" s="335"/>
      <c r="I289" s="335"/>
      <c r="J289" s="334">
        <f>L289+O289</f>
        <v>200000</v>
      </c>
      <c r="K289" s="335">
        <v>200000</v>
      </c>
      <c r="L289" s="335"/>
      <c r="M289" s="335"/>
      <c r="N289" s="335"/>
      <c r="O289" s="336">
        <v>200000</v>
      </c>
      <c r="P289" s="334">
        <f>E289+J289</f>
        <v>200000</v>
      </c>
    </row>
    <row r="290" spans="1:18" s="458" customFormat="1" ht="136.5" thickTop="1" thickBot="1" x14ac:dyDescent="0.25">
      <c r="A290" s="472" t="s">
        <v>1027</v>
      </c>
      <c r="B290" s="472" t="s">
        <v>866</v>
      </c>
      <c r="C290" s="459"/>
      <c r="D290" s="472" t="s">
        <v>1028</v>
      </c>
      <c r="E290" s="470">
        <f>SUM(E291)</f>
        <v>0</v>
      </c>
      <c r="F290" s="470">
        <f t="shared" ref="F290:P290" si="324">SUM(F291)</f>
        <v>0</v>
      </c>
      <c r="G290" s="470">
        <f t="shared" si="324"/>
        <v>0</v>
      </c>
      <c r="H290" s="470">
        <f t="shared" si="324"/>
        <v>0</v>
      </c>
      <c r="I290" s="470">
        <f t="shared" si="324"/>
        <v>0</v>
      </c>
      <c r="J290" s="470">
        <f t="shared" si="324"/>
        <v>50000</v>
      </c>
      <c r="K290" s="470">
        <f t="shared" si="324"/>
        <v>50000</v>
      </c>
      <c r="L290" s="470">
        <f t="shared" si="324"/>
        <v>0</v>
      </c>
      <c r="M290" s="470">
        <f t="shared" si="324"/>
        <v>0</v>
      </c>
      <c r="N290" s="470">
        <f t="shared" si="324"/>
        <v>0</v>
      </c>
      <c r="O290" s="470">
        <f t="shared" si="324"/>
        <v>50000</v>
      </c>
      <c r="P290" s="470">
        <f t="shared" si="324"/>
        <v>50000</v>
      </c>
      <c r="Q290" s="464"/>
      <c r="R290" s="464"/>
    </row>
    <row r="291" spans="1:18" ht="138.75" thickTop="1" thickBot="1" x14ac:dyDescent="0.25">
      <c r="A291" s="284" t="s">
        <v>397</v>
      </c>
      <c r="B291" s="284" t="s">
        <v>398</v>
      </c>
      <c r="C291" s="284" t="s">
        <v>187</v>
      </c>
      <c r="D291" s="284" t="s">
        <v>399</v>
      </c>
      <c r="E291" s="334">
        <f>F291</f>
        <v>0</v>
      </c>
      <c r="F291" s="335"/>
      <c r="G291" s="335"/>
      <c r="H291" s="335"/>
      <c r="I291" s="335"/>
      <c r="J291" s="334">
        <f>L291+O291</f>
        <v>50000</v>
      </c>
      <c r="K291" s="335">
        <v>50000</v>
      </c>
      <c r="L291" s="335"/>
      <c r="M291" s="335"/>
      <c r="N291" s="335"/>
      <c r="O291" s="336">
        <f>K291</f>
        <v>50000</v>
      </c>
      <c r="P291" s="334">
        <f>E291+J291</f>
        <v>50000</v>
      </c>
    </row>
    <row r="292" spans="1:18" ht="136.5" thickTop="1" thickBot="1" x14ac:dyDescent="0.25">
      <c r="A292" s="595" t="s">
        <v>185</v>
      </c>
      <c r="B292" s="595"/>
      <c r="C292" s="595"/>
      <c r="D292" s="596" t="s">
        <v>27</v>
      </c>
      <c r="E292" s="597">
        <f>E293</f>
        <v>86915885</v>
      </c>
      <c r="F292" s="598">
        <f t="shared" ref="F292:G292" si="325">F293</f>
        <v>86915885</v>
      </c>
      <c r="G292" s="598">
        <f t="shared" si="325"/>
        <v>7700000</v>
      </c>
      <c r="H292" s="598">
        <f>H293</f>
        <v>131350</v>
      </c>
      <c r="I292" s="598">
        <f t="shared" ref="I292" si="326">I293</f>
        <v>0</v>
      </c>
      <c r="J292" s="597">
        <f>J293</f>
        <v>0</v>
      </c>
      <c r="K292" s="598">
        <f>K293</f>
        <v>0</v>
      </c>
      <c r="L292" s="598">
        <f>L293</f>
        <v>0</v>
      </c>
      <c r="M292" s="598">
        <f t="shared" ref="M292" si="327">M293</f>
        <v>0</v>
      </c>
      <c r="N292" s="597">
        <f>N293</f>
        <v>0</v>
      </c>
      <c r="O292" s="597">
        <f>O293</f>
        <v>0</v>
      </c>
      <c r="P292" s="598">
        <f t="shared" ref="P292" si="328">P293</f>
        <v>86915885</v>
      </c>
    </row>
    <row r="293" spans="1:18" ht="136.5" thickTop="1" thickBot="1" x14ac:dyDescent="0.25">
      <c r="A293" s="599" t="s">
        <v>186</v>
      </c>
      <c r="B293" s="599"/>
      <c r="C293" s="599"/>
      <c r="D293" s="600" t="s">
        <v>42</v>
      </c>
      <c r="E293" s="601">
        <f>E294+E297+E301</f>
        <v>86915885</v>
      </c>
      <c r="F293" s="601">
        <f t="shared" ref="F293:I293" si="329">F294+F297+F301</f>
        <v>86915885</v>
      </c>
      <c r="G293" s="601">
        <f t="shared" si="329"/>
        <v>7700000</v>
      </c>
      <c r="H293" s="601">
        <f t="shared" si="329"/>
        <v>131350</v>
      </c>
      <c r="I293" s="601">
        <f t="shared" si="329"/>
        <v>0</v>
      </c>
      <c r="J293" s="601">
        <f>L293+O293</f>
        <v>0</v>
      </c>
      <c r="K293" s="601">
        <f t="shared" ref="K293:O293" si="330">K294+K297+K301</f>
        <v>0</v>
      </c>
      <c r="L293" s="601">
        <f t="shared" si="330"/>
        <v>0</v>
      </c>
      <c r="M293" s="601">
        <f t="shared" si="330"/>
        <v>0</v>
      </c>
      <c r="N293" s="601">
        <f t="shared" si="330"/>
        <v>0</v>
      </c>
      <c r="O293" s="601">
        <f t="shared" si="330"/>
        <v>0</v>
      </c>
      <c r="P293" s="602">
        <f>E293+J293</f>
        <v>86915885</v>
      </c>
      <c r="Q293" s="125" t="b">
        <f>P293=P298+P300+P303+P295+P296</f>
        <v>1</v>
      </c>
      <c r="R293" s="203"/>
    </row>
    <row r="294" spans="1:18" s="458" customFormat="1" ht="47.25" thickTop="1" thickBot="1" x14ac:dyDescent="0.25">
      <c r="A294" s="177" t="s">
        <v>1029</v>
      </c>
      <c r="B294" s="477" t="s">
        <v>859</v>
      </c>
      <c r="C294" s="477"/>
      <c r="D294" s="477" t="s">
        <v>860</v>
      </c>
      <c r="E294" s="462">
        <f>SUM(E295:E296)</f>
        <v>9472205</v>
      </c>
      <c r="F294" s="462">
        <f t="shared" ref="F294:P294" si="331">SUM(F295:F296)</f>
        <v>9472205</v>
      </c>
      <c r="G294" s="462">
        <f t="shared" si="331"/>
        <v>7700000</v>
      </c>
      <c r="H294" s="462">
        <f t="shared" si="331"/>
        <v>131350</v>
      </c>
      <c r="I294" s="462">
        <f t="shared" si="331"/>
        <v>0</v>
      </c>
      <c r="J294" s="462">
        <f t="shared" si="331"/>
        <v>0</v>
      </c>
      <c r="K294" s="462">
        <f t="shared" si="331"/>
        <v>0</v>
      </c>
      <c r="L294" s="462">
        <f t="shared" si="331"/>
        <v>0</v>
      </c>
      <c r="M294" s="462">
        <f t="shared" si="331"/>
        <v>0</v>
      </c>
      <c r="N294" s="462">
        <f t="shared" si="331"/>
        <v>0</v>
      </c>
      <c r="O294" s="462">
        <f t="shared" si="331"/>
        <v>0</v>
      </c>
      <c r="P294" s="462">
        <f t="shared" si="331"/>
        <v>9472205</v>
      </c>
      <c r="Q294" s="125"/>
      <c r="R294" s="203"/>
    </row>
    <row r="295" spans="1:18" ht="230.25" thickTop="1" thickBot="1" x14ac:dyDescent="0.25">
      <c r="A295" s="338" t="s">
        <v>451</v>
      </c>
      <c r="B295" s="338" t="s">
        <v>257</v>
      </c>
      <c r="C295" s="338" t="s">
        <v>255</v>
      </c>
      <c r="D295" s="338" t="s">
        <v>256</v>
      </c>
      <c r="E295" s="340">
        <f>F295</f>
        <v>9469205</v>
      </c>
      <c r="F295" s="324">
        <f>(7700000+1540000+152690+146035+7000+71000+4400+51000+4950+1075-3000)-205945</f>
        <v>9469205</v>
      </c>
      <c r="G295" s="324">
        <v>7700000</v>
      </c>
      <c r="H295" s="324">
        <f>(71000+4400+51000+4950)</f>
        <v>131350</v>
      </c>
      <c r="I295" s="324"/>
      <c r="J295" s="340">
        <f>L295+O295</f>
        <v>0</v>
      </c>
      <c r="K295" s="324"/>
      <c r="L295" s="324"/>
      <c r="M295" s="324"/>
      <c r="N295" s="324"/>
      <c r="O295" s="342">
        <f>K295</f>
        <v>0</v>
      </c>
      <c r="P295" s="340">
        <f>E295+J295</f>
        <v>9469205</v>
      </c>
      <c r="Q295" s="202"/>
      <c r="R295" s="203"/>
    </row>
    <row r="296" spans="1:18" s="331" customFormat="1" ht="184.5" thickTop="1" thickBot="1" x14ac:dyDescent="0.25">
      <c r="A296" s="338" t="s">
        <v>808</v>
      </c>
      <c r="B296" s="338" t="s">
        <v>391</v>
      </c>
      <c r="C296" s="338" t="s">
        <v>794</v>
      </c>
      <c r="D296" s="338" t="s">
        <v>795</v>
      </c>
      <c r="E296" s="337">
        <f>F296</f>
        <v>3000</v>
      </c>
      <c r="F296" s="173">
        <v>3000</v>
      </c>
      <c r="G296" s="173"/>
      <c r="H296" s="173"/>
      <c r="I296" s="173"/>
      <c r="J296" s="334">
        <f t="shared" ref="J296" si="332">L296+O296</f>
        <v>0</v>
      </c>
      <c r="K296" s="173"/>
      <c r="L296" s="174"/>
      <c r="M296" s="174"/>
      <c r="N296" s="174"/>
      <c r="O296" s="336">
        <f t="shared" ref="O296" si="333">K296</f>
        <v>0</v>
      </c>
      <c r="P296" s="334">
        <f t="shared" ref="P296" si="334">+J296+E296</f>
        <v>3000</v>
      </c>
      <c r="Q296" s="202"/>
      <c r="R296" s="203"/>
    </row>
    <row r="297" spans="1:18" s="458" customFormat="1" ht="47.25" thickTop="1" thickBot="1" x14ac:dyDescent="0.25">
      <c r="A297" s="177" t="s">
        <v>1030</v>
      </c>
      <c r="B297" s="477" t="s">
        <v>871</v>
      </c>
      <c r="C297" s="477"/>
      <c r="D297" s="477" t="s">
        <v>872</v>
      </c>
      <c r="E297" s="337">
        <f>E298+E299</f>
        <v>4139780</v>
      </c>
      <c r="F297" s="337">
        <f t="shared" ref="F297:P297" si="335">F298+F299</f>
        <v>4139780</v>
      </c>
      <c r="G297" s="337">
        <f t="shared" si="335"/>
        <v>0</v>
      </c>
      <c r="H297" s="337">
        <f t="shared" si="335"/>
        <v>0</v>
      </c>
      <c r="I297" s="337">
        <f t="shared" si="335"/>
        <v>0</v>
      </c>
      <c r="J297" s="337">
        <f t="shared" si="335"/>
        <v>0</v>
      </c>
      <c r="K297" s="337">
        <f t="shared" si="335"/>
        <v>0</v>
      </c>
      <c r="L297" s="337">
        <f t="shared" si="335"/>
        <v>0</v>
      </c>
      <c r="M297" s="337">
        <f t="shared" si="335"/>
        <v>0</v>
      </c>
      <c r="N297" s="337">
        <f t="shared" si="335"/>
        <v>0</v>
      </c>
      <c r="O297" s="337">
        <f t="shared" si="335"/>
        <v>0</v>
      </c>
      <c r="P297" s="337">
        <f t="shared" si="335"/>
        <v>4139780</v>
      </c>
      <c r="Q297" s="202"/>
      <c r="R297" s="203"/>
    </row>
    <row r="298" spans="1:18" ht="91.5" thickTop="1" thickBot="1" x14ac:dyDescent="0.25">
      <c r="A298" s="494">
        <v>3718600</v>
      </c>
      <c r="B298" s="494">
        <v>8600</v>
      </c>
      <c r="C298" s="425" t="s">
        <v>391</v>
      </c>
      <c r="D298" s="494" t="s">
        <v>491</v>
      </c>
      <c r="E298" s="384">
        <f>F298</f>
        <v>1239780</v>
      </c>
      <c r="F298" s="384">
        <f>(1033835)+205945</f>
        <v>1239780</v>
      </c>
      <c r="G298" s="384"/>
      <c r="H298" s="384"/>
      <c r="I298" s="384"/>
      <c r="J298" s="384">
        <f>L298+O298</f>
        <v>0</v>
      </c>
      <c r="K298" s="384"/>
      <c r="L298" s="384"/>
      <c r="M298" s="384"/>
      <c r="N298" s="384"/>
      <c r="O298" s="495">
        <f>K298</f>
        <v>0</v>
      </c>
      <c r="P298" s="384">
        <f>E298+J298</f>
        <v>1239780</v>
      </c>
    </row>
    <row r="299" spans="1:18" s="458" customFormat="1" ht="47.25" thickTop="1" thickBot="1" x14ac:dyDescent="0.25">
      <c r="A299" s="494">
        <v>3718700</v>
      </c>
      <c r="B299" s="494">
        <v>8700</v>
      </c>
      <c r="C299" s="425"/>
      <c r="D299" s="494" t="s">
        <v>1031</v>
      </c>
      <c r="E299" s="384">
        <f>E300</f>
        <v>2900000</v>
      </c>
      <c r="F299" s="384">
        <f t="shared" ref="F299:P299" si="336">F300</f>
        <v>2900000</v>
      </c>
      <c r="G299" s="384">
        <f t="shared" si="336"/>
        <v>0</v>
      </c>
      <c r="H299" s="384">
        <f t="shared" si="336"/>
        <v>0</v>
      </c>
      <c r="I299" s="384">
        <f t="shared" si="336"/>
        <v>0</v>
      </c>
      <c r="J299" s="384">
        <f t="shared" si="336"/>
        <v>0</v>
      </c>
      <c r="K299" s="384">
        <f t="shared" si="336"/>
        <v>0</v>
      </c>
      <c r="L299" s="384">
        <f t="shared" si="336"/>
        <v>0</v>
      </c>
      <c r="M299" s="384">
        <f t="shared" si="336"/>
        <v>0</v>
      </c>
      <c r="N299" s="384">
        <f t="shared" si="336"/>
        <v>0</v>
      </c>
      <c r="O299" s="384">
        <f t="shared" si="336"/>
        <v>0</v>
      </c>
      <c r="P299" s="384">
        <f t="shared" si="336"/>
        <v>2900000</v>
      </c>
      <c r="Q299" s="464"/>
      <c r="R299" s="464"/>
    </row>
    <row r="300" spans="1:18" ht="93" thickTop="1" thickBot="1" x14ac:dyDescent="0.25">
      <c r="A300" s="355">
        <v>3718710</v>
      </c>
      <c r="B300" s="355">
        <v>8710</v>
      </c>
      <c r="C300" s="351" t="s">
        <v>44</v>
      </c>
      <c r="D300" s="353" t="s">
        <v>814</v>
      </c>
      <c r="E300" s="352">
        <f>F300</f>
        <v>2900000</v>
      </c>
      <c r="F300" s="324">
        <f>(3000000)-100000</f>
        <v>2900000</v>
      </c>
      <c r="G300" s="324"/>
      <c r="H300" s="324"/>
      <c r="I300" s="324"/>
      <c r="J300" s="352">
        <f>L300+O300</f>
        <v>0</v>
      </c>
      <c r="K300" s="324"/>
      <c r="L300" s="324"/>
      <c r="M300" s="324"/>
      <c r="N300" s="324"/>
      <c r="O300" s="350">
        <f>K300</f>
        <v>0</v>
      </c>
      <c r="P300" s="352">
        <f>E300+J300</f>
        <v>2900000</v>
      </c>
    </row>
    <row r="301" spans="1:18" s="458" customFormat="1" ht="47.25" thickTop="1" thickBot="1" x14ac:dyDescent="0.25">
      <c r="A301" s="477" t="s">
        <v>1032</v>
      </c>
      <c r="B301" s="477" t="s">
        <v>877</v>
      </c>
      <c r="C301" s="477"/>
      <c r="D301" s="477" t="s">
        <v>878</v>
      </c>
      <c r="E301" s="462">
        <f>E302</f>
        <v>73303900</v>
      </c>
      <c r="F301" s="462">
        <f t="shared" ref="F301:P302" si="337">F302</f>
        <v>73303900</v>
      </c>
      <c r="G301" s="462">
        <f t="shared" si="337"/>
        <v>0</v>
      </c>
      <c r="H301" s="462">
        <f t="shared" si="337"/>
        <v>0</v>
      </c>
      <c r="I301" s="462">
        <f t="shared" si="337"/>
        <v>0</v>
      </c>
      <c r="J301" s="462">
        <f t="shared" si="337"/>
        <v>0</v>
      </c>
      <c r="K301" s="462">
        <f t="shared" si="337"/>
        <v>0</v>
      </c>
      <c r="L301" s="462">
        <f t="shared" si="337"/>
        <v>0</v>
      </c>
      <c r="M301" s="462">
        <f t="shared" si="337"/>
        <v>0</v>
      </c>
      <c r="N301" s="462">
        <f t="shared" si="337"/>
        <v>0</v>
      </c>
      <c r="O301" s="462">
        <f t="shared" si="337"/>
        <v>0</v>
      </c>
      <c r="P301" s="462">
        <f t="shared" si="337"/>
        <v>73303900</v>
      </c>
      <c r="Q301" s="464"/>
      <c r="R301" s="464"/>
    </row>
    <row r="302" spans="1:18" s="458" customFormat="1" ht="91.5" thickTop="1" thickBot="1" x14ac:dyDescent="0.25">
      <c r="A302" s="494">
        <v>3719100</v>
      </c>
      <c r="B302" s="425" t="s">
        <v>1034</v>
      </c>
      <c r="C302" s="425"/>
      <c r="D302" s="425" t="s">
        <v>1033</v>
      </c>
      <c r="E302" s="384">
        <f>E303</f>
        <v>73303900</v>
      </c>
      <c r="F302" s="384">
        <f t="shared" si="337"/>
        <v>73303900</v>
      </c>
      <c r="G302" s="384">
        <f t="shared" si="337"/>
        <v>0</v>
      </c>
      <c r="H302" s="384">
        <f t="shared" si="337"/>
        <v>0</v>
      </c>
      <c r="I302" s="384">
        <f t="shared" si="337"/>
        <v>0</v>
      </c>
      <c r="J302" s="384">
        <f t="shared" si="337"/>
        <v>0</v>
      </c>
      <c r="K302" s="384">
        <f t="shared" si="337"/>
        <v>0</v>
      </c>
      <c r="L302" s="384">
        <f t="shared" si="337"/>
        <v>0</v>
      </c>
      <c r="M302" s="384">
        <f t="shared" si="337"/>
        <v>0</v>
      </c>
      <c r="N302" s="384">
        <f t="shared" si="337"/>
        <v>0</v>
      </c>
      <c r="O302" s="384">
        <f t="shared" si="337"/>
        <v>0</v>
      </c>
      <c r="P302" s="384">
        <f t="shared" si="337"/>
        <v>73303900</v>
      </c>
      <c r="Q302" s="464"/>
      <c r="R302" s="464"/>
    </row>
    <row r="303" spans="1:18" ht="48" thickTop="1" thickBot="1" x14ac:dyDescent="0.25">
      <c r="A303" s="355">
        <v>3719110</v>
      </c>
      <c r="B303" s="355">
        <v>9110</v>
      </c>
      <c r="C303" s="351" t="s">
        <v>45</v>
      </c>
      <c r="D303" s="353" t="s">
        <v>490</v>
      </c>
      <c r="E303" s="352">
        <f>F303</f>
        <v>73303900</v>
      </c>
      <c r="F303" s="324">
        <v>73303900</v>
      </c>
      <c r="G303" s="324"/>
      <c r="H303" s="324"/>
      <c r="I303" s="324"/>
      <c r="J303" s="352">
        <f>L303+O303</f>
        <v>0</v>
      </c>
      <c r="K303" s="324"/>
      <c r="L303" s="324"/>
      <c r="M303" s="324"/>
      <c r="N303" s="324"/>
      <c r="O303" s="350">
        <f>K303</f>
        <v>0</v>
      </c>
      <c r="P303" s="352">
        <f>E303+J303</f>
        <v>73303900</v>
      </c>
    </row>
    <row r="304" spans="1:18" ht="159.75" customHeight="1" thickTop="1" thickBot="1" x14ac:dyDescent="0.25">
      <c r="A304" s="251" t="s">
        <v>411</v>
      </c>
      <c r="B304" s="251" t="s">
        <v>411</v>
      </c>
      <c r="C304" s="251" t="s">
        <v>411</v>
      </c>
      <c r="D304" s="252" t="s">
        <v>421</v>
      </c>
      <c r="E304" s="356">
        <f t="shared" ref="E304:P304" si="338">E17+E41+E150+E70+E91+E132++E225+E243+E293+E261+E272+E284+E251+E196+E177</f>
        <v>2659256864.6599998</v>
      </c>
      <c r="F304" s="356">
        <f t="shared" si="338"/>
        <v>2659256864.6599998</v>
      </c>
      <c r="G304" s="356">
        <f t="shared" si="338"/>
        <v>1435708090.47</v>
      </c>
      <c r="H304" s="356">
        <f t="shared" si="338"/>
        <v>101293241.78999999</v>
      </c>
      <c r="I304" s="356">
        <f t="shared" si="338"/>
        <v>0</v>
      </c>
      <c r="J304" s="356">
        <f t="shared" si="338"/>
        <v>591401054.91000009</v>
      </c>
      <c r="K304" s="356">
        <f t="shared" si="338"/>
        <v>426782849.33999997</v>
      </c>
      <c r="L304" s="356">
        <f t="shared" si="338"/>
        <v>160771023.54000002</v>
      </c>
      <c r="M304" s="356">
        <f t="shared" si="338"/>
        <v>49533322</v>
      </c>
      <c r="N304" s="356">
        <f t="shared" si="338"/>
        <v>9357568</v>
      </c>
      <c r="O304" s="356">
        <f t="shared" si="338"/>
        <v>430630031.37</v>
      </c>
      <c r="P304" s="356">
        <f t="shared" si="338"/>
        <v>3250657919.5700002</v>
      </c>
      <c r="Q304" s="38" t="b">
        <f>K304='d6'!J248</f>
        <v>1</v>
      </c>
      <c r="R304" s="38" t="b">
        <f>P304=J304+E304</f>
        <v>1</v>
      </c>
    </row>
    <row r="305" spans="1:18" ht="49.5" customHeight="1" thickTop="1" x14ac:dyDescent="0.2">
      <c r="A305" s="853" t="s">
        <v>545</v>
      </c>
      <c r="B305" s="854"/>
      <c r="C305" s="854"/>
      <c r="D305" s="854"/>
      <c r="E305" s="854"/>
      <c r="F305" s="854"/>
      <c r="G305" s="854"/>
      <c r="H305" s="854"/>
      <c r="I305" s="854"/>
      <c r="J305" s="854"/>
      <c r="K305" s="854"/>
      <c r="L305" s="854"/>
      <c r="M305" s="854"/>
      <c r="N305" s="854"/>
      <c r="O305" s="854"/>
      <c r="P305" s="854"/>
      <c r="Q305" s="208"/>
    </row>
    <row r="306" spans="1:18" ht="60.75" hidden="1" x14ac:dyDescent="0.2">
      <c r="A306" s="137"/>
      <c r="B306" s="138"/>
      <c r="C306" s="138"/>
      <c r="D306" s="138"/>
      <c r="E306" s="78">
        <f>F306</f>
        <v>2659256864.6599998</v>
      </c>
      <c r="F306" s="78">
        <f>((2638170564+6058967+642850)-'d4'!F17+'d2'!E27)+16026676.66+1406835-100000</f>
        <v>2659256864.6599998</v>
      </c>
      <c r="G306" s="78">
        <f>(354000+540000+1494859+80242670+1114143912+4186600+68381820+89280550+40854695+37511680)-3284345.53+1122300+879350</f>
        <v>1435708090.47</v>
      </c>
      <c r="H306" s="78">
        <f>(6000+3000+20785+3339900+87477970+201540+2063407+3907125+2243165+730080+50000+6058967)-4296997.21+25300+63000-165000-635000+200000</f>
        <v>101293241.79000001</v>
      </c>
      <c r="I306" s="78"/>
      <c r="J306" s="78">
        <f>((356021747.58+79713450)+73413409.53-123742.2+22276190+100000)+60000000</f>
        <v>591401054.91000009</v>
      </c>
      <c r="K306" s="78">
        <f>((356021747.58+79713450)-4201200-630900-155853885)+73413409.53-123742.2-1155966.58-127015.03-854238.96-95000+(22276190-1700000+100000)+60000000</f>
        <v>426782849.34000009</v>
      </c>
      <c r="L306" s="78">
        <f>((4201200-49000)+630900+(155853885-1788820-106000))+78600-9947+1155966.58+854238.96-50000</f>
        <v>160771023.54000002</v>
      </c>
      <c r="M306" s="78">
        <f>866362+41217060+104000+7345900</f>
        <v>49533322</v>
      </c>
      <c r="N306" s="78">
        <f>308978+8654190+137000+257400</f>
        <v>9357568</v>
      </c>
      <c r="O306" s="78">
        <f>((356021747.58+79713450)-(4201200-49000)-630900-(155853885-1788820-106000))+16400+9947+(73413409.53-123742.2-95000-1155966.58-854238.96)+50000+(22276190+100000)+60000000</f>
        <v>430630031.37</v>
      </c>
      <c r="P306" s="78">
        <f>(2994192311.58+6058967+80356300)-'d4'!F20+'d2'!E27+(89440086.19-123742.2)+23683025+60000000</f>
        <v>3250657919.5699997</v>
      </c>
      <c r="Q306" s="38" t="b">
        <f>E306+J306=P306</f>
        <v>1</v>
      </c>
      <c r="R306" s="208"/>
    </row>
    <row r="307" spans="1:18" s="531" customFormat="1" ht="30.75" hidden="1" customHeight="1" x14ac:dyDescent="0.2">
      <c r="A307" s="796"/>
      <c r="B307" s="797"/>
      <c r="C307" s="797"/>
      <c r="D307" s="797"/>
      <c r="E307" s="798"/>
      <c r="F307" s="798"/>
      <c r="G307" s="798"/>
      <c r="H307" s="798"/>
      <c r="I307" s="798"/>
      <c r="J307" s="798"/>
      <c r="K307" s="798"/>
      <c r="L307" s="798"/>
      <c r="M307" s="798"/>
      <c r="N307" s="798"/>
      <c r="O307" s="798"/>
      <c r="P307" s="798"/>
      <c r="Q307" s="799"/>
      <c r="R307" s="800"/>
    </row>
    <row r="308" spans="1:18" ht="75.75" customHeight="1" x14ac:dyDescent="0.65">
      <c r="A308" s="137"/>
      <c r="B308" s="138"/>
      <c r="C308" s="138"/>
      <c r="D308" s="897" t="s">
        <v>1302</v>
      </c>
      <c r="E308" s="852"/>
      <c r="F308" s="789"/>
      <c r="G308" s="795"/>
      <c r="H308" s="146"/>
      <c r="I308" s="123"/>
      <c r="J308" s="123"/>
      <c r="K308" s="795" t="s">
        <v>1303</v>
      </c>
      <c r="L308" s="123"/>
      <c r="M308" s="123"/>
      <c r="N308" s="123"/>
      <c r="O308" s="123"/>
      <c r="P308" s="123"/>
      <c r="Q308" s="208"/>
    </row>
    <row r="309" spans="1:18" s="142" customFormat="1" ht="12.75" customHeight="1" x14ac:dyDescent="0.65">
      <c r="A309" s="143"/>
      <c r="B309" s="144"/>
      <c r="C309" s="144"/>
      <c r="D309" s="839"/>
      <c r="E309" s="839"/>
      <c r="F309" s="839"/>
      <c r="G309" s="839"/>
      <c r="H309" s="839"/>
      <c r="I309" s="839"/>
      <c r="J309" s="839"/>
      <c r="K309" s="839"/>
      <c r="L309" s="839"/>
      <c r="M309" s="839"/>
      <c r="N309" s="839"/>
      <c r="O309" s="839"/>
      <c r="P309" s="839"/>
      <c r="Q309" s="208"/>
      <c r="R309" s="192"/>
    </row>
    <row r="310" spans="1:18" s="142" customFormat="1" ht="45.75" x14ac:dyDescent="0.65">
      <c r="A310" s="143"/>
      <c r="B310" s="144"/>
      <c r="C310" s="144"/>
      <c r="D310" s="146" t="s">
        <v>611</v>
      </c>
      <c r="E310" s="789"/>
      <c r="F310" s="789"/>
      <c r="G310" s="789"/>
      <c r="H310" s="146"/>
      <c r="I310" s="123"/>
      <c r="J310" s="123"/>
      <c r="K310" s="146" t="s">
        <v>612</v>
      </c>
      <c r="L310" s="123"/>
      <c r="M310" s="123"/>
      <c r="N310" s="123"/>
      <c r="O310" s="123"/>
      <c r="P310" s="123"/>
      <c r="Q310" s="208"/>
      <c r="R310" s="192"/>
    </row>
    <row r="311" spans="1:18" ht="45.75" x14ac:dyDescent="0.65">
      <c r="A311" s="135"/>
      <c r="B311" s="135"/>
      <c r="C311" s="135"/>
      <c r="D311" s="839"/>
      <c r="E311" s="839"/>
      <c r="F311" s="839"/>
      <c r="G311" s="839"/>
      <c r="H311" s="839"/>
      <c r="I311" s="839"/>
      <c r="J311" s="839"/>
      <c r="K311" s="839"/>
      <c r="L311" s="839"/>
      <c r="M311" s="839"/>
      <c r="N311" s="839"/>
      <c r="O311" s="839"/>
      <c r="P311" s="839"/>
      <c r="Q311" s="209"/>
    </row>
    <row r="312" spans="1:18" ht="150.75" hidden="1" customHeight="1" x14ac:dyDescent="0.65">
      <c r="D312" s="839" t="s">
        <v>613</v>
      </c>
      <c r="E312" s="839"/>
      <c r="F312" s="839"/>
      <c r="G312" s="839"/>
      <c r="H312" s="839"/>
      <c r="I312" s="839"/>
      <c r="J312" s="839"/>
      <c r="K312" s="839"/>
      <c r="L312" s="839"/>
      <c r="M312" s="839"/>
      <c r="N312" s="839"/>
      <c r="O312" s="839"/>
      <c r="P312" s="839"/>
    </row>
    <row r="313" spans="1:18" ht="95.25" customHeight="1" x14ac:dyDescent="0.55000000000000004">
      <c r="G313" s="297"/>
      <c r="H313" s="297"/>
      <c r="Q313" s="200"/>
    </row>
    <row r="314" spans="1:18" hidden="1" x14ac:dyDescent="0.2">
      <c r="E314" s="4"/>
      <c r="F314" s="3"/>
      <c r="G314" s="297"/>
      <c r="H314" s="297"/>
      <c r="J314" s="4"/>
      <c r="K314" s="4"/>
    </row>
    <row r="315" spans="1:18" hidden="1" x14ac:dyDescent="0.2">
      <c r="E315" s="4"/>
      <c r="F315" s="3"/>
      <c r="G315" s="297"/>
      <c r="H315" s="297"/>
      <c r="J315" s="4"/>
      <c r="K315" s="4"/>
    </row>
    <row r="316" spans="1:18" ht="60.75" x14ac:dyDescent="0.2">
      <c r="E316" s="38" t="b">
        <f>E306=E304</f>
        <v>1</v>
      </c>
      <c r="F316" s="38" t="b">
        <f>F306=F304</f>
        <v>1</v>
      </c>
      <c r="G316" s="38" t="b">
        <f>G306=G304</f>
        <v>1</v>
      </c>
      <c r="H316" s="38" t="b">
        <f t="shared" ref="H316:O316" si="339">H306=H304</f>
        <v>1</v>
      </c>
      <c r="I316" s="38" t="b">
        <f>I306=I304</f>
        <v>1</v>
      </c>
      <c r="J316" s="38" t="b">
        <f>J306=J304</f>
        <v>1</v>
      </c>
      <c r="K316" s="38" t="b">
        <f>K306=K304</f>
        <v>1</v>
      </c>
      <c r="L316" s="38" t="b">
        <f t="shared" si="339"/>
        <v>1</v>
      </c>
      <c r="M316" s="38" t="b">
        <f t="shared" si="339"/>
        <v>1</v>
      </c>
      <c r="N316" s="38" t="b">
        <f t="shared" si="339"/>
        <v>1</v>
      </c>
      <c r="O316" s="38" t="b">
        <f t="shared" si="339"/>
        <v>1</v>
      </c>
      <c r="P316" s="38" t="b">
        <f>P306=P304</f>
        <v>1</v>
      </c>
    </row>
    <row r="317" spans="1:18" ht="61.5" x14ac:dyDescent="0.2">
      <c r="E317" s="38" t="b">
        <f>E304=F304</f>
        <v>1</v>
      </c>
      <c r="F317" s="126">
        <f>F300/E304*100</f>
        <v>0.10905302299072114</v>
      </c>
      <c r="G317" s="45" t="s">
        <v>346</v>
      </c>
      <c r="H317" s="302"/>
      <c r="I317" s="127"/>
      <c r="J317" s="38" t="b">
        <f>J306=L306+O306</f>
        <v>1</v>
      </c>
      <c r="K317" s="128"/>
      <c r="L317" s="38"/>
      <c r="M317" s="127"/>
      <c r="N317" s="127"/>
      <c r="O317" s="38"/>
      <c r="P317" s="38" t="b">
        <f>E304+J304=P304</f>
        <v>1</v>
      </c>
    </row>
    <row r="318" spans="1:18" ht="60.75" x14ac:dyDescent="0.2">
      <c r="E318" s="129"/>
      <c r="F318" s="130"/>
      <c r="G318" s="129"/>
      <c r="H318" s="303"/>
      <c r="I318" s="129"/>
      <c r="J318" s="4"/>
      <c r="K318" s="4"/>
    </row>
    <row r="319" spans="1:18" ht="61.5" x14ac:dyDescent="0.2">
      <c r="A319" s="133"/>
      <c r="B319" s="133"/>
      <c r="C319" s="133"/>
      <c r="D319" s="6"/>
      <c r="E319" s="133"/>
      <c r="F319" s="45">
        <f>F300/P304*100</f>
        <v>8.9212709296203466E-2</v>
      </c>
      <c r="G319" s="45" t="s">
        <v>346</v>
      </c>
      <c r="H319" s="302"/>
      <c r="I319" s="6"/>
      <c r="J319" s="48"/>
      <c r="K319" s="48"/>
      <c r="L319" s="48"/>
      <c r="M319" s="48"/>
      <c r="N319" s="48"/>
      <c r="O319" s="48"/>
      <c r="P319" s="48"/>
    </row>
    <row r="320" spans="1:18" ht="61.5" x14ac:dyDescent="0.2">
      <c r="D320" s="6"/>
      <c r="E320" s="48"/>
      <c r="F320" s="131"/>
      <c r="G320" s="38"/>
      <c r="H320" s="302"/>
      <c r="I320" s="6"/>
      <c r="J320" s="48"/>
      <c r="K320" s="48"/>
      <c r="L320" s="102"/>
      <c r="P320" s="38"/>
      <c r="Q320" s="204"/>
      <c r="R320" s="207"/>
    </row>
    <row r="321" spans="1:18" ht="60.75" x14ac:dyDescent="0.2">
      <c r="A321" s="133"/>
      <c r="B321" s="133"/>
      <c r="C321" s="133"/>
      <c r="D321" s="6"/>
      <c r="E321" s="124"/>
      <c r="F321" s="124">
        <f>F306-F304</f>
        <v>0</v>
      </c>
      <c r="G321" s="124"/>
      <c r="H321" s="124"/>
      <c r="I321" s="132"/>
      <c r="J321" s="124"/>
      <c r="K321" s="124"/>
      <c r="L321" s="124"/>
      <c r="M321" s="124"/>
      <c r="N321" s="124"/>
      <c r="O321" s="124"/>
      <c r="P321" s="124"/>
      <c r="Q321" s="204"/>
      <c r="R321" s="207"/>
    </row>
    <row r="322" spans="1:18" ht="60.75" x14ac:dyDescent="0.2">
      <c r="D322" s="6"/>
      <c r="E322" s="48"/>
      <c r="F322" s="68"/>
      <c r="G322" s="269"/>
      <c r="O322" s="38"/>
      <c r="P322" s="38"/>
    </row>
    <row r="323" spans="1:18" ht="60.75" x14ac:dyDescent="0.2">
      <c r="A323" s="133"/>
      <c r="B323" s="133"/>
      <c r="C323" s="133"/>
      <c r="D323" s="6"/>
      <c r="E323" s="48"/>
      <c r="F323" s="45"/>
      <c r="G323" s="102"/>
      <c r="I323" s="139"/>
      <c r="J323" s="4"/>
      <c r="K323" s="4"/>
      <c r="L323" s="133"/>
      <c r="M323" s="133"/>
      <c r="N323" s="133"/>
      <c r="O323" s="133"/>
      <c r="P323" s="38"/>
    </row>
    <row r="324" spans="1:18" ht="62.25" x14ac:dyDescent="0.8">
      <c r="A324" s="133"/>
      <c r="B324" s="133"/>
      <c r="C324" s="133"/>
      <c r="D324" s="133"/>
      <c r="E324" s="9"/>
      <c r="F324" s="45"/>
      <c r="J324" s="4"/>
      <c r="K324" s="4"/>
      <c r="L324" s="133"/>
      <c r="M324" s="133"/>
      <c r="N324" s="133"/>
      <c r="O324" s="133"/>
      <c r="P324" s="50"/>
    </row>
    <row r="325" spans="1:18" ht="45.75" x14ac:dyDescent="0.2">
      <c r="E325" s="103">
        <f>E300/E304</f>
        <v>1.0905302299072115E-3</v>
      </c>
      <c r="F325" s="68"/>
    </row>
    <row r="326" spans="1:18" ht="45.75" x14ac:dyDescent="0.2">
      <c r="A326" s="133"/>
      <c r="B326" s="133"/>
      <c r="C326" s="133"/>
      <c r="D326" s="133"/>
      <c r="E326" s="9"/>
      <c r="F326" s="45"/>
      <c r="L326" s="133"/>
      <c r="M326" s="133"/>
      <c r="N326" s="133"/>
      <c r="O326" s="133"/>
      <c r="P326" s="133"/>
    </row>
    <row r="327" spans="1:18" ht="45.75" x14ac:dyDescent="0.2">
      <c r="E327" s="10"/>
      <c r="F327" s="68"/>
    </row>
    <row r="328" spans="1:18" ht="45.75" x14ac:dyDescent="0.2">
      <c r="E328" s="10"/>
      <c r="F328" s="68"/>
    </row>
    <row r="329" spans="1:18" ht="45.75" x14ac:dyDescent="0.2">
      <c r="E329" s="10"/>
      <c r="F329" s="68"/>
    </row>
    <row r="330" spans="1:18" ht="45.75" x14ac:dyDescent="0.2">
      <c r="A330" s="133"/>
      <c r="B330" s="133"/>
      <c r="C330" s="133"/>
      <c r="D330" s="133"/>
      <c r="E330" s="10"/>
      <c r="F330" s="68"/>
      <c r="G330" s="133"/>
      <c r="H330" s="133"/>
      <c r="I330" s="133"/>
      <c r="J330" s="133"/>
      <c r="K330" s="133"/>
      <c r="L330" s="133"/>
      <c r="M330" s="133"/>
      <c r="N330" s="133"/>
      <c r="O330" s="133"/>
      <c r="P330" s="133"/>
    </row>
    <row r="331" spans="1:18" ht="45.75" x14ac:dyDescent="0.2">
      <c r="A331" s="133"/>
      <c r="B331" s="133"/>
      <c r="C331" s="133"/>
      <c r="D331" s="133"/>
      <c r="E331" s="10"/>
      <c r="F331" s="68"/>
      <c r="G331" s="133"/>
      <c r="H331" s="133"/>
      <c r="I331" s="133"/>
      <c r="J331" s="133"/>
      <c r="K331" s="133"/>
      <c r="L331" s="133"/>
      <c r="M331" s="133"/>
      <c r="N331" s="133"/>
      <c r="O331" s="133"/>
      <c r="P331" s="133"/>
    </row>
    <row r="332" spans="1:18" ht="45.75" x14ac:dyDescent="0.2">
      <c r="A332" s="133"/>
      <c r="B332" s="133"/>
      <c r="C332" s="133"/>
      <c r="D332" s="133"/>
      <c r="E332" s="10"/>
      <c r="F332" s="68"/>
      <c r="G332" s="133"/>
      <c r="H332" s="133"/>
      <c r="I332" s="133"/>
      <c r="J332" s="133"/>
      <c r="K332" s="133"/>
      <c r="L332" s="133"/>
      <c r="M332" s="133"/>
      <c r="N332" s="133"/>
      <c r="O332" s="133"/>
      <c r="P332" s="133"/>
    </row>
    <row r="333" spans="1:18" ht="45.75" x14ac:dyDescent="0.2">
      <c r="A333" s="133"/>
      <c r="B333" s="133"/>
      <c r="C333" s="133"/>
      <c r="D333" s="133"/>
      <c r="E333" s="10"/>
      <c r="F333" s="68"/>
      <c r="G333" s="133"/>
      <c r="H333" s="133"/>
      <c r="I333" s="133"/>
      <c r="J333" s="133"/>
      <c r="K333" s="133"/>
      <c r="L333" s="133"/>
      <c r="M333" s="133"/>
      <c r="N333" s="133"/>
      <c r="O333" s="133"/>
      <c r="P333" s="133"/>
    </row>
  </sheetData>
  <mergeCells count="103">
    <mergeCell ref="D308:E308"/>
    <mergeCell ref="D309:P309"/>
    <mergeCell ref="O49:O50"/>
    <mergeCell ref="P49:P50"/>
    <mergeCell ref="G49:G50"/>
    <mergeCell ref="H49:H50"/>
    <mergeCell ref="I49:I50"/>
    <mergeCell ref="J49:J50"/>
    <mergeCell ref="K49:K50"/>
    <mergeCell ref="O217:O218"/>
    <mergeCell ref="P217:P218"/>
    <mergeCell ref="K217:K218"/>
    <mergeCell ref="L217:L218"/>
    <mergeCell ref="M217:M218"/>
    <mergeCell ref="N217:N218"/>
    <mergeCell ref="A49:A50"/>
    <mergeCell ref="B49:B50"/>
    <mergeCell ref="C49:C50"/>
    <mergeCell ref="E49:E50"/>
    <mergeCell ref="F49:F50"/>
    <mergeCell ref="L49:L50"/>
    <mergeCell ref="M49:M50"/>
    <mergeCell ref="N49:N50"/>
    <mergeCell ref="G129:G130"/>
    <mergeCell ref="H129:H130"/>
    <mergeCell ref="I129:I130"/>
    <mergeCell ref="A129:A130"/>
    <mergeCell ref="B129:B130"/>
    <mergeCell ref="C129:C130"/>
    <mergeCell ref="E129:E130"/>
    <mergeCell ref="F129:F130"/>
    <mergeCell ref="A193:A194"/>
    <mergeCell ref="B193:B194"/>
    <mergeCell ref="C193:C194"/>
    <mergeCell ref="J129:J130"/>
    <mergeCell ref="P193:P194"/>
    <mergeCell ref="K129:K130"/>
    <mergeCell ref="L129:L130"/>
    <mergeCell ref="M129:M130"/>
    <mergeCell ref="N129:N130"/>
    <mergeCell ref="O129:O130"/>
    <mergeCell ref="P129:P130"/>
    <mergeCell ref="K193:K194"/>
    <mergeCell ref="L193:L194"/>
    <mergeCell ref="M193:M194"/>
    <mergeCell ref="N193:N194"/>
    <mergeCell ref="O193:O194"/>
    <mergeCell ref="A217:A218"/>
    <mergeCell ref="B217:B218"/>
    <mergeCell ref="C217:C218"/>
    <mergeCell ref="E217:E218"/>
    <mergeCell ref="F217:F218"/>
    <mergeCell ref="G217:G218"/>
    <mergeCell ref="H217:H218"/>
    <mergeCell ref="I217:I218"/>
    <mergeCell ref="J217:J218"/>
    <mergeCell ref="N2:Q2"/>
    <mergeCell ref="N3:Q3"/>
    <mergeCell ref="O4:P4"/>
    <mergeCell ref="A6:P6"/>
    <mergeCell ref="A7:P7"/>
    <mergeCell ref="A9:B9"/>
    <mergeCell ref="J12:O12"/>
    <mergeCell ref="P12:P14"/>
    <mergeCell ref="E13:E14"/>
    <mergeCell ref="F13:F14"/>
    <mergeCell ref="G13:H13"/>
    <mergeCell ref="I13:I14"/>
    <mergeCell ref="J13:J14"/>
    <mergeCell ref="K13:K14"/>
    <mergeCell ref="L13:L14"/>
    <mergeCell ref="M13:N13"/>
    <mergeCell ref="O13:O14"/>
    <mergeCell ref="A10:B10"/>
    <mergeCell ref="A12:A14"/>
    <mergeCell ref="B12:B14"/>
    <mergeCell ref="C12:C14"/>
    <mergeCell ref="D12:D14"/>
    <mergeCell ref="E12:I12"/>
    <mergeCell ref="D312:P312"/>
    <mergeCell ref="A305:P305"/>
    <mergeCell ref="D311:P311"/>
    <mergeCell ref="K29:K30"/>
    <mergeCell ref="L29:L30"/>
    <mergeCell ref="M29:M30"/>
    <mergeCell ref="N29:N30"/>
    <mergeCell ref="O29:O30"/>
    <mergeCell ref="P29:P30"/>
    <mergeCell ref="E193:E194"/>
    <mergeCell ref="F193:F194"/>
    <mergeCell ref="G193:G194"/>
    <mergeCell ref="H193:H194"/>
    <mergeCell ref="I193:I194"/>
    <mergeCell ref="J193:J194"/>
    <mergeCell ref="A29:A30"/>
    <mergeCell ref="E29:E30"/>
    <mergeCell ref="F29:F30"/>
    <mergeCell ref="G29:G30"/>
    <mergeCell ref="H29:H30"/>
    <mergeCell ref="I29:I30"/>
    <mergeCell ref="B29:B30"/>
    <mergeCell ref="C29:C30"/>
    <mergeCell ref="J29:J30"/>
  </mergeCells>
  <conditionalFormatting sqref="Q295:R297 Q293:Q294">
    <cfRule type="iconSet" priority="16">
      <iconSet iconSet="3Arrows">
        <cfvo type="percent" val="0"/>
        <cfvo type="percent" val="33"/>
        <cfvo type="percent" val="67"/>
      </iconSet>
    </cfRule>
  </conditionalFormatting>
  <conditionalFormatting sqref="Q284:R285 Q286:Q288">
    <cfRule type="iconSet" priority="15">
      <iconSet iconSet="3Arrows">
        <cfvo type="percent" val="0"/>
        <cfvo type="percent" val="33"/>
        <cfvo type="percent" val="67"/>
      </iconSet>
    </cfRule>
  </conditionalFormatting>
  <conditionalFormatting sqref="R293:R294">
    <cfRule type="iconSet" priority="14">
      <iconSet iconSet="3Arrows">
        <cfvo type="percent" val="0"/>
        <cfvo type="percent" val="33"/>
        <cfvo type="percent" val="67"/>
      </iconSet>
    </cfRule>
  </conditionalFormatting>
  <conditionalFormatting sqref="Q261:R263">
    <cfRule type="iconSet" priority="18">
      <iconSet iconSet="3Arrows">
        <cfvo type="percent" val="0"/>
        <cfvo type="percent" val="33"/>
        <cfvo type="percent" val="67"/>
      </iconSet>
    </cfRule>
  </conditionalFormatting>
  <conditionalFormatting sqref="Q253:Q259">
    <cfRule type="iconSet" priority="13">
      <iconSet iconSet="3Arrows">
        <cfvo type="percent" val="0"/>
        <cfvo type="percent" val="33"/>
        <cfvo type="percent" val="67"/>
      </iconSet>
    </cfRule>
  </conditionalFormatting>
  <conditionalFormatting sqref="R253:R259">
    <cfRule type="iconSet" priority="12">
      <iconSet iconSet="3Arrows">
        <cfvo type="percent" val="0"/>
        <cfvo type="percent" val="33"/>
        <cfvo type="percent" val="67"/>
      </iconSet>
    </cfRule>
  </conditionalFormatting>
  <conditionalFormatting sqref="Q251:Q252">
    <cfRule type="iconSet" priority="11">
      <iconSet iconSet="3Arrows">
        <cfvo type="percent" val="0"/>
        <cfvo type="percent" val="33"/>
        <cfvo type="percent" val="67"/>
      </iconSet>
    </cfRule>
  </conditionalFormatting>
  <conditionalFormatting sqref="R251:R252">
    <cfRule type="iconSet" priority="10">
      <iconSet iconSet="3Arrows">
        <cfvo type="percent" val="0"/>
        <cfvo type="percent" val="33"/>
        <cfvo type="percent" val="67"/>
      </iconSet>
    </cfRule>
  </conditionalFormatting>
  <conditionalFormatting sqref="R286:R288">
    <cfRule type="iconSet" priority="9">
      <iconSet iconSet="3Arrows">
        <cfvo type="percent" val="0"/>
        <cfvo type="percent" val="33"/>
        <cfvo type="percent" val="67"/>
      </iconSet>
    </cfRule>
  </conditionalFormatting>
  <conditionalFormatting sqref="R243:R244">
    <cfRule type="iconSet" priority="8">
      <iconSet iconSet="3Arrows">
        <cfvo type="percent" val="0"/>
        <cfvo type="percent" val="33"/>
        <cfvo type="percent" val="67"/>
      </iconSet>
    </cfRule>
  </conditionalFormatting>
  <conditionalFormatting sqref="Q243:Q249">
    <cfRule type="iconSet" priority="23">
      <iconSet iconSet="3Arrows">
        <cfvo type="percent" val="0"/>
        <cfvo type="percent" val="33"/>
        <cfvo type="percent" val="67"/>
      </iconSet>
    </cfRule>
  </conditionalFormatting>
  <conditionalFormatting sqref="R245:R249">
    <cfRule type="iconSet" priority="7">
      <iconSet iconSet="3Arrows">
        <cfvo type="percent" val="0"/>
        <cfvo type="percent" val="33"/>
        <cfvo type="percent" val="67"/>
      </iconSet>
    </cfRule>
  </conditionalFormatting>
  <conditionalFormatting sqref="R272:R273">
    <cfRule type="iconSet" priority="6">
      <iconSet iconSet="3Arrows">
        <cfvo type="percent" val="0"/>
        <cfvo type="percent" val="33"/>
        <cfvo type="percent" val="67"/>
      </iconSet>
    </cfRule>
  </conditionalFormatting>
  <conditionalFormatting sqref="R274:R278">
    <cfRule type="iconSet" priority="5">
      <iconSet iconSet="3Arrows">
        <cfvo type="percent" val="0"/>
        <cfvo type="percent" val="33"/>
        <cfvo type="percent" val="67"/>
      </iconSet>
    </cfRule>
  </conditionalFormatting>
  <conditionalFormatting sqref="Q272:Q278">
    <cfRule type="iconSet" priority="24">
      <iconSet iconSet="3Arrows">
        <cfvo type="percent" val="0"/>
        <cfvo type="percent" val="33"/>
        <cfvo type="percent" val="67"/>
      </iconSet>
    </cfRule>
  </conditionalFormatting>
  <conditionalFormatting sqref="R264:R270">
    <cfRule type="iconSet" priority="33">
      <iconSet iconSet="3Arrows">
        <cfvo type="percent" val="0"/>
        <cfvo type="percent" val="33"/>
        <cfvo type="percent" val="67"/>
      </iconSet>
    </cfRule>
  </conditionalFormatting>
  <conditionalFormatting sqref="Q279">
    <cfRule type="iconSet" priority="4">
      <iconSet iconSet="3Arrows">
        <cfvo type="percent" val="0"/>
        <cfvo type="percent" val="33"/>
        <cfvo type="percent" val="67"/>
      </iconSet>
    </cfRule>
  </conditionalFormatting>
  <conditionalFormatting sqref="Q281">
    <cfRule type="iconSet" priority="3">
      <iconSet iconSet="3Arrows">
        <cfvo type="percent" val="0"/>
        <cfvo type="percent" val="33"/>
        <cfvo type="percent" val="67"/>
      </iconSet>
    </cfRule>
  </conditionalFormatting>
  <conditionalFormatting sqref="Q282">
    <cfRule type="iconSet" priority="2">
      <iconSet iconSet="3Arrows">
        <cfvo type="percent" val="0"/>
        <cfvo type="percent" val="33"/>
        <cfvo type="percent" val="67"/>
      </iconSet>
    </cfRule>
  </conditionalFormatting>
  <conditionalFormatting sqref="Q280">
    <cfRule type="iconSet" priority="1">
      <iconSet iconSet="3Arrows">
        <cfvo type="percent" val="0"/>
        <cfvo type="percent" val="33"/>
        <cfvo type="percent" val="67"/>
      </iconSet>
    </cfRule>
  </conditionalFormatting>
  <pageMargins left="0.23622047244094491" right="0.27559055118110237" top="0.27559055118110237" bottom="0.15748031496062992" header="0.23622047244094491" footer="0.27559055118110237"/>
  <pageSetup paperSize="9" scale="15" orientation="landscape" horizontalDpi="4294967295" verticalDpi="4294967295" r:id="rId1"/>
  <headerFooter alignWithMargins="0">
    <oddFooter>&amp;C&amp;"Times New Roman Cyr,курсив"Сторінка &amp;P з &amp;N</oddFooter>
  </headerFooter>
  <rowBreaks count="3" manualBreakCount="3">
    <brk id="36" max="15" man="1"/>
    <brk id="76" max="15" man="1"/>
    <brk id="248" max="15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Аркуш4"/>
  <dimension ref="A2:R166"/>
  <sheetViews>
    <sheetView showGridLines="0" view="pageBreakPreview" topLeftCell="B13" zoomScaleNormal="85" zoomScaleSheetLayoutView="100" workbookViewId="0">
      <selection activeCell="D21" sqref="D21:K21"/>
    </sheetView>
  </sheetViews>
  <sheetFormatPr defaultColWidth="7.85546875" defaultRowHeight="12.75" x14ac:dyDescent="0.2"/>
  <cols>
    <col min="1" max="1" width="0" style="8" hidden="1" customWidth="1"/>
    <col min="2" max="2" width="13" style="20" customWidth="1"/>
    <col min="3" max="3" width="13.5703125" style="20" customWidth="1"/>
    <col min="4" max="4" width="15.28515625" style="20" customWidth="1"/>
    <col min="5" max="5" width="38.85546875" style="20" customWidth="1"/>
    <col min="6" max="6" width="11.85546875" style="20" bestFit="1" customWidth="1"/>
    <col min="7" max="7" width="11.85546875" style="20" customWidth="1"/>
    <col min="8" max="8" width="13.28515625" style="20" customWidth="1"/>
    <col min="9" max="9" width="12.5703125" style="20" customWidth="1"/>
    <col min="10" max="10" width="12.140625" style="20" customWidth="1"/>
    <col min="11" max="11" width="18.140625" style="20" customWidth="1"/>
    <col min="12" max="12" width="13.5703125" style="20" customWidth="1"/>
    <col min="13" max="13" width="13" style="20" customWidth="1"/>
    <col min="14" max="14" width="11.42578125" style="20" customWidth="1"/>
    <col min="15" max="15" width="12.7109375" style="20" customWidth="1"/>
    <col min="16" max="16" width="12.5703125" style="20" customWidth="1"/>
    <col min="17" max="17" width="12.7109375" style="20" customWidth="1"/>
    <col min="18" max="18" width="10" style="211" bestFit="1" customWidth="1"/>
    <col min="19" max="16384" width="7.85546875" style="20"/>
  </cols>
  <sheetData>
    <row r="2" spans="1:18" ht="64.5" customHeight="1" x14ac:dyDescent="0.2">
      <c r="B2" s="8"/>
      <c r="C2" s="8"/>
      <c r="D2" s="8"/>
      <c r="M2" s="912" t="s">
        <v>1290</v>
      </c>
      <c r="N2" s="912"/>
      <c r="O2" s="912"/>
      <c r="P2" s="912"/>
      <c r="Q2" s="912"/>
    </row>
    <row r="3" spans="1:18" ht="18.75" x14ac:dyDescent="0.2">
      <c r="B3" s="898"/>
      <c r="C3" s="898"/>
      <c r="D3" s="8"/>
      <c r="E3" s="908" t="s">
        <v>697</v>
      </c>
      <c r="F3" s="908"/>
      <c r="G3" s="908"/>
      <c r="H3" s="908"/>
      <c r="I3" s="908"/>
      <c r="J3" s="908"/>
      <c r="K3" s="908"/>
      <c r="L3" s="908"/>
      <c r="M3" s="908"/>
      <c r="N3" s="22"/>
      <c r="O3" s="22"/>
      <c r="P3" s="22"/>
      <c r="Q3" s="22"/>
    </row>
    <row r="4" spans="1:18" s="166" customFormat="1" ht="21" customHeight="1" x14ac:dyDescent="0.2">
      <c r="A4" s="8"/>
      <c r="B4" s="164"/>
      <c r="C4" s="165"/>
      <c r="D4" s="24"/>
      <c r="E4" s="908" t="s">
        <v>696</v>
      </c>
      <c r="F4" s="909"/>
      <c r="G4" s="909"/>
      <c r="H4" s="909"/>
      <c r="I4" s="909"/>
      <c r="J4" s="909"/>
      <c r="K4" s="909"/>
      <c r="L4" s="909"/>
      <c r="M4" s="909"/>
      <c r="N4" s="8"/>
      <c r="O4" s="8"/>
      <c r="P4" s="8"/>
      <c r="Q4" s="25"/>
      <c r="R4" s="211"/>
    </row>
    <row r="5" spans="1:18" s="82" customFormat="1" ht="12" customHeight="1" x14ac:dyDescent="0.2">
      <c r="A5" s="8"/>
      <c r="B5" s="899">
        <v>22564000000</v>
      </c>
      <c r="C5" s="900"/>
      <c r="D5" s="24"/>
      <c r="E5" s="83"/>
      <c r="F5" s="83"/>
      <c r="G5" s="83"/>
      <c r="H5" s="83"/>
      <c r="I5" s="83"/>
      <c r="J5" s="83"/>
      <c r="K5" s="83"/>
      <c r="L5" s="83"/>
      <c r="M5" s="83"/>
      <c r="N5" s="8"/>
      <c r="O5" s="8"/>
      <c r="P5" s="8"/>
      <c r="Q5" s="25"/>
      <c r="R5" s="211"/>
    </row>
    <row r="6" spans="1:18" s="82" customFormat="1" ht="12" customHeight="1" x14ac:dyDescent="0.2">
      <c r="A6" s="8"/>
      <c r="B6" s="901" t="s">
        <v>538</v>
      </c>
      <c r="C6" s="902"/>
      <c r="D6" s="24"/>
      <c r="E6" s="83"/>
      <c r="F6" s="83"/>
      <c r="G6" s="83"/>
      <c r="H6" s="83"/>
      <c r="I6" s="83"/>
      <c r="J6" s="83"/>
      <c r="K6" s="83"/>
      <c r="L6" s="83"/>
      <c r="M6" s="83"/>
      <c r="N6" s="8"/>
      <c r="O6" s="8"/>
      <c r="P6" s="8"/>
      <c r="Q6" s="25"/>
      <c r="R6" s="211"/>
    </row>
    <row r="7" spans="1:18" ht="21" customHeight="1" thickBot="1" x14ac:dyDescent="0.35">
      <c r="B7" s="23"/>
      <c r="C7" s="23"/>
      <c r="D7" s="24"/>
      <c r="E7" s="21"/>
      <c r="F7" s="21"/>
      <c r="G7" s="21"/>
      <c r="H7" s="21"/>
      <c r="I7" s="21"/>
      <c r="J7" s="21"/>
      <c r="K7" s="21"/>
      <c r="L7" s="21"/>
      <c r="M7" s="21"/>
      <c r="N7" s="8"/>
      <c r="O7" s="8"/>
      <c r="P7" s="8"/>
      <c r="Q7" s="89" t="s">
        <v>434</v>
      </c>
    </row>
    <row r="8" spans="1:18" ht="17.45" customHeight="1" thickTop="1" thickBot="1" x14ac:dyDescent="0.25">
      <c r="A8" s="26"/>
      <c r="B8" s="904" t="s">
        <v>539</v>
      </c>
      <c r="C8" s="905" t="s">
        <v>540</v>
      </c>
      <c r="D8" s="905" t="s">
        <v>420</v>
      </c>
      <c r="E8" s="905" t="s">
        <v>700</v>
      </c>
      <c r="F8" s="904" t="s">
        <v>139</v>
      </c>
      <c r="G8" s="904"/>
      <c r="H8" s="904"/>
      <c r="I8" s="904"/>
      <c r="J8" s="904" t="s">
        <v>140</v>
      </c>
      <c r="K8" s="904"/>
      <c r="L8" s="904"/>
      <c r="M8" s="904"/>
      <c r="N8" s="904" t="s">
        <v>419</v>
      </c>
      <c r="O8" s="904"/>
      <c r="P8" s="904"/>
      <c r="Q8" s="904"/>
    </row>
    <row r="9" spans="1:18" ht="28.5" customHeight="1" thickTop="1" thickBot="1" x14ac:dyDescent="0.25">
      <c r="A9" s="27"/>
      <c r="B9" s="904"/>
      <c r="C9" s="880"/>
      <c r="D9" s="880"/>
      <c r="E9" s="906"/>
      <c r="F9" s="907" t="s">
        <v>416</v>
      </c>
      <c r="G9" s="907" t="s">
        <v>417</v>
      </c>
      <c r="H9" s="910"/>
      <c r="I9" s="907" t="s">
        <v>418</v>
      </c>
      <c r="J9" s="907" t="s">
        <v>416</v>
      </c>
      <c r="K9" s="907" t="s">
        <v>417</v>
      </c>
      <c r="L9" s="910"/>
      <c r="M9" s="907" t="s">
        <v>418</v>
      </c>
      <c r="N9" s="907" t="s">
        <v>416</v>
      </c>
      <c r="O9" s="907" t="s">
        <v>417</v>
      </c>
      <c r="P9" s="910"/>
      <c r="Q9" s="907" t="s">
        <v>418</v>
      </c>
    </row>
    <row r="10" spans="1:18" ht="65.25" customHeight="1" thickTop="1" thickBot="1" x14ac:dyDescent="0.25">
      <c r="A10" s="20"/>
      <c r="B10" s="904"/>
      <c r="C10" s="880"/>
      <c r="D10" s="880"/>
      <c r="E10" s="880"/>
      <c r="F10" s="907"/>
      <c r="G10" s="182" t="s">
        <v>414</v>
      </c>
      <c r="H10" s="182" t="s">
        <v>415</v>
      </c>
      <c r="I10" s="907"/>
      <c r="J10" s="907"/>
      <c r="K10" s="182" t="s">
        <v>414</v>
      </c>
      <c r="L10" s="182" t="s">
        <v>415</v>
      </c>
      <c r="M10" s="907"/>
      <c r="N10" s="907"/>
      <c r="O10" s="182" t="s">
        <v>414</v>
      </c>
      <c r="P10" s="182" t="s">
        <v>415</v>
      </c>
      <c r="Q10" s="907"/>
    </row>
    <row r="11" spans="1:18" ht="15" customHeight="1" thickTop="1" thickBot="1" x14ac:dyDescent="0.25">
      <c r="A11" s="20"/>
      <c r="B11" s="183">
        <v>1</v>
      </c>
      <c r="C11" s="184">
        <v>2</v>
      </c>
      <c r="D11" s="183">
        <v>3</v>
      </c>
      <c r="E11" s="184">
        <v>4</v>
      </c>
      <c r="F11" s="183">
        <v>5</v>
      </c>
      <c r="G11" s="184">
        <v>6</v>
      </c>
      <c r="H11" s="183">
        <v>7</v>
      </c>
      <c r="I11" s="184">
        <v>8</v>
      </c>
      <c r="J11" s="183">
        <v>9</v>
      </c>
      <c r="K11" s="184">
        <v>10</v>
      </c>
      <c r="L11" s="183">
        <v>11</v>
      </c>
      <c r="M11" s="184">
        <v>12</v>
      </c>
      <c r="N11" s="183">
        <v>13</v>
      </c>
      <c r="O11" s="184">
        <v>14</v>
      </c>
      <c r="P11" s="183">
        <v>15</v>
      </c>
      <c r="Q11" s="184">
        <v>16</v>
      </c>
    </row>
    <row r="12" spans="1:18" s="29" customFormat="1" ht="46.5" thickTop="1" thickBot="1" x14ac:dyDescent="0.25">
      <c r="A12" s="28"/>
      <c r="B12" s="603" t="s">
        <v>22</v>
      </c>
      <c r="C12" s="603"/>
      <c r="D12" s="603"/>
      <c r="E12" s="604" t="s">
        <v>23</v>
      </c>
      <c r="F12" s="605">
        <f>F13</f>
        <v>200000</v>
      </c>
      <c r="G12" s="605">
        <f t="shared" ref="G12:Q12" si="0">G13</f>
        <v>223742.2</v>
      </c>
      <c r="H12" s="605">
        <f t="shared" si="0"/>
        <v>0</v>
      </c>
      <c r="I12" s="605">
        <f>I13</f>
        <v>423742.2</v>
      </c>
      <c r="J12" s="605">
        <f t="shared" si="0"/>
        <v>0</v>
      </c>
      <c r="K12" s="605">
        <f t="shared" si="0"/>
        <v>-100000</v>
      </c>
      <c r="L12" s="605">
        <f t="shared" si="0"/>
        <v>0</v>
      </c>
      <c r="M12" s="605">
        <f>M13</f>
        <v>-100000</v>
      </c>
      <c r="N12" s="605">
        <f t="shared" si="0"/>
        <v>200000</v>
      </c>
      <c r="O12" s="605">
        <f t="shared" si="0"/>
        <v>123742.20000000001</v>
      </c>
      <c r="P12" s="605">
        <f t="shared" si="0"/>
        <v>0</v>
      </c>
      <c r="Q12" s="605">
        <f t="shared" si="0"/>
        <v>323742.2</v>
      </c>
      <c r="R12" s="212"/>
    </row>
    <row r="13" spans="1:18" ht="44.25" thickTop="1" thickBot="1" x14ac:dyDescent="0.25">
      <c r="B13" s="606" t="s">
        <v>21</v>
      </c>
      <c r="C13" s="606"/>
      <c r="D13" s="606"/>
      <c r="E13" s="607" t="s">
        <v>37</v>
      </c>
      <c r="F13" s="608">
        <f>F17</f>
        <v>200000</v>
      </c>
      <c r="G13" s="608">
        <f t="shared" ref="G13:H13" si="1">G17</f>
        <v>223742.2</v>
      </c>
      <c r="H13" s="608">
        <f t="shared" si="1"/>
        <v>0</v>
      </c>
      <c r="I13" s="608">
        <f>I17</f>
        <v>423742.2</v>
      </c>
      <c r="J13" s="608">
        <f>J18</f>
        <v>0</v>
      </c>
      <c r="K13" s="608">
        <f>K18+K17+K19</f>
        <v>-100000</v>
      </c>
      <c r="L13" s="608">
        <f t="shared" ref="L13" si="2">L18</f>
        <v>0</v>
      </c>
      <c r="M13" s="608">
        <f>M18+M17+M19</f>
        <v>-100000</v>
      </c>
      <c r="N13" s="608">
        <f>N18+N17+N19</f>
        <v>200000</v>
      </c>
      <c r="O13" s="608">
        <f>O18+O17+O19</f>
        <v>123742.20000000001</v>
      </c>
      <c r="P13" s="608">
        <f>P18+P17+P19</f>
        <v>0</v>
      </c>
      <c r="Q13" s="608">
        <f>Q18+Q17+Q19</f>
        <v>323742.2</v>
      </c>
    </row>
    <row r="14" spans="1:18" s="463" customFormat="1" ht="15.75" thickTop="1" thickBot="1" x14ac:dyDescent="0.25">
      <c r="A14" s="8"/>
      <c r="B14" s="501" t="s">
        <v>1035</v>
      </c>
      <c r="C14" s="501" t="s">
        <v>871</v>
      </c>
      <c r="D14" s="501"/>
      <c r="E14" s="502" t="s">
        <v>1036</v>
      </c>
      <c r="F14" s="499">
        <f>F15</f>
        <v>200000</v>
      </c>
      <c r="G14" s="499">
        <f t="shared" ref="G14:Q15" si="3">G15</f>
        <v>223742.2</v>
      </c>
      <c r="H14" s="499">
        <f t="shared" si="3"/>
        <v>0</v>
      </c>
      <c r="I14" s="499">
        <f t="shared" si="3"/>
        <v>423742.2</v>
      </c>
      <c r="J14" s="499">
        <f t="shared" si="3"/>
        <v>0</v>
      </c>
      <c r="K14" s="499">
        <f t="shared" si="3"/>
        <v>-100000</v>
      </c>
      <c r="L14" s="499">
        <f t="shared" si="3"/>
        <v>0</v>
      </c>
      <c r="M14" s="499">
        <f t="shared" si="3"/>
        <v>-100000</v>
      </c>
      <c r="N14" s="499">
        <f t="shared" si="3"/>
        <v>200000</v>
      </c>
      <c r="O14" s="499">
        <f t="shared" si="3"/>
        <v>123742.20000000001</v>
      </c>
      <c r="P14" s="499">
        <f t="shared" si="3"/>
        <v>0</v>
      </c>
      <c r="Q14" s="499">
        <f t="shared" si="3"/>
        <v>323742.2</v>
      </c>
      <c r="R14" s="211"/>
    </row>
    <row r="15" spans="1:18" s="463" customFormat="1" ht="16.5" thickTop="1" thickBot="1" x14ac:dyDescent="0.25">
      <c r="A15" s="8"/>
      <c r="B15" s="503" t="s">
        <v>1037</v>
      </c>
      <c r="C15" s="503" t="s">
        <v>1038</v>
      </c>
      <c r="D15" s="503"/>
      <c r="E15" s="496" t="s">
        <v>1039</v>
      </c>
      <c r="F15" s="504">
        <f>F16</f>
        <v>200000</v>
      </c>
      <c r="G15" s="504">
        <f t="shared" si="3"/>
        <v>223742.2</v>
      </c>
      <c r="H15" s="504">
        <f t="shared" si="3"/>
        <v>0</v>
      </c>
      <c r="I15" s="504">
        <f t="shared" si="3"/>
        <v>423742.2</v>
      </c>
      <c r="J15" s="504">
        <f t="shared" si="3"/>
        <v>0</v>
      </c>
      <c r="K15" s="504">
        <f t="shared" si="3"/>
        <v>-100000</v>
      </c>
      <c r="L15" s="504">
        <f t="shared" si="3"/>
        <v>0</v>
      </c>
      <c r="M15" s="504">
        <f t="shared" si="3"/>
        <v>-100000</v>
      </c>
      <c r="N15" s="504">
        <f t="shared" si="3"/>
        <v>200000</v>
      </c>
      <c r="O15" s="504">
        <f t="shared" si="3"/>
        <v>123742.20000000001</v>
      </c>
      <c r="P15" s="504">
        <f t="shared" si="3"/>
        <v>0</v>
      </c>
      <c r="Q15" s="504">
        <f t="shared" si="3"/>
        <v>323742.2</v>
      </c>
      <c r="R15" s="211"/>
    </row>
    <row r="16" spans="1:18" s="463" customFormat="1" ht="76.5" thickTop="1" thickBot="1" x14ac:dyDescent="0.25">
      <c r="A16" s="8"/>
      <c r="B16" s="255" t="s">
        <v>1040</v>
      </c>
      <c r="C16" s="498" t="s">
        <v>1041</v>
      </c>
      <c r="D16" s="498"/>
      <c r="E16" s="497" t="s">
        <v>1071</v>
      </c>
      <c r="F16" s="500">
        <f>SUM(F17:F18)</f>
        <v>200000</v>
      </c>
      <c r="G16" s="500">
        <f t="shared" ref="G16:Q16" si="4">SUM(G17:G18)</f>
        <v>223742.2</v>
      </c>
      <c r="H16" s="500">
        <f t="shared" si="4"/>
        <v>0</v>
      </c>
      <c r="I16" s="500">
        <f t="shared" si="4"/>
        <v>423742.2</v>
      </c>
      <c r="J16" s="500">
        <f t="shared" si="4"/>
        <v>0</v>
      </c>
      <c r="K16" s="500">
        <f t="shared" si="4"/>
        <v>-100000</v>
      </c>
      <c r="L16" s="500">
        <f t="shared" si="4"/>
        <v>0</v>
      </c>
      <c r="M16" s="500">
        <f t="shared" si="4"/>
        <v>-100000</v>
      </c>
      <c r="N16" s="500">
        <f t="shared" si="4"/>
        <v>200000</v>
      </c>
      <c r="O16" s="500">
        <f t="shared" si="4"/>
        <v>123742.20000000001</v>
      </c>
      <c r="P16" s="500">
        <f t="shared" si="4"/>
        <v>0</v>
      </c>
      <c r="Q16" s="500">
        <f t="shared" si="4"/>
        <v>323742.2</v>
      </c>
      <c r="R16" s="211"/>
    </row>
    <row r="17" spans="1:18" ht="76.5" thickTop="1" thickBot="1" x14ac:dyDescent="0.25">
      <c r="B17" s="255" t="s">
        <v>496</v>
      </c>
      <c r="C17" s="255" t="s">
        <v>498</v>
      </c>
      <c r="D17" s="255" t="s">
        <v>52</v>
      </c>
      <c r="E17" s="256" t="s">
        <v>1073</v>
      </c>
      <c r="F17" s="257">
        <v>200000</v>
      </c>
      <c r="G17" s="257">
        <f>(100000)+123742.2</f>
        <v>223742.2</v>
      </c>
      <c r="H17" s="257">
        <v>0</v>
      </c>
      <c r="I17" s="257">
        <f>F17+G17</f>
        <v>423742.2</v>
      </c>
      <c r="J17" s="257">
        <v>0</v>
      </c>
      <c r="K17" s="257">
        <v>0</v>
      </c>
      <c r="L17" s="257"/>
      <c r="M17" s="257">
        <f>J17+K17</f>
        <v>0</v>
      </c>
      <c r="N17" s="257">
        <f>F17+J17</f>
        <v>200000</v>
      </c>
      <c r="O17" s="257">
        <f>G17+K17</f>
        <v>223742.2</v>
      </c>
      <c r="P17" s="257"/>
      <c r="Q17" s="257">
        <f>I17+M17</f>
        <v>423742.2</v>
      </c>
    </row>
    <row r="18" spans="1:18" ht="76.5" thickTop="1" thickBot="1" x14ac:dyDescent="0.25">
      <c r="B18" s="255" t="s">
        <v>497</v>
      </c>
      <c r="C18" s="255" t="s">
        <v>499</v>
      </c>
      <c r="D18" s="255" t="s">
        <v>52</v>
      </c>
      <c r="E18" s="256" t="s">
        <v>1072</v>
      </c>
      <c r="F18" s="257"/>
      <c r="G18" s="257">
        <f>H18+I18</f>
        <v>0</v>
      </c>
      <c r="H18" s="257"/>
      <c r="I18" s="257"/>
      <c r="J18" s="257"/>
      <c r="K18" s="257">
        <v>-100000</v>
      </c>
      <c r="L18" s="257"/>
      <c r="M18" s="257">
        <f>J18+K18</f>
        <v>-100000</v>
      </c>
      <c r="N18" s="257">
        <f>F18+J18</f>
        <v>0</v>
      </c>
      <c r="O18" s="257">
        <v>-100000</v>
      </c>
      <c r="P18" s="257"/>
      <c r="Q18" s="257">
        <f>I18+M18</f>
        <v>-100000</v>
      </c>
    </row>
    <row r="19" spans="1:18" s="100" customFormat="1" ht="61.5" hidden="1" thickTop="1" thickBot="1" x14ac:dyDescent="0.25">
      <c r="A19" s="8"/>
      <c r="B19" s="255" t="s">
        <v>553</v>
      </c>
      <c r="C19" s="255" t="s">
        <v>554</v>
      </c>
      <c r="D19" s="255" t="s">
        <v>52</v>
      </c>
      <c r="E19" s="256" t="s">
        <v>552</v>
      </c>
      <c r="F19" s="257"/>
      <c r="G19" s="257"/>
      <c r="H19" s="257"/>
      <c r="I19" s="257"/>
      <c r="J19" s="257"/>
      <c r="K19" s="257"/>
      <c r="L19" s="257"/>
      <c r="M19" s="257">
        <f>J19+K19</f>
        <v>0</v>
      </c>
      <c r="N19" s="257"/>
      <c r="O19" s="257">
        <f>G19+K19</f>
        <v>0</v>
      </c>
      <c r="P19" s="257"/>
      <c r="Q19" s="257">
        <f>I19+M19</f>
        <v>0</v>
      </c>
      <c r="R19" s="211"/>
    </row>
    <row r="20" spans="1:18" ht="27.75" customHeight="1" thickTop="1" thickBot="1" x14ac:dyDescent="0.25">
      <c r="B20" s="258" t="s">
        <v>411</v>
      </c>
      <c r="C20" s="258" t="s">
        <v>411</v>
      </c>
      <c r="D20" s="258" t="s">
        <v>411</v>
      </c>
      <c r="E20" s="259" t="s">
        <v>421</v>
      </c>
      <c r="F20" s="254">
        <f t="shared" ref="F20:M20" si="5">F12</f>
        <v>200000</v>
      </c>
      <c r="G20" s="254">
        <f t="shared" si="5"/>
        <v>223742.2</v>
      </c>
      <c r="H20" s="254">
        <f t="shared" si="5"/>
        <v>0</v>
      </c>
      <c r="I20" s="254">
        <f>I12</f>
        <v>423742.2</v>
      </c>
      <c r="J20" s="254">
        <f t="shared" si="5"/>
        <v>0</v>
      </c>
      <c r="K20" s="254">
        <f t="shared" si="5"/>
        <v>-100000</v>
      </c>
      <c r="L20" s="254">
        <f t="shared" si="5"/>
        <v>0</v>
      </c>
      <c r="M20" s="254">
        <f t="shared" si="5"/>
        <v>-100000</v>
      </c>
      <c r="N20" s="254">
        <f>N17+N18</f>
        <v>200000</v>
      </c>
      <c r="O20" s="254">
        <f>O17+O18</f>
        <v>123742.20000000001</v>
      </c>
      <c r="P20" s="254">
        <f>P17+P18</f>
        <v>0</v>
      </c>
      <c r="Q20" s="254">
        <f>Q17+Q18</f>
        <v>323742.2</v>
      </c>
    </row>
    <row r="21" spans="1:18" s="114" customFormat="1" ht="27.75" customHeight="1" thickTop="1" x14ac:dyDescent="0.25">
      <c r="A21" s="107"/>
      <c r="B21" s="112"/>
      <c r="C21" s="112"/>
      <c r="D21" s="147" t="s">
        <v>1302</v>
      </c>
      <c r="E21" s="148"/>
      <c r="F21" s="148"/>
      <c r="G21" s="148"/>
      <c r="H21" s="147"/>
      <c r="I21" s="140"/>
      <c r="J21" s="140"/>
      <c r="K21" s="147" t="s">
        <v>1303</v>
      </c>
      <c r="L21" s="141"/>
      <c r="M21" s="141"/>
      <c r="N21" s="113"/>
      <c r="O21" s="113"/>
      <c r="P21" s="113"/>
      <c r="Q21" s="113"/>
      <c r="R21" s="213"/>
    </row>
    <row r="22" spans="1:18" s="114" customFormat="1" ht="27.75" customHeight="1" x14ac:dyDescent="0.25">
      <c r="A22" s="107"/>
      <c r="B22" s="112"/>
      <c r="C22" s="121"/>
      <c r="D22" s="147" t="s">
        <v>611</v>
      </c>
      <c r="E22" s="148"/>
      <c r="F22" s="148"/>
      <c r="G22" s="148"/>
      <c r="H22" s="147"/>
      <c r="I22" s="140"/>
      <c r="J22" s="140"/>
      <c r="K22" s="147" t="s">
        <v>612</v>
      </c>
      <c r="L22" s="141"/>
      <c r="M22" s="141"/>
      <c r="N22" s="122"/>
      <c r="O22" s="122"/>
      <c r="P22" s="122"/>
      <c r="Q22" s="113"/>
      <c r="R22" s="213"/>
    </row>
    <row r="23" spans="1:18" ht="39.75" hidden="1" customHeight="1" x14ac:dyDescent="0.25">
      <c r="B23" s="52"/>
      <c r="C23" s="120"/>
      <c r="D23" s="911" t="s">
        <v>614</v>
      </c>
      <c r="E23" s="911"/>
      <c r="F23" s="911"/>
      <c r="G23" s="911"/>
      <c r="H23" s="911"/>
      <c r="I23" s="911"/>
      <c r="J23" s="911"/>
      <c r="K23" s="911"/>
      <c r="L23" s="911"/>
      <c r="M23" s="911"/>
      <c r="N23" s="911"/>
      <c r="O23" s="911"/>
      <c r="P23" s="911"/>
      <c r="Q23" s="53"/>
    </row>
    <row r="24" spans="1:18" ht="15.75" customHeight="1" x14ac:dyDescent="0.25">
      <c r="B24" s="52"/>
      <c r="C24" s="52"/>
      <c r="D24" s="911"/>
      <c r="E24" s="911"/>
      <c r="F24" s="911"/>
      <c r="G24" s="911"/>
      <c r="H24" s="911"/>
      <c r="I24" s="911"/>
      <c r="J24" s="911"/>
      <c r="K24" s="911"/>
      <c r="L24" s="911"/>
      <c r="M24" s="911"/>
      <c r="N24" s="911"/>
      <c r="O24" s="911"/>
      <c r="P24" s="911"/>
      <c r="Q24" s="53"/>
    </row>
    <row r="25" spans="1:18" ht="15" x14ac:dyDescent="0.25">
      <c r="D25" s="911"/>
      <c r="E25" s="911"/>
      <c r="F25" s="911"/>
      <c r="G25" s="911"/>
      <c r="H25" s="911"/>
      <c r="I25" s="911"/>
      <c r="J25" s="911"/>
      <c r="K25" s="911"/>
      <c r="L25" s="911"/>
      <c r="M25" s="911"/>
      <c r="N25" s="911"/>
      <c r="O25" s="911"/>
      <c r="P25" s="911"/>
    </row>
    <row r="26" spans="1:18" ht="15" x14ac:dyDescent="0.25">
      <c r="D26" s="911"/>
      <c r="E26" s="911"/>
      <c r="F26" s="911"/>
      <c r="G26" s="911"/>
      <c r="H26" s="911"/>
      <c r="I26" s="911"/>
      <c r="J26" s="911"/>
      <c r="K26" s="911"/>
      <c r="L26" s="911"/>
      <c r="M26" s="911"/>
      <c r="N26" s="911"/>
      <c r="O26" s="911"/>
      <c r="P26" s="911"/>
    </row>
    <row r="27" spans="1:18" ht="15" x14ac:dyDescent="0.2">
      <c r="D27" s="54"/>
      <c r="E27" s="55"/>
      <c r="F27" s="56"/>
      <c r="G27" s="54">
        <f>H27+I27</f>
        <v>0</v>
      </c>
      <c r="H27" s="54"/>
      <c r="I27" s="57"/>
      <c r="J27" s="55"/>
      <c r="K27" s="57"/>
      <c r="L27" s="54"/>
      <c r="M27" s="54"/>
      <c r="N27" s="57"/>
      <c r="O27" s="58"/>
      <c r="P27" s="59"/>
    </row>
    <row r="28" spans="1:18" ht="15" x14ac:dyDescent="0.25">
      <c r="D28" s="60"/>
      <c r="E28" s="60"/>
      <c r="F28" s="60"/>
      <c r="G28" s="60">
        <f>H28+I28</f>
        <v>0</v>
      </c>
      <c r="H28" s="60"/>
      <c r="I28" s="60"/>
      <c r="J28" s="60"/>
      <c r="K28" s="60"/>
      <c r="L28" s="60"/>
      <c r="M28" s="60"/>
      <c r="N28" s="60"/>
      <c r="O28" s="60"/>
      <c r="P28" s="60"/>
    </row>
    <row r="29" spans="1:18" x14ac:dyDescent="0.2">
      <c r="G29" s="20">
        <f>H29+I29</f>
        <v>0</v>
      </c>
    </row>
    <row r="30" spans="1:18" x14ac:dyDescent="0.2">
      <c r="G30" s="20">
        <f>H30+I30</f>
        <v>0</v>
      </c>
    </row>
    <row r="31" spans="1:18" x14ac:dyDescent="0.2">
      <c r="G31" s="20">
        <f>H31+I31</f>
        <v>0</v>
      </c>
    </row>
    <row r="53" spans="7:7" x14ac:dyDescent="0.2">
      <c r="G53" s="20">
        <f>H53+I53</f>
        <v>0</v>
      </c>
    </row>
    <row r="55" spans="7:7" x14ac:dyDescent="0.2">
      <c r="G55" s="20">
        <f t="shared" ref="G55:G73" si="6">H55+I55</f>
        <v>0</v>
      </c>
    </row>
    <row r="56" spans="7:7" x14ac:dyDescent="0.2">
      <c r="G56" s="20">
        <f t="shared" si="6"/>
        <v>0</v>
      </c>
    </row>
    <row r="57" spans="7:7" x14ac:dyDescent="0.2">
      <c r="G57" s="20">
        <f t="shared" si="6"/>
        <v>0</v>
      </c>
    </row>
    <row r="58" spans="7:7" x14ac:dyDescent="0.2">
      <c r="G58" s="20">
        <f t="shared" si="6"/>
        <v>0</v>
      </c>
    </row>
    <row r="59" spans="7:7" x14ac:dyDescent="0.2">
      <c r="G59" s="20">
        <f t="shared" si="6"/>
        <v>0</v>
      </c>
    </row>
    <row r="60" spans="7:7" x14ac:dyDescent="0.2">
      <c r="G60" s="20">
        <f t="shared" si="6"/>
        <v>0</v>
      </c>
    </row>
    <row r="61" spans="7:7" x14ac:dyDescent="0.2">
      <c r="G61" s="20">
        <f t="shared" si="6"/>
        <v>0</v>
      </c>
    </row>
    <row r="62" spans="7:7" x14ac:dyDescent="0.2">
      <c r="G62" s="20">
        <f t="shared" si="6"/>
        <v>0</v>
      </c>
    </row>
    <row r="63" spans="7:7" x14ac:dyDescent="0.2">
      <c r="G63" s="20">
        <f t="shared" si="6"/>
        <v>0</v>
      </c>
    </row>
    <row r="64" spans="7:7" x14ac:dyDescent="0.2">
      <c r="G64" s="20">
        <f t="shared" si="6"/>
        <v>0</v>
      </c>
    </row>
    <row r="65" spans="7:7" x14ac:dyDescent="0.2">
      <c r="G65" s="20">
        <f t="shared" si="6"/>
        <v>0</v>
      </c>
    </row>
    <row r="66" spans="7:7" x14ac:dyDescent="0.2">
      <c r="G66" s="20">
        <f t="shared" si="6"/>
        <v>0</v>
      </c>
    </row>
    <row r="67" spans="7:7" x14ac:dyDescent="0.2">
      <c r="G67" s="20">
        <f t="shared" si="6"/>
        <v>0</v>
      </c>
    </row>
    <row r="68" spans="7:7" x14ac:dyDescent="0.2">
      <c r="G68" s="20">
        <f t="shared" si="6"/>
        <v>0</v>
      </c>
    </row>
    <row r="69" spans="7:7" x14ac:dyDescent="0.2">
      <c r="G69" s="20">
        <f t="shared" si="6"/>
        <v>0</v>
      </c>
    </row>
    <row r="70" spans="7:7" x14ac:dyDescent="0.2">
      <c r="G70" s="20">
        <f t="shared" si="6"/>
        <v>0</v>
      </c>
    </row>
    <row r="71" spans="7:7" x14ac:dyDescent="0.2">
      <c r="G71" s="20">
        <f t="shared" si="6"/>
        <v>0</v>
      </c>
    </row>
    <row r="72" spans="7:7" x14ac:dyDescent="0.2">
      <c r="G72" s="20">
        <f t="shared" si="6"/>
        <v>0</v>
      </c>
    </row>
    <row r="73" spans="7:7" x14ac:dyDescent="0.2">
      <c r="G73" s="20">
        <f t="shared" si="6"/>
        <v>0</v>
      </c>
    </row>
    <row r="75" spans="7:7" x14ac:dyDescent="0.2">
      <c r="G75" s="20">
        <f>H75+I75</f>
        <v>0</v>
      </c>
    </row>
    <row r="76" spans="7:7" x14ac:dyDescent="0.2">
      <c r="G76" s="20">
        <f>H76+I76</f>
        <v>0</v>
      </c>
    </row>
    <row r="77" spans="7:7" x14ac:dyDescent="0.2">
      <c r="G77" s="20">
        <f>H77+I77</f>
        <v>0</v>
      </c>
    </row>
    <row r="78" spans="7:7" x14ac:dyDescent="0.2">
      <c r="G78" s="20">
        <f>H78+I78</f>
        <v>0</v>
      </c>
    </row>
    <row r="80" spans="7:7" x14ac:dyDescent="0.2">
      <c r="G80" s="20">
        <f>H80+I80</f>
        <v>0</v>
      </c>
    </row>
    <row r="83" spans="7:7" x14ac:dyDescent="0.2">
      <c r="G83" s="903"/>
    </row>
    <row r="84" spans="7:7" x14ac:dyDescent="0.2">
      <c r="G84" s="834"/>
    </row>
    <row r="120" spans="7:7" x14ac:dyDescent="0.2">
      <c r="G120" s="20">
        <f>H120+I120</f>
        <v>0</v>
      </c>
    </row>
    <row r="122" spans="7:7" x14ac:dyDescent="0.2">
      <c r="G122" s="20">
        <f t="shared" ref="G122:G132" si="7">H122+I122</f>
        <v>0</v>
      </c>
    </row>
    <row r="123" spans="7:7" x14ac:dyDescent="0.2">
      <c r="G123" s="20">
        <f t="shared" si="7"/>
        <v>0</v>
      </c>
    </row>
    <row r="124" spans="7:7" x14ac:dyDescent="0.2">
      <c r="G124" s="20">
        <f t="shared" si="7"/>
        <v>0</v>
      </c>
    </row>
    <row r="125" spans="7:7" x14ac:dyDescent="0.2">
      <c r="G125" s="20">
        <f t="shared" si="7"/>
        <v>0</v>
      </c>
    </row>
    <row r="126" spans="7:7" x14ac:dyDescent="0.2">
      <c r="G126" s="20">
        <f t="shared" si="7"/>
        <v>0</v>
      </c>
    </row>
    <row r="127" spans="7:7" x14ac:dyDescent="0.2">
      <c r="G127" s="20">
        <f t="shared" si="7"/>
        <v>0</v>
      </c>
    </row>
    <row r="128" spans="7:7" x14ac:dyDescent="0.2">
      <c r="G128" s="20">
        <f t="shared" si="7"/>
        <v>0</v>
      </c>
    </row>
    <row r="129" spans="7:10" x14ac:dyDescent="0.2">
      <c r="G129" s="20">
        <f t="shared" si="7"/>
        <v>0</v>
      </c>
    </row>
    <row r="130" spans="7:10" x14ac:dyDescent="0.2">
      <c r="G130" s="20">
        <f t="shared" si="7"/>
        <v>0</v>
      </c>
    </row>
    <row r="131" spans="7:10" x14ac:dyDescent="0.2">
      <c r="G131" s="20">
        <f t="shared" si="7"/>
        <v>0</v>
      </c>
    </row>
    <row r="132" spans="7:10" x14ac:dyDescent="0.2">
      <c r="G132" s="20">
        <f t="shared" si="7"/>
        <v>0</v>
      </c>
    </row>
    <row r="134" spans="7:10" x14ac:dyDescent="0.2">
      <c r="G134" s="20">
        <f>H135+I135</f>
        <v>0</v>
      </c>
    </row>
    <row r="135" spans="7:10" x14ac:dyDescent="0.2">
      <c r="G135" s="20">
        <f t="shared" ref="G135" si="8">H135+I135</f>
        <v>0</v>
      </c>
    </row>
    <row r="136" spans="7:10" x14ac:dyDescent="0.2">
      <c r="G136" s="20">
        <f>H136+I136</f>
        <v>0</v>
      </c>
    </row>
    <row r="137" spans="7:10" x14ac:dyDescent="0.2">
      <c r="G137" s="20">
        <f>H137+I137</f>
        <v>0</v>
      </c>
    </row>
    <row r="138" spans="7:10" x14ac:dyDescent="0.2">
      <c r="G138" s="20">
        <f>H138+I138</f>
        <v>0</v>
      </c>
    </row>
    <row r="139" spans="7:10" x14ac:dyDescent="0.2">
      <c r="G139" s="20">
        <f>H139+I139</f>
        <v>0</v>
      </c>
    </row>
    <row r="144" spans="7:10" ht="46.5" x14ac:dyDescent="0.65">
      <c r="J144" s="75"/>
    </row>
    <row r="147" spans="7:10" ht="46.5" x14ac:dyDescent="0.65">
      <c r="G147" s="75">
        <f>H147+I147</f>
        <v>0</v>
      </c>
      <c r="J147" s="75"/>
    </row>
    <row r="166" spans="11:11" ht="90" x14ac:dyDescent="1.1499999999999999">
      <c r="K166" s="73" t="b">
        <f>G166=H166+I166</f>
        <v>1</v>
      </c>
    </row>
  </sheetData>
  <mergeCells count="27">
    <mergeCell ref="O9:P9"/>
    <mergeCell ref="D26:P26"/>
    <mergeCell ref="D23:P23"/>
    <mergeCell ref="D25:P25"/>
    <mergeCell ref="M2:Q2"/>
    <mergeCell ref="E3:M3"/>
    <mergeCell ref="J8:M8"/>
    <mergeCell ref="N8:Q8"/>
    <mergeCell ref="Q9:Q10"/>
    <mergeCell ref="M9:M10"/>
    <mergeCell ref="N9:N10"/>
    <mergeCell ref="J9:J10"/>
    <mergeCell ref="D24:P24"/>
    <mergeCell ref="G9:H9"/>
    <mergeCell ref="K9:L9"/>
    <mergeCell ref="B3:C3"/>
    <mergeCell ref="B5:C5"/>
    <mergeCell ref="B6:C6"/>
    <mergeCell ref="G83:G84"/>
    <mergeCell ref="B8:B10"/>
    <mergeCell ref="C8:C10"/>
    <mergeCell ref="D8:D10"/>
    <mergeCell ref="E8:E10"/>
    <mergeCell ref="F8:I8"/>
    <mergeCell ref="F9:F10"/>
    <mergeCell ref="I9:I10"/>
    <mergeCell ref="E4:M4"/>
  </mergeCells>
  <printOptions horizontalCentered="1"/>
  <pageMargins left="0.19685039370078741" right="0" top="0.59055118110236227" bottom="0.39370078740157483" header="0.31496062992125984" footer="0.31496062992125984"/>
  <pageSetup paperSize="9" scale="55" fitToHeight="0" orientation="landscape" r:id="rId1"/>
  <headerFooter alignWithMargins="0">
    <oddFooter>&amp;R&amp;P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85"/>
  <sheetViews>
    <sheetView view="pageBreakPreview" topLeftCell="B62" zoomScale="70" zoomScaleNormal="25" zoomScaleSheetLayoutView="70" zoomScalePageLayoutView="10" workbookViewId="0">
      <selection activeCell="B70" sqref="B70:D70"/>
    </sheetView>
  </sheetViews>
  <sheetFormatPr defaultColWidth="9.140625" defaultRowHeight="12.75" x14ac:dyDescent="0.2"/>
  <cols>
    <col min="1" max="1" width="62.28515625" style="1" customWidth="1"/>
    <col min="2" max="2" width="49.140625" style="1" customWidth="1"/>
    <col min="3" max="3" width="131.5703125" style="1" customWidth="1"/>
    <col min="4" max="4" width="69.7109375" style="1" customWidth="1"/>
    <col min="5" max="5" width="32.42578125" style="270" customWidth="1"/>
    <col min="6" max="6" width="29.85546875" style="270" customWidth="1"/>
    <col min="7" max="16384" width="9.140625" style="270"/>
  </cols>
  <sheetData>
    <row r="1" spans="1:15" ht="48.75" customHeight="1" x14ac:dyDescent="0.35">
      <c r="B1" s="286"/>
      <c r="C1" s="286"/>
      <c r="D1" s="293" t="s">
        <v>737</v>
      </c>
      <c r="E1" s="287"/>
      <c r="F1" s="287"/>
      <c r="G1" s="287"/>
      <c r="H1" s="287"/>
    </row>
    <row r="2" spans="1:15" ht="84.75" customHeight="1" x14ac:dyDescent="0.35">
      <c r="A2" s="271"/>
      <c r="B2" s="286"/>
      <c r="C2" s="286"/>
      <c r="D2" s="293" t="s">
        <v>1291</v>
      </c>
      <c r="E2" s="287"/>
      <c r="F2" s="287"/>
      <c r="G2" s="287"/>
      <c r="H2" s="287"/>
    </row>
    <row r="3" spans="1:15" ht="40.700000000000003" customHeight="1" x14ac:dyDescent="0.2">
      <c r="A3" s="271"/>
      <c r="B3" s="271"/>
      <c r="C3" s="279"/>
      <c r="D3" s="272"/>
      <c r="N3" s="869"/>
      <c r="O3" s="869"/>
    </row>
    <row r="4" spans="1:15" ht="45.75" hidden="1" x14ac:dyDescent="0.2">
      <c r="A4" s="271"/>
      <c r="B4" s="271"/>
      <c r="C4" s="279"/>
      <c r="D4" s="272"/>
      <c r="N4" s="869"/>
      <c r="O4" s="871"/>
    </row>
    <row r="5" spans="1:15" ht="45.75" x14ac:dyDescent="0.2">
      <c r="A5" s="872" t="s">
        <v>703</v>
      </c>
      <c r="B5" s="872"/>
      <c r="C5" s="872"/>
      <c r="D5" s="872"/>
      <c r="N5" s="869"/>
      <c r="O5" s="871"/>
    </row>
    <row r="6" spans="1:15" ht="45" x14ac:dyDescent="0.2">
      <c r="A6" s="872" t="s">
        <v>626</v>
      </c>
      <c r="B6" s="872"/>
      <c r="C6" s="872"/>
      <c r="D6" s="872"/>
    </row>
    <row r="7" spans="1:15" ht="45" x14ac:dyDescent="0.2">
      <c r="A7" s="872"/>
      <c r="B7" s="872"/>
      <c r="C7" s="872"/>
      <c r="D7" s="872"/>
    </row>
    <row r="8" spans="1:15" ht="45.75" x14ac:dyDescent="0.65">
      <c r="A8" s="873">
        <v>22564000000</v>
      </c>
      <c r="B8" s="838"/>
      <c r="C8" s="838"/>
      <c r="D8" s="838"/>
    </row>
    <row r="9" spans="1:15" ht="45.75" x14ac:dyDescent="0.2">
      <c r="A9" s="878" t="s">
        <v>538</v>
      </c>
      <c r="B9" s="838"/>
      <c r="C9" s="838"/>
      <c r="D9" s="838"/>
    </row>
    <row r="10" spans="1:15" s="274" customFormat="1" ht="45.75" x14ac:dyDescent="0.2">
      <c r="A10" s="281"/>
      <c r="B10" s="275"/>
      <c r="C10" s="275"/>
      <c r="D10" s="275"/>
    </row>
    <row r="11" spans="1:15" ht="53.45" customHeight="1" x14ac:dyDescent="0.2">
      <c r="A11" s="872" t="s">
        <v>741</v>
      </c>
      <c r="B11" s="870"/>
      <c r="C11" s="870"/>
      <c r="D11" s="870"/>
    </row>
    <row r="12" spans="1:15" s="274" customFormat="1" ht="45" x14ac:dyDescent="0.2">
      <c r="A12" s="280"/>
      <c r="B12" s="278"/>
      <c r="C12" s="278"/>
      <c r="D12" s="278"/>
    </row>
    <row r="13" spans="1:15" s="274" customFormat="1" ht="53.45" customHeight="1" thickBot="1" x14ac:dyDescent="0.25">
      <c r="A13" s="280"/>
      <c r="B13" s="280"/>
      <c r="C13" s="280"/>
      <c r="D13" s="6" t="s">
        <v>434</v>
      </c>
    </row>
    <row r="14" spans="1:15" ht="140.25" customHeight="1" thickTop="1" thickBot="1" x14ac:dyDescent="0.25">
      <c r="A14" s="250" t="s">
        <v>743</v>
      </c>
      <c r="B14" s="916" t="s">
        <v>742</v>
      </c>
      <c r="C14" s="917"/>
      <c r="D14" s="250" t="s">
        <v>413</v>
      </c>
    </row>
    <row r="15" spans="1:15" s="2" customFormat="1" ht="47.25" thickTop="1" thickBot="1" x14ac:dyDescent="0.25">
      <c r="A15" s="284" t="s">
        <v>2</v>
      </c>
      <c r="B15" s="918" t="s">
        <v>3</v>
      </c>
      <c r="C15" s="917"/>
      <c r="D15" s="284" t="s">
        <v>14</v>
      </c>
    </row>
    <row r="16" spans="1:15" s="2" customFormat="1" ht="66.75" customHeight="1" thickTop="1" thickBot="1" x14ac:dyDescent="0.25">
      <c r="A16" s="913" t="s">
        <v>744</v>
      </c>
      <c r="B16" s="914"/>
      <c r="C16" s="914"/>
      <c r="D16" s="915"/>
    </row>
    <row r="17" spans="1:4" s="2" customFormat="1" ht="47.25" thickTop="1" thickBot="1" x14ac:dyDescent="0.25">
      <c r="A17" s="290" t="s">
        <v>755</v>
      </c>
      <c r="B17" s="919" t="s">
        <v>473</v>
      </c>
      <c r="C17" s="920"/>
      <c r="D17" s="298">
        <v>623112400</v>
      </c>
    </row>
    <row r="18" spans="1:4" s="2" customFormat="1" ht="47.25" thickTop="1" thickBot="1" x14ac:dyDescent="0.25">
      <c r="A18" s="290" t="s">
        <v>754</v>
      </c>
      <c r="B18" s="919" t="s">
        <v>776</v>
      </c>
      <c r="C18" s="921"/>
      <c r="D18" s="292">
        <v>623112400</v>
      </c>
    </row>
    <row r="19" spans="1:4" s="2" customFormat="1" ht="47.25" thickTop="1" thickBot="1" x14ac:dyDescent="0.25">
      <c r="A19" s="709" t="s">
        <v>1074</v>
      </c>
      <c r="B19" s="922" t="s">
        <v>702</v>
      </c>
      <c r="C19" s="923"/>
      <c r="D19" s="234">
        <f>D17</f>
        <v>623112400</v>
      </c>
    </row>
    <row r="20" spans="1:4" s="2" customFormat="1" ht="85.5" customHeight="1" thickTop="1" thickBot="1" x14ac:dyDescent="0.25">
      <c r="A20" s="290" t="s">
        <v>768</v>
      </c>
      <c r="B20" s="919" t="s">
        <v>373</v>
      </c>
      <c r="C20" s="921"/>
      <c r="D20" s="298">
        <f>D21</f>
        <v>12117934</v>
      </c>
    </row>
    <row r="21" spans="1:4" s="2" customFormat="1" ht="193.5" customHeight="1" thickTop="1" thickBot="1" x14ac:dyDescent="0.25">
      <c r="A21" s="290" t="s">
        <v>769</v>
      </c>
      <c r="B21" s="919" t="s">
        <v>777</v>
      </c>
      <c r="C21" s="921"/>
      <c r="D21" s="298">
        <v>12117934</v>
      </c>
    </row>
    <row r="22" spans="1:4" s="2" customFormat="1" ht="66.75" customHeight="1" thickTop="1" thickBot="1" x14ac:dyDescent="0.25">
      <c r="A22" s="233" t="s">
        <v>766</v>
      </c>
      <c r="B22" s="922" t="s">
        <v>767</v>
      </c>
      <c r="C22" s="923"/>
      <c r="D22" s="294">
        <f>D20</f>
        <v>12117934</v>
      </c>
    </row>
    <row r="23" spans="1:4" s="2" customFormat="1" ht="66.75" customHeight="1" thickTop="1" thickBot="1" x14ac:dyDescent="0.25">
      <c r="A23" s="290" t="s">
        <v>770</v>
      </c>
      <c r="B23" s="919" t="s">
        <v>771</v>
      </c>
      <c r="C23" s="921"/>
      <c r="D23" s="298">
        <f>D24+D25+D28+D27+D26</f>
        <v>26286299</v>
      </c>
    </row>
    <row r="24" spans="1:4" s="2" customFormat="1" ht="142.5" customHeight="1" thickTop="1" thickBot="1" x14ac:dyDescent="0.25">
      <c r="A24" s="290" t="s">
        <v>772</v>
      </c>
      <c r="B24" s="919" t="s">
        <v>773</v>
      </c>
      <c r="C24" s="921"/>
      <c r="D24" s="292">
        <v>7340558</v>
      </c>
    </row>
    <row r="25" spans="1:4" s="2" customFormat="1" ht="136.5" customHeight="1" thickTop="1" thickBot="1" x14ac:dyDescent="0.25">
      <c r="A25" s="290" t="s">
        <v>774</v>
      </c>
      <c r="B25" s="919" t="s">
        <v>773</v>
      </c>
      <c r="C25" s="921"/>
      <c r="D25" s="298">
        <v>7118182</v>
      </c>
    </row>
    <row r="26" spans="1:4" s="2" customFormat="1" ht="196.5" customHeight="1" thickTop="1" thickBot="1" x14ac:dyDescent="0.25">
      <c r="A26" s="290" t="s">
        <v>1249</v>
      </c>
      <c r="B26" s="919" t="s">
        <v>1250</v>
      </c>
      <c r="C26" s="921"/>
      <c r="D26" s="298">
        <v>1648625</v>
      </c>
    </row>
    <row r="27" spans="1:4" s="2" customFormat="1" ht="47.25" thickTop="1" thickBot="1" x14ac:dyDescent="0.25">
      <c r="A27" s="290">
        <v>41053900</v>
      </c>
      <c r="B27" s="919" t="s">
        <v>393</v>
      </c>
      <c r="C27" s="921"/>
      <c r="D27" s="298">
        <v>707334</v>
      </c>
    </row>
    <row r="28" spans="1:4" s="2" customFormat="1" ht="149.25" customHeight="1" thickTop="1" thickBot="1" x14ac:dyDescent="0.25">
      <c r="A28" s="290" t="s">
        <v>775</v>
      </c>
      <c r="B28" s="919" t="s">
        <v>778</v>
      </c>
      <c r="C28" s="921"/>
      <c r="D28" s="298">
        <f>9137200+334400</f>
        <v>9471600</v>
      </c>
    </row>
    <row r="29" spans="1:4" s="2" customFormat="1" ht="66.75" customHeight="1" thickTop="1" thickBot="1" x14ac:dyDescent="0.25">
      <c r="A29" s="233" t="s">
        <v>766</v>
      </c>
      <c r="B29" s="922" t="s">
        <v>767</v>
      </c>
      <c r="C29" s="923"/>
      <c r="D29" s="294">
        <f>D23</f>
        <v>26286299</v>
      </c>
    </row>
    <row r="30" spans="1:4" ht="61.5" customHeight="1" thickTop="1" thickBot="1" x14ac:dyDescent="0.25">
      <c r="A30" s="913" t="s">
        <v>745</v>
      </c>
      <c r="B30" s="914"/>
      <c r="C30" s="914"/>
      <c r="D30" s="915"/>
    </row>
    <row r="31" spans="1:4" ht="47.25" thickTop="1" thickBot="1" x14ac:dyDescent="0.25">
      <c r="A31" s="290" t="s">
        <v>770</v>
      </c>
      <c r="B31" s="919" t="s">
        <v>771</v>
      </c>
      <c r="C31" s="921"/>
      <c r="D31" s="298">
        <f>D32+D33</f>
        <v>21700000</v>
      </c>
    </row>
    <row r="32" spans="1:4" s="699" customFormat="1" ht="165.75" customHeight="1" thickTop="1" thickBot="1" x14ac:dyDescent="0.25">
      <c r="A32" s="290" t="s">
        <v>1251</v>
      </c>
      <c r="B32" s="919" t="s">
        <v>1254</v>
      </c>
      <c r="C32" s="921"/>
      <c r="D32" s="298">
        <v>1700000</v>
      </c>
    </row>
    <row r="33" spans="1:6" s="699" customFormat="1" ht="118.5" customHeight="1" thickTop="1" thickBot="1" x14ac:dyDescent="0.25">
      <c r="A33" s="290">
        <v>41053900</v>
      </c>
      <c r="B33" s="919" t="s">
        <v>1255</v>
      </c>
      <c r="C33" s="921"/>
      <c r="D33" s="298">
        <v>20000000</v>
      </c>
    </row>
    <row r="34" spans="1:6" s="699" customFormat="1" ht="47.25" thickTop="1" thickBot="1" x14ac:dyDescent="0.25">
      <c r="A34" s="705" t="s">
        <v>766</v>
      </c>
      <c r="B34" s="922" t="s">
        <v>767</v>
      </c>
      <c r="C34" s="923"/>
      <c r="D34" s="700">
        <f>D31</f>
        <v>21700000</v>
      </c>
    </row>
    <row r="35" spans="1:6" ht="81" customHeight="1" thickTop="1" thickBot="1" x14ac:dyDescent="0.25">
      <c r="A35" s="667" t="s">
        <v>411</v>
      </c>
      <c r="B35" s="924" t="s">
        <v>746</v>
      </c>
      <c r="C35" s="925"/>
      <c r="D35" s="668">
        <f>D36+D37</f>
        <v>683216633</v>
      </c>
      <c r="E35" s="702" t="b">
        <f>D35='d1'!C97</f>
        <v>1</v>
      </c>
    </row>
    <row r="36" spans="1:6" s="274" customFormat="1" ht="47.25" thickTop="1" thickBot="1" x14ac:dyDescent="0.25">
      <c r="A36" s="284" t="s">
        <v>411</v>
      </c>
      <c r="B36" s="922" t="s">
        <v>416</v>
      </c>
      <c r="C36" s="923"/>
      <c r="D36" s="282">
        <f>D29+D22+D19</f>
        <v>661516633</v>
      </c>
      <c r="E36" s="702" t="b">
        <f>D36='d1'!D97</f>
        <v>1</v>
      </c>
    </row>
    <row r="37" spans="1:6" s="274" customFormat="1" ht="47.25" thickTop="1" thickBot="1" x14ac:dyDescent="0.25">
      <c r="A37" s="284" t="s">
        <v>411</v>
      </c>
      <c r="B37" s="922" t="s">
        <v>417</v>
      </c>
      <c r="C37" s="923"/>
      <c r="D37" s="282">
        <f>D34</f>
        <v>21700000</v>
      </c>
      <c r="E37" s="702" t="b">
        <f>D37='d1'!E97</f>
        <v>1</v>
      </c>
    </row>
    <row r="38" spans="1:6" s="274" customFormat="1" ht="31.7" customHeight="1" thickTop="1" x14ac:dyDescent="0.2">
      <c r="A38" s="276"/>
      <c r="B38" s="277"/>
      <c r="C38" s="277"/>
      <c r="D38" s="277"/>
    </row>
    <row r="39" spans="1:6" s="274" customFormat="1" ht="31.7" customHeight="1" x14ac:dyDescent="0.2">
      <c r="A39" s="276"/>
      <c r="B39" s="277"/>
      <c r="C39" s="277"/>
      <c r="D39" s="277"/>
    </row>
    <row r="40" spans="1:6" s="274" customFormat="1" ht="60" customHeight="1" x14ac:dyDescent="0.2">
      <c r="A40" s="872" t="s">
        <v>747</v>
      </c>
      <c r="B40" s="870"/>
      <c r="C40" s="870"/>
      <c r="D40" s="870"/>
    </row>
    <row r="41" spans="1:6" s="274" customFormat="1" ht="45" x14ac:dyDescent="0.2">
      <c r="A41" s="280"/>
      <c r="B41" s="278"/>
      <c r="C41" s="278"/>
      <c r="D41" s="278"/>
    </row>
    <row r="42" spans="1:6" s="274" customFormat="1" ht="54" customHeight="1" thickBot="1" x14ac:dyDescent="0.25">
      <c r="A42" s="276"/>
      <c r="B42" s="277"/>
      <c r="C42" s="277"/>
      <c r="D42" s="6" t="s">
        <v>434</v>
      </c>
    </row>
    <row r="43" spans="1:6" s="274" customFormat="1" ht="325.5" customHeight="1" thickTop="1" thickBot="1" x14ac:dyDescent="0.25">
      <c r="A43" s="250" t="s">
        <v>748</v>
      </c>
      <c r="B43" s="285" t="s">
        <v>540</v>
      </c>
      <c r="C43" s="250" t="s">
        <v>749</v>
      </c>
      <c r="D43" s="250" t="s">
        <v>413</v>
      </c>
    </row>
    <row r="44" spans="1:6" s="274" customFormat="1" ht="50.25" customHeight="1" thickTop="1" thickBot="1" x14ac:dyDescent="0.25">
      <c r="A44" s="284" t="s">
        <v>2</v>
      </c>
      <c r="B44" s="284" t="s">
        <v>3</v>
      </c>
      <c r="C44" s="284"/>
      <c r="D44" s="284" t="s">
        <v>14</v>
      </c>
    </row>
    <row r="45" spans="1:6" s="274" customFormat="1" ht="65.25" customHeight="1" thickTop="1" thickBot="1" x14ac:dyDescent="0.25">
      <c r="A45" s="913" t="s">
        <v>750</v>
      </c>
      <c r="B45" s="914"/>
      <c r="C45" s="914"/>
      <c r="D45" s="915"/>
    </row>
    <row r="46" spans="1:6" s="274" customFormat="1" ht="230.25" thickTop="1" thickBot="1" x14ac:dyDescent="0.25">
      <c r="A46" s="290" t="s">
        <v>266</v>
      </c>
      <c r="B46" s="290" t="s">
        <v>267</v>
      </c>
      <c r="C46" s="291" t="s">
        <v>479</v>
      </c>
      <c r="D46" s="292">
        <f>SUM(D47:D48)</f>
        <v>300000</v>
      </c>
      <c r="E46" s="283" t="b">
        <f>D46='d3'!E37</f>
        <v>1</v>
      </c>
      <c r="F46" s="2"/>
    </row>
    <row r="47" spans="1:6" s="274" customFormat="1" ht="93" thickTop="1" thickBot="1" x14ac:dyDescent="0.25">
      <c r="A47" s="233" t="s">
        <v>701</v>
      </c>
      <c r="B47" s="233"/>
      <c r="C47" s="288" t="s">
        <v>707</v>
      </c>
      <c r="D47" s="234">
        <v>150000</v>
      </c>
      <c r="E47" s="2"/>
      <c r="F47" s="2"/>
    </row>
    <row r="48" spans="1:6" s="274" customFormat="1" ht="93" thickTop="1" thickBot="1" x14ac:dyDescent="0.25">
      <c r="A48" s="233" t="s">
        <v>708</v>
      </c>
      <c r="B48" s="233"/>
      <c r="C48" s="288" t="s">
        <v>709</v>
      </c>
      <c r="D48" s="234">
        <v>150000</v>
      </c>
      <c r="E48" s="2"/>
      <c r="F48" s="2"/>
    </row>
    <row r="49" spans="1:6" s="274" customFormat="1" ht="47.25" thickTop="1" thickBot="1" x14ac:dyDescent="0.25">
      <c r="A49" s="290" t="s">
        <v>704</v>
      </c>
      <c r="B49" s="290" t="s">
        <v>392</v>
      </c>
      <c r="C49" s="291" t="s">
        <v>393</v>
      </c>
      <c r="D49" s="292">
        <f>SUM(D50)</f>
        <v>120100</v>
      </c>
      <c r="E49" s="283" t="b">
        <f>D49='d3'!E38</f>
        <v>1</v>
      </c>
      <c r="F49" s="2"/>
    </row>
    <row r="50" spans="1:6" s="274" customFormat="1" ht="47.25" thickTop="1" thickBot="1" x14ac:dyDescent="0.25">
      <c r="A50" s="233" t="s">
        <v>705</v>
      </c>
      <c r="B50" s="233"/>
      <c r="C50" s="288" t="s">
        <v>706</v>
      </c>
      <c r="D50" s="234">
        <v>120100</v>
      </c>
      <c r="E50" s="2"/>
      <c r="F50" s="2"/>
    </row>
    <row r="51" spans="1:6" s="656" customFormat="1" ht="184.5" thickTop="1" thickBot="1" x14ac:dyDescent="0.25">
      <c r="A51" s="290" t="s">
        <v>563</v>
      </c>
      <c r="B51" s="290" t="s">
        <v>564</v>
      </c>
      <c r="C51" s="291" t="s">
        <v>565</v>
      </c>
      <c r="D51" s="292">
        <f>D52</f>
        <v>2700000</v>
      </c>
      <c r="E51" s="659" t="b">
        <f>D51='d3'!E39</f>
        <v>1</v>
      </c>
      <c r="F51" s="2"/>
    </row>
    <row r="52" spans="1:6" s="656" customFormat="1" ht="47.25" thickTop="1" thickBot="1" x14ac:dyDescent="0.25">
      <c r="A52" s="664" t="s">
        <v>1074</v>
      </c>
      <c r="B52" s="664"/>
      <c r="C52" s="288" t="s">
        <v>702</v>
      </c>
      <c r="D52" s="234">
        <f>500000+400000+80000+400000+80000+60000+200000+80000+300000+500000+100000</f>
        <v>2700000</v>
      </c>
      <c r="E52" s="2"/>
      <c r="F52" s="2"/>
    </row>
    <row r="53" spans="1:6" s="274" customFormat="1" ht="47.25" thickTop="1" thickBot="1" x14ac:dyDescent="0.25">
      <c r="A53" s="290" t="s">
        <v>727</v>
      </c>
      <c r="B53" s="290" t="s">
        <v>392</v>
      </c>
      <c r="C53" s="291" t="s">
        <v>393</v>
      </c>
      <c r="D53" s="292">
        <f>SUM(D54)</f>
        <v>558137</v>
      </c>
      <c r="E53" s="283" t="b">
        <f>D53='d3'!E148</f>
        <v>1</v>
      </c>
      <c r="F53" s="2"/>
    </row>
    <row r="54" spans="1:6" s="274" customFormat="1" ht="93" thickTop="1" thickBot="1" x14ac:dyDescent="0.25">
      <c r="A54" s="233" t="s">
        <v>710</v>
      </c>
      <c r="B54" s="233"/>
      <c r="C54" s="288" t="s">
        <v>711</v>
      </c>
      <c r="D54" s="234">
        <v>558137</v>
      </c>
      <c r="E54" s="2"/>
      <c r="F54" s="2"/>
    </row>
    <row r="55" spans="1:6" s="557" customFormat="1" ht="47.25" thickTop="1" thickBot="1" x14ac:dyDescent="0.25">
      <c r="A55" s="562" t="s">
        <v>1126</v>
      </c>
      <c r="B55" s="562" t="s">
        <v>392</v>
      </c>
      <c r="C55" s="563" t="s">
        <v>393</v>
      </c>
      <c r="D55" s="564">
        <f>SUM(D56)</f>
        <v>700000</v>
      </c>
      <c r="E55" s="659" t="b">
        <f>D55='d3'!E270</f>
        <v>1</v>
      </c>
      <c r="F55" s="2"/>
    </row>
    <row r="56" spans="1:6" s="557" customFormat="1" ht="47.25" thickTop="1" thickBot="1" x14ac:dyDescent="0.25">
      <c r="A56" s="560" t="s">
        <v>766</v>
      </c>
      <c r="B56" s="560"/>
      <c r="C56" s="565" t="s">
        <v>767</v>
      </c>
      <c r="D56" s="566">
        <v>700000</v>
      </c>
      <c r="E56" s="2"/>
      <c r="F56" s="2"/>
    </row>
    <row r="57" spans="1:6" s="274" customFormat="1" ht="47.25" thickTop="1" thickBot="1" x14ac:dyDescent="0.25">
      <c r="A57" s="290" t="s">
        <v>752</v>
      </c>
      <c r="B57" s="290" t="s">
        <v>753</v>
      </c>
      <c r="C57" s="291" t="s">
        <v>490</v>
      </c>
      <c r="D57" s="292">
        <f>SUM(D58)</f>
        <v>73303900</v>
      </c>
      <c r="E57" s="659" t="b">
        <f>D57='d3'!E303</f>
        <v>1</v>
      </c>
      <c r="F57" s="2"/>
    </row>
    <row r="58" spans="1:6" s="274" customFormat="1" ht="47.25" thickTop="1" thickBot="1" x14ac:dyDescent="0.25">
      <c r="A58" s="233" t="s">
        <v>1074</v>
      </c>
      <c r="B58" s="233"/>
      <c r="C58" s="288" t="s">
        <v>702</v>
      </c>
      <c r="D58" s="234">
        <v>73303900</v>
      </c>
      <c r="E58" s="2"/>
      <c r="F58" s="2"/>
    </row>
    <row r="59" spans="1:6" s="274" customFormat="1" ht="77.25" customHeight="1" thickTop="1" thickBot="1" x14ac:dyDescent="0.25">
      <c r="A59" s="913" t="s">
        <v>751</v>
      </c>
      <c r="B59" s="914"/>
      <c r="C59" s="914"/>
      <c r="D59" s="915"/>
      <c r="E59" s="2"/>
      <c r="F59" s="2"/>
    </row>
    <row r="60" spans="1:6" s="656" customFormat="1" ht="205.5" customHeight="1" thickTop="1" thickBot="1" x14ac:dyDescent="0.25">
      <c r="A60" s="290" t="s">
        <v>563</v>
      </c>
      <c r="B60" s="290" t="s">
        <v>564</v>
      </c>
      <c r="C60" s="291" t="s">
        <v>565</v>
      </c>
      <c r="D60" s="564">
        <f>D61</f>
        <v>960000</v>
      </c>
      <c r="E60" s="659" t="b">
        <f>D60='d3'!J39</f>
        <v>1</v>
      </c>
      <c r="F60" s="2"/>
    </row>
    <row r="61" spans="1:6" s="656" customFormat="1" ht="77.25" customHeight="1" thickTop="1" thickBot="1" x14ac:dyDescent="0.25">
      <c r="A61" s="664" t="s">
        <v>1074</v>
      </c>
      <c r="B61" s="664"/>
      <c r="C61" s="288" t="s">
        <v>702</v>
      </c>
      <c r="D61" s="234">
        <f>80000+300000+500000+80000</f>
        <v>960000</v>
      </c>
      <c r="E61" s="2"/>
      <c r="F61" s="2"/>
    </row>
    <row r="62" spans="1:6" s="274" customFormat="1" ht="47.25" thickTop="1" thickBot="1" x14ac:dyDescent="0.25">
      <c r="A62" s="562" t="s">
        <v>1126</v>
      </c>
      <c r="B62" s="562" t="s">
        <v>392</v>
      </c>
      <c r="C62" s="563" t="s">
        <v>393</v>
      </c>
      <c r="D62" s="564">
        <f>SUM(D63)</f>
        <v>1000000</v>
      </c>
      <c r="E62" s="659" t="b">
        <f>D62='d3'!J270</f>
        <v>1</v>
      </c>
      <c r="F62" s="2"/>
    </row>
    <row r="63" spans="1:6" s="557" customFormat="1" ht="47.25" thickTop="1" thickBot="1" x14ac:dyDescent="0.25">
      <c r="A63" s="560" t="s">
        <v>766</v>
      </c>
      <c r="B63" s="560"/>
      <c r="C63" s="565" t="s">
        <v>767</v>
      </c>
      <c r="D63" s="566">
        <v>1000000</v>
      </c>
      <c r="E63" s="2"/>
      <c r="F63" s="2"/>
    </row>
    <row r="64" spans="1:6" s="274" customFormat="1" ht="84.75" customHeight="1" thickTop="1" thickBot="1" x14ac:dyDescent="0.25">
      <c r="A64" s="667" t="s">
        <v>411</v>
      </c>
      <c r="B64" s="667" t="s">
        <v>411</v>
      </c>
      <c r="C64" s="669" t="s">
        <v>746</v>
      </c>
      <c r="D64" s="668">
        <f>D53+D49+D46+D57+D55+D62+D51+D60</f>
        <v>79642137</v>
      </c>
      <c r="E64" s="659" t="b">
        <f>D64=D65+D66</f>
        <v>1</v>
      </c>
      <c r="F64" s="656"/>
    </row>
    <row r="65" spans="1:9" ht="47.25" thickTop="1" thickBot="1" x14ac:dyDescent="0.25">
      <c r="A65" s="284" t="s">
        <v>411</v>
      </c>
      <c r="B65" s="284" t="s">
        <v>411</v>
      </c>
      <c r="C65" s="289" t="s">
        <v>416</v>
      </c>
      <c r="D65" s="282">
        <f>'d3'!E301+'d3'!E268+'d3'!E146+'d3'!E35</f>
        <v>77682137</v>
      </c>
      <c r="E65" s="559" t="b">
        <f>D65=D46+D49+D53+D55+D57+D51</f>
        <v>1</v>
      </c>
      <c r="F65" s="2"/>
    </row>
    <row r="66" spans="1:9" s="274" customFormat="1" ht="47.25" thickTop="1" thickBot="1" x14ac:dyDescent="0.25">
      <c r="A66" s="284" t="s">
        <v>411</v>
      </c>
      <c r="B66" s="284" t="s">
        <v>411</v>
      </c>
      <c r="C66" s="289" t="s">
        <v>417</v>
      </c>
      <c r="D66" s="282">
        <f>'d3'!J35+'d3'!J146+'d3'!J268+'d3'!J301</f>
        <v>1960000</v>
      </c>
      <c r="E66" s="559" t="b">
        <f>D66=D62+D60</f>
        <v>1</v>
      </c>
      <c r="F66" s="2"/>
    </row>
    <row r="67" spans="1:9" s="274" customFormat="1" ht="31.7" customHeight="1" thickTop="1" x14ac:dyDescent="0.2">
      <c r="A67" s="276"/>
      <c r="B67" s="277"/>
      <c r="C67" s="277"/>
      <c r="D67" s="277"/>
    </row>
    <row r="68" spans="1:9" s="274" customFormat="1" ht="31.7" customHeight="1" x14ac:dyDescent="0.2">
      <c r="A68" s="276"/>
      <c r="B68" s="277"/>
      <c r="C68" s="277"/>
      <c r="D68" s="277"/>
    </row>
    <row r="69" spans="1:9" s="274" customFormat="1" ht="31.7" customHeight="1" x14ac:dyDescent="0.2">
      <c r="A69" s="276"/>
      <c r="B69" s="277"/>
      <c r="C69" s="277"/>
      <c r="D69" s="277"/>
    </row>
    <row r="70" spans="1:9" ht="45" customHeight="1" x14ac:dyDescent="0.65">
      <c r="A70" s="273"/>
      <c r="B70" s="146" t="s">
        <v>1302</v>
      </c>
      <c r="C70" s="146"/>
      <c r="D70" s="146" t="s">
        <v>1303</v>
      </c>
      <c r="E70" s="148"/>
      <c r="F70" s="147"/>
      <c r="G70" s="140"/>
      <c r="H70" s="140"/>
      <c r="I70" s="147"/>
    </row>
    <row r="71" spans="1:9" ht="61.5" customHeight="1" x14ac:dyDescent="0.65">
      <c r="A71" s="271"/>
      <c r="B71" s="839"/>
      <c r="C71" s="839"/>
      <c r="D71" s="839"/>
    </row>
    <row r="72" spans="1:9" ht="45.75" x14ac:dyDescent="0.65">
      <c r="B72" s="146" t="s">
        <v>611</v>
      </c>
      <c r="C72" s="146"/>
      <c r="D72" s="146" t="s">
        <v>612</v>
      </c>
    </row>
    <row r="73" spans="1:9" ht="45.75" x14ac:dyDescent="0.65">
      <c r="B73" s="839"/>
      <c r="C73" s="839"/>
      <c r="D73" s="839"/>
    </row>
    <row r="76" spans="1:9" x14ac:dyDescent="0.2">
      <c r="A76" s="270"/>
      <c r="B76" s="270"/>
      <c r="C76" s="274"/>
    </row>
    <row r="78" spans="1:9" x14ac:dyDescent="0.2">
      <c r="A78" s="270"/>
      <c r="B78" s="270"/>
      <c r="C78" s="274"/>
    </row>
    <row r="82" spans="1:4" x14ac:dyDescent="0.2">
      <c r="A82" s="270"/>
      <c r="B82" s="270"/>
      <c r="C82" s="274"/>
      <c r="D82" s="270"/>
    </row>
    <row r="83" spans="1:4" x14ac:dyDescent="0.2">
      <c r="A83" s="270"/>
      <c r="B83" s="270"/>
      <c r="C83" s="274"/>
      <c r="D83" s="270"/>
    </row>
    <row r="84" spans="1:4" x14ac:dyDescent="0.2">
      <c r="A84" s="270"/>
      <c r="B84" s="270"/>
      <c r="C84" s="274"/>
      <c r="D84" s="270"/>
    </row>
    <row r="85" spans="1:4" x14ac:dyDescent="0.2">
      <c r="A85" s="270"/>
      <c r="B85" s="270"/>
      <c r="C85" s="274"/>
      <c r="D85" s="270"/>
    </row>
  </sheetData>
  <mergeCells count="38">
    <mergeCell ref="B26:C26"/>
    <mergeCell ref="B33:C33"/>
    <mergeCell ref="B27:C27"/>
    <mergeCell ref="B71:D71"/>
    <mergeCell ref="B73:D73"/>
    <mergeCell ref="A45:D45"/>
    <mergeCell ref="A59:D59"/>
    <mergeCell ref="B31:C31"/>
    <mergeCell ref="B36:C36"/>
    <mergeCell ref="B37:C37"/>
    <mergeCell ref="B35:C35"/>
    <mergeCell ref="B32:C32"/>
    <mergeCell ref="B34:C34"/>
    <mergeCell ref="A16:D16"/>
    <mergeCell ref="A30:D30"/>
    <mergeCell ref="A40:D40"/>
    <mergeCell ref="B14:C14"/>
    <mergeCell ref="B15:C15"/>
    <mergeCell ref="B17:C17"/>
    <mergeCell ref="B20:C20"/>
    <mergeCell ref="B21:C21"/>
    <mergeCell ref="B23:C23"/>
    <mergeCell ref="B24:C24"/>
    <mergeCell ref="B25:C25"/>
    <mergeCell ref="B28:C28"/>
    <mergeCell ref="B19:C19"/>
    <mergeCell ref="B18:C18"/>
    <mergeCell ref="B22:C22"/>
    <mergeCell ref="B29:C29"/>
    <mergeCell ref="A5:D5"/>
    <mergeCell ref="A6:D6"/>
    <mergeCell ref="A7:D7"/>
    <mergeCell ref="A11:D11"/>
    <mergeCell ref="N3:O3"/>
    <mergeCell ref="N4:O4"/>
    <mergeCell ref="N5:O5"/>
    <mergeCell ref="A8:D8"/>
    <mergeCell ref="A9:D9"/>
  </mergeCells>
  <pageMargins left="0.23622047244094491" right="0.27559055118110237" top="0.27559055118110237" bottom="0.15748031496062992" header="0.23622047244094491" footer="0.27559055118110237"/>
  <pageSetup paperSize="9" scale="30" fitToHeight="0" orientation="portrait" horizontalDpi="4294967295" verticalDpi="4294967295" r:id="rId1"/>
  <headerFooter alignWithMargins="0">
    <oddFooter>&amp;C&amp;"Times New Roman Cyr,курсив"Сторінка &amp;P з &amp;N</oddFooter>
  </headerFooter>
  <rowBreaks count="2" manualBreakCount="2">
    <brk id="37" max="3" man="1"/>
    <brk id="72" max="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R288"/>
  <sheetViews>
    <sheetView view="pageBreakPreview" topLeftCell="B1" zoomScale="40" zoomScaleNormal="40" zoomScaleSheetLayoutView="40" workbookViewId="0">
      <pane ySplit="11" topLeftCell="A238" activePane="bottomLeft" state="frozen"/>
      <selection activeCell="F175" sqref="F175"/>
      <selection pane="bottomLeft" activeCell="H247" sqref="H247"/>
    </sheetView>
  </sheetViews>
  <sheetFormatPr defaultColWidth="7.85546875" defaultRowHeight="12.75" x14ac:dyDescent="0.2"/>
  <cols>
    <col min="1" max="1" width="3.28515625" style="240" hidden="1" customWidth="1"/>
    <col min="2" max="3" width="15.42578125" style="679" customWidth="1"/>
    <col min="4" max="4" width="16.85546875" style="679" customWidth="1"/>
    <col min="5" max="5" width="41.5703125" style="679" customWidth="1"/>
    <col min="6" max="6" width="38.5703125" style="679" customWidth="1"/>
    <col min="7" max="11" width="18.140625" style="692" customWidth="1"/>
    <col min="12" max="12" width="30.7109375" style="240" customWidth="1"/>
    <col min="13" max="13" width="16.5703125" style="240" customWidth="1"/>
    <col min="14" max="14" width="13.7109375" style="240" customWidth="1"/>
    <col min="15" max="15" width="12.7109375" style="240" customWidth="1"/>
    <col min="16" max="16384" width="7.85546875" style="240"/>
  </cols>
  <sheetData>
    <row r="1" spans="2:11" s="7" customFormat="1" ht="22.7" customHeight="1" x14ac:dyDescent="0.25">
      <c r="B1" s="930"/>
      <c r="C1" s="930"/>
      <c r="D1" s="930"/>
      <c r="E1" s="930"/>
      <c r="F1" s="930"/>
      <c r="G1" s="930"/>
      <c r="H1" s="930"/>
      <c r="I1" s="930"/>
      <c r="J1" s="930"/>
      <c r="K1" s="930"/>
    </row>
    <row r="2" spans="2:11" ht="41.25" customHeight="1" x14ac:dyDescent="0.2">
      <c r="G2" s="912" t="s">
        <v>1292</v>
      </c>
      <c r="H2" s="912"/>
      <c r="I2" s="912"/>
      <c r="J2" s="912"/>
      <c r="K2" s="912"/>
    </row>
    <row r="3" spans="2:11" ht="29.25" customHeight="1" x14ac:dyDescent="0.2">
      <c r="G3" s="674"/>
      <c r="H3" s="674"/>
      <c r="I3" s="674"/>
      <c r="J3" s="674"/>
      <c r="K3" s="674"/>
    </row>
    <row r="4" spans="2:11" ht="31.5" customHeight="1" x14ac:dyDescent="0.2">
      <c r="B4" s="931" t="s">
        <v>689</v>
      </c>
      <c r="C4" s="908"/>
      <c r="D4" s="908"/>
      <c r="E4" s="908"/>
      <c r="F4" s="908"/>
      <c r="G4" s="908"/>
      <c r="H4" s="908"/>
      <c r="I4" s="908"/>
      <c r="J4" s="908"/>
      <c r="K4" s="908"/>
    </row>
    <row r="5" spans="2:11" ht="57" customHeight="1" x14ac:dyDescent="0.2">
      <c r="B5" s="931" t="s">
        <v>736</v>
      </c>
      <c r="C5" s="908"/>
      <c r="D5" s="908"/>
      <c r="E5" s="908"/>
      <c r="F5" s="908"/>
      <c r="G5" s="908"/>
      <c r="H5" s="908"/>
      <c r="I5" s="908"/>
      <c r="J5" s="908"/>
      <c r="K5" s="908"/>
    </row>
    <row r="6" spans="2:11" ht="22.5" x14ac:dyDescent="0.2">
      <c r="B6" s="676"/>
      <c r="C6" s="673"/>
      <c r="D6" s="673"/>
      <c r="E6" s="673"/>
      <c r="F6" s="673"/>
      <c r="G6" s="673"/>
      <c r="H6" s="673"/>
      <c r="I6" s="673"/>
      <c r="J6" s="673"/>
      <c r="K6" s="673"/>
    </row>
    <row r="7" spans="2:11" ht="18.75" x14ac:dyDescent="0.2">
      <c r="B7" s="932">
        <v>22564000000</v>
      </c>
      <c r="C7" s="933"/>
      <c r="D7" s="673"/>
      <c r="E7" s="673"/>
      <c r="F7" s="673"/>
      <c r="G7" s="673"/>
      <c r="H7" s="673"/>
      <c r="I7" s="673"/>
      <c r="J7" s="673"/>
      <c r="K7" s="673"/>
    </row>
    <row r="8" spans="2:11" ht="18.75" x14ac:dyDescent="0.2">
      <c r="B8" s="934" t="s">
        <v>538</v>
      </c>
      <c r="C8" s="935"/>
      <c r="D8" s="673"/>
      <c r="E8" s="673"/>
      <c r="F8" s="673"/>
      <c r="G8" s="673"/>
      <c r="H8" s="673"/>
      <c r="I8" s="673"/>
      <c r="J8" s="673"/>
      <c r="K8" s="673"/>
    </row>
    <row r="9" spans="2:11" ht="6" customHeight="1" thickBot="1" x14ac:dyDescent="0.25">
      <c r="B9" s="680"/>
      <c r="C9" s="681"/>
      <c r="D9" s="673"/>
      <c r="E9" s="673"/>
      <c r="F9" s="673"/>
      <c r="G9" s="673"/>
      <c r="H9" s="673"/>
      <c r="I9" s="673"/>
      <c r="J9" s="673"/>
      <c r="K9" s="673"/>
    </row>
    <row r="10" spans="2:11" ht="120" customHeight="1" thickTop="1" thickBot="1" x14ac:dyDescent="0.25">
      <c r="B10" s="104" t="s">
        <v>539</v>
      </c>
      <c r="C10" s="104" t="s">
        <v>540</v>
      </c>
      <c r="D10" s="104" t="s">
        <v>420</v>
      </c>
      <c r="E10" s="104" t="s">
        <v>700</v>
      </c>
      <c r="F10" s="105" t="s">
        <v>575</v>
      </c>
      <c r="G10" s="105" t="s">
        <v>576</v>
      </c>
      <c r="H10" s="105" t="s">
        <v>577</v>
      </c>
      <c r="I10" s="105" t="s">
        <v>578</v>
      </c>
      <c r="J10" s="105" t="s">
        <v>579</v>
      </c>
      <c r="K10" s="105" t="s">
        <v>580</v>
      </c>
    </row>
    <row r="11" spans="2:11" ht="20.25" customHeight="1" thickTop="1" thickBot="1" x14ac:dyDescent="0.25">
      <c r="B11" s="101">
        <v>1</v>
      </c>
      <c r="C11" s="101">
        <v>2</v>
      </c>
      <c r="D11" s="101">
        <v>3</v>
      </c>
      <c r="E11" s="101">
        <v>4</v>
      </c>
      <c r="F11" s="101">
        <v>5</v>
      </c>
      <c r="G11" s="101">
        <v>6</v>
      </c>
      <c r="H11" s="101">
        <v>7</v>
      </c>
      <c r="I11" s="101">
        <v>8</v>
      </c>
      <c r="J11" s="101">
        <v>9</v>
      </c>
      <c r="K11" s="101">
        <v>10</v>
      </c>
    </row>
    <row r="12" spans="2:11" ht="39.75" customHeight="1" thickTop="1" thickBot="1" x14ac:dyDescent="0.25">
      <c r="B12" s="603" t="s">
        <v>165</v>
      </c>
      <c r="C12" s="603"/>
      <c r="D12" s="603"/>
      <c r="E12" s="604" t="s">
        <v>167</v>
      </c>
      <c r="F12" s="609"/>
      <c r="G12" s="605"/>
      <c r="H12" s="605"/>
      <c r="I12" s="605"/>
      <c r="J12" s="609">
        <f>J13</f>
        <v>5314500</v>
      </c>
      <c r="K12" s="609"/>
    </row>
    <row r="13" spans="2:11" ht="47.25" customHeight="1" thickTop="1" thickBot="1" x14ac:dyDescent="0.25">
      <c r="B13" s="606" t="s">
        <v>166</v>
      </c>
      <c r="C13" s="606"/>
      <c r="D13" s="606"/>
      <c r="E13" s="607" t="s">
        <v>168</v>
      </c>
      <c r="F13" s="610"/>
      <c r="G13" s="610"/>
      <c r="H13" s="610"/>
      <c r="I13" s="610"/>
      <c r="J13" s="610">
        <f>SUM(J14:J17)</f>
        <v>5314500</v>
      </c>
      <c r="K13" s="610"/>
    </row>
    <row r="14" spans="2:11" ht="76.5" thickTop="1" thickBot="1" x14ac:dyDescent="0.25">
      <c r="B14" s="373" t="s">
        <v>253</v>
      </c>
      <c r="C14" s="373" t="s">
        <v>254</v>
      </c>
      <c r="D14" s="373" t="s">
        <v>255</v>
      </c>
      <c r="E14" s="373" t="s">
        <v>252</v>
      </c>
      <c r="F14" s="371" t="s">
        <v>581</v>
      </c>
      <c r="G14" s="456"/>
      <c r="H14" s="457"/>
      <c r="I14" s="456"/>
      <c r="J14" s="372">
        <f>(977200+330000+15000+241300)+336000+900000+55000</f>
        <v>2854500</v>
      </c>
      <c r="K14" s="372"/>
    </row>
    <row r="15" spans="2:11" ht="31.5" thickTop="1" thickBot="1" x14ac:dyDescent="0.25">
      <c r="B15" s="370" t="s">
        <v>259</v>
      </c>
      <c r="C15" s="370" t="s">
        <v>260</v>
      </c>
      <c r="D15" s="370" t="s">
        <v>261</v>
      </c>
      <c r="E15" s="370" t="s">
        <v>258</v>
      </c>
      <c r="F15" s="371" t="s">
        <v>581</v>
      </c>
      <c r="G15" s="456"/>
      <c r="H15" s="457"/>
      <c r="I15" s="456"/>
      <c r="J15" s="372">
        <v>1500000</v>
      </c>
      <c r="K15" s="372"/>
    </row>
    <row r="16" spans="2:11" ht="61.5" thickTop="1" thickBot="1" x14ac:dyDescent="0.25">
      <c r="B16" s="370" t="s">
        <v>563</v>
      </c>
      <c r="C16" s="370" t="s">
        <v>564</v>
      </c>
      <c r="D16" s="370" t="s">
        <v>45</v>
      </c>
      <c r="E16" s="370" t="s">
        <v>565</v>
      </c>
      <c r="F16" s="371" t="s">
        <v>581</v>
      </c>
      <c r="G16" s="456"/>
      <c r="H16" s="457"/>
      <c r="I16" s="456"/>
      <c r="J16" s="372">
        <f>80000+500000+80000</f>
        <v>660000</v>
      </c>
      <c r="K16" s="372"/>
    </row>
    <row r="17" spans="1:13" ht="61.5" thickTop="1" thickBot="1" x14ac:dyDescent="0.25">
      <c r="B17" s="370" t="s">
        <v>563</v>
      </c>
      <c r="C17" s="370" t="s">
        <v>564</v>
      </c>
      <c r="D17" s="370" t="s">
        <v>45</v>
      </c>
      <c r="E17" s="370" t="s">
        <v>565</v>
      </c>
      <c r="F17" s="371" t="s">
        <v>1216</v>
      </c>
      <c r="G17" s="456"/>
      <c r="H17" s="457"/>
      <c r="I17" s="456"/>
      <c r="J17" s="372">
        <v>300000</v>
      </c>
      <c r="K17" s="372"/>
    </row>
    <row r="18" spans="1:13" ht="46.5" thickTop="1" thickBot="1" x14ac:dyDescent="0.25">
      <c r="A18" s="682"/>
      <c r="B18" s="603" t="s">
        <v>169</v>
      </c>
      <c r="C18" s="603"/>
      <c r="D18" s="603"/>
      <c r="E18" s="604" t="s">
        <v>0</v>
      </c>
      <c r="F18" s="609"/>
      <c r="G18" s="605"/>
      <c r="H18" s="605"/>
      <c r="I18" s="605"/>
      <c r="J18" s="609">
        <f>J19</f>
        <v>41973070.25</v>
      </c>
      <c r="K18" s="609"/>
    </row>
    <row r="19" spans="1:13" ht="44.25" thickTop="1" thickBot="1" x14ac:dyDescent="0.25">
      <c r="A19" s="682"/>
      <c r="B19" s="606" t="s">
        <v>170</v>
      </c>
      <c r="C19" s="606"/>
      <c r="D19" s="606"/>
      <c r="E19" s="607" t="s">
        <v>1</v>
      </c>
      <c r="F19" s="610"/>
      <c r="G19" s="610"/>
      <c r="H19" s="610"/>
      <c r="I19" s="610"/>
      <c r="J19" s="610">
        <f>SUM(J20:J75)</f>
        <v>41973070.25</v>
      </c>
      <c r="K19" s="610"/>
    </row>
    <row r="20" spans="1:13" ht="31.5" thickTop="1" thickBot="1" x14ac:dyDescent="0.25">
      <c r="B20" s="373" t="s">
        <v>219</v>
      </c>
      <c r="C20" s="373" t="s">
        <v>220</v>
      </c>
      <c r="D20" s="373" t="s">
        <v>222</v>
      </c>
      <c r="E20" s="373" t="s">
        <v>223</v>
      </c>
      <c r="F20" s="371" t="s">
        <v>581</v>
      </c>
      <c r="G20" s="374"/>
      <c r="H20" s="375"/>
      <c r="I20" s="375"/>
      <c r="J20" s="372">
        <f>(30333+15000)+48000</f>
        <v>93333</v>
      </c>
      <c r="K20" s="372"/>
    </row>
    <row r="21" spans="1:13" ht="91.5" thickTop="1" thickBot="1" x14ac:dyDescent="0.25">
      <c r="B21" s="370" t="s">
        <v>219</v>
      </c>
      <c r="C21" s="370" t="s">
        <v>220</v>
      </c>
      <c r="D21" s="370" t="s">
        <v>222</v>
      </c>
      <c r="E21" s="370" t="s">
        <v>223</v>
      </c>
      <c r="F21" s="371" t="s">
        <v>1306</v>
      </c>
      <c r="G21" s="374" t="s">
        <v>599</v>
      </c>
      <c r="H21" s="375">
        <v>2392044</v>
      </c>
      <c r="I21" s="382">
        <f>(984339.94+460000)/H21</f>
        <v>0.60380993827872731</v>
      </c>
      <c r="J21" s="372">
        <f>(800000)+59561.14</f>
        <v>859561.14</v>
      </c>
      <c r="K21" s="382">
        <v>1</v>
      </c>
      <c r="L21" s="380">
        <f>(984339.94+460000)+J21</f>
        <v>2303901.08</v>
      </c>
      <c r="M21" s="380">
        <f>H21-L21</f>
        <v>88142.919999999925</v>
      </c>
    </row>
    <row r="22" spans="1:13" ht="106.5" thickTop="1" thickBot="1" x14ac:dyDescent="0.25">
      <c r="B22" s="370" t="s">
        <v>219</v>
      </c>
      <c r="C22" s="370" t="s">
        <v>220</v>
      </c>
      <c r="D22" s="370" t="s">
        <v>222</v>
      </c>
      <c r="E22" s="370" t="s">
        <v>223</v>
      </c>
      <c r="F22" s="397" t="s">
        <v>1183</v>
      </c>
      <c r="G22" s="374" t="s">
        <v>675</v>
      </c>
      <c r="H22" s="375"/>
      <c r="I22" s="382">
        <v>0</v>
      </c>
      <c r="J22" s="372">
        <v>160000</v>
      </c>
      <c r="K22" s="382">
        <v>1</v>
      </c>
    </row>
    <row r="23" spans="1:13" ht="76.5" thickTop="1" thickBot="1" x14ac:dyDescent="0.25">
      <c r="B23" s="373" t="s">
        <v>219</v>
      </c>
      <c r="C23" s="373" t="s">
        <v>220</v>
      </c>
      <c r="D23" s="373" t="s">
        <v>222</v>
      </c>
      <c r="E23" s="373" t="s">
        <v>223</v>
      </c>
      <c r="F23" s="371" t="s">
        <v>582</v>
      </c>
      <c r="G23" s="374" t="s">
        <v>599</v>
      </c>
      <c r="H23" s="375">
        <v>8521327.8499999996</v>
      </c>
      <c r="I23" s="382">
        <f>((999840+3536574)/H23)</f>
        <v>0.53235998894233372</v>
      </c>
      <c r="J23" s="372">
        <f>(3100000)+500000+542134.23</f>
        <v>4142134.23</v>
      </c>
      <c r="K23" s="382">
        <v>1</v>
      </c>
      <c r="L23" s="809" t="s">
        <v>1304</v>
      </c>
    </row>
    <row r="24" spans="1:13" ht="76.5" thickTop="1" thickBot="1" x14ac:dyDescent="0.25">
      <c r="B24" s="373" t="s">
        <v>219</v>
      </c>
      <c r="C24" s="373" t="s">
        <v>220</v>
      </c>
      <c r="D24" s="373" t="s">
        <v>222</v>
      </c>
      <c r="E24" s="373" t="s">
        <v>223</v>
      </c>
      <c r="F24" s="371" t="s">
        <v>583</v>
      </c>
      <c r="G24" s="374" t="s">
        <v>534</v>
      </c>
      <c r="H24" s="375">
        <v>742721</v>
      </c>
      <c r="I24" s="382">
        <f>((300000)/H24)</f>
        <v>0.40392017998683222</v>
      </c>
      <c r="J24" s="372">
        <v>440000</v>
      </c>
      <c r="K24" s="382">
        <f>(300000+J24)/H24</f>
        <v>0.99633644396751941</v>
      </c>
    </row>
    <row r="25" spans="1:13" ht="61.5" thickTop="1" thickBot="1" x14ac:dyDescent="0.25">
      <c r="B25" s="373" t="s">
        <v>219</v>
      </c>
      <c r="C25" s="373" t="s">
        <v>220</v>
      </c>
      <c r="D25" s="373" t="s">
        <v>222</v>
      </c>
      <c r="E25" s="373" t="s">
        <v>223</v>
      </c>
      <c r="F25" s="371" t="s">
        <v>1208</v>
      </c>
      <c r="G25" s="374" t="s">
        <v>590</v>
      </c>
      <c r="H25" s="375">
        <v>4313491</v>
      </c>
      <c r="I25" s="382">
        <f>((56889.6)/H25)</f>
        <v>1.3188760565398189E-2</v>
      </c>
      <c r="J25" s="372">
        <v>500000</v>
      </c>
      <c r="K25" s="382">
        <f>((56889.6+J25)/H25)</f>
        <v>0.12910415252981866</v>
      </c>
    </row>
    <row r="26" spans="1:13" ht="16.5" hidden="1" thickTop="1" thickBot="1" x14ac:dyDescent="0.25">
      <c r="B26" s="373"/>
      <c r="C26" s="373"/>
      <c r="D26" s="373"/>
      <c r="E26" s="373"/>
      <c r="F26" s="371"/>
      <c r="G26" s="374"/>
      <c r="H26" s="375"/>
      <c r="I26" s="382"/>
      <c r="J26" s="372"/>
      <c r="K26" s="382"/>
    </row>
    <row r="27" spans="1:13" ht="46.5" thickTop="1" thickBot="1" x14ac:dyDescent="0.25">
      <c r="B27" s="373" t="s">
        <v>219</v>
      </c>
      <c r="C27" s="373" t="s">
        <v>220</v>
      </c>
      <c r="D27" s="373" t="s">
        <v>222</v>
      </c>
      <c r="E27" s="373" t="s">
        <v>223</v>
      </c>
      <c r="F27" s="371" t="s">
        <v>760</v>
      </c>
      <c r="G27" s="374" t="s">
        <v>675</v>
      </c>
      <c r="H27" s="375"/>
      <c r="I27" s="382">
        <v>0</v>
      </c>
      <c r="J27" s="372">
        <v>130000</v>
      </c>
      <c r="K27" s="382">
        <v>1</v>
      </c>
    </row>
    <row r="28" spans="1:13" ht="91.5" thickTop="1" thickBot="1" x14ac:dyDescent="0.25">
      <c r="B28" s="373" t="s">
        <v>219</v>
      </c>
      <c r="C28" s="373" t="s">
        <v>220</v>
      </c>
      <c r="D28" s="373" t="s">
        <v>222</v>
      </c>
      <c r="E28" s="373" t="s">
        <v>223</v>
      </c>
      <c r="F28" s="371" t="s">
        <v>1205</v>
      </c>
      <c r="G28" s="374" t="s">
        <v>675</v>
      </c>
      <c r="H28" s="375"/>
      <c r="I28" s="382">
        <v>0</v>
      </c>
      <c r="J28" s="372">
        <v>700000</v>
      </c>
      <c r="K28" s="382">
        <v>1</v>
      </c>
    </row>
    <row r="29" spans="1:13" ht="91.5" thickTop="1" thickBot="1" x14ac:dyDescent="0.25">
      <c r="B29" s="373" t="s">
        <v>219</v>
      </c>
      <c r="C29" s="373" t="s">
        <v>220</v>
      </c>
      <c r="D29" s="373" t="s">
        <v>222</v>
      </c>
      <c r="E29" s="373" t="s">
        <v>223</v>
      </c>
      <c r="F29" s="371" t="s">
        <v>1206</v>
      </c>
      <c r="G29" s="374" t="s">
        <v>675</v>
      </c>
      <c r="H29" s="375">
        <v>551412</v>
      </c>
      <c r="I29" s="382">
        <v>0</v>
      </c>
      <c r="J29" s="372">
        <v>300000</v>
      </c>
      <c r="K29" s="382">
        <f>(J29)/H29</f>
        <v>0.5440578007007465</v>
      </c>
    </row>
    <row r="30" spans="1:13" ht="76.5" thickTop="1" thickBot="1" x14ac:dyDescent="0.25">
      <c r="B30" s="373" t="s">
        <v>219</v>
      </c>
      <c r="C30" s="373" t="s">
        <v>220</v>
      </c>
      <c r="D30" s="373" t="s">
        <v>222</v>
      </c>
      <c r="E30" s="373" t="s">
        <v>223</v>
      </c>
      <c r="F30" s="371" t="s">
        <v>1207</v>
      </c>
      <c r="G30" s="374" t="s">
        <v>675</v>
      </c>
      <c r="H30" s="375"/>
      <c r="I30" s="382">
        <v>0</v>
      </c>
      <c r="J30" s="372">
        <v>49000</v>
      </c>
      <c r="K30" s="382">
        <v>1</v>
      </c>
    </row>
    <row r="31" spans="1:13" ht="31.5" thickTop="1" thickBot="1" x14ac:dyDescent="0.25">
      <c r="B31" s="370" t="s">
        <v>815</v>
      </c>
      <c r="C31" s="370" t="s">
        <v>816</v>
      </c>
      <c r="D31" s="370" t="s">
        <v>225</v>
      </c>
      <c r="E31" s="370" t="s">
        <v>817</v>
      </c>
      <c r="F31" s="371" t="s">
        <v>581</v>
      </c>
      <c r="G31" s="374"/>
      <c r="H31" s="375"/>
      <c r="I31" s="382"/>
      <c r="J31" s="372">
        <f>(2000000+3000000+1970000+92450+400000-1970000)+400000+17500+75000+42000+48000+1738790+1007090+291970</f>
        <v>9112800</v>
      </c>
      <c r="K31" s="382"/>
    </row>
    <row r="32" spans="1:13" ht="61.5" thickTop="1" thickBot="1" x14ac:dyDescent="0.25">
      <c r="B32" s="370" t="s">
        <v>815</v>
      </c>
      <c r="C32" s="370" t="s">
        <v>816</v>
      </c>
      <c r="D32" s="370" t="s">
        <v>225</v>
      </c>
      <c r="E32" s="370" t="s">
        <v>817</v>
      </c>
      <c r="F32" s="397" t="s">
        <v>1184</v>
      </c>
      <c r="G32" s="374" t="s">
        <v>675</v>
      </c>
      <c r="H32" s="375"/>
      <c r="I32" s="382">
        <v>0</v>
      </c>
      <c r="J32" s="375">
        <v>200000</v>
      </c>
      <c r="K32" s="382">
        <v>1</v>
      </c>
    </row>
    <row r="33" spans="2:12" ht="61.5" thickTop="1" thickBot="1" x14ac:dyDescent="0.25">
      <c r="B33" s="370" t="s">
        <v>815</v>
      </c>
      <c r="C33" s="370" t="s">
        <v>816</v>
      </c>
      <c r="D33" s="370" t="s">
        <v>225</v>
      </c>
      <c r="E33" s="370" t="s">
        <v>817</v>
      </c>
      <c r="F33" s="397" t="s">
        <v>1194</v>
      </c>
      <c r="G33" s="374" t="s">
        <v>675</v>
      </c>
      <c r="H33" s="375"/>
      <c r="I33" s="382">
        <v>0</v>
      </c>
      <c r="J33" s="375">
        <v>92850.01</v>
      </c>
      <c r="K33" s="382">
        <v>1</v>
      </c>
    </row>
    <row r="34" spans="2:12" ht="166.5" thickTop="1" thickBot="1" x14ac:dyDescent="0.25">
      <c r="B34" s="370" t="s">
        <v>815</v>
      </c>
      <c r="C34" s="370" t="s">
        <v>816</v>
      </c>
      <c r="D34" s="370" t="s">
        <v>225</v>
      </c>
      <c r="E34" s="370" t="s">
        <v>817</v>
      </c>
      <c r="F34" s="397" t="s">
        <v>1307</v>
      </c>
      <c r="G34" s="374" t="s">
        <v>675</v>
      </c>
      <c r="H34" s="375">
        <v>500000</v>
      </c>
      <c r="I34" s="382">
        <v>0</v>
      </c>
      <c r="J34" s="375">
        <v>500000</v>
      </c>
      <c r="K34" s="382">
        <v>1</v>
      </c>
      <c r="L34" s="808" t="s">
        <v>1304</v>
      </c>
    </row>
    <row r="35" spans="2:12" ht="61.5" thickTop="1" thickBot="1" x14ac:dyDescent="0.25">
      <c r="B35" s="370" t="s">
        <v>815</v>
      </c>
      <c r="C35" s="370" t="s">
        <v>816</v>
      </c>
      <c r="D35" s="370" t="s">
        <v>225</v>
      </c>
      <c r="E35" s="370" t="s">
        <v>817</v>
      </c>
      <c r="F35" s="397" t="s">
        <v>1188</v>
      </c>
      <c r="G35" s="374" t="s">
        <v>675</v>
      </c>
      <c r="H35" s="375"/>
      <c r="I35" s="382">
        <v>0</v>
      </c>
      <c r="J35" s="375">
        <v>220000</v>
      </c>
      <c r="K35" s="382">
        <v>1</v>
      </c>
    </row>
    <row r="36" spans="2:12" ht="61.5" thickTop="1" thickBot="1" x14ac:dyDescent="0.25">
      <c r="B36" s="370" t="s">
        <v>815</v>
      </c>
      <c r="C36" s="370" t="s">
        <v>816</v>
      </c>
      <c r="D36" s="370" t="s">
        <v>225</v>
      </c>
      <c r="E36" s="370" t="s">
        <v>817</v>
      </c>
      <c r="F36" s="397" t="s">
        <v>1189</v>
      </c>
      <c r="G36" s="374" t="s">
        <v>675</v>
      </c>
      <c r="H36" s="375"/>
      <c r="I36" s="382">
        <v>0</v>
      </c>
      <c r="J36" s="375">
        <v>250000</v>
      </c>
      <c r="K36" s="382">
        <v>1</v>
      </c>
    </row>
    <row r="37" spans="2:12" ht="61.5" thickTop="1" thickBot="1" x14ac:dyDescent="0.25">
      <c r="B37" s="370" t="s">
        <v>815</v>
      </c>
      <c r="C37" s="370" t="s">
        <v>816</v>
      </c>
      <c r="D37" s="370" t="s">
        <v>225</v>
      </c>
      <c r="E37" s="370" t="s">
        <v>817</v>
      </c>
      <c r="F37" s="397" t="s">
        <v>1223</v>
      </c>
      <c r="G37" s="374" t="s">
        <v>675</v>
      </c>
      <c r="H37" s="375"/>
      <c r="I37" s="382">
        <v>0</v>
      </c>
      <c r="J37" s="375">
        <v>78000</v>
      </c>
      <c r="K37" s="382">
        <v>1</v>
      </c>
    </row>
    <row r="38" spans="2:12" ht="91.5" thickTop="1" thickBot="1" x14ac:dyDescent="0.25">
      <c r="B38" s="370" t="s">
        <v>815</v>
      </c>
      <c r="C38" s="370" t="s">
        <v>816</v>
      </c>
      <c r="D38" s="370" t="s">
        <v>225</v>
      </c>
      <c r="E38" s="370" t="s">
        <v>817</v>
      </c>
      <c r="F38" s="397" t="s">
        <v>1211</v>
      </c>
      <c r="G38" s="374" t="s">
        <v>675</v>
      </c>
      <c r="H38" s="375"/>
      <c r="I38" s="382">
        <v>0</v>
      </c>
      <c r="J38" s="375">
        <v>1000000</v>
      </c>
      <c r="K38" s="382">
        <v>1</v>
      </c>
    </row>
    <row r="39" spans="2:12" ht="121.5" thickTop="1" thickBot="1" x14ac:dyDescent="0.25">
      <c r="B39" s="370" t="s">
        <v>815</v>
      </c>
      <c r="C39" s="370" t="s">
        <v>816</v>
      </c>
      <c r="D39" s="370" t="s">
        <v>225</v>
      </c>
      <c r="E39" s="370" t="s">
        <v>817</v>
      </c>
      <c r="F39" s="397" t="s">
        <v>1213</v>
      </c>
      <c r="G39" s="374" t="s">
        <v>675</v>
      </c>
      <c r="H39" s="375"/>
      <c r="I39" s="382">
        <v>0</v>
      </c>
      <c r="J39" s="375">
        <v>292490.88</v>
      </c>
      <c r="K39" s="382">
        <v>1</v>
      </c>
    </row>
    <row r="40" spans="2:12" ht="61.5" thickTop="1" thickBot="1" x14ac:dyDescent="0.25">
      <c r="B40" s="370" t="s">
        <v>815</v>
      </c>
      <c r="C40" s="370" t="s">
        <v>816</v>
      </c>
      <c r="D40" s="370" t="s">
        <v>225</v>
      </c>
      <c r="E40" s="370" t="s">
        <v>817</v>
      </c>
      <c r="F40" s="397" t="s">
        <v>1190</v>
      </c>
      <c r="G40" s="374" t="s">
        <v>675</v>
      </c>
      <c r="H40" s="375"/>
      <c r="I40" s="382">
        <v>0</v>
      </c>
      <c r="J40" s="375">
        <v>250000</v>
      </c>
      <c r="K40" s="382">
        <v>1</v>
      </c>
    </row>
    <row r="41" spans="2:12" ht="76.5" thickTop="1" thickBot="1" x14ac:dyDescent="0.25">
      <c r="B41" s="370" t="s">
        <v>815</v>
      </c>
      <c r="C41" s="370" t="s">
        <v>816</v>
      </c>
      <c r="D41" s="370" t="s">
        <v>225</v>
      </c>
      <c r="E41" s="370" t="s">
        <v>817</v>
      </c>
      <c r="F41" s="397" t="s">
        <v>1214</v>
      </c>
      <c r="G41" s="374" t="s">
        <v>599</v>
      </c>
      <c r="H41" s="375">
        <f>299957+110000</f>
        <v>409957</v>
      </c>
      <c r="I41" s="382">
        <f>299827.84/H41</f>
        <v>0.73136411867586115</v>
      </c>
      <c r="J41" s="375">
        <v>110000</v>
      </c>
      <c r="K41" s="382">
        <f>(299827.84+J41)/H41</f>
        <v>0.99968494256714735</v>
      </c>
    </row>
    <row r="42" spans="2:12" ht="46.5" thickTop="1" thickBot="1" x14ac:dyDescent="0.25">
      <c r="B42" s="370" t="s">
        <v>815</v>
      </c>
      <c r="C42" s="370" t="s">
        <v>816</v>
      </c>
      <c r="D42" s="370" t="s">
        <v>225</v>
      </c>
      <c r="E42" s="370" t="s">
        <v>817</v>
      </c>
      <c r="F42" s="397" t="s">
        <v>1185</v>
      </c>
      <c r="G42" s="374" t="s">
        <v>675</v>
      </c>
      <c r="H42" s="375"/>
      <c r="I42" s="382">
        <v>0</v>
      </c>
      <c r="J42" s="372">
        <v>50000</v>
      </c>
      <c r="K42" s="382">
        <v>1</v>
      </c>
    </row>
    <row r="43" spans="2:12" ht="106.5" thickTop="1" thickBot="1" x14ac:dyDescent="0.25">
      <c r="B43" s="370" t="s">
        <v>815</v>
      </c>
      <c r="C43" s="370" t="s">
        <v>816</v>
      </c>
      <c r="D43" s="370" t="s">
        <v>225</v>
      </c>
      <c r="E43" s="370" t="s">
        <v>817</v>
      </c>
      <c r="F43" s="397" t="s">
        <v>712</v>
      </c>
      <c r="G43" s="374" t="s">
        <v>675</v>
      </c>
      <c r="H43" s="375"/>
      <c r="I43" s="382">
        <v>0</v>
      </c>
      <c r="J43" s="372">
        <v>300000</v>
      </c>
      <c r="K43" s="382">
        <v>1</v>
      </c>
    </row>
    <row r="44" spans="2:12" ht="61.5" thickTop="1" thickBot="1" x14ac:dyDescent="0.25">
      <c r="B44" s="370" t="s">
        <v>815</v>
      </c>
      <c r="C44" s="370" t="s">
        <v>816</v>
      </c>
      <c r="D44" s="370" t="s">
        <v>225</v>
      </c>
      <c r="E44" s="370" t="s">
        <v>817</v>
      </c>
      <c r="F44" s="397" t="s">
        <v>1308</v>
      </c>
      <c r="G44" s="374" t="s">
        <v>675</v>
      </c>
      <c r="H44" s="375"/>
      <c r="I44" s="382">
        <v>0</v>
      </c>
      <c r="J44" s="372">
        <v>750000</v>
      </c>
      <c r="K44" s="382">
        <v>1</v>
      </c>
      <c r="L44" s="804" t="s">
        <v>1304</v>
      </c>
    </row>
    <row r="45" spans="2:12" ht="106.5" thickTop="1" thickBot="1" x14ac:dyDescent="0.25">
      <c r="B45" s="370" t="s">
        <v>815</v>
      </c>
      <c r="C45" s="370" t="s">
        <v>816</v>
      </c>
      <c r="D45" s="370" t="s">
        <v>225</v>
      </c>
      <c r="E45" s="370" t="s">
        <v>817</v>
      </c>
      <c r="F45" s="397" t="s">
        <v>1309</v>
      </c>
      <c r="G45" s="374" t="s">
        <v>534</v>
      </c>
      <c r="H45" s="375">
        <v>2263021</v>
      </c>
      <c r="I45" s="382">
        <f>(50000/H45)</f>
        <v>2.2094359707665108E-2</v>
      </c>
      <c r="J45" s="372">
        <v>500000</v>
      </c>
      <c r="K45" s="382">
        <f>(J45+50000)/H45*100%</f>
        <v>0.24303795678431619</v>
      </c>
      <c r="L45" s="807" t="s">
        <v>1304</v>
      </c>
    </row>
    <row r="46" spans="2:12" ht="136.5" thickTop="1" thickBot="1" x14ac:dyDescent="0.25">
      <c r="B46" s="370" t="s">
        <v>815</v>
      </c>
      <c r="C46" s="370" t="s">
        <v>816</v>
      </c>
      <c r="D46" s="370" t="s">
        <v>225</v>
      </c>
      <c r="E46" s="370" t="s">
        <v>817</v>
      </c>
      <c r="F46" s="397" t="s">
        <v>1310</v>
      </c>
      <c r="G46" s="374" t="s">
        <v>675</v>
      </c>
      <c r="H46" s="375"/>
      <c r="I46" s="382">
        <v>0</v>
      </c>
      <c r="J46" s="372">
        <v>750000</v>
      </c>
      <c r="K46" s="382">
        <v>1</v>
      </c>
      <c r="L46" s="807" t="s">
        <v>1304</v>
      </c>
    </row>
    <row r="47" spans="2:12" ht="91.5" thickTop="1" thickBot="1" x14ac:dyDescent="0.25">
      <c r="B47" s="370" t="s">
        <v>815</v>
      </c>
      <c r="C47" s="370" t="s">
        <v>816</v>
      </c>
      <c r="D47" s="370" t="s">
        <v>225</v>
      </c>
      <c r="E47" s="370" t="s">
        <v>817</v>
      </c>
      <c r="F47" s="397" t="s">
        <v>1187</v>
      </c>
      <c r="G47" s="374" t="s">
        <v>675</v>
      </c>
      <c r="H47" s="375"/>
      <c r="I47" s="382">
        <v>0</v>
      </c>
      <c r="J47" s="372">
        <v>49000</v>
      </c>
      <c r="K47" s="382">
        <v>1</v>
      </c>
    </row>
    <row r="48" spans="2:12" ht="93" customHeight="1" thickTop="1" thickBot="1" x14ac:dyDescent="0.25">
      <c r="B48" s="370" t="s">
        <v>815</v>
      </c>
      <c r="C48" s="370" t="s">
        <v>816</v>
      </c>
      <c r="D48" s="370" t="s">
        <v>225</v>
      </c>
      <c r="E48" s="370" t="s">
        <v>817</v>
      </c>
      <c r="F48" s="397" t="s">
        <v>1215</v>
      </c>
      <c r="G48" s="374" t="s">
        <v>675</v>
      </c>
      <c r="H48" s="375"/>
      <c r="I48" s="382">
        <v>0</v>
      </c>
      <c r="J48" s="372">
        <v>500000</v>
      </c>
      <c r="K48" s="382">
        <v>1</v>
      </c>
    </row>
    <row r="49" spans="2:13" ht="136.5" thickTop="1" thickBot="1" x14ac:dyDescent="0.25">
      <c r="B49" s="370" t="s">
        <v>815</v>
      </c>
      <c r="C49" s="370" t="s">
        <v>816</v>
      </c>
      <c r="D49" s="370" t="s">
        <v>225</v>
      </c>
      <c r="E49" s="370" t="s">
        <v>817</v>
      </c>
      <c r="F49" s="397" t="s">
        <v>1311</v>
      </c>
      <c r="G49" s="374" t="s">
        <v>534</v>
      </c>
      <c r="H49" s="375">
        <v>1489695</v>
      </c>
      <c r="I49" s="382">
        <f>(940877/H49)</f>
        <v>0.63159035910035277</v>
      </c>
      <c r="J49" s="372">
        <v>548818</v>
      </c>
      <c r="K49" s="382">
        <f>(J49+940877)/H49</f>
        <v>1</v>
      </c>
      <c r="L49" s="805" t="s">
        <v>1304</v>
      </c>
      <c r="M49" s="685"/>
    </row>
    <row r="50" spans="2:13" ht="136.5" thickTop="1" thickBot="1" x14ac:dyDescent="0.25">
      <c r="B50" s="370" t="s">
        <v>815</v>
      </c>
      <c r="C50" s="370" t="s">
        <v>816</v>
      </c>
      <c r="D50" s="370" t="s">
        <v>225</v>
      </c>
      <c r="E50" s="370" t="s">
        <v>817</v>
      </c>
      <c r="F50" s="397" t="s">
        <v>1191</v>
      </c>
      <c r="G50" s="374" t="s">
        <v>675</v>
      </c>
      <c r="H50" s="375"/>
      <c r="I50" s="382">
        <v>0</v>
      </c>
      <c r="J50" s="372">
        <v>49000</v>
      </c>
      <c r="K50" s="382">
        <v>1</v>
      </c>
      <c r="L50" s="684"/>
      <c r="M50" s="685"/>
    </row>
    <row r="51" spans="2:13" ht="151.5" thickTop="1" thickBot="1" x14ac:dyDescent="0.25">
      <c r="B51" s="370" t="s">
        <v>815</v>
      </c>
      <c r="C51" s="370" t="s">
        <v>816</v>
      </c>
      <c r="D51" s="370" t="s">
        <v>225</v>
      </c>
      <c r="E51" s="370" t="s">
        <v>817</v>
      </c>
      <c r="F51" s="397" t="s">
        <v>1186</v>
      </c>
      <c r="G51" s="374" t="s">
        <v>675</v>
      </c>
      <c r="H51" s="375"/>
      <c r="I51" s="382">
        <v>0</v>
      </c>
      <c r="J51" s="372">
        <v>50000</v>
      </c>
      <c r="K51" s="382">
        <v>1</v>
      </c>
      <c r="L51" s="684"/>
      <c r="M51" s="685"/>
    </row>
    <row r="52" spans="2:13" ht="136.5" thickTop="1" thickBot="1" x14ac:dyDescent="0.25">
      <c r="B52" s="370" t="s">
        <v>815</v>
      </c>
      <c r="C52" s="370" t="s">
        <v>816</v>
      </c>
      <c r="D52" s="370" t="s">
        <v>225</v>
      </c>
      <c r="E52" s="370" t="s">
        <v>817</v>
      </c>
      <c r="F52" s="397" t="s">
        <v>1192</v>
      </c>
      <c r="G52" s="374" t="s">
        <v>675</v>
      </c>
      <c r="H52" s="375"/>
      <c r="I52" s="382">
        <v>0</v>
      </c>
      <c r="J52" s="372">
        <v>49000</v>
      </c>
      <c r="K52" s="382">
        <v>1</v>
      </c>
      <c r="L52" s="684"/>
      <c r="M52" s="685"/>
    </row>
    <row r="53" spans="2:13" ht="121.5" thickTop="1" thickBot="1" x14ac:dyDescent="0.25">
      <c r="B53" s="370" t="s">
        <v>815</v>
      </c>
      <c r="C53" s="370" t="s">
        <v>816</v>
      </c>
      <c r="D53" s="370" t="s">
        <v>225</v>
      </c>
      <c r="E53" s="370" t="s">
        <v>817</v>
      </c>
      <c r="F53" s="397" t="s">
        <v>1312</v>
      </c>
      <c r="G53" s="374" t="s">
        <v>534</v>
      </c>
      <c r="H53" s="375">
        <v>1499260</v>
      </c>
      <c r="I53" s="382">
        <f>(59000/H53)</f>
        <v>3.9352747355361976E-2</v>
      </c>
      <c r="J53" s="372">
        <v>750000</v>
      </c>
      <c r="K53" s="382">
        <f>(J53+59000+690360)/H53</f>
        <v>1.0000666995717888</v>
      </c>
      <c r="L53" s="806" t="s">
        <v>1304</v>
      </c>
      <c r="M53" s="685"/>
    </row>
    <row r="54" spans="2:13" ht="76.5" thickTop="1" thickBot="1" x14ac:dyDescent="0.25">
      <c r="B54" s="370" t="s">
        <v>815</v>
      </c>
      <c r="C54" s="370" t="s">
        <v>816</v>
      </c>
      <c r="D54" s="370" t="s">
        <v>225</v>
      </c>
      <c r="E54" s="370" t="s">
        <v>817</v>
      </c>
      <c r="F54" s="397" t="s">
        <v>1193</v>
      </c>
      <c r="G54" s="374" t="s">
        <v>599</v>
      </c>
      <c r="H54" s="375">
        <v>3245342</v>
      </c>
      <c r="I54" s="382">
        <f>(1950923.21/H54)</f>
        <v>0.60114564505066026</v>
      </c>
      <c r="J54" s="372">
        <v>1261682</v>
      </c>
      <c r="K54" s="382">
        <v>1</v>
      </c>
      <c r="L54" s="684"/>
      <c r="M54" s="685"/>
    </row>
    <row r="55" spans="2:13" ht="76.5" thickTop="1" thickBot="1" x14ac:dyDescent="0.25">
      <c r="B55" s="370" t="s">
        <v>825</v>
      </c>
      <c r="C55" s="370" t="s">
        <v>826</v>
      </c>
      <c r="D55" s="370" t="s">
        <v>228</v>
      </c>
      <c r="E55" s="370" t="s">
        <v>546</v>
      </c>
      <c r="F55" s="371" t="s">
        <v>581</v>
      </c>
      <c r="G55" s="374"/>
      <c r="H55" s="375"/>
      <c r="I55" s="375"/>
      <c r="J55" s="372">
        <f>(100000+120000+38430+59425+30000-30000)+16386</f>
        <v>334241</v>
      </c>
      <c r="K55" s="372"/>
    </row>
    <row r="56" spans="2:13" ht="76.5" thickTop="1" thickBot="1" x14ac:dyDescent="0.25">
      <c r="B56" s="370" t="s">
        <v>825</v>
      </c>
      <c r="C56" s="370" t="s">
        <v>826</v>
      </c>
      <c r="D56" s="370" t="s">
        <v>228</v>
      </c>
      <c r="E56" s="370" t="s">
        <v>546</v>
      </c>
      <c r="F56" s="397" t="s">
        <v>1195</v>
      </c>
      <c r="G56" s="374" t="s">
        <v>675</v>
      </c>
      <c r="H56" s="375"/>
      <c r="I56" s="382">
        <v>0</v>
      </c>
      <c r="J56" s="372">
        <f>(300000)+314900</f>
        <v>614900</v>
      </c>
      <c r="K56" s="372">
        <v>100</v>
      </c>
    </row>
    <row r="57" spans="2:13" ht="61.5" thickTop="1" thickBot="1" x14ac:dyDescent="0.25">
      <c r="B57" s="370" t="s">
        <v>1197</v>
      </c>
      <c r="C57" s="370" t="s">
        <v>1198</v>
      </c>
      <c r="D57" s="370" t="s">
        <v>225</v>
      </c>
      <c r="E57" s="370" t="s">
        <v>1201</v>
      </c>
      <c r="F57" s="397" t="s">
        <v>1194</v>
      </c>
      <c r="G57" s="374" t="s">
        <v>675</v>
      </c>
      <c r="H57" s="375"/>
      <c r="I57" s="382">
        <v>0</v>
      </c>
      <c r="J57" s="375">
        <v>107149.99</v>
      </c>
      <c r="K57" s="382">
        <v>1</v>
      </c>
    </row>
    <row r="58" spans="2:13" ht="166.5" thickTop="1" thickBot="1" x14ac:dyDescent="0.25">
      <c r="B58" s="370" t="s">
        <v>1197</v>
      </c>
      <c r="C58" s="370" t="s">
        <v>1198</v>
      </c>
      <c r="D58" s="370" t="s">
        <v>225</v>
      </c>
      <c r="E58" s="370" t="s">
        <v>1201</v>
      </c>
      <c r="F58" s="397" t="s">
        <v>1313</v>
      </c>
      <c r="G58" s="374" t="s">
        <v>675</v>
      </c>
      <c r="H58" s="375"/>
      <c r="I58" s="382">
        <v>0</v>
      </c>
      <c r="J58" s="375">
        <v>500000</v>
      </c>
      <c r="K58" s="382">
        <v>1</v>
      </c>
      <c r="L58" s="808" t="s">
        <v>1304</v>
      </c>
    </row>
    <row r="59" spans="2:13" ht="91.5" thickTop="1" thickBot="1" x14ac:dyDescent="0.25">
      <c r="B59" s="370" t="s">
        <v>1197</v>
      </c>
      <c r="C59" s="370" t="s">
        <v>1198</v>
      </c>
      <c r="D59" s="370" t="s">
        <v>225</v>
      </c>
      <c r="E59" s="370" t="s">
        <v>1201</v>
      </c>
      <c r="F59" s="397" t="s">
        <v>1211</v>
      </c>
      <c r="G59" s="374" t="s">
        <v>675</v>
      </c>
      <c r="H59" s="375"/>
      <c r="I59" s="382">
        <v>0</v>
      </c>
      <c r="J59" s="375">
        <v>2000000</v>
      </c>
      <c r="K59" s="382">
        <v>1</v>
      </c>
      <c r="L59" s="684"/>
    </row>
    <row r="60" spans="2:13" ht="76.5" thickTop="1" thickBot="1" x14ac:dyDescent="0.25">
      <c r="B60" s="370" t="s">
        <v>1197</v>
      </c>
      <c r="C60" s="370" t="s">
        <v>1198</v>
      </c>
      <c r="D60" s="370" t="s">
        <v>225</v>
      </c>
      <c r="E60" s="370" t="s">
        <v>1201</v>
      </c>
      <c r="F60" s="397" t="s">
        <v>1203</v>
      </c>
      <c r="G60" s="374" t="s">
        <v>675</v>
      </c>
      <c r="H60" s="375"/>
      <c r="I60" s="382">
        <v>0</v>
      </c>
      <c r="J60" s="375">
        <v>400000</v>
      </c>
      <c r="K60" s="382">
        <v>1</v>
      </c>
      <c r="L60" s="684"/>
    </row>
    <row r="61" spans="2:13" ht="46.5" thickTop="1" thickBot="1" x14ac:dyDescent="0.25">
      <c r="B61" s="370" t="s">
        <v>1197</v>
      </c>
      <c r="C61" s="370" t="s">
        <v>1198</v>
      </c>
      <c r="D61" s="370" t="s">
        <v>225</v>
      </c>
      <c r="E61" s="370" t="s">
        <v>1201</v>
      </c>
      <c r="F61" s="397" t="s">
        <v>1185</v>
      </c>
      <c r="G61" s="374" t="s">
        <v>675</v>
      </c>
      <c r="H61" s="375"/>
      <c r="I61" s="382">
        <v>0</v>
      </c>
      <c r="J61" s="372">
        <v>700000</v>
      </c>
      <c r="K61" s="382">
        <v>1</v>
      </c>
      <c r="L61" s="684"/>
    </row>
    <row r="62" spans="2:13" ht="61.5" thickTop="1" thickBot="1" x14ac:dyDescent="0.25">
      <c r="B62" s="370" t="s">
        <v>1197</v>
      </c>
      <c r="C62" s="370" t="s">
        <v>1198</v>
      </c>
      <c r="D62" s="370" t="s">
        <v>225</v>
      </c>
      <c r="E62" s="370" t="s">
        <v>1201</v>
      </c>
      <c r="F62" s="397" t="s">
        <v>1204</v>
      </c>
      <c r="G62" s="374" t="s">
        <v>675</v>
      </c>
      <c r="H62" s="375"/>
      <c r="I62" s="382">
        <v>0</v>
      </c>
      <c r="J62" s="375">
        <v>400000</v>
      </c>
      <c r="K62" s="382">
        <v>1</v>
      </c>
      <c r="L62" s="684"/>
    </row>
    <row r="63" spans="2:13" ht="121.5" thickTop="1" thickBot="1" x14ac:dyDescent="0.25">
      <c r="B63" s="370" t="s">
        <v>1197</v>
      </c>
      <c r="C63" s="370" t="s">
        <v>1198</v>
      </c>
      <c r="D63" s="370" t="s">
        <v>225</v>
      </c>
      <c r="E63" s="370" t="s">
        <v>1201</v>
      </c>
      <c r="F63" s="397" t="s">
        <v>1202</v>
      </c>
      <c r="G63" s="374" t="s">
        <v>675</v>
      </c>
      <c r="H63" s="375"/>
      <c r="I63" s="382">
        <v>0</v>
      </c>
      <c r="J63" s="375">
        <v>700000</v>
      </c>
      <c r="K63" s="382">
        <v>1</v>
      </c>
    </row>
    <row r="64" spans="2:13" ht="151.5" thickTop="1" thickBot="1" x14ac:dyDescent="0.25">
      <c r="B64" s="370" t="s">
        <v>1197</v>
      </c>
      <c r="C64" s="370" t="s">
        <v>1198</v>
      </c>
      <c r="D64" s="370" t="s">
        <v>225</v>
      </c>
      <c r="E64" s="370" t="s">
        <v>1201</v>
      </c>
      <c r="F64" s="397" t="s">
        <v>1186</v>
      </c>
      <c r="G64" s="374" t="s">
        <v>675</v>
      </c>
      <c r="H64" s="375"/>
      <c r="I64" s="382">
        <v>0</v>
      </c>
      <c r="J64" s="372">
        <v>700000</v>
      </c>
      <c r="K64" s="382">
        <v>1</v>
      </c>
    </row>
    <row r="65" spans="2:13" ht="121.5" thickTop="1" thickBot="1" x14ac:dyDescent="0.25">
      <c r="B65" s="370" t="s">
        <v>1197</v>
      </c>
      <c r="C65" s="370" t="s">
        <v>1198</v>
      </c>
      <c r="D65" s="370" t="s">
        <v>225</v>
      </c>
      <c r="E65" s="370" t="s">
        <v>1201</v>
      </c>
      <c r="F65" s="397" t="s">
        <v>1314</v>
      </c>
      <c r="G65" s="374" t="s">
        <v>534</v>
      </c>
      <c r="H65" s="375">
        <v>1499260</v>
      </c>
      <c r="I65" s="382">
        <f>(59000/H65)</f>
        <v>3.9352747355361976E-2</v>
      </c>
      <c r="J65" s="372">
        <v>690360</v>
      </c>
      <c r="K65" s="382">
        <f>(J65+59000+750000)/H65</f>
        <v>1.0000666995717888</v>
      </c>
      <c r="L65" s="806" t="s">
        <v>1304</v>
      </c>
    </row>
    <row r="66" spans="2:13" ht="46.5" thickTop="1" thickBot="1" x14ac:dyDescent="0.25">
      <c r="B66" s="370" t="s">
        <v>836</v>
      </c>
      <c r="C66" s="370" t="s">
        <v>227</v>
      </c>
      <c r="D66" s="370" t="s">
        <v>202</v>
      </c>
      <c r="E66" s="370" t="s">
        <v>548</v>
      </c>
      <c r="F66" s="371" t="s">
        <v>581</v>
      </c>
      <c r="G66" s="374"/>
      <c r="H66" s="375"/>
      <c r="I66" s="382"/>
      <c r="J66" s="372">
        <v>177100</v>
      </c>
      <c r="K66" s="382"/>
      <c r="L66" s="683"/>
    </row>
    <row r="67" spans="2:13" ht="76.5" thickTop="1" thickBot="1" x14ac:dyDescent="0.25">
      <c r="B67" s="370" t="s">
        <v>836</v>
      </c>
      <c r="C67" s="370" t="s">
        <v>227</v>
      </c>
      <c r="D67" s="370" t="s">
        <v>202</v>
      </c>
      <c r="E67" s="370" t="s">
        <v>548</v>
      </c>
      <c r="F67" s="371" t="s">
        <v>1315</v>
      </c>
      <c r="G67" s="374" t="s">
        <v>584</v>
      </c>
      <c r="H67" s="375">
        <v>20652516.420000002</v>
      </c>
      <c r="I67" s="382">
        <f>(10870900.41+3614326)/H67</f>
        <v>0.70137827833766708</v>
      </c>
      <c r="J67" s="372">
        <f>(761045)+2000000</f>
        <v>2761045</v>
      </c>
      <c r="K67" s="382">
        <f>(10870900.41+3614326+J67)/H67</f>
        <v>0.83506876640459282</v>
      </c>
      <c r="L67" s="806" t="s">
        <v>1304</v>
      </c>
    </row>
    <row r="68" spans="2:13" ht="196.5" thickTop="1" thickBot="1" x14ac:dyDescent="0.25">
      <c r="B68" s="370" t="s">
        <v>837</v>
      </c>
      <c r="C68" s="370" t="s">
        <v>838</v>
      </c>
      <c r="D68" s="370" t="s">
        <v>230</v>
      </c>
      <c r="E68" s="370" t="s">
        <v>839</v>
      </c>
      <c r="F68" s="371" t="s">
        <v>1180</v>
      </c>
      <c r="G68" s="374" t="s">
        <v>675</v>
      </c>
      <c r="H68" s="375"/>
      <c r="I68" s="382">
        <v>0</v>
      </c>
      <c r="J68" s="372">
        <v>15000</v>
      </c>
      <c r="K68" s="382">
        <v>1</v>
      </c>
    </row>
    <row r="69" spans="2:13" ht="166.5" thickTop="1" thickBot="1" x14ac:dyDescent="0.25">
      <c r="B69" s="370" t="s">
        <v>837</v>
      </c>
      <c r="C69" s="370" t="s">
        <v>838</v>
      </c>
      <c r="D69" s="370" t="s">
        <v>230</v>
      </c>
      <c r="E69" s="370" t="s">
        <v>839</v>
      </c>
      <c r="F69" s="371" t="s">
        <v>1179</v>
      </c>
      <c r="G69" s="374" t="s">
        <v>675</v>
      </c>
      <c r="H69" s="375">
        <v>1170637</v>
      </c>
      <c r="I69" s="382">
        <v>0</v>
      </c>
      <c r="J69" s="372">
        <v>1170637</v>
      </c>
      <c r="K69" s="382">
        <f>J69/H69</f>
        <v>1</v>
      </c>
    </row>
    <row r="70" spans="2:13" ht="76.5" thickTop="1" thickBot="1" x14ac:dyDescent="0.25">
      <c r="B70" s="370" t="s">
        <v>837</v>
      </c>
      <c r="C70" s="370" t="s">
        <v>838</v>
      </c>
      <c r="D70" s="370" t="s">
        <v>230</v>
      </c>
      <c r="E70" s="370" t="s">
        <v>839</v>
      </c>
      <c r="F70" s="371" t="s">
        <v>1181</v>
      </c>
      <c r="G70" s="374" t="s">
        <v>590</v>
      </c>
      <c r="H70" s="375">
        <v>4786834</v>
      </c>
      <c r="I70" s="382">
        <f>(199700+1000000+2898451.2)/H70</f>
        <v>0.85612979267716416</v>
      </c>
      <c r="J70" s="372">
        <v>542580</v>
      </c>
      <c r="K70" s="382">
        <v>1</v>
      </c>
      <c r="L70" s="372"/>
      <c r="M70" s="683"/>
    </row>
    <row r="71" spans="2:13" ht="46.5" thickTop="1" thickBot="1" x14ac:dyDescent="0.25">
      <c r="B71" s="370" t="s">
        <v>852</v>
      </c>
      <c r="C71" s="370" t="s">
        <v>853</v>
      </c>
      <c r="D71" s="370" t="s">
        <v>231</v>
      </c>
      <c r="E71" s="370" t="s">
        <v>854</v>
      </c>
      <c r="F71" s="371" t="s">
        <v>581</v>
      </c>
      <c r="G71" s="374"/>
      <c r="H71" s="375"/>
      <c r="I71" s="382"/>
      <c r="J71" s="372">
        <v>50000</v>
      </c>
      <c r="K71" s="382"/>
      <c r="L71" s="666"/>
      <c r="M71" s="683"/>
    </row>
    <row r="72" spans="2:13" ht="46.5" thickTop="1" thickBot="1" x14ac:dyDescent="0.25">
      <c r="B72" s="370" t="s">
        <v>822</v>
      </c>
      <c r="C72" s="370" t="s">
        <v>823</v>
      </c>
      <c r="D72" s="370" t="s">
        <v>231</v>
      </c>
      <c r="E72" s="370" t="s">
        <v>824</v>
      </c>
      <c r="F72" s="371" t="s">
        <v>581</v>
      </c>
      <c r="G72" s="374"/>
      <c r="H72" s="375"/>
      <c r="I72" s="382"/>
      <c r="J72" s="372">
        <v>50000</v>
      </c>
      <c r="K72" s="382"/>
      <c r="L72" s="666"/>
      <c r="M72" s="683"/>
    </row>
    <row r="73" spans="2:13" ht="91.5" customHeight="1" thickTop="1" thickBot="1" x14ac:dyDescent="0.25">
      <c r="B73" s="370" t="s">
        <v>830</v>
      </c>
      <c r="C73" s="370" t="s">
        <v>831</v>
      </c>
      <c r="D73" s="370" t="s">
        <v>231</v>
      </c>
      <c r="E73" s="370" t="s">
        <v>832</v>
      </c>
      <c r="F73" s="371" t="s">
        <v>581</v>
      </c>
      <c r="G73" s="374"/>
      <c r="H73" s="375"/>
      <c r="I73" s="375"/>
      <c r="J73" s="372">
        <f>[1]d3!K64</f>
        <v>2000000</v>
      </c>
      <c r="K73" s="372"/>
    </row>
    <row r="74" spans="2:13" ht="76.5" thickTop="1" thickBot="1" x14ac:dyDescent="0.25">
      <c r="B74" s="370" t="s">
        <v>819</v>
      </c>
      <c r="C74" s="370" t="s">
        <v>820</v>
      </c>
      <c r="D74" s="370" t="s">
        <v>231</v>
      </c>
      <c r="E74" s="370" t="s">
        <v>821</v>
      </c>
      <c r="F74" s="371" t="s">
        <v>581</v>
      </c>
      <c r="G74" s="374"/>
      <c r="H74" s="375"/>
      <c r="I74" s="375"/>
      <c r="J74" s="372">
        <f>2396198</f>
        <v>2396198</v>
      </c>
      <c r="K74" s="372"/>
    </row>
    <row r="75" spans="2:13" ht="76.5" thickTop="1" thickBot="1" x14ac:dyDescent="0.25">
      <c r="B75" s="370" t="s">
        <v>1244</v>
      </c>
      <c r="C75" s="370" t="s">
        <v>1245</v>
      </c>
      <c r="D75" s="370" t="s">
        <v>231</v>
      </c>
      <c r="E75" s="370" t="s">
        <v>1246</v>
      </c>
      <c r="F75" s="371" t="s">
        <v>581</v>
      </c>
      <c r="G75" s="374"/>
      <c r="H75" s="375"/>
      <c r="I75" s="375"/>
      <c r="J75" s="372">
        <v>576190</v>
      </c>
      <c r="K75" s="372"/>
    </row>
    <row r="76" spans="2:13" ht="46.5" thickTop="1" thickBot="1" x14ac:dyDescent="0.25">
      <c r="B76" s="603" t="s">
        <v>171</v>
      </c>
      <c r="C76" s="603"/>
      <c r="D76" s="603"/>
      <c r="E76" s="604" t="s">
        <v>18</v>
      </c>
      <c r="F76" s="609"/>
      <c r="G76" s="605"/>
      <c r="H76" s="605"/>
      <c r="I76" s="605"/>
      <c r="J76" s="609">
        <f>J77</f>
        <v>16231823</v>
      </c>
      <c r="K76" s="609"/>
    </row>
    <row r="77" spans="2:13" ht="44.25" thickTop="1" thickBot="1" x14ac:dyDescent="0.25">
      <c r="B77" s="606" t="s">
        <v>172</v>
      </c>
      <c r="C77" s="606"/>
      <c r="D77" s="606"/>
      <c r="E77" s="607" t="s">
        <v>38</v>
      </c>
      <c r="F77" s="610"/>
      <c r="G77" s="610"/>
      <c r="H77" s="610"/>
      <c r="I77" s="610"/>
      <c r="J77" s="610">
        <f>SUM(J78:J90)</f>
        <v>16231823</v>
      </c>
      <c r="K77" s="610"/>
    </row>
    <row r="78" spans="2:13" ht="91.5" thickTop="1" thickBot="1" x14ac:dyDescent="0.25">
      <c r="B78" s="373" t="s">
        <v>469</v>
      </c>
      <c r="C78" s="373" t="s">
        <v>218</v>
      </c>
      <c r="D78" s="373" t="s">
        <v>187</v>
      </c>
      <c r="E78" s="373" t="s">
        <v>36</v>
      </c>
      <c r="F78" s="432" t="s">
        <v>764</v>
      </c>
      <c r="G78" s="374"/>
      <c r="H78" s="375"/>
      <c r="I78" s="382"/>
      <c r="J78" s="372">
        <f>(437500)+3000000+500000+1500000</f>
        <v>5437500</v>
      </c>
      <c r="K78" s="382"/>
    </row>
    <row r="79" spans="2:13" ht="151.5" thickTop="1" thickBot="1" x14ac:dyDescent="0.25">
      <c r="B79" s="373" t="s">
        <v>469</v>
      </c>
      <c r="C79" s="373" t="s">
        <v>218</v>
      </c>
      <c r="D79" s="373" t="s">
        <v>187</v>
      </c>
      <c r="E79" s="373" t="s">
        <v>36</v>
      </c>
      <c r="F79" s="432" t="s">
        <v>765</v>
      </c>
      <c r="G79" s="374" t="s">
        <v>534</v>
      </c>
      <c r="H79" s="375">
        <v>725500</v>
      </c>
      <c r="I79" s="382">
        <f>457500/H79</f>
        <v>0.63059958649207448</v>
      </c>
      <c r="J79" s="372">
        <v>268000</v>
      </c>
      <c r="K79" s="382">
        <f>(J79+457500)/H79</f>
        <v>1</v>
      </c>
    </row>
    <row r="80" spans="2:13" ht="181.5" thickTop="1" thickBot="1" x14ac:dyDescent="0.25">
      <c r="B80" s="373" t="s">
        <v>469</v>
      </c>
      <c r="C80" s="373" t="s">
        <v>218</v>
      </c>
      <c r="D80" s="373" t="s">
        <v>187</v>
      </c>
      <c r="E80" s="373" t="s">
        <v>36</v>
      </c>
      <c r="F80" s="381" t="s">
        <v>715</v>
      </c>
      <c r="G80" s="377" t="s">
        <v>534</v>
      </c>
      <c r="H80" s="378">
        <v>1860900</v>
      </c>
      <c r="I80" s="379">
        <f>(49400)/H80</f>
        <v>2.6546294803589662E-2</v>
      </c>
      <c r="J80" s="380">
        <v>900000</v>
      </c>
      <c r="K80" s="379">
        <f>(J80+49400)/H80</f>
        <v>0.51018324466655918</v>
      </c>
    </row>
    <row r="81" spans="2:11" ht="91.5" thickTop="1" thickBot="1" x14ac:dyDescent="0.25">
      <c r="B81" s="373" t="s">
        <v>469</v>
      </c>
      <c r="C81" s="373" t="s">
        <v>218</v>
      </c>
      <c r="D81" s="373" t="s">
        <v>187</v>
      </c>
      <c r="E81" s="370" t="s">
        <v>36</v>
      </c>
      <c r="F81" s="433" t="s">
        <v>585</v>
      </c>
      <c r="G81" s="377"/>
      <c r="H81" s="378"/>
      <c r="I81" s="379"/>
      <c r="J81" s="380">
        <f>(129406)+800000</f>
        <v>929406</v>
      </c>
      <c r="K81" s="379"/>
    </row>
    <row r="82" spans="2:11" ht="166.5" thickTop="1" thickBot="1" x14ac:dyDescent="0.25">
      <c r="B82" s="373" t="s">
        <v>469</v>
      </c>
      <c r="C82" s="373" t="s">
        <v>218</v>
      </c>
      <c r="D82" s="373" t="s">
        <v>187</v>
      </c>
      <c r="E82" s="373" t="s">
        <v>36</v>
      </c>
      <c r="F82" s="432" t="s">
        <v>717</v>
      </c>
      <c r="G82" s="377" t="s">
        <v>599</v>
      </c>
      <c r="H82" s="378">
        <v>2286900</v>
      </c>
      <c r="I82" s="379">
        <f>41107/H82</f>
        <v>1.7974987974987974E-2</v>
      </c>
      <c r="J82" s="380">
        <f>2286900-41107</f>
        <v>2245793</v>
      </c>
      <c r="K82" s="379">
        <f>(J82+41107)/H82</f>
        <v>1</v>
      </c>
    </row>
    <row r="83" spans="2:11" ht="151.5" thickTop="1" thickBot="1" x14ac:dyDescent="0.25">
      <c r="B83" s="373" t="s">
        <v>469</v>
      </c>
      <c r="C83" s="373" t="s">
        <v>218</v>
      </c>
      <c r="D83" s="373" t="s">
        <v>187</v>
      </c>
      <c r="E83" s="373" t="s">
        <v>36</v>
      </c>
      <c r="F83" s="432" t="s">
        <v>761</v>
      </c>
      <c r="G83" s="377" t="s">
        <v>762</v>
      </c>
      <c r="H83" s="378">
        <v>24579593</v>
      </c>
      <c r="I83" s="379">
        <f>600000/H83</f>
        <v>2.4410493696946079E-2</v>
      </c>
      <c r="J83" s="380">
        <v>500000</v>
      </c>
      <c r="K83" s="379">
        <f>(J83+600000)/H83</f>
        <v>4.4752571777734479E-2</v>
      </c>
    </row>
    <row r="84" spans="2:11" ht="91.5" thickTop="1" thickBot="1" x14ac:dyDescent="0.25">
      <c r="B84" s="373" t="s">
        <v>469</v>
      </c>
      <c r="C84" s="373" t="s">
        <v>218</v>
      </c>
      <c r="D84" s="373" t="s">
        <v>187</v>
      </c>
      <c r="E84" s="373" t="s">
        <v>36</v>
      </c>
      <c r="F84" s="432" t="s">
        <v>603</v>
      </c>
      <c r="G84" s="374"/>
      <c r="H84" s="375"/>
      <c r="I84" s="382"/>
      <c r="J84" s="372">
        <f>(1000000)+952000+1000000+500000</f>
        <v>3452000</v>
      </c>
      <c r="K84" s="382"/>
    </row>
    <row r="85" spans="2:11" ht="151.5" thickTop="1" thickBot="1" x14ac:dyDescent="0.25">
      <c r="B85" s="373" t="s">
        <v>469</v>
      </c>
      <c r="C85" s="373" t="s">
        <v>218</v>
      </c>
      <c r="D85" s="373" t="s">
        <v>187</v>
      </c>
      <c r="E85" s="373" t="s">
        <v>36</v>
      </c>
      <c r="F85" s="432" t="s">
        <v>716</v>
      </c>
      <c r="G85" s="377" t="s">
        <v>675</v>
      </c>
      <c r="H85" s="378">
        <v>299806.42</v>
      </c>
      <c r="I85" s="379">
        <v>0</v>
      </c>
      <c r="J85" s="380">
        <v>299806</v>
      </c>
      <c r="K85" s="379">
        <f>(J85)/H85</f>
        <v>0.99999859909604338</v>
      </c>
    </row>
    <row r="86" spans="2:11" ht="91.5" thickTop="1" thickBot="1" x14ac:dyDescent="0.25">
      <c r="B86" s="373" t="s">
        <v>469</v>
      </c>
      <c r="C86" s="373" t="s">
        <v>218</v>
      </c>
      <c r="D86" s="373" t="s">
        <v>187</v>
      </c>
      <c r="E86" s="373" t="s">
        <v>36</v>
      </c>
      <c r="F86" s="432" t="s">
        <v>789</v>
      </c>
      <c r="G86" s="377"/>
      <c r="H86" s="378"/>
      <c r="I86" s="379"/>
      <c r="J86" s="380">
        <f>(500000)+300000</f>
        <v>800000</v>
      </c>
      <c r="K86" s="379"/>
    </row>
    <row r="87" spans="2:11" ht="106.5" thickTop="1" thickBot="1" x14ac:dyDescent="0.25">
      <c r="B87" s="373" t="s">
        <v>469</v>
      </c>
      <c r="C87" s="373" t="s">
        <v>218</v>
      </c>
      <c r="D87" s="373" t="s">
        <v>187</v>
      </c>
      <c r="E87" s="373" t="s">
        <v>36</v>
      </c>
      <c r="F87" s="432" t="s">
        <v>586</v>
      </c>
      <c r="G87" s="374"/>
      <c r="H87" s="375"/>
      <c r="I87" s="374"/>
      <c r="J87" s="372">
        <f>(700000+136258+107000)-100000</f>
        <v>843258</v>
      </c>
      <c r="K87" s="379"/>
    </row>
    <row r="88" spans="2:11" ht="151.5" thickTop="1" thickBot="1" x14ac:dyDescent="0.25">
      <c r="B88" s="373" t="s">
        <v>469</v>
      </c>
      <c r="C88" s="373" t="s">
        <v>218</v>
      </c>
      <c r="D88" s="373" t="s">
        <v>187</v>
      </c>
      <c r="E88" s="373" t="s">
        <v>36</v>
      </c>
      <c r="F88" s="432" t="s">
        <v>763</v>
      </c>
      <c r="G88" s="377" t="s">
        <v>675</v>
      </c>
      <c r="H88" s="380">
        <v>77072</v>
      </c>
      <c r="I88" s="379">
        <v>0</v>
      </c>
      <c r="J88" s="380">
        <v>77072</v>
      </c>
      <c r="K88" s="379">
        <f>(J88)/H88</f>
        <v>1</v>
      </c>
    </row>
    <row r="89" spans="2:11" ht="166.5" thickTop="1" thickBot="1" x14ac:dyDescent="0.25">
      <c r="B89" s="373" t="s">
        <v>469</v>
      </c>
      <c r="C89" s="373" t="s">
        <v>218</v>
      </c>
      <c r="D89" s="373" t="s">
        <v>187</v>
      </c>
      <c r="E89" s="373" t="s">
        <v>36</v>
      </c>
      <c r="F89" s="432" t="s">
        <v>1224</v>
      </c>
      <c r="G89" s="377" t="s">
        <v>675</v>
      </c>
      <c r="H89" s="375">
        <v>123940</v>
      </c>
      <c r="I89" s="379">
        <v>0</v>
      </c>
      <c r="J89" s="372">
        <v>123940</v>
      </c>
      <c r="K89" s="379">
        <f>(J89)/H89</f>
        <v>1</v>
      </c>
    </row>
    <row r="90" spans="2:11" ht="151.5" thickTop="1" thickBot="1" x14ac:dyDescent="0.25">
      <c r="B90" s="373" t="s">
        <v>469</v>
      </c>
      <c r="C90" s="373" t="s">
        <v>218</v>
      </c>
      <c r="D90" s="373" t="s">
        <v>187</v>
      </c>
      <c r="E90" s="373" t="s">
        <v>36</v>
      </c>
      <c r="F90" s="433" t="s">
        <v>1149</v>
      </c>
      <c r="G90" s="377" t="s">
        <v>534</v>
      </c>
      <c r="H90" s="378">
        <v>355048</v>
      </c>
      <c r="I90" s="379">
        <v>0</v>
      </c>
      <c r="J90" s="380">
        <v>355048</v>
      </c>
      <c r="K90" s="379">
        <f>(J90)/H90</f>
        <v>1</v>
      </c>
    </row>
    <row r="91" spans="2:11" ht="46.5" thickTop="1" thickBot="1" x14ac:dyDescent="0.25">
      <c r="B91" s="603" t="s">
        <v>173</v>
      </c>
      <c r="C91" s="603"/>
      <c r="D91" s="603"/>
      <c r="E91" s="604" t="s">
        <v>39</v>
      </c>
      <c r="F91" s="609"/>
      <c r="G91" s="605"/>
      <c r="H91" s="605"/>
      <c r="I91" s="605"/>
      <c r="J91" s="609">
        <f>J92</f>
        <v>6289780</v>
      </c>
      <c r="K91" s="609"/>
    </row>
    <row r="92" spans="2:11" ht="58.5" thickTop="1" thickBot="1" x14ac:dyDescent="0.25">
      <c r="B92" s="606" t="s">
        <v>174</v>
      </c>
      <c r="C92" s="606"/>
      <c r="D92" s="606"/>
      <c r="E92" s="607" t="s">
        <v>40</v>
      </c>
      <c r="F92" s="610"/>
      <c r="G92" s="610"/>
      <c r="H92" s="610"/>
      <c r="I92" s="610"/>
      <c r="J92" s="610">
        <f>SUM(J93:J101)</f>
        <v>6289780</v>
      </c>
      <c r="K92" s="610"/>
    </row>
    <row r="93" spans="2:11" ht="61.5" thickTop="1" thickBot="1" x14ac:dyDescent="0.25">
      <c r="B93" s="373" t="s">
        <v>446</v>
      </c>
      <c r="C93" s="373" t="s">
        <v>257</v>
      </c>
      <c r="D93" s="373" t="s">
        <v>255</v>
      </c>
      <c r="E93" s="373" t="s">
        <v>256</v>
      </c>
      <c r="F93" s="432" t="s">
        <v>581</v>
      </c>
      <c r="G93" s="374"/>
      <c r="H93" s="375"/>
      <c r="I93" s="374"/>
      <c r="J93" s="375">
        <v>911000</v>
      </c>
      <c r="K93" s="375"/>
    </row>
    <row r="94" spans="2:11" ht="91.5" thickTop="1" thickBot="1" x14ac:dyDescent="0.25">
      <c r="B94" s="373" t="s">
        <v>446</v>
      </c>
      <c r="C94" s="373" t="s">
        <v>257</v>
      </c>
      <c r="D94" s="373" t="s">
        <v>255</v>
      </c>
      <c r="E94" s="373" t="s">
        <v>256</v>
      </c>
      <c r="F94" s="432" t="s">
        <v>1164</v>
      </c>
      <c r="G94" s="374" t="s">
        <v>599</v>
      </c>
      <c r="H94" s="375">
        <v>1439300</v>
      </c>
      <c r="I94" s="379">
        <f>850000/H94</f>
        <v>0.59056485791704305</v>
      </c>
      <c r="J94" s="375">
        <v>250000</v>
      </c>
      <c r="K94" s="379">
        <v>1</v>
      </c>
    </row>
    <row r="95" spans="2:11" ht="31.5" thickTop="1" thickBot="1" x14ac:dyDescent="0.25">
      <c r="B95" s="373" t="s">
        <v>290</v>
      </c>
      <c r="C95" s="373" t="s">
        <v>291</v>
      </c>
      <c r="D95" s="373" t="s">
        <v>226</v>
      </c>
      <c r="E95" s="434" t="s">
        <v>292</v>
      </c>
      <c r="F95" s="371" t="s">
        <v>587</v>
      </c>
      <c r="G95" s="374" t="s">
        <v>675</v>
      </c>
      <c r="H95" s="435"/>
      <c r="I95" s="439">
        <v>0</v>
      </c>
      <c r="J95" s="372">
        <v>199000</v>
      </c>
      <c r="K95" s="382">
        <v>1</v>
      </c>
    </row>
    <row r="96" spans="2:11" ht="61.5" thickTop="1" thickBot="1" x14ac:dyDescent="0.25">
      <c r="B96" s="373" t="s">
        <v>288</v>
      </c>
      <c r="C96" s="373" t="s">
        <v>286</v>
      </c>
      <c r="D96" s="373" t="s">
        <v>221</v>
      </c>
      <c r="E96" s="373" t="s">
        <v>17</v>
      </c>
      <c r="F96" s="432" t="s">
        <v>581</v>
      </c>
      <c r="G96" s="374"/>
      <c r="H96" s="435"/>
      <c r="I96" s="436"/>
      <c r="J96" s="372">
        <f>58000+15000+25000+30000</f>
        <v>128000</v>
      </c>
      <c r="K96" s="382"/>
    </row>
    <row r="97" spans="1:12" ht="31.5" thickTop="1" thickBot="1" x14ac:dyDescent="0.25">
      <c r="B97" s="373" t="s">
        <v>289</v>
      </c>
      <c r="C97" s="373" t="s">
        <v>287</v>
      </c>
      <c r="D97" s="373" t="s">
        <v>220</v>
      </c>
      <c r="E97" s="373" t="s">
        <v>494</v>
      </c>
      <c r="F97" s="432" t="s">
        <v>581</v>
      </c>
      <c r="G97" s="374"/>
      <c r="H97" s="435"/>
      <c r="I97" s="436"/>
      <c r="J97" s="372">
        <v>43440</v>
      </c>
      <c r="K97" s="382"/>
    </row>
    <row r="98" spans="1:12" ht="46.5" thickTop="1" thickBot="1" x14ac:dyDescent="0.25">
      <c r="B98" s="373" t="s">
        <v>355</v>
      </c>
      <c r="C98" s="373" t="s">
        <v>357</v>
      </c>
      <c r="D98" s="373" t="s">
        <v>212</v>
      </c>
      <c r="E98" s="437" t="s">
        <v>359</v>
      </c>
      <c r="F98" s="432" t="s">
        <v>581</v>
      </c>
      <c r="G98" s="372"/>
      <c r="H98" s="372"/>
      <c r="I98" s="438"/>
      <c r="J98" s="375">
        <f>(72894+138259+40788+136399)</f>
        <v>388340</v>
      </c>
      <c r="K98" s="375"/>
    </row>
    <row r="99" spans="1:12" ht="31.5" thickTop="1" thickBot="1" x14ac:dyDescent="0.25">
      <c r="B99" s="373" t="s">
        <v>356</v>
      </c>
      <c r="C99" s="373" t="s">
        <v>358</v>
      </c>
      <c r="D99" s="373" t="s">
        <v>212</v>
      </c>
      <c r="E99" s="437" t="s">
        <v>360</v>
      </c>
      <c r="F99" s="371" t="s">
        <v>587</v>
      </c>
      <c r="G99" s="374" t="s">
        <v>675</v>
      </c>
      <c r="H99" s="372"/>
      <c r="I99" s="439">
        <v>0</v>
      </c>
      <c r="J99" s="375">
        <v>150000</v>
      </c>
      <c r="K99" s="382">
        <v>1</v>
      </c>
      <c r="L99" s="686"/>
    </row>
    <row r="100" spans="1:12" ht="31.5" thickTop="1" thickBot="1" x14ac:dyDescent="0.25">
      <c r="B100" s="373" t="s">
        <v>396</v>
      </c>
      <c r="C100" s="373" t="s">
        <v>394</v>
      </c>
      <c r="D100" s="373" t="s">
        <v>368</v>
      </c>
      <c r="E100" s="437" t="s">
        <v>395</v>
      </c>
      <c r="F100" s="374" t="s">
        <v>588</v>
      </c>
      <c r="G100" s="374"/>
      <c r="H100" s="372"/>
      <c r="I100" s="438"/>
      <c r="J100" s="375">
        <v>4000000</v>
      </c>
      <c r="K100" s="382"/>
    </row>
    <row r="101" spans="1:12" ht="106.5" thickTop="1" thickBot="1" x14ac:dyDescent="0.25">
      <c r="B101" s="370" t="s">
        <v>1167</v>
      </c>
      <c r="C101" s="370" t="s">
        <v>1168</v>
      </c>
      <c r="D101" s="370" t="s">
        <v>326</v>
      </c>
      <c r="E101" s="370" t="s">
        <v>1171</v>
      </c>
      <c r="F101" s="397" t="s">
        <v>1172</v>
      </c>
      <c r="G101" s="375" t="s">
        <v>599</v>
      </c>
      <c r="H101" s="372">
        <f>8638500+1849000</f>
        <v>10487500</v>
      </c>
      <c r="I101" s="382">
        <f>(1996859.63+6999090.23)/H101</f>
        <v>0.85777829415971385</v>
      </c>
      <c r="J101" s="375">
        <v>220000</v>
      </c>
      <c r="K101" s="382">
        <v>1</v>
      </c>
    </row>
    <row r="102" spans="1:12" ht="46.5" thickTop="1" thickBot="1" x14ac:dyDescent="0.25">
      <c r="A102" s="248"/>
      <c r="B102" s="603">
        <v>1000000</v>
      </c>
      <c r="C102" s="603"/>
      <c r="D102" s="603"/>
      <c r="E102" s="604" t="s">
        <v>24</v>
      </c>
      <c r="F102" s="609"/>
      <c r="G102" s="605"/>
      <c r="H102" s="605"/>
      <c r="I102" s="605"/>
      <c r="J102" s="609">
        <f>J103</f>
        <v>7566000</v>
      </c>
      <c r="K102" s="609"/>
    </row>
    <row r="103" spans="1:12" ht="44.25" thickTop="1" thickBot="1" x14ac:dyDescent="0.25">
      <c r="A103" s="248"/>
      <c r="B103" s="606">
        <v>1010000</v>
      </c>
      <c r="C103" s="606"/>
      <c r="D103" s="606"/>
      <c r="E103" s="607" t="s">
        <v>41</v>
      </c>
      <c r="F103" s="610"/>
      <c r="G103" s="610"/>
      <c r="H103" s="610"/>
      <c r="I103" s="610"/>
      <c r="J103" s="610">
        <f>SUM(J104:J112)</f>
        <v>7566000</v>
      </c>
      <c r="K103" s="610"/>
    </row>
    <row r="104" spans="1:12" ht="61.5" thickTop="1" thickBot="1" x14ac:dyDescent="0.25">
      <c r="A104" s="248"/>
      <c r="B104" s="370" t="s">
        <v>810</v>
      </c>
      <c r="C104" s="370" t="s">
        <v>811</v>
      </c>
      <c r="D104" s="370" t="s">
        <v>202</v>
      </c>
      <c r="E104" s="370" t="s">
        <v>549</v>
      </c>
      <c r="F104" s="371" t="s">
        <v>1305</v>
      </c>
      <c r="G104" s="375" t="s">
        <v>1123</v>
      </c>
      <c r="H104" s="378">
        <v>3361251</v>
      </c>
      <c r="I104" s="439">
        <f>1829721.61/H104</f>
        <v>0.54435732707851936</v>
      </c>
      <c r="J104" s="375">
        <v>1000000</v>
      </c>
      <c r="K104" s="439">
        <f>(1829721.61+J104)/H104</f>
        <v>0.84186560599015081</v>
      </c>
      <c r="L104" s="240" t="s">
        <v>1145</v>
      </c>
    </row>
    <row r="105" spans="1:12" ht="31.5" thickTop="1" thickBot="1" x14ac:dyDescent="0.25">
      <c r="A105" s="248"/>
      <c r="B105" s="373" t="s">
        <v>193</v>
      </c>
      <c r="C105" s="373" t="s">
        <v>194</v>
      </c>
      <c r="D105" s="373" t="s">
        <v>195</v>
      </c>
      <c r="E105" s="373" t="s">
        <v>196</v>
      </c>
      <c r="F105" s="371" t="s">
        <v>581</v>
      </c>
      <c r="G105" s="375"/>
      <c r="H105" s="375"/>
      <c r="I105" s="439"/>
      <c r="J105" s="375">
        <f>(10000+28000)+766000</f>
        <v>804000</v>
      </c>
      <c r="K105" s="439"/>
    </row>
    <row r="106" spans="1:12" ht="76.5" thickTop="1" thickBot="1" x14ac:dyDescent="0.25">
      <c r="A106" s="248"/>
      <c r="B106" s="373" t="s">
        <v>193</v>
      </c>
      <c r="C106" s="373" t="s">
        <v>194</v>
      </c>
      <c r="D106" s="373" t="s">
        <v>195</v>
      </c>
      <c r="E106" s="373" t="s">
        <v>196</v>
      </c>
      <c r="F106" s="371" t="s">
        <v>725</v>
      </c>
      <c r="G106" s="374" t="s">
        <v>675</v>
      </c>
      <c r="H106" s="375"/>
      <c r="I106" s="439">
        <v>0</v>
      </c>
      <c r="J106" s="375">
        <v>84000</v>
      </c>
      <c r="K106" s="439">
        <v>1</v>
      </c>
    </row>
    <row r="107" spans="1:12" ht="46.5" thickTop="1" thickBot="1" x14ac:dyDescent="0.25">
      <c r="A107" s="248"/>
      <c r="B107" s="373" t="s">
        <v>193</v>
      </c>
      <c r="C107" s="373" t="s">
        <v>194</v>
      </c>
      <c r="D107" s="373" t="s">
        <v>195</v>
      </c>
      <c r="E107" s="373" t="s">
        <v>196</v>
      </c>
      <c r="F107" s="371" t="s">
        <v>726</v>
      </c>
      <c r="G107" s="374" t="s">
        <v>675</v>
      </c>
      <c r="H107" s="375"/>
      <c r="I107" s="439">
        <v>0</v>
      </c>
      <c r="J107" s="375">
        <v>67000</v>
      </c>
      <c r="K107" s="439">
        <v>1</v>
      </c>
    </row>
    <row r="108" spans="1:12" ht="31.5" thickTop="1" thickBot="1" x14ac:dyDescent="0.25">
      <c r="A108" s="248"/>
      <c r="B108" s="373" t="s">
        <v>197</v>
      </c>
      <c r="C108" s="373" t="s">
        <v>198</v>
      </c>
      <c r="D108" s="373" t="s">
        <v>195</v>
      </c>
      <c r="E108" s="373" t="s">
        <v>503</v>
      </c>
      <c r="F108" s="371" t="s">
        <v>581</v>
      </c>
      <c r="G108" s="374"/>
      <c r="H108" s="375"/>
      <c r="I108" s="439"/>
      <c r="J108" s="375">
        <f>14900+150000</f>
        <v>164900</v>
      </c>
      <c r="K108" s="382"/>
    </row>
    <row r="109" spans="1:12" ht="61.5" thickTop="1" thickBot="1" x14ac:dyDescent="0.25">
      <c r="A109" s="248"/>
      <c r="B109" s="373" t="s">
        <v>197</v>
      </c>
      <c r="C109" s="373" t="s">
        <v>198</v>
      </c>
      <c r="D109" s="373" t="s">
        <v>195</v>
      </c>
      <c r="E109" s="373" t="s">
        <v>503</v>
      </c>
      <c r="F109" s="397" t="s">
        <v>1225</v>
      </c>
      <c r="G109" s="375" t="s">
        <v>589</v>
      </c>
      <c r="H109" s="375">
        <v>27064985</v>
      </c>
      <c r="I109" s="439">
        <f>(1430336+2994769.5+4929931.79+5600000)/H109</f>
        <v>0.55256033912451819</v>
      </c>
      <c r="J109" s="375">
        <f>(3000000)+2000000</f>
        <v>5000000</v>
      </c>
      <c r="K109" s="439">
        <f>(1430336+2994769.5+4929931.79+5600000+J109)/H109</f>
        <v>0.73730088119391157</v>
      </c>
    </row>
    <row r="110" spans="1:12" ht="46.5" thickTop="1" thickBot="1" x14ac:dyDescent="0.25">
      <c r="A110" s="248"/>
      <c r="B110" s="373" t="s">
        <v>199</v>
      </c>
      <c r="C110" s="373" t="s">
        <v>190</v>
      </c>
      <c r="D110" s="373" t="s">
        <v>200</v>
      </c>
      <c r="E110" s="373" t="s">
        <v>201</v>
      </c>
      <c r="F110" s="371" t="s">
        <v>581</v>
      </c>
      <c r="G110" s="375"/>
      <c r="H110" s="375"/>
      <c r="I110" s="439"/>
      <c r="J110" s="375">
        <f>(124500)+16500+5100</f>
        <v>146100</v>
      </c>
      <c r="K110" s="439"/>
    </row>
    <row r="111" spans="1:12" ht="106.5" thickTop="1" thickBot="1" x14ac:dyDescent="0.25">
      <c r="A111" s="248"/>
      <c r="B111" s="373" t="s">
        <v>1148</v>
      </c>
      <c r="C111" s="373" t="s">
        <v>218</v>
      </c>
      <c r="D111" s="373" t="s">
        <v>187</v>
      </c>
      <c r="E111" s="373" t="s">
        <v>36</v>
      </c>
      <c r="F111" s="433" t="s">
        <v>1247</v>
      </c>
      <c r="G111" s="374" t="s">
        <v>675</v>
      </c>
      <c r="H111" s="375">
        <v>200000</v>
      </c>
      <c r="I111" s="382">
        <v>0</v>
      </c>
      <c r="J111" s="375">
        <v>200000</v>
      </c>
      <c r="K111" s="382">
        <f>(J111)/H111</f>
        <v>1</v>
      </c>
    </row>
    <row r="112" spans="1:12" ht="136.5" thickTop="1" thickBot="1" x14ac:dyDescent="0.25">
      <c r="A112" s="248"/>
      <c r="B112" s="373" t="s">
        <v>1148</v>
      </c>
      <c r="C112" s="373" t="s">
        <v>218</v>
      </c>
      <c r="D112" s="373" t="s">
        <v>187</v>
      </c>
      <c r="E112" s="373" t="s">
        <v>36</v>
      </c>
      <c r="F112" s="433" t="s">
        <v>1248</v>
      </c>
      <c r="G112" s="374" t="s">
        <v>675</v>
      </c>
      <c r="H112" s="375"/>
      <c r="I112" s="382">
        <v>0</v>
      </c>
      <c r="J112" s="375">
        <v>100000</v>
      </c>
      <c r="K112" s="382">
        <v>1</v>
      </c>
    </row>
    <row r="113" spans="2:13" ht="46.5" thickTop="1" thickBot="1" x14ac:dyDescent="0.25">
      <c r="B113" s="603" t="s">
        <v>22</v>
      </c>
      <c r="C113" s="603"/>
      <c r="D113" s="603"/>
      <c r="E113" s="604" t="s">
        <v>23</v>
      </c>
      <c r="F113" s="609"/>
      <c r="G113" s="605"/>
      <c r="H113" s="605"/>
      <c r="I113" s="605"/>
      <c r="J113" s="609">
        <f>J114</f>
        <v>4267458</v>
      </c>
      <c r="K113" s="609"/>
    </row>
    <row r="114" spans="2:13" ht="44.25" thickTop="1" thickBot="1" x14ac:dyDescent="0.25">
      <c r="B114" s="606" t="s">
        <v>21</v>
      </c>
      <c r="C114" s="606"/>
      <c r="D114" s="606"/>
      <c r="E114" s="607" t="s">
        <v>37</v>
      </c>
      <c r="F114" s="610"/>
      <c r="G114" s="610"/>
      <c r="H114" s="610"/>
      <c r="I114" s="610"/>
      <c r="J114" s="610">
        <f>SUM(J115:J124)</f>
        <v>4267458</v>
      </c>
      <c r="K114" s="610"/>
    </row>
    <row r="115" spans="2:13" ht="46.5" thickTop="1" thickBot="1" x14ac:dyDescent="0.25">
      <c r="B115" s="373" t="s">
        <v>210</v>
      </c>
      <c r="C115" s="373" t="s">
        <v>211</v>
      </c>
      <c r="D115" s="373" t="s">
        <v>206</v>
      </c>
      <c r="E115" s="373" t="s">
        <v>10</v>
      </c>
      <c r="F115" s="371" t="s">
        <v>729</v>
      </c>
      <c r="G115" s="374" t="s">
        <v>675</v>
      </c>
      <c r="H115" s="372">
        <v>733957</v>
      </c>
      <c r="I115" s="382">
        <f>0/H115</f>
        <v>0</v>
      </c>
      <c r="J115" s="372">
        <v>733957</v>
      </c>
      <c r="K115" s="382">
        <f>(J115)/H115</f>
        <v>1</v>
      </c>
    </row>
    <row r="116" spans="2:13" s="47" customFormat="1" ht="46.5" thickTop="1" thickBot="1" x14ac:dyDescent="0.25">
      <c r="B116" s="373" t="s">
        <v>28</v>
      </c>
      <c r="C116" s="373" t="s">
        <v>213</v>
      </c>
      <c r="D116" s="373" t="s">
        <v>216</v>
      </c>
      <c r="E116" s="373" t="s">
        <v>50</v>
      </c>
      <c r="F116" s="371" t="s">
        <v>581</v>
      </c>
      <c r="G116" s="374"/>
      <c r="H116" s="375"/>
      <c r="I116" s="374"/>
      <c r="J116" s="372">
        <f>(77910+32400+91670)+86000+216360</f>
        <v>504340</v>
      </c>
      <c r="K116" s="372"/>
    </row>
    <row r="117" spans="2:13" s="47" customFormat="1" ht="91.5" thickTop="1" thickBot="1" x14ac:dyDescent="0.25">
      <c r="B117" s="373" t="s">
        <v>28</v>
      </c>
      <c r="C117" s="373" t="s">
        <v>213</v>
      </c>
      <c r="D117" s="373" t="s">
        <v>216</v>
      </c>
      <c r="E117" s="373" t="s">
        <v>50</v>
      </c>
      <c r="F117" s="371" t="s">
        <v>1226</v>
      </c>
      <c r="G117" s="374" t="s">
        <v>675</v>
      </c>
      <c r="H117" s="375"/>
      <c r="I117" s="379">
        <v>0</v>
      </c>
      <c r="J117" s="372">
        <v>48600</v>
      </c>
      <c r="K117" s="379">
        <v>1</v>
      </c>
    </row>
    <row r="118" spans="2:13" s="47" customFormat="1" ht="61.5" thickTop="1" thickBot="1" x14ac:dyDescent="0.25">
      <c r="B118" s="373" t="s">
        <v>28</v>
      </c>
      <c r="C118" s="373" t="s">
        <v>213</v>
      </c>
      <c r="D118" s="373" t="s">
        <v>216</v>
      </c>
      <c r="E118" s="373" t="s">
        <v>50</v>
      </c>
      <c r="F118" s="371" t="s">
        <v>1120</v>
      </c>
      <c r="G118" s="374" t="s">
        <v>675</v>
      </c>
      <c r="H118" s="375"/>
      <c r="I118" s="379">
        <v>0</v>
      </c>
      <c r="J118" s="372">
        <v>33250</v>
      </c>
      <c r="K118" s="379">
        <v>1</v>
      </c>
      <c r="L118" s="561" t="s">
        <v>1121</v>
      </c>
    </row>
    <row r="119" spans="2:13" s="47" customFormat="1" ht="61.5" thickTop="1" thickBot="1" x14ac:dyDescent="0.25">
      <c r="B119" s="373" t="s">
        <v>28</v>
      </c>
      <c r="C119" s="373" t="s">
        <v>213</v>
      </c>
      <c r="D119" s="373" t="s">
        <v>216</v>
      </c>
      <c r="E119" s="373" t="s">
        <v>50</v>
      </c>
      <c r="F119" s="371" t="s">
        <v>1128</v>
      </c>
      <c r="G119" s="378" t="s">
        <v>1123</v>
      </c>
      <c r="H119" s="378">
        <v>1592500</v>
      </c>
      <c r="I119" s="379">
        <f>(61861.62)/H119</f>
        <v>3.8845601255886972E-2</v>
      </c>
      <c r="J119" s="380">
        <f>16200+9287+1509600-4449</f>
        <v>1530638</v>
      </c>
      <c r="K119" s="379">
        <f>(J119+61861.62)/H119</f>
        <v>0.99999976138147573</v>
      </c>
      <c r="L119" s="687"/>
      <c r="M119" s="687"/>
    </row>
    <row r="120" spans="2:13" s="47" customFormat="1" ht="61.5" thickTop="1" thickBot="1" x14ac:dyDescent="0.25">
      <c r="B120" s="373" t="s">
        <v>28</v>
      </c>
      <c r="C120" s="373" t="s">
        <v>213</v>
      </c>
      <c r="D120" s="373" t="s">
        <v>216</v>
      </c>
      <c r="E120" s="373" t="s">
        <v>50</v>
      </c>
      <c r="F120" s="371" t="s">
        <v>758</v>
      </c>
      <c r="G120" s="374" t="s">
        <v>675</v>
      </c>
      <c r="H120" s="375"/>
      <c r="I120" s="379">
        <v>0</v>
      </c>
      <c r="J120" s="380">
        <f>405800-255801</f>
        <v>149999</v>
      </c>
      <c r="K120" s="379">
        <v>1</v>
      </c>
    </row>
    <row r="121" spans="2:13" s="47" customFormat="1" ht="61.5" thickTop="1" thickBot="1" x14ac:dyDescent="0.25">
      <c r="B121" s="373" t="s">
        <v>28</v>
      </c>
      <c r="C121" s="373" t="s">
        <v>213</v>
      </c>
      <c r="D121" s="373" t="s">
        <v>216</v>
      </c>
      <c r="E121" s="373" t="s">
        <v>50</v>
      </c>
      <c r="F121" s="371" t="s">
        <v>759</v>
      </c>
      <c r="G121" s="374" t="s">
        <v>675</v>
      </c>
      <c r="H121" s="375"/>
      <c r="I121" s="379">
        <v>0</v>
      </c>
      <c r="J121" s="372">
        <v>200000</v>
      </c>
      <c r="K121" s="379">
        <v>1</v>
      </c>
    </row>
    <row r="122" spans="2:13" s="47" customFormat="1" ht="46.5" thickTop="1" thickBot="1" x14ac:dyDescent="0.25">
      <c r="B122" s="373" t="s">
        <v>29</v>
      </c>
      <c r="C122" s="373" t="s">
        <v>214</v>
      </c>
      <c r="D122" s="373" t="s">
        <v>216</v>
      </c>
      <c r="E122" s="373" t="s">
        <v>51</v>
      </c>
      <c r="F122" s="371" t="s">
        <v>581</v>
      </c>
      <c r="G122" s="374"/>
      <c r="H122" s="372"/>
      <c r="I122" s="382"/>
      <c r="J122" s="372">
        <v>15200</v>
      </c>
      <c r="K122" s="382"/>
    </row>
    <row r="123" spans="2:13" s="47" customFormat="1" ht="31.5" thickTop="1" thickBot="1" x14ac:dyDescent="0.25">
      <c r="B123" s="440" t="s">
        <v>32</v>
      </c>
      <c r="C123" s="440" t="s">
        <v>217</v>
      </c>
      <c r="D123" s="440" t="s">
        <v>216</v>
      </c>
      <c r="E123" s="370" t="s">
        <v>33</v>
      </c>
      <c r="F123" s="371" t="s">
        <v>581</v>
      </c>
      <c r="G123" s="374"/>
      <c r="H123" s="375"/>
      <c r="I123" s="382"/>
      <c r="J123" s="372">
        <v>30000</v>
      </c>
      <c r="K123" s="382"/>
      <c r="L123" s="688"/>
    </row>
    <row r="124" spans="2:13" s="47" customFormat="1" ht="144" customHeight="1" thickTop="1" thickBot="1" x14ac:dyDescent="0.25">
      <c r="B124" s="370" t="s">
        <v>757</v>
      </c>
      <c r="C124" s="370" t="s">
        <v>218</v>
      </c>
      <c r="D124" s="370" t="s">
        <v>187</v>
      </c>
      <c r="E124" s="370" t="s">
        <v>36</v>
      </c>
      <c r="F124" s="381" t="s">
        <v>1122</v>
      </c>
      <c r="G124" s="374" t="s">
        <v>675</v>
      </c>
      <c r="H124" s="375">
        <v>1021474</v>
      </c>
      <c r="I124" s="379">
        <f>0/H124</f>
        <v>0</v>
      </c>
      <c r="J124" s="372">
        <f>45144+976330</f>
        <v>1021474</v>
      </c>
      <c r="K124" s="379">
        <v>1</v>
      </c>
      <c r="L124" s="688"/>
    </row>
    <row r="125" spans="2:13" s="47" customFormat="1" ht="46.5" thickTop="1" thickBot="1" x14ac:dyDescent="0.25">
      <c r="B125" s="603" t="s">
        <v>175</v>
      </c>
      <c r="C125" s="603"/>
      <c r="D125" s="603"/>
      <c r="E125" s="604" t="s">
        <v>682</v>
      </c>
      <c r="F125" s="609"/>
      <c r="G125" s="605"/>
      <c r="H125" s="605"/>
      <c r="I125" s="605"/>
      <c r="J125" s="609">
        <f>J126</f>
        <v>31119249</v>
      </c>
      <c r="K125" s="609"/>
      <c r="L125" s="688"/>
    </row>
    <row r="126" spans="2:13" s="47" customFormat="1" ht="44.25" thickTop="1" thickBot="1" x14ac:dyDescent="0.25">
      <c r="B126" s="606" t="s">
        <v>176</v>
      </c>
      <c r="C126" s="606"/>
      <c r="D126" s="606"/>
      <c r="E126" s="607" t="s">
        <v>683</v>
      </c>
      <c r="F126" s="610"/>
      <c r="G126" s="610"/>
      <c r="H126" s="610"/>
      <c r="I126" s="610"/>
      <c r="J126" s="610">
        <f>J127+J128+J129+J130+J135+J136</f>
        <v>31119249</v>
      </c>
      <c r="K126" s="610"/>
      <c r="L126" s="688"/>
    </row>
    <row r="127" spans="2:13" s="47" customFormat="1" ht="61.5" thickTop="1" thickBot="1" x14ac:dyDescent="0.25">
      <c r="B127" s="373" t="s">
        <v>452</v>
      </c>
      <c r="C127" s="373" t="s">
        <v>257</v>
      </c>
      <c r="D127" s="373" t="s">
        <v>255</v>
      </c>
      <c r="E127" s="373" t="s">
        <v>256</v>
      </c>
      <c r="F127" s="371" t="s">
        <v>581</v>
      </c>
      <c r="G127" s="374"/>
      <c r="H127" s="375"/>
      <c r="I127" s="374"/>
      <c r="J127" s="372">
        <f>(36000)+31812+95436</f>
        <v>163248</v>
      </c>
      <c r="K127" s="372"/>
      <c r="L127" s="688"/>
    </row>
    <row r="128" spans="2:13" s="47" customFormat="1" ht="31.5" thickTop="1" thickBot="1" x14ac:dyDescent="0.25">
      <c r="B128" s="373" t="s">
        <v>301</v>
      </c>
      <c r="C128" s="373" t="s">
        <v>302</v>
      </c>
      <c r="D128" s="373" t="s">
        <v>368</v>
      </c>
      <c r="E128" s="373" t="s">
        <v>303</v>
      </c>
      <c r="F128" s="374" t="s">
        <v>591</v>
      </c>
      <c r="G128" s="377"/>
      <c r="H128" s="380"/>
      <c r="I128" s="379"/>
      <c r="J128" s="372">
        <v>10345240</v>
      </c>
      <c r="K128" s="379"/>
      <c r="L128" s="688"/>
    </row>
    <row r="129" spans="2:12" s="47" customFormat="1" ht="31.5" thickTop="1" thickBot="1" x14ac:dyDescent="0.25">
      <c r="B129" s="373" t="s">
        <v>323</v>
      </c>
      <c r="C129" s="373" t="s">
        <v>324</v>
      </c>
      <c r="D129" s="373" t="s">
        <v>304</v>
      </c>
      <c r="E129" s="373" t="s">
        <v>325</v>
      </c>
      <c r="F129" s="374" t="s">
        <v>609</v>
      </c>
      <c r="G129" s="374"/>
      <c r="H129" s="375"/>
      <c r="I129" s="374"/>
      <c r="J129" s="372">
        <v>5000000</v>
      </c>
      <c r="K129" s="372"/>
      <c r="L129" s="688"/>
    </row>
    <row r="130" spans="2:12" s="47" customFormat="1" ht="46.5" thickTop="1" thickBot="1" x14ac:dyDescent="0.25">
      <c r="B130" s="373" t="s">
        <v>305</v>
      </c>
      <c r="C130" s="373" t="s">
        <v>306</v>
      </c>
      <c r="D130" s="373" t="s">
        <v>304</v>
      </c>
      <c r="E130" s="373" t="s">
        <v>506</v>
      </c>
      <c r="F130" s="374" t="s">
        <v>592</v>
      </c>
      <c r="G130" s="375"/>
      <c r="H130" s="375"/>
      <c r="I130" s="382"/>
      <c r="J130" s="372">
        <f>J131+J132+J133+J134</f>
        <v>13120761</v>
      </c>
      <c r="K130" s="382"/>
      <c r="L130" s="688"/>
    </row>
    <row r="131" spans="2:12" s="47" customFormat="1" ht="46.5" thickTop="1" thickBot="1" x14ac:dyDescent="0.25">
      <c r="B131" s="373" t="s">
        <v>305</v>
      </c>
      <c r="C131" s="373" t="s">
        <v>306</v>
      </c>
      <c r="D131" s="373" t="s">
        <v>304</v>
      </c>
      <c r="E131" s="441" t="s">
        <v>506</v>
      </c>
      <c r="F131" s="442" t="s">
        <v>604</v>
      </c>
      <c r="G131" s="374"/>
      <c r="H131" s="375"/>
      <c r="I131" s="374"/>
      <c r="J131" s="388">
        <v>1948000</v>
      </c>
      <c r="K131" s="372"/>
      <c r="L131" s="688"/>
    </row>
    <row r="132" spans="2:12" s="47" customFormat="1" ht="46.5" thickTop="1" thickBot="1" x14ac:dyDescent="0.25">
      <c r="B132" s="373" t="s">
        <v>305</v>
      </c>
      <c r="C132" s="373" t="s">
        <v>306</v>
      </c>
      <c r="D132" s="373" t="s">
        <v>304</v>
      </c>
      <c r="E132" s="441" t="s">
        <v>506</v>
      </c>
      <c r="F132" s="442" t="s">
        <v>593</v>
      </c>
      <c r="G132" s="375"/>
      <c r="H132" s="372"/>
      <c r="I132" s="382"/>
      <c r="J132" s="388">
        <v>10658900</v>
      </c>
      <c r="K132" s="382"/>
      <c r="L132" s="688"/>
    </row>
    <row r="133" spans="2:12" s="47" customFormat="1" ht="46.5" thickTop="1" thickBot="1" x14ac:dyDescent="0.25">
      <c r="B133" s="373" t="s">
        <v>305</v>
      </c>
      <c r="C133" s="373" t="s">
        <v>306</v>
      </c>
      <c r="D133" s="373" t="s">
        <v>304</v>
      </c>
      <c r="E133" s="441" t="s">
        <v>506</v>
      </c>
      <c r="F133" s="442" t="s">
        <v>605</v>
      </c>
      <c r="G133" s="374"/>
      <c r="H133" s="372"/>
      <c r="I133" s="382"/>
      <c r="J133" s="388">
        <v>461561</v>
      </c>
      <c r="K133" s="382"/>
      <c r="L133" s="688"/>
    </row>
    <row r="134" spans="2:12" s="47" customFormat="1" ht="76.5" thickTop="1" thickBot="1" x14ac:dyDescent="0.25">
      <c r="B134" s="373" t="s">
        <v>305</v>
      </c>
      <c r="C134" s="373" t="s">
        <v>306</v>
      </c>
      <c r="D134" s="373" t="s">
        <v>304</v>
      </c>
      <c r="E134" s="441" t="s">
        <v>506</v>
      </c>
      <c r="F134" s="442" t="s">
        <v>608</v>
      </c>
      <c r="G134" s="374" t="s">
        <v>665</v>
      </c>
      <c r="H134" s="372">
        <v>552300</v>
      </c>
      <c r="I134" s="382">
        <f>500000/H134</f>
        <v>0.90530508781459351</v>
      </c>
      <c r="J134" s="372">
        <v>52300</v>
      </c>
      <c r="K134" s="382">
        <f>(500000+J134)/H134</f>
        <v>1</v>
      </c>
      <c r="L134" s="688"/>
    </row>
    <row r="135" spans="2:12" s="47" customFormat="1" ht="61.5" thickTop="1" thickBot="1" x14ac:dyDescent="0.25">
      <c r="B135" s="373" t="s">
        <v>318</v>
      </c>
      <c r="C135" s="373" t="s">
        <v>233</v>
      </c>
      <c r="D135" s="373" t="s">
        <v>234</v>
      </c>
      <c r="E135" s="370" t="s">
        <v>43</v>
      </c>
      <c r="F135" s="613" t="s">
        <v>787</v>
      </c>
      <c r="G135" s="377"/>
      <c r="H135" s="380"/>
      <c r="I135" s="379"/>
      <c r="J135" s="380">
        <v>2100000</v>
      </c>
      <c r="K135" s="379"/>
      <c r="L135" s="688"/>
    </row>
    <row r="136" spans="2:12" s="47" customFormat="1" ht="31.5" thickTop="1" thickBot="1" x14ac:dyDescent="0.25">
      <c r="B136" s="373" t="s">
        <v>1151</v>
      </c>
      <c r="C136" s="373" t="s">
        <v>218</v>
      </c>
      <c r="D136" s="373" t="s">
        <v>187</v>
      </c>
      <c r="E136" s="373" t="s">
        <v>36</v>
      </c>
      <c r="F136" s="374" t="s">
        <v>53</v>
      </c>
      <c r="G136" s="374"/>
      <c r="H136" s="448"/>
      <c r="I136" s="374"/>
      <c r="J136" s="375">
        <f>J137+J138</f>
        <v>390000</v>
      </c>
      <c r="K136" s="382"/>
      <c r="L136" s="688"/>
    </row>
    <row r="137" spans="2:12" s="47" customFormat="1" ht="166.5" thickTop="1" thickBot="1" x14ac:dyDescent="0.25">
      <c r="B137" s="441" t="s">
        <v>1151</v>
      </c>
      <c r="C137" s="634" t="s">
        <v>218</v>
      </c>
      <c r="D137" s="634" t="s">
        <v>187</v>
      </c>
      <c r="E137" s="634" t="s">
        <v>36</v>
      </c>
      <c r="F137" s="635" t="s">
        <v>1150</v>
      </c>
      <c r="G137" s="636" t="s">
        <v>675</v>
      </c>
      <c r="H137" s="637">
        <v>1194767</v>
      </c>
      <c r="I137" s="638"/>
      <c r="J137" s="639">
        <v>300000</v>
      </c>
      <c r="K137" s="382">
        <f>(J137)/H137</f>
        <v>0.2510949833733272</v>
      </c>
      <c r="L137" s="688"/>
    </row>
    <row r="138" spans="2:12" s="47" customFormat="1" ht="31.5" thickTop="1" thickBot="1" x14ac:dyDescent="0.25">
      <c r="B138" s="441" t="s">
        <v>1151</v>
      </c>
      <c r="C138" s="634" t="s">
        <v>218</v>
      </c>
      <c r="D138" s="634" t="s">
        <v>187</v>
      </c>
      <c r="E138" s="634" t="s">
        <v>36</v>
      </c>
      <c r="F138" s="613" t="s">
        <v>1227</v>
      </c>
      <c r="G138" s="636"/>
      <c r="H138" s="637"/>
      <c r="I138" s="638"/>
      <c r="J138" s="639">
        <v>90000</v>
      </c>
      <c r="K138" s="382"/>
      <c r="L138" s="688"/>
    </row>
    <row r="139" spans="2:12" s="47" customFormat="1" ht="46.5" thickTop="1" thickBot="1" x14ac:dyDescent="0.25">
      <c r="B139" s="603" t="s">
        <v>647</v>
      </c>
      <c r="C139" s="603"/>
      <c r="D139" s="603"/>
      <c r="E139" s="604" t="s">
        <v>680</v>
      </c>
      <c r="F139" s="609"/>
      <c r="G139" s="605"/>
      <c r="H139" s="605"/>
      <c r="I139" s="605"/>
      <c r="J139" s="609">
        <f>J140</f>
        <v>144969402.57999998</v>
      </c>
      <c r="K139" s="609"/>
      <c r="L139" s="688"/>
    </row>
    <row r="140" spans="2:12" s="47" customFormat="1" ht="56.25" customHeight="1" thickTop="1" thickBot="1" x14ac:dyDescent="0.25">
      <c r="B140" s="606" t="s">
        <v>648</v>
      </c>
      <c r="C140" s="606"/>
      <c r="D140" s="606"/>
      <c r="E140" s="607" t="s">
        <v>681</v>
      </c>
      <c r="F140" s="610"/>
      <c r="G140" s="610"/>
      <c r="H140" s="610"/>
      <c r="I140" s="610"/>
      <c r="J140" s="610">
        <f>J141+J142+J159+J167+J168+J169</f>
        <v>144969402.57999998</v>
      </c>
      <c r="K140" s="610"/>
      <c r="L140" s="688"/>
    </row>
    <row r="141" spans="2:12" s="47" customFormat="1" ht="72" customHeight="1" thickTop="1" thickBot="1" x14ac:dyDescent="0.25">
      <c r="B141" s="373" t="s">
        <v>649</v>
      </c>
      <c r="C141" s="373" t="s">
        <v>257</v>
      </c>
      <c r="D141" s="373" t="s">
        <v>255</v>
      </c>
      <c r="E141" s="373" t="s">
        <v>256</v>
      </c>
      <c r="F141" s="371" t="s">
        <v>581</v>
      </c>
      <c r="G141" s="444"/>
      <c r="H141" s="444"/>
      <c r="I141" s="444"/>
      <c r="J141" s="372">
        <v>144000</v>
      </c>
      <c r="K141" s="444"/>
      <c r="L141" s="688"/>
    </row>
    <row r="142" spans="2:12" s="47" customFormat="1" ht="39.75" customHeight="1" thickTop="1" thickBot="1" x14ac:dyDescent="0.25">
      <c r="B142" s="373" t="s">
        <v>654</v>
      </c>
      <c r="C142" s="373" t="s">
        <v>310</v>
      </c>
      <c r="D142" s="373" t="s">
        <v>304</v>
      </c>
      <c r="E142" s="373" t="s">
        <v>311</v>
      </c>
      <c r="F142" s="374" t="s">
        <v>592</v>
      </c>
      <c r="G142" s="374"/>
      <c r="H142" s="375"/>
      <c r="I142" s="374"/>
      <c r="J142" s="375">
        <f>SUM(J143:J158)</f>
        <v>14710148</v>
      </c>
      <c r="K142" s="375"/>
      <c r="L142" s="688"/>
    </row>
    <row r="143" spans="2:12" s="47" customFormat="1" ht="46.5" thickTop="1" thickBot="1" x14ac:dyDescent="0.25">
      <c r="B143" s="373" t="s">
        <v>654</v>
      </c>
      <c r="C143" s="373" t="s">
        <v>310</v>
      </c>
      <c r="D143" s="373" t="s">
        <v>304</v>
      </c>
      <c r="E143" s="373" t="s">
        <v>311</v>
      </c>
      <c r="F143" s="442" t="s">
        <v>594</v>
      </c>
      <c r="G143" s="374" t="s">
        <v>595</v>
      </c>
      <c r="H143" s="375"/>
      <c r="I143" s="374"/>
      <c r="J143" s="445">
        <v>1500000</v>
      </c>
      <c r="K143" s="375"/>
      <c r="L143" s="688"/>
    </row>
    <row r="144" spans="2:12" s="47" customFormat="1" ht="57" customHeight="1" thickTop="1" thickBot="1" x14ac:dyDescent="0.25">
      <c r="B144" s="373" t="s">
        <v>654</v>
      </c>
      <c r="C144" s="373" t="s">
        <v>310</v>
      </c>
      <c r="D144" s="373" t="s">
        <v>304</v>
      </c>
      <c r="E144" s="373" t="s">
        <v>311</v>
      </c>
      <c r="F144" s="442" t="s">
        <v>596</v>
      </c>
      <c r="G144" s="374"/>
      <c r="H144" s="375"/>
      <c r="I144" s="374"/>
      <c r="J144" s="445">
        <f>3000000-2121016</f>
        <v>878984</v>
      </c>
      <c r="K144" s="375"/>
      <c r="L144" s="688"/>
    </row>
    <row r="145" spans="2:12" s="47" customFormat="1" ht="39.75" customHeight="1" thickTop="1" thickBot="1" x14ac:dyDescent="0.25">
      <c r="B145" s="373" t="s">
        <v>654</v>
      </c>
      <c r="C145" s="373" t="s">
        <v>310</v>
      </c>
      <c r="D145" s="373" t="s">
        <v>304</v>
      </c>
      <c r="E145" s="373" t="s">
        <v>311</v>
      </c>
      <c r="F145" s="442" t="s">
        <v>666</v>
      </c>
      <c r="G145" s="374"/>
      <c r="H145" s="375"/>
      <c r="I145" s="374"/>
      <c r="J145" s="445">
        <v>3341100</v>
      </c>
      <c r="K145" s="375"/>
      <c r="L145" s="688"/>
    </row>
    <row r="146" spans="2:12" s="47" customFormat="1" ht="58.5" customHeight="1" thickTop="1" thickBot="1" x14ac:dyDescent="0.25">
      <c r="B146" s="373" t="s">
        <v>654</v>
      </c>
      <c r="C146" s="373" t="s">
        <v>310</v>
      </c>
      <c r="D146" s="373" t="s">
        <v>304</v>
      </c>
      <c r="E146" s="373" t="s">
        <v>311</v>
      </c>
      <c r="F146" s="442" t="s">
        <v>597</v>
      </c>
      <c r="G146" s="374"/>
      <c r="H146" s="375"/>
      <c r="I146" s="374"/>
      <c r="J146" s="445">
        <f>600000+60000</f>
        <v>660000</v>
      </c>
      <c r="K146" s="375"/>
      <c r="L146" s="688"/>
    </row>
    <row r="147" spans="2:12" s="47" customFormat="1" ht="85.5" customHeight="1" thickTop="1" thickBot="1" x14ac:dyDescent="0.25">
      <c r="B147" s="373" t="s">
        <v>654</v>
      </c>
      <c r="C147" s="373" t="s">
        <v>310</v>
      </c>
      <c r="D147" s="373" t="s">
        <v>304</v>
      </c>
      <c r="E147" s="373" t="s">
        <v>311</v>
      </c>
      <c r="F147" s="442" t="s">
        <v>598</v>
      </c>
      <c r="G147" s="375" t="s">
        <v>590</v>
      </c>
      <c r="H147" s="375">
        <v>4552060</v>
      </c>
      <c r="I147" s="382">
        <f>(1207002.59+1000000+346061.97)/H147</f>
        <v>0.56085916266481539</v>
      </c>
      <c r="J147" s="445">
        <f>1000000</f>
        <v>1000000</v>
      </c>
      <c r="K147" s="382">
        <f>(1207002.59+1000000+350000+J147)/H147</f>
        <v>0.78140503200748668</v>
      </c>
      <c r="L147" s="688"/>
    </row>
    <row r="148" spans="2:12" s="47" customFormat="1" ht="55.5" customHeight="1" thickTop="1" thickBot="1" x14ac:dyDescent="0.25">
      <c r="B148" s="373" t="s">
        <v>654</v>
      </c>
      <c r="C148" s="373" t="s">
        <v>310</v>
      </c>
      <c r="D148" s="373" t="s">
        <v>304</v>
      </c>
      <c r="E148" s="373" t="s">
        <v>311</v>
      </c>
      <c r="F148" s="442" t="s">
        <v>667</v>
      </c>
      <c r="G148" s="375" t="s">
        <v>599</v>
      </c>
      <c r="H148" s="375">
        <v>7725528</v>
      </c>
      <c r="I148" s="382">
        <f>(860002.41+1990758.43)/H148</f>
        <v>0.36900530811615723</v>
      </c>
      <c r="J148" s="445">
        <f>3000000</f>
        <v>3000000</v>
      </c>
      <c r="K148" s="382">
        <f>(860002.41+2000000+J148)/H148</f>
        <v>0.75852451897138939</v>
      </c>
      <c r="L148" s="688"/>
    </row>
    <row r="149" spans="2:12" s="47" customFormat="1" ht="75.75" customHeight="1" thickTop="1" thickBot="1" x14ac:dyDescent="0.25">
      <c r="B149" s="373" t="s">
        <v>654</v>
      </c>
      <c r="C149" s="373" t="s">
        <v>310</v>
      </c>
      <c r="D149" s="373" t="s">
        <v>304</v>
      </c>
      <c r="E149" s="373" t="s">
        <v>311</v>
      </c>
      <c r="F149" s="442" t="s">
        <v>668</v>
      </c>
      <c r="G149" s="446" t="s">
        <v>599</v>
      </c>
      <c r="H149" s="446">
        <v>4380277</v>
      </c>
      <c r="I149" s="382">
        <f>(258212.92+931600.07)/H149</f>
        <v>0.27162962296676674</v>
      </c>
      <c r="J149" s="445">
        <v>2122064</v>
      </c>
      <c r="K149" s="382">
        <f>(258212.92+1000000+J149)/H149</f>
        <v>0.77170391735499833</v>
      </c>
      <c r="L149" s="688"/>
    </row>
    <row r="150" spans="2:12" s="47" customFormat="1" ht="67.5" customHeight="1" thickTop="1" thickBot="1" x14ac:dyDescent="0.25">
      <c r="B150" s="373" t="s">
        <v>654</v>
      </c>
      <c r="C150" s="373" t="s">
        <v>310</v>
      </c>
      <c r="D150" s="373" t="s">
        <v>304</v>
      </c>
      <c r="E150" s="373" t="s">
        <v>311</v>
      </c>
      <c r="F150" s="442" t="s">
        <v>669</v>
      </c>
      <c r="G150" s="447"/>
      <c r="H150" s="448"/>
      <c r="I150" s="382"/>
      <c r="J150" s="445">
        <f>300000+26000</f>
        <v>326000</v>
      </c>
      <c r="K150" s="382"/>
      <c r="L150" s="688"/>
    </row>
    <row r="151" spans="2:12" s="47" customFormat="1" ht="52.5" customHeight="1" thickTop="1" thickBot="1" x14ac:dyDescent="0.25">
      <c r="B151" s="373" t="s">
        <v>654</v>
      </c>
      <c r="C151" s="373" t="s">
        <v>310</v>
      </c>
      <c r="D151" s="373" t="s">
        <v>304</v>
      </c>
      <c r="E151" s="373" t="s">
        <v>311</v>
      </c>
      <c r="F151" s="442" t="s">
        <v>780</v>
      </c>
      <c r="G151" s="447"/>
      <c r="H151" s="448"/>
      <c r="I151" s="382"/>
      <c r="J151" s="445">
        <v>600000</v>
      </c>
      <c r="K151" s="382"/>
      <c r="L151" s="688"/>
    </row>
    <row r="152" spans="2:12" s="47" customFormat="1" ht="57.75" customHeight="1" thickTop="1" thickBot="1" x14ac:dyDescent="0.25">
      <c r="B152" s="373" t="s">
        <v>654</v>
      </c>
      <c r="C152" s="373" t="s">
        <v>310</v>
      </c>
      <c r="D152" s="373" t="s">
        <v>304</v>
      </c>
      <c r="E152" s="373" t="s">
        <v>311</v>
      </c>
      <c r="F152" s="442" t="s">
        <v>779</v>
      </c>
      <c r="G152" s="447"/>
      <c r="H152" s="448"/>
      <c r="I152" s="382"/>
      <c r="J152" s="445">
        <v>400000</v>
      </c>
      <c r="K152" s="382"/>
      <c r="L152" s="688"/>
    </row>
    <row r="153" spans="2:12" s="47" customFormat="1" ht="66.75" customHeight="1" thickTop="1" thickBot="1" x14ac:dyDescent="0.25">
      <c r="B153" s="373" t="s">
        <v>654</v>
      </c>
      <c r="C153" s="373" t="s">
        <v>310</v>
      </c>
      <c r="D153" s="373" t="s">
        <v>304</v>
      </c>
      <c r="E153" s="373" t="s">
        <v>311</v>
      </c>
      <c r="F153" s="442" t="s">
        <v>781</v>
      </c>
      <c r="G153" s="374" t="s">
        <v>665</v>
      </c>
      <c r="H153" s="375">
        <v>113479</v>
      </c>
      <c r="I153" s="382">
        <f>61479/H153</f>
        <v>0.54176543677684863</v>
      </c>
      <c r="J153" s="445">
        <v>52000</v>
      </c>
      <c r="K153" s="382">
        <f>(61479+J153)/H153</f>
        <v>1</v>
      </c>
      <c r="L153" s="688"/>
    </row>
    <row r="154" spans="2:12" s="47" customFormat="1" ht="83.25" customHeight="1" thickTop="1" thickBot="1" x14ac:dyDescent="0.25">
      <c r="B154" s="373" t="s">
        <v>654</v>
      </c>
      <c r="C154" s="373" t="s">
        <v>310</v>
      </c>
      <c r="D154" s="373" t="s">
        <v>304</v>
      </c>
      <c r="E154" s="373" t="s">
        <v>311</v>
      </c>
      <c r="F154" s="442" t="s">
        <v>1106</v>
      </c>
      <c r="G154" s="374"/>
      <c r="H154" s="375"/>
      <c r="I154" s="382"/>
      <c r="J154" s="445">
        <v>180000</v>
      </c>
      <c r="K154" s="382"/>
      <c r="L154" s="688"/>
    </row>
    <row r="155" spans="2:12" s="47" customFormat="1" ht="54.75" customHeight="1" thickTop="1" thickBot="1" x14ac:dyDescent="0.25">
      <c r="B155" s="373" t="s">
        <v>654</v>
      </c>
      <c r="C155" s="373" t="s">
        <v>310</v>
      </c>
      <c r="D155" s="373" t="s">
        <v>304</v>
      </c>
      <c r="E155" s="373" t="s">
        <v>311</v>
      </c>
      <c r="F155" s="442" t="s">
        <v>1107</v>
      </c>
      <c r="G155" s="374"/>
      <c r="H155" s="375"/>
      <c r="I155" s="382"/>
      <c r="J155" s="445">
        <v>200000</v>
      </c>
      <c r="K155" s="382"/>
      <c r="L155" s="688"/>
    </row>
    <row r="156" spans="2:12" s="47" customFormat="1" ht="42" customHeight="1" thickTop="1" thickBot="1" x14ac:dyDescent="0.25">
      <c r="B156" s="373" t="s">
        <v>654</v>
      </c>
      <c r="C156" s="373" t="s">
        <v>310</v>
      </c>
      <c r="D156" s="373" t="s">
        <v>304</v>
      </c>
      <c r="E156" s="373" t="s">
        <v>311</v>
      </c>
      <c r="F156" s="442" t="s">
        <v>1152</v>
      </c>
      <c r="G156" s="374"/>
      <c r="H156" s="375"/>
      <c r="I156" s="382"/>
      <c r="J156" s="445">
        <v>180000</v>
      </c>
      <c r="K156" s="382"/>
      <c r="L156" s="688"/>
    </row>
    <row r="157" spans="2:12" s="47" customFormat="1" ht="72" customHeight="1" thickTop="1" thickBot="1" x14ac:dyDescent="0.25">
      <c r="B157" s="373" t="s">
        <v>654</v>
      </c>
      <c r="C157" s="373" t="s">
        <v>310</v>
      </c>
      <c r="D157" s="373" t="s">
        <v>304</v>
      </c>
      <c r="E157" s="373" t="s">
        <v>311</v>
      </c>
      <c r="F157" s="442" t="s">
        <v>1153</v>
      </c>
      <c r="G157" s="374"/>
      <c r="H157" s="375"/>
      <c r="I157" s="382"/>
      <c r="J157" s="445">
        <v>180000</v>
      </c>
      <c r="K157" s="382"/>
      <c r="L157" s="688"/>
    </row>
    <row r="158" spans="2:12" s="47" customFormat="1" ht="46.5" thickTop="1" thickBot="1" x14ac:dyDescent="0.25">
      <c r="B158" s="373" t="s">
        <v>654</v>
      </c>
      <c r="C158" s="373" t="s">
        <v>310</v>
      </c>
      <c r="D158" s="373" t="s">
        <v>304</v>
      </c>
      <c r="E158" s="373" t="s">
        <v>311</v>
      </c>
      <c r="F158" s="442" t="s">
        <v>1154</v>
      </c>
      <c r="G158" s="374"/>
      <c r="H158" s="375"/>
      <c r="I158" s="382"/>
      <c r="J158" s="445">
        <v>90000</v>
      </c>
      <c r="K158" s="382"/>
      <c r="L158" s="688"/>
    </row>
    <row r="159" spans="2:12" s="47" customFormat="1" ht="52.5" customHeight="1" thickTop="1" thickBot="1" x14ac:dyDescent="0.25">
      <c r="B159" s="373" t="s">
        <v>655</v>
      </c>
      <c r="C159" s="373" t="s">
        <v>327</v>
      </c>
      <c r="D159" s="373" t="s">
        <v>326</v>
      </c>
      <c r="E159" s="373" t="s">
        <v>509</v>
      </c>
      <c r="F159" s="374" t="s">
        <v>53</v>
      </c>
      <c r="G159" s="374"/>
      <c r="H159" s="375"/>
      <c r="I159" s="374"/>
      <c r="J159" s="372">
        <f>SUM(J160:J166)</f>
        <v>6280522</v>
      </c>
      <c r="K159" s="372"/>
      <c r="L159" s="688"/>
    </row>
    <row r="160" spans="2:12" s="47" customFormat="1" ht="96" customHeight="1" thickTop="1" thickBot="1" x14ac:dyDescent="0.25">
      <c r="B160" s="441" t="s">
        <v>655</v>
      </c>
      <c r="C160" s="441" t="s">
        <v>327</v>
      </c>
      <c r="D160" s="441" t="s">
        <v>326</v>
      </c>
      <c r="E160" s="441" t="s">
        <v>509</v>
      </c>
      <c r="F160" s="442" t="s">
        <v>670</v>
      </c>
      <c r="G160" s="449" t="s">
        <v>671</v>
      </c>
      <c r="H160" s="445">
        <v>11252200</v>
      </c>
      <c r="I160" s="449"/>
      <c r="J160" s="445">
        <v>2000000</v>
      </c>
      <c r="K160" s="439">
        <f>J160/H160</f>
        <v>0.17774301914292318</v>
      </c>
      <c r="L160" s="688"/>
    </row>
    <row r="161" spans="2:12" s="47" customFormat="1" ht="105" customHeight="1" thickTop="1" thickBot="1" x14ac:dyDescent="0.25">
      <c r="B161" s="441" t="s">
        <v>655</v>
      </c>
      <c r="C161" s="441" t="s">
        <v>327</v>
      </c>
      <c r="D161" s="441" t="s">
        <v>326</v>
      </c>
      <c r="E161" s="441" t="s">
        <v>509</v>
      </c>
      <c r="F161" s="442" t="s">
        <v>684</v>
      </c>
      <c r="G161" s="445" t="s">
        <v>599</v>
      </c>
      <c r="H161" s="445">
        <v>18370999</v>
      </c>
      <c r="I161" s="439">
        <f>(140000+253335)/H161</f>
        <v>2.1410648381179488E-2</v>
      </c>
      <c r="J161" s="445">
        <f>3000000</f>
        <v>3000000</v>
      </c>
      <c r="K161" s="439">
        <f>(140000+253415+J161)/H161</f>
        <v>0.18471586656773537</v>
      </c>
      <c r="L161" s="688"/>
    </row>
    <row r="162" spans="2:12" s="47" customFormat="1" ht="107.25" customHeight="1" thickTop="1" thickBot="1" x14ac:dyDescent="0.25">
      <c r="B162" s="441" t="s">
        <v>655</v>
      </c>
      <c r="C162" s="441" t="s">
        <v>327</v>
      </c>
      <c r="D162" s="441" t="s">
        <v>326</v>
      </c>
      <c r="E162" s="441" t="s">
        <v>509</v>
      </c>
      <c r="F162" s="442" t="s">
        <v>672</v>
      </c>
      <c r="G162" s="445"/>
      <c r="H162" s="445"/>
      <c r="I162" s="439"/>
      <c r="J162" s="445">
        <f>200000-200000</f>
        <v>0</v>
      </c>
      <c r="K162" s="382"/>
      <c r="L162" s="688"/>
    </row>
    <row r="163" spans="2:12" s="47" customFormat="1" ht="105" customHeight="1" thickTop="1" thickBot="1" x14ac:dyDescent="0.25">
      <c r="B163" s="441" t="s">
        <v>655</v>
      </c>
      <c r="C163" s="441" t="s">
        <v>327</v>
      </c>
      <c r="D163" s="441" t="s">
        <v>326</v>
      </c>
      <c r="E163" s="441" t="s">
        <v>509</v>
      </c>
      <c r="F163" s="442" t="s">
        <v>1105</v>
      </c>
      <c r="G163" s="445"/>
      <c r="H163" s="445"/>
      <c r="I163" s="439"/>
      <c r="J163" s="445">
        <v>300000</v>
      </c>
      <c r="K163" s="382"/>
      <c r="L163" s="688"/>
    </row>
    <row r="164" spans="2:12" s="47" customFormat="1" ht="93.75" customHeight="1" thickTop="1" thickBot="1" x14ac:dyDescent="0.25">
      <c r="B164" s="441" t="s">
        <v>655</v>
      </c>
      <c r="C164" s="441" t="s">
        <v>327</v>
      </c>
      <c r="D164" s="441" t="s">
        <v>326</v>
      </c>
      <c r="E164" s="441" t="s">
        <v>509</v>
      </c>
      <c r="F164" s="450" t="s">
        <v>1173</v>
      </c>
      <c r="G164" s="445"/>
      <c r="H164" s="445"/>
      <c r="I164" s="439"/>
      <c r="J164" s="445">
        <v>257020</v>
      </c>
      <c r="K164" s="382"/>
      <c r="L164" s="688"/>
    </row>
    <row r="165" spans="2:12" s="47" customFormat="1" ht="103.5" customHeight="1" thickTop="1" thickBot="1" x14ac:dyDescent="0.25">
      <c r="B165" s="441" t="s">
        <v>655</v>
      </c>
      <c r="C165" s="441" t="s">
        <v>327</v>
      </c>
      <c r="D165" s="441" t="s">
        <v>326</v>
      </c>
      <c r="E165" s="441" t="s">
        <v>509</v>
      </c>
      <c r="F165" s="450" t="s">
        <v>1174</v>
      </c>
      <c r="G165" s="445"/>
      <c r="H165" s="445"/>
      <c r="I165" s="439"/>
      <c r="J165" s="445">
        <v>224762</v>
      </c>
      <c r="K165" s="382"/>
      <c r="L165" s="688"/>
    </row>
    <row r="166" spans="2:12" s="47" customFormat="1" ht="119.25" customHeight="1" thickTop="1" thickBot="1" x14ac:dyDescent="0.25">
      <c r="B166" s="441" t="s">
        <v>655</v>
      </c>
      <c r="C166" s="441" t="s">
        <v>327</v>
      </c>
      <c r="D166" s="441" t="s">
        <v>326</v>
      </c>
      <c r="E166" s="441" t="s">
        <v>509</v>
      </c>
      <c r="F166" s="450" t="s">
        <v>1175</v>
      </c>
      <c r="G166" s="445"/>
      <c r="H166" s="445"/>
      <c r="I166" s="439"/>
      <c r="J166" s="445">
        <v>498740</v>
      </c>
      <c r="K166" s="382"/>
      <c r="L166" s="688"/>
    </row>
    <row r="167" spans="2:12" s="47" customFormat="1" ht="69.75" customHeight="1" thickTop="1" thickBot="1" x14ac:dyDescent="0.25">
      <c r="B167" s="373" t="s">
        <v>656</v>
      </c>
      <c r="C167" s="373" t="s">
        <v>315</v>
      </c>
      <c r="D167" s="373" t="s">
        <v>317</v>
      </c>
      <c r="E167" s="373" t="s">
        <v>316</v>
      </c>
      <c r="F167" s="374" t="s">
        <v>61</v>
      </c>
      <c r="G167" s="374"/>
      <c r="H167" s="375"/>
      <c r="I167" s="374"/>
      <c r="J167" s="375">
        <f>(16932021+60000000)-5594808-6800000</f>
        <v>64537213</v>
      </c>
      <c r="K167" s="382"/>
      <c r="L167" s="688"/>
    </row>
    <row r="168" spans="2:12" s="47" customFormat="1" ht="62.25" customHeight="1" thickTop="1" thickBot="1" x14ac:dyDescent="0.25">
      <c r="B168" s="373" t="s">
        <v>657</v>
      </c>
      <c r="C168" s="373" t="s">
        <v>233</v>
      </c>
      <c r="D168" s="373" t="s">
        <v>234</v>
      </c>
      <c r="E168" s="373" t="s">
        <v>43</v>
      </c>
      <c r="F168" s="443" t="s">
        <v>1096</v>
      </c>
      <c r="G168" s="374" t="s">
        <v>534</v>
      </c>
      <c r="H168" s="446">
        <v>30859243</v>
      </c>
      <c r="I168" s="439">
        <v>0</v>
      </c>
      <c r="J168" s="375">
        <v>18508795.579999998</v>
      </c>
      <c r="K168" s="439">
        <f>J168/H168</f>
        <v>0.59978125775800784</v>
      </c>
      <c r="L168" s="688"/>
    </row>
    <row r="169" spans="2:12" s="47" customFormat="1" ht="31.5" thickTop="1" thickBot="1" x14ac:dyDescent="0.25">
      <c r="B169" s="373" t="s">
        <v>658</v>
      </c>
      <c r="C169" s="373" t="s">
        <v>218</v>
      </c>
      <c r="D169" s="373" t="s">
        <v>187</v>
      </c>
      <c r="E169" s="373" t="s">
        <v>36</v>
      </c>
      <c r="F169" s="374" t="s">
        <v>53</v>
      </c>
      <c r="G169" s="374"/>
      <c r="H169" s="448"/>
      <c r="I169" s="374"/>
      <c r="J169" s="375">
        <f>SUM(J170:J204)</f>
        <v>40788724</v>
      </c>
      <c r="K169" s="382"/>
      <c r="L169" s="688"/>
    </row>
    <row r="170" spans="2:12" s="47" customFormat="1" ht="61.5" thickTop="1" thickBot="1" x14ac:dyDescent="0.25">
      <c r="B170" s="634" t="s">
        <v>658</v>
      </c>
      <c r="C170" s="634" t="s">
        <v>218</v>
      </c>
      <c r="D170" s="634" t="s">
        <v>187</v>
      </c>
      <c r="E170" s="634" t="s">
        <v>36</v>
      </c>
      <c r="F170" s="635" t="s">
        <v>1104</v>
      </c>
      <c r="G170" s="636"/>
      <c r="H170" s="637"/>
      <c r="I170" s="638"/>
      <c r="J170" s="639">
        <v>1220300</v>
      </c>
      <c r="K170" s="638"/>
      <c r="L170" s="688"/>
    </row>
    <row r="171" spans="2:12" s="47" customFormat="1" ht="61.5" thickTop="1" thickBot="1" x14ac:dyDescent="0.25">
      <c r="B171" s="634" t="s">
        <v>658</v>
      </c>
      <c r="C171" s="634" t="s">
        <v>218</v>
      </c>
      <c r="D171" s="634" t="s">
        <v>187</v>
      </c>
      <c r="E171" s="634" t="s">
        <v>36</v>
      </c>
      <c r="F171" s="635" t="s">
        <v>1209</v>
      </c>
      <c r="G171" s="636"/>
      <c r="H171" s="637"/>
      <c r="I171" s="638"/>
      <c r="J171" s="639">
        <v>2885097</v>
      </c>
      <c r="K171" s="638"/>
      <c r="L171" s="688"/>
    </row>
    <row r="172" spans="2:12" s="47" customFormat="1" ht="61.5" thickTop="1" thickBot="1" x14ac:dyDescent="0.25">
      <c r="B172" s="634" t="s">
        <v>658</v>
      </c>
      <c r="C172" s="634" t="s">
        <v>218</v>
      </c>
      <c r="D172" s="634" t="s">
        <v>187</v>
      </c>
      <c r="E172" s="634" t="s">
        <v>36</v>
      </c>
      <c r="F172" s="635" t="s">
        <v>1117</v>
      </c>
      <c r="G172" s="636"/>
      <c r="H172" s="637"/>
      <c r="I172" s="638"/>
      <c r="J172" s="639">
        <v>50000</v>
      </c>
      <c r="K172" s="638"/>
      <c r="L172" s="688"/>
    </row>
    <row r="173" spans="2:12" s="47" customFormat="1" ht="91.5" thickTop="1" thickBot="1" x14ac:dyDescent="0.25">
      <c r="B173" s="441" t="s">
        <v>658</v>
      </c>
      <c r="C173" s="441" t="s">
        <v>218</v>
      </c>
      <c r="D173" s="441" t="s">
        <v>187</v>
      </c>
      <c r="E173" s="441" t="s">
        <v>36</v>
      </c>
      <c r="F173" s="443" t="s">
        <v>673</v>
      </c>
      <c r="G173" s="374" t="s">
        <v>674</v>
      </c>
      <c r="H173" s="445">
        <v>4730960</v>
      </c>
      <c r="I173" s="439">
        <f>(70200+0)/H173</f>
        <v>1.4838426027698396E-2</v>
      </c>
      <c r="J173" s="445">
        <v>3500000</v>
      </c>
      <c r="K173" s="439">
        <f>(70200+50000+J173)/H173</f>
        <v>0.76521467101814433</v>
      </c>
      <c r="L173" s="688"/>
    </row>
    <row r="174" spans="2:12" s="47" customFormat="1" ht="136.5" thickTop="1" thickBot="1" x14ac:dyDescent="0.25">
      <c r="B174" s="441" t="s">
        <v>658</v>
      </c>
      <c r="C174" s="441" t="s">
        <v>218</v>
      </c>
      <c r="D174" s="441" t="s">
        <v>187</v>
      </c>
      <c r="E174" s="441" t="s">
        <v>36</v>
      </c>
      <c r="F174" s="450" t="s">
        <v>606</v>
      </c>
      <c r="G174" s="374" t="s">
        <v>675</v>
      </c>
      <c r="H174" s="445"/>
      <c r="I174" s="449"/>
      <c r="J174" s="445">
        <f>400000-380000</f>
        <v>20000</v>
      </c>
      <c r="K174" s="375"/>
      <c r="L174" s="688"/>
    </row>
    <row r="175" spans="2:12" s="47" customFormat="1" ht="151.5" thickTop="1" thickBot="1" x14ac:dyDescent="0.25">
      <c r="B175" s="441" t="s">
        <v>658</v>
      </c>
      <c r="C175" s="441" t="s">
        <v>218</v>
      </c>
      <c r="D175" s="441" t="s">
        <v>187</v>
      </c>
      <c r="E175" s="441" t="s">
        <v>36</v>
      </c>
      <c r="F175" s="707" t="s">
        <v>1243</v>
      </c>
      <c r="G175" s="374" t="s">
        <v>675</v>
      </c>
      <c r="H175" s="445"/>
      <c r="I175" s="449"/>
      <c r="J175" s="445">
        <v>380000</v>
      </c>
      <c r="K175" s="375"/>
      <c r="L175" s="688"/>
    </row>
    <row r="176" spans="2:12" s="47" customFormat="1" ht="106.5" thickTop="1" thickBot="1" x14ac:dyDescent="0.25">
      <c r="B176" s="441" t="s">
        <v>658</v>
      </c>
      <c r="C176" s="441" t="s">
        <v>218</v>
      </c>
      <c r="D176" s="441" t="s">
        <v>187</v>
      </c>
      <c r="E176" s="441" t="s">
        <v>36</v>
      </c>
      <c r="F176" s="450" t="s">
        <v>1212</v>
      </c>
      <c r="G176" s="449"/>
      <c r="H176" s="445"/>
      <c r="I176" s="449"/>
      <c r="J176" s="445">
        <v>200000</v>
      </c>
      <c r="K176" s="375"/>
      <c r="L176" s="688"/>
    </row>
    <row r="177" spans="2:12" s="47" customFormat="1" ht="90.75" customHeight="1" thickTop="1" thickBot="1" x14ac:dyDescent="0.25">
      <c r="B177" s="441" t="s">
        <v>658</v>
      </c>
      <c r="C177" s="441" t="s">
        <v>218</v>
      </c>
      <c r="D177" s="441" t="s">
        <v>187</v>
      </c>
      <c r="E177" s="441" t="s">
        <v>36</v>
      </c>
      <c r="F177" s="450" t="s">
        <v>1210</v>
      </c>
      <c r="G177" s="449"/>
      <c r="H177" s="445"/>
      <c r="I177" s="449"/>
      <c r="J177" s="445">
        <v>50000</v>
      </c>
      <c r="K177" s="375"/>
      <c r="L177" s="688"/>
    </row>
    <row r="178" spans="2:12" s="47" customFormat="1" ht="98.25" customHeight="1" thickTop="1" thickBot="1" x14ac:dyDescent="0.25">
      <c r="B178" s="441" t="s">
        <v>658</v>
      </c>
      <c r="C178" s="441" t="s">
        <v>218</v>
      </c>
      <c r="D178" s="441" t="s">
        <v>187</v>
      </c>
      <c r="E178" s="441" t="s">
        <v>36</v>
      </c>
      <c r="F178" s="450" t="s">
        <v>676</v>
      </c>
      <c r="G178" s="449" t="s">
        <v>675</v>
      </c>
      <c r="H178" s="445">
        <v>1301922</v>
      </c>
      <c r="I178" s="449"/>
      <c r="J178" s="445">
        <v>1301922</v>
      </c>
      <c r="K178" s="439">
        <f>J178/H178</f>
        <v>1</v>
      </c>
      <c r="L178" s="688"/>
    </row>
    <row r="179" spans="2:12" s="47" customFormat="1" ht="71.25" customHeight="1" thickTop="1" thickBot="1" x14ac:dyDescent="0.25">
      <c r="B179" s="441" t="s">
        <v>658</v>
      </c>
      <c r="C179" s="441" t="s">
        <v>218</v>
      </c>
      <c r="D179" s="441" t="s">
        <v>187</v>
      </c>
      <c r="E179" s="441" t="s">
        <v>36</v>
      </c>
      <c r="F179" s="450" t="s">
        <v>1155</v>
      </c>
      <c r="G179" s="374" t="s">
        <v>1156</v>
      </c>
      <c r="H179" s="445"/>
      <c r="I179" s="449"/>
      <c r="J179" s="445">
        <v>2000000</v>
      </c>
      <c r="K179" s="439"/>
      <c r="L179" s="688"/>
    </row>
    <row r="180" spans="2:12" s="47" customFormat="1" ht="54.75" customHeight="1" thickTop="1" thickBot="1" x14ac:dyDescent="0.25">
      <c r="B180" s="441" t="s">
        <v>658</v>
      </c>
      <c r="C180" s="441" t="s">
        <v>218</v>
      </c>
      <c r="D180" s="441" t="s">
        <v>187</v>
      </c>
      <c r="E180" s="441" t="s">
        <v>36</v>
      </c>
      <c r="F180" s="450" t="s">
        <v>1100</v>
      </c>
      <c r="G180" s="374"/>
      <c r="H180" s="445"/>
      <c r="I180" s="449"/>
      <c r="J180" s="445">
        <v>22200</v>
      </c>
      <c r="K180" s="439"/>
      <c r="L180" s="688"/>
    </row>
    <row r="181" spans="2:12" s="47" customFormat="1" ht="46.5" thickTop="1" thickBot="1" x14ac:dyDescent="0.25">
      <c r="B181" s="441" t="s">
        <v>658</v>
      </c>
      <c r="C181" s="441" t="s">
        <v>218</v>
      </c>
      <c r="D181" s="441" t="s">
        <v>187</v>
      </c>
      <c r="E181" s="441" t="s">
        <v>36</v>
      </c>
      <c r="F181" s="450" t="s">
        <v>1101</v>
      </c>
      <c r="G181" s="449"/>
      <c r="H181" s="445"/>
      <c r="I181" s="449"/>
      <c r="J181" s="445">
        <v>6400</v>
      </c>
      <c r="K181" s="439"/>
      <c r="L181" s="688"/>
    </row>
    <row r="182" spans="2:12" s="47" customFormat="1" ht="61.5" thickTop="1" thickBot="1" x14ac:dyDescent="0.25">
      <c r="B182" s="441" t="s">
        <v>658</v>
      </c>
      <c r="C182" s="441" t="s">
        <v>218</v>
      </c>
      <c r="D182" s="441" t="s">
        <v>187</v>
      </c>
      <c r="E182" s="441" t="s">
        <v>36</v>
      </c>
      <c r="F182" s="450" t="s">
        <v>1102</v>
      </c>
      <c r="G182" s="449"/>
      <c r="H182" s="445"/>
      <c r="I182" s="449"/>
      <c r="J182" s="445">
        <v>350000</v>
      </c>
      <c r="K182" s="439"/>
      <c r="L182" s="688"/>
    </row>
    <row r="183" spans="2:12" s="47" customFormat="1" ht="46.5" thickTop="1" thickBot="1" x14ac:dyDescent="0.25">
      <c r="B183" s="441" t="s">
        <v>658</v>
      </c>
      <c r="C183" s="441" t="s">
        <v>218</v>
      </c>
      <c r="D183" s="441" t="s">
        <v>187</v>
      </c>
      <c r="E183" s="441" t="s">
        <v>36</v>
      </c>
      <c r="F183" s="450" t="s">
        <v>1103</v>
      </c>
      <c r="G183" s="449"/>
      <c r="H183" s="445"/>
      <c r="I183" s="449"/>
      <c r="J183" s="445">
        <v>48590</v>
      </c>
      <c r="K183" s="439"/>
      <c r="L183" s="688"/>
    </row>
    <row r="184" spans="2:12" s="47" customFormat="1" ht="90.75" customHeight="1" thickTop="1" thickBot="1" x14ac:dyDescent="0.25">
      <c r="B184" s="441" t="s">
        <v>658</v>
      </c>
      <c r="C184" s="441" t="s">
        <v>218</v>
      </c>
      <c r="D184" s="441" t="s">
        <v>187</v>
      </c>
      <c r="E184" s="441" t="s">
        <v>36</v>
      </c>
      <c r="F184" s="443" t="s">
        <v>1228</v>
      </c>
      <c r="G184" s="374" t="s">
        <v>675</v>
      </c>
      <c r="H184" s="445">
        <v>1050599</v>
      </c>
      <c r="I184" s="439"/>
      <c r="J184" s="445">
        <v>1050599</v>
      </c>
      <c r="K184" s="439">
        <f>J184/H184</f>
        <v>1</v>
      </c>
      <c r="L184" s="688"/>
    </row>
    <row r="185" spans="2:12" s="47" customFormat="1" ht="91.5" thickTop="1" thickBot="1" x14ac:dyDescent="0.25">
      <c r="B185" s="441" t="s">
        <v>658</v>
      </c>
      <c r="C185" s="441" t="s">
        <v>218</v>
      </c>
      <c r="D185" s="441" t="s">
        <v>187</v>
      </c>
      <c r="E185" s="441" t="s">
        <v>36</v>
      </c>
      <c r="F185" s="450" t="s">
        <v>677</v>
      </c>
      <c r="G185" s="374" t="s">
        <v>675</v>
      </c>
      <c r="H185" s="445">
        <v>694860</v>
      </c>
      <c r="I185" s="439"/>
      <c r="J185" s="445">
        <v>694860</v>
      </c>
      <c r="K185" s="439">
        <f>J185/H185</f>
        <v>1</v>
      </c>
      <c r="L185" s="688"/>
    </row>
    <row r="186" spans="2:12" s="47" customFormat="1" ht="105" customHeight="1" thickTop="1" thickBot="1" x14ac:dyDescent="0.25">
      <c r="B186" s="441" t="s">
        <v>658</v>
      </c>
      <c r="C186" s="441" t="s">
        <v>218</v>
      </c>
      <c r="D186" s="441" t="s">
        <v>187</v>
      </c>
      <c r="E186" s="441" t="s">
        <v>36</v>
      </c>
      <c r="F186" s="450" t="s">
        <v>678</v>
      </c>
      <c r="G186" s="445" t="s">
        <v>534</v>
      </c>
      <c r="H186" s="445">
        <v>1306212</v>
      </c>
      <c r="I186" s="439">
        <f>(300000+299522)/H186</f>
        <v>0.4589775626008642</v>
      </c>
      <c r="J186" s="445">
        <v>700000</v>
      </c>
      <c r="K186" s="439">
        <f>(300000+300000+J186)/H186</f>
        <v>0.99524426356517937</v>
      </c>
      <c r="L186" s="688"/>
    </row>
    <row r="187" spans="2:12" s="47" customFormat="1" ht="76.5" thickTop="1" thickBot="1" x14ac:dyDescent="0.25">
      <c r="B187" s="441" t="s">
        <v>658</v>
      </c>
      <c r="C187" s="441" t="s">
        <v>218</v>
      </c>
      <c r="D187" s="441" t="s">
        <v>187</v>
      </c>
      <c r="E187" s="441" t="s">
        <v>36</v>
      </c>
      <c r="F187" s="450" t="s">
        <v>679</v>
      </c>
      <c r="G187" s="445" t="s">
        <v>675</v>
      </c>
      <c r="H187" s="445">
        <v>700000</v>
      </c>
      <c r="I187" s="439"/>
      <c r="J187" s="445">
        <f>700000-210000</f>
        <v>490000</v>
      </c>
      <c r="K187" s="439">
        <v>1</v>
      </c>
      <c r="L187" s="688"/>
    </row>
    <row r="188" spans="2:12" s="47" customFormat="1" ht="76.5" thickTop="1" thickBot="1" x14ac:dyDescent="0.25">
      <c r="B188" s="441" t="s">
        <v>658</v>
      </c>
      <c r="C188" s="441" t="s">
        <v>218</v>
      </c>
      <c r="D188" s="441" t="s">
        <v>187</v>
      </c>
      <c r="E188" s="441" t="s">
        <v>36</v>
      </c>
      <c r="F188" s="450" t="s">
        <v>600</v>
      </c>
      <c r="G188" s="445" t="s">
        <v>534</v>
      </c>
      <c r="H188" s="445">
        <v>1978170</v>
      </c>
      <c r="I188" s="439">
        <f>899093.21/H188</f>
        <v>0.45450755496241474</v>
      </c>
      <c r="J188" s="445">
        <v>1078170</v>
      </c>
      <c r="K188" s="439">
        <f>(900000+J188)/H188</f>
        <v>1</v>
      </c>
      <c r="L188" s="688"/>
    </row>
    <row r="189" spans="2:12" s="47" customFormat="1" ht="91.5" thickTop="1" thickBot="1" x14ac:dyDescent="0.25">
      <c r="B189" s="441" t="s">
        <v>658</v>
      </c>
      <c r="C189" s="441" t="s">
        <v>218</v>
      </c>
      <c r="D189" s="441" t="s">
        <v>187</v>
      </c>
      <c r="E189" s="441" t="s">
        <v>36</v>
      </c>
      <c r="F189" s="450" t="s">
        <v>1157</v>
      </c>
      <c r="G189" s="445" t="s">
        <v>1118</v>
      </c>
      <c r="H189" s="445">
        <v>3490558</v>
      </c>
      <c r="I189" s="439"/>
      <c r="J189" s="445">
        <f>100000+1500000</f>
        <v>1600000</v>
      </c>
      <c r="K189" s="439">
        <f>J189/H189</f>
        <v>0.45837943388993968</v>
      </c>
      <c r="L189" s="688"/>
    </row>
    <row r="190" spans="2:12" s="47" customFormat="1" ht="91.5" thickTop="1" thickBot="1" x14ac:dyDescent="0.25">
      <c r="B190" s="441" t="s">
        <v>658</v>
      </c>
      <c r="C190" s="441" t="s">
        <v>218</v>
      </c>
      <c r="D190" s="441" t="s">
        <v>187</v>
      </c>
      <c r="E190" s="441" t="s">
        <v>36</v>
      </c>
      <c r="F190" s="450" t="s">
        <v>783</v>
      </c>
      <c r="G190" s="445"/>
      <c r="H190" s="445"/>
      <c r="I190" s="439"/>
      <c r="J190" s="445">
        <f>100000-100000</f>
        <v>0</v>
      </c>
      <c r="K190" s="439"/>
      <c r="L190" s="688"/>
    </row>
    <row r="191" spans="2:12" s="47" customFormat="1" ht="91.5" thickTop="1" thickBot="1" x14ac:dyDescent="0.25">
      <c r="B191" s="441" t="s">
        <v>658</v>
      </c>
      <c r="C191" s="441" t="s">
        <v>218</v>
      </c>
      <c r="D191" s="441" t="s">
        <v>187</v>
      </c>
      <c r="E191" s="441" t="s">
        <v>36</v>
      </c>
      <c r="F191" s="450" t="s">
        <v>784</v>
      </c>
      <c r="G191" s="445"/>
      <c r="H191" s="445"/>
      <c r="I191" s="439"/>
      <c r="J191" s="445">
        <f>100000-100000</f>
        <v>0</v>
      </c>
      <c r="K191" s="439"/>
      <c r="L191" s="688"/>
    </row>
    <row r="192" spans="2:12" s="47" customFormat="1" ht="76.5" thickTop="1" thickBot="1" x14ac:dyDescent="0.25">
      <c r="B192" s="441" t="s">
        <v>658</v>
      </c>
      <c r="C192" s="441" t="s">
        <v>218</v>
      </c>
      <c r="D192" s="441" t="s">
        <v>187</v>
      </c>
      <c r="E192" s="441" t="s">
        <v>36</v>
      </c>
      <c r="F192" s="450" t="s">
        <v>782</v>
      </c>
      <c r="G192" s="449" t="s">
        <v>617</v>
      </c>
      <c r="H192" s="445">
        <v>11472055</v>
      </c>
      <c r="I192" s="439">
        <f>(6562194)/H192</f>
        <v>0.57201556303556778</v>
      </c>
      <c r="J192" s="445">
        <f>4571460+102000</f>
        <v>4673460</v>
      </c>
      <c r="K192" s="439">
        <v>1</v>
      </c>
      <c r="L192" s="688"/>
    </row>
    <row r="193" spans="2:12" s="47" customFormat="1" ht="46.5" thickTop="1" thickBot="1" x14ac:dyDescent="0.25">
      <c r="B193" s="441" t="s">
        <v>658</v>
      </c>
      <c r="C193" s="441" t="s">
        <v>218</v>
      </c>
      <c r="D193" s="441" t="s">
        <v>187</v>
      </c>
      <c r="E193" s="441" t="s">
        <v>36</v>
      </c>
      <c r="F193" s="450" t="s">
        <v>1042</v>
      </c>
      <c r="G193" s="449"/>
      <c r="H193" s="445"/>
      <c r="I193" s="439"/>
      <c r="J193" s="445">
        <v>1000000</v>
      </c>
      <c r="K193" s="439"/>
      <c r="L193" s="688"/>
    </row>
    <row r="194" spans="2:12" s="47" customFormat="1" ht="91.5" thickTop="1" thickBot="1" x14ac:dyDescent="0.25">
      <c r="B194" s="441" t="s">
        <v>658</v>
      </c>
      <c r="C194" s="441" t="s">
        <v>218</v>
      </c>
      <c r="D194" s="441" t="s">
        <v>187</v>
      </c>
      <c r="E194" s="441" t="s">
        <v>36</v>
      </c>
      <c r="F194" s="450" t="s">
        <v>1229</v>
      </c>
      <c r="G194" s="449" t="s">
        <v>675</v>
      </c>
      <c r="H194" s="445"/>
      <c r="I194" s="439"/>
      <c r="J194" s="445">
        <v>4000000</v>
      </c>
      <c r="K194" s="439"/>
      <c r="L194" s="688"/>
    </row>
    <row r="195" spans="2:12" s="47" customFormat="1" ht="105" customHeight="1" thickTop="1" thickBot="1" x14ac:dyDescent="0.25">
      <c r="B195" s="441" t="s">
        <v>658</v>
      </c>
      <c r="C195" s="441" t="s">
        <v>218</v>
      </c>
      <c r="D195" s="441" t="s">
        <v>187</v>
      </c>
      <c r="E195" s="441" t="s">
        <v>36</v>
      </c>
      <c r="F195" s="450" t="s">
        <v>1108</v>
      </c>
      <c r="G195" s="449" t="s">
        <v>675</v>
      </c>
      <c r="H195" s="445">
        <v>1187842</v>
      </c>
      <c r="I195" s="439"/>
      <c r="J195" s="445">
        <v>593921</v>
      </c>
      <c r="K195" s="439">
        <v>1</v>
      </c>
      <c r="L195" s="688"/>
    </row>
    <row r="196" spans="2:12" s="47" customFormat="1" ht="106.5" thickTop="1" thickBot="1" x14ac:dyDescent="0.25">
      <c r="B196" s="441" t="s">
        <v>658</v>
      </c>
      <c r="C196" s="441" t="s">
        <v>218</v>
      </c>
      <c r="D196" s="441" t="s">
        <v>187</v>
      </c>
      <c r="E196" s="441" t="s">
        <v>36</v>
      </c>
      <c r="F196" s="450" t="s">
        <v>1230</v>
      </c>
      <c r="G196" s="375" t="s">
        <v>675</v>
      </c>
      <c r="H196" s="445">
        <v>1201688</v>
      </c>
      <c r="I196" s="439">
        <f>(310000)/H196</f>
        <v>0.25797045489344989</v>
      </c>
      <c r="J196" s="445">
        <v>891000</v>
      </c>
      <c r="K196" s="439">
        <f>(310000+J196)/H196</f>
        <v>0.99942747202268811</v>
      </c>
      <c r="L196" s="688"/>
    </row>
    <row r="197" spans="2:12" s="47" customFormat="1" ht="91.5" thickTop="1" thickBot="1" x14ac:dyDescent="0.25">
      <c r="B197" s="441" t="s">
        <v>658</v>
      </c>
      <c r="C197" s="441" t="s">
        <v>218</v>
      </c>
      <c r="D197" s="441" t="s">
        <v>187</v>
      </c>
      <c r="E197" s="441" t="s">
        <v>36</v>
      </c>
      <c r="F197" s="450" t="s">
        <v>1119</v>
      </c>
      <c r="G197" s="374" t="s">
        <v>675</v>
      </c>
      <c r="H197" s="445">
        <v>2924077</v>
      </c>
      <c r="I197" s="439"/>
      <c r="J197" s="445">
        <v>100000</v>
      </c>
      <c r="K197" s="439">
        <f>J197/H197</f>
        <v>3.4198825817514385E-2</v>
      </c>
      <c r="L197" s="688"/>
    </row>
    <row r="198" spans="2:12" s="47" customFormat="1" ht="105" customHeight="1" thickTop="1" thickBot="1" x14ac:dyDescent="0.25">
      <c r="B198" s="441" t="s">
        <v>658</v>
      </c>
      <c r="C198" s="441" t="s">
        <v>218</v>
      </c>
      <c r="D198" s="441" t="s">
        <v>187</v>
      </c>
      <c r="E198" s="441" t="s">
        <v>36</v>
      </c>
      <c r="F198" s="450" t="s">
        <v>1158</v>
      </c>
      <c r="G198" s="375" t="s">
        <v>675</v>
      </c>
      <c r="H198" s="445">
        <v>990371</v>
      </c>
      <c r="I198" s="439"/>
      <c r="J198" s="445">
        <v>495200</v>
      </c>
      <c r="K198" s="439">
        <f>J198/H198</f>
        <v>0.50001464097797699</v>
      </c>
      <c r="L198" s="688"/>
    </row>
    <row r="199" spans="2:12" s="47" customFormat="1" ht="46.5" thickTop="1" thickBot="1" x14ac:dyDescent="0.25">
      <c r="B199" s="441" t="s">
        <v>658</v>
      </c>
      <c r="C199" s="441" t="s">
        <v>218</v>
      </c>
      <c r="D199" s="441" t="s">
        <v>187</v>
      </c>
      <c r="E199" s="441" t="s">
        <v>36</v>
      </c>
      <c r="F199" s="450" t="s">
        <v>1159</v>
      </c>
      <c r="G199" s="441"/>
      <c r="H199" s="441"/>
      <c r="I199" s="441"/>
      <c r="J199" s="445">
        <v>2000000</v>
      </c>
      <c r="K199" s="439"/>
      <c r="L199" s="688"/>
    </row>
    <row r="200" spans="2:12" s="47" customFormat="1" ht="151.5" thickTop="1" thickBot="1" x14ac:dyDescent="0.25">
      <c r="B200" s="441" t="s">
        <v>658</v>
      </c>
      <c r="C200" s="441" t="s">
        <v>218</v>
      </c>
      <c r="D200" s="441" t="s">
        <v>187</v>
      </c>
      <c r="E200" s="441" t="s">
        <v>36</v>
      </c>
      <c r="F200" s="450" t="s">
        <v>1097</v>
      </c>
      <c r="G200" s="375" t="s">
        <v>675</v>
      </c>
      <c r="H200" s="445">
        <v>3304175</v>
      </c>
      <c r="I200" s="439"/>
      <c r="J200" s="445">
        <v>3304175</v>
      </c>
      <c r="K200" s="439">
        <v>1</v>
      </c>
      <c r="L200" s="688"/>
    </row>
    <row r="201" spans="2:12" s="47" customFormat="1" ht="91.5" thickTop="1" thickBot="1" x14ac:dyDescent="0.25">
      <c r="B201" s="441" t="s">
        <v>658</v>
      </c>
      <c r="C201" s="441" t="s">
        <v>218</v>
      </c>
      <c r="D201" s="441" t="s">
        <v>187</v>
      </c>
      <c r="E201" s="441" t="s">
        <v>36</v>
      </c>
      <c r="F201" s="450" t="s">
        <v>1231</v>
      </c>
      <c r="G201" s="375" t="s">
        <v>675</v>
      </c>
      <c r="H201" s="445">
        <v>2115430</v>
      </c>
      <c r="I201" s="439"/>
      <c r="J201" s="445">
        <v>2115430</v>
      </c>
      <c r="K201" s="439">
        <v>1</v>
      </c>
      <c r="L201" s="688"/>
    </row>
    <row r="202" spans="2:12" s="47" customFormat="1" ht="76.5" thickTop="1" thickBot="1" x14ac:dyDescent="0.25">
      <c r="B202" s="441" t="s">
        <v>658</v>
      </c>
      <c r="C202" s="441" t="s">
        <v>218</v>
      </c>
      <c r="D202" s="441" t="s">
        <v>187</v>
      </c>
      <c r="E202" s="441" t="s">
        <v>36</v>
      </c>
      <c r="F202" s="450" t="s">
        <v>1232</v>
      </c>
      <c r="G202" s="375" t="s">
        <v>675</v>
      </c>
      <c r="H202" s="445">
        <v>864238</v>
      </c>
      <c r="I202" s="439"/>
      <c r="J202" s="445">
        <v>864238</v>
      </c>
      <c r="K202" s="439">
        <v>1</v>
      </c>
      <c r="L202" s="688"/>
    </row>
    <row r="203" spans="2:12" s="47" customFormat="1" ht="91.5" thickTop="1" thickBot="1" x14ac:dyDescent="0.25">
      <c r="B203" s="441" t="s">
        <v>658</v>
      </c>
      <c r="C203" s="441" t="s">
        <v>218</v>
      </c>
      <c r="D203" s="441" t="s">
        <v>187</v>
      </c>
      <c r="E203" s="441" t="s">
        <v>36</v>
      </c>
      <c r="F203" s="450" t="s">
        <v>1098</v>
      </c>
      <c r="G203" s="375" t="s">
        <v>675</v>
      </c>
      <c r="H203" s="445">
        <v>2086056</v>
      </c>
      <c r="I203" s="439"/>
      <c r="J203" s="445">
        <v>2086056</v>
      </c>
      <c r="K203" s="439">
        <v>1</v>
      </c>
      <c r="L203" s="688"/>
    </row>
    <row r="204" spans="2:12" s="47" customFormat="1" ht="106.5" thickTop="1" thickBot="1" x14ac:dyDescent="0.25">
      <c r="B204" s="441" t="s">
        <v>658</v>
      </c>
      <c r="C204" s="441" t="s">
        <v>218</v>
      </c>
      <c r="D204" s="441" t="s">
        <v>187</v>
      </c>
      <c r="E204" s="441" t="s">
        <v>36</v>
      </c>
      <c r="F204" s="450" t="s">
        <v>1099</v>
      </c>
      <c r="G204" s="375" t="s">
        <v>675</v>
      </c>
      <c r="H204" s="445">
        <v>1017106</v>
      </c>
      <c r="I204" s="439"/>
      <c r="J204" s="445">
        <v>1017106</v>
      </c>
      <c r="K204" s="439">
        <v>1</v>
      </c>
      <c r="L204" s="688"/>
    </row>
    <row r="205" spans="2:12" ht="46.5" thickTop="1" thickBot="1" x14ac:dyDescent="0.25">
      <c r="B205" s="603" t="s">
        <v>25</v>
      </c>
      <c r="C205" s="603"/>
      <c r="D205" s="603"/>
      <c r="E205" s="604" t="s">
        <v>1087</v>
      </c>
      <c r="F205" s="609"/>
      <c r="G205" s="605"/>
      <c r="H205" s="605"/>
      <c r="I205" s="605"/>
      <c r="J205" s="609">
        <f>J206</f>
        <v>166450566.50999999</v>
      </c>
      <c r="K205" s="609"/>
      <c r="L205" s="689">
        <f>L208+L211+L221</f>
        <v>4000000</v>
      </c>
    </row>
    <row r="206" spans="2:12" ht="44.25" thickTop="1" thickBot="1" x14ac:dyDescent="0.25">
      <c r="B206" s="606" t="s">
        <v>26</v>
      </c>
      <c r="C206" s="606"/>
      <c r="D206" s="606"/>
      <c r="E206" s="607" t="s">
        <v>1088</v>
      </c>
      <c r="F206" s="610"/>
      <c r="G206" s="610"/>
      <c r="H206" s="610"/>
      <c r="I206" s="610"/>
      <c r="J206" s="610">
        <f>SUM(J207:J226)</f>
        <v>166450566.50999999</v>
      </c>
      <c r="K206" s="610"/>
      <c r="L206" s="689"/>
    </row>
    <row r="207" spans="2:12" ht="73.5" customHeight="1" thickTop="1" thickBot="1" x14ac:dyDescent="0.25">
      <c r="B207" s="451" t="s">
        <v>466</v>
      </c>
      <c r="C207" s="451" t="s">
        <v>468</v>
      </c>
      <c r="D207" s="451" t="s">
        <v>216</v>
      </c>
      <c r="E207" s="451" t="s">
        <v>467</v>
      </c>
      <c r="F207" s="376" t="s">
        <v>501</v>
      </c>
      <c r="G207" s="375" t="s">
        <v>471</v>
      </c>
      <c r="H207" s="375">
        <f>282861499</f>
        <v>282861499</v>
      </c>
      <c r="I207" s="439">
        <f>(122740173.92)/H207</f>
        <v>0.43392322516115917</v>
      </c>
      <c r="J207" s="378">
        <f>(8000000+2000000+7000000)</f>
        <v>17000000</v>
      </c>
      <c r="K207" s="439">
        <f>(122740173.92+J207)/H207</f>
        <v>0.494023309690514</v>
      </c>
      <c r="L207" s="689"/>
    </row>
    <row r="208" spans="2:12" ht="78" hidden="1" customHeight="1" thickTop="1" thickBot="1" x14ac:dyDescent="0.25">
      <c r="B208" s="451" t="s">
        <v>336</v>
      </c>
      <c r="C208" s="451" t="s">
        <v>337</v>
      </c>
      <c r="D208" s="451" t="s">
        <v>326</v>
      </c>
      <c r="E208" s="451" t="s">
        <v>335</v>
      </c>
      <c r="F208" s="791" t="s">
        <v>644</v>
      </c>
      <c r="G208" s="375" t="s">
        <v>471</v>
      </c>
      <c r="H208" s="375">
        <v>30010059</v>
      </c>
      <c r="I208" s="439">
        <f>(11364795.14+7640000)/H208</f>
        <v>0.6332808322702731</v>
      </c>
      <c r="J208" s="375">
        <v>0</v>
      </c>
      <c r="K208" s="439">
        <f>(11364795.14+7640000+J208)/H208</f>
        <v>0.6332808322702731</v>
      </c>
      <c r="L208" s="689">
        <v>1000000</v>
      </c>
    </row>
    <row r="209" spans="2:12" ht="151.5" customHeight="1" thickTop="1" thickBot="1" x14ac:dyDescent="0.25">
      <c r="B209" s="451" t="s">
        <v>1177</v>
      </c>
      <c r="C209" s="451" t="s">
        <v>327</v>
      </c>
      <c r="D209" s="451" t="s">
        <v>326</v>
      </c>
      <c r="E209" s="451" t="s">
        <v>509</v>
      </c>
      <c r="F209" s="567" t="s">
        <v>1176</v>
      </c>
      <c r="G209" s="375"/>
      <c r="H209" s="375"/>
      <c r="I209" s="439"/>
      <c r="J209" s="375">
        <v>36872.51</v>
      </c>
      <c r="K209" s="439"/>
      <c r="L209" s="689"/>
    </row>
    <row r="210" spans="2:12" ht="55.5" customHeight="1" thickTop="1" thickBot="1" x14ac:dyDescent="0.25">
      <c r="B210" s="451" t="s">
        <v>336</v>
      </c>
      <c r="C210" s="451" t="s">
        <v>337</v>
      </c>
      <c r="D210" s="451" t="s">
        <v>326</v>
      </c>
      <c r="E210" s="451" t="s">
        <v>335</v>
      </c>
      <c r="F210" s="567" t="s">
        <v>1277</v>
      </c>
      <c r="G210" s="378" t="s">
        <v>1165</v>
      </c>
      <c r="H210" s="378">
        <v>56437448</v>
      </c>
      <c r="I210" s="439">
        <f>(28071676.14)/H210</f>
        <v>0.49739449841885125</v>
      </c>
      <c r="J210" s="378">
        <f>3512869+10010000</f>
        <v>13522869</v>
      </c>
      <c r="K210" s="439">
        <f>(28071676.14+2857360+J210)/H210</f>
        <v>0.78763138156069712</v>
      </c>
      <c r="L210" s="689"/>
    </row>
    <row r="211" spans="2:12" ht="76.5" thickTop="1" thickBot="1" x14ac:dyDescent="0.25">
      <c r="B211" s="451" t="s">
        <v>336</v>
      </c>
      <c r="C211" s="451" t="s">
        <v>337</v>
      </c>
      <c r="D211" s="451" t="s">
        <v>326</v>
      </c>
      <c r="E211" s="451" t="s">
        <v>335</v>
      </c>
      <c r="F211" s="567" t="s">
        <v>1233</v>
      </c>
      <c r="G211" s="378" t="s">
        <v>645</v>
      </c>
      <c r="H211" s="375">
        <f>9300000+10829899</f>
        <v>20129899</v>
      </c>
      <c r="I211" s="439">
        <f>(6879597.52)/H211</f>
        <v>0.34176016084333061</v>
      </c>
      <c r="J211" s="375">
        <v>700000</v>
      </c>
      <c r="K211" s="439">
        <f>(6879597.52+J211)/H211</f>
        <v>0.37653430451886516</v>
      </c>
      <c r="L211" s="689">
        <v>1000000</v>
      </c>
    </row>
    <row r="212" spans="2:12" ht="68.25" customHeight="1" thickTop="1" thickBot="1" x14ac:dyDescent="0.25">
      <c r="B212" s="451" t="s">
        <v>336</v>
      </c>
      <c r="C212" s="451" t="s">
        <v>337</v>
      </c>
      <c r="D212" s="451" t="s">
        <v>326</v>
      </c>
      <c r="E212" s="451" t="s">
        <v>335</v>
      </c>
      <c r="F212" s="567" t="s">
        <v>1234</v>
      </c>
      <c r="G212" s="378" t="s">
        <v>471</v>
      </c>
      <c r="H212" s="378">
        <v>33254540</v>
      </c>
      <c r="I212" s="439">
        <f>(13051785.82)/H212</f>
        <v>0.39248132194882263</v>
      </c>
      <c r="J212" s="378">
        <f>2443118+5992910-1087940</f>
        <v>7348088</v>
      </c>
      <c r="K212" s="439">
        <f>(13051785.82+1007090+1087940+J212)/H212</f>
        <v>0.67644609788618337</v>
      </c>
      <c r="L212" s="689"/>
    </row>
    <row r="213" spans="2:12" ht="76.5" thickTop="1" thickBot="1" x14ac:dyDescent="0.25">
      <c r="B213" s="451" t="s">
        <v>336</v>
      </c>
      <c r="C213" s="451" t="s">
        <v>337</v>
      </c>
      <c r="D213" s="451" t="s">
        <v>326</v>
      </c>
      <c r="E213" s="451" t="s">
        <v>335</v>
      </c>
      <c r="F213" s="567" t="s">
        <v>1235</v>
      </c>
      <c r="G213" s="375"/>
      <c r="H213" s="375"/>
      <c r="I213" s="375"/>
      <c r="J213" s="375">
        <v>200000</v>
      </c>
      <c r="K213" s="439"/>
      <c r="L213" s="689"/>
    </row>
    <row r="214" spans="2:12" ht="66.75" customHeight="1" thickTop="1" thickBot="1" x14ac:dyDescent="0.25">
      <c r="B214" s="451" t="s">
        <v>566</v>
      </c>
      <c r="C214" s="451" t="s">
        <v>567</v>
      </c>
      <c r="D214" s="451" t="s">
        <v>326</v>
      </c>
      <c r="E214" s="451" t="s">
        <v>902</v>
      </c>
      <c r="F214" s="567" t="s">
        <v>601</v>
      </c>
      <c r="G214" s="378" t="s">
        <v>1241</v>
      </c>
      <c r="H214" s="375">
        <v>21098584</v>
      </c>
      <c r="I214" s="439">
        <f>(529041.07)/H214</f>
        <v>2.5074719232342793E-2</v>
      </c>
      <c r="J214" s="375">
        <v>200000</v>
      </c>
      <c r="K214" s="439">
        <f>(529041.07+J214)/H214</f>
        <v>3.4554028365126305E-2</v>
      </c>
      <c r="L214" s="689"/>
    </row>
    <row r="215" spans="2:12" ht="61.5" thickTop="1" thickBot="1" x14ac:dyDescent="0.25">
      <c r="B215" s="451" t="s">
        <v>340</v>
      </c>
      <c r="C215" s="451" t="s">
        <v>341</v>
      </c>
      <c r="D215" s="451" t="s">
        <v>326</v>
      </c>
      <c r="E215" s="451" t="s">
        <v>502</v>
      </c>
      <c r="F215" s="792" t="s">
        <v>1279</v>
      </c>
      <c r="G215" s="378" t="s">
        <v>1242</v>
      </c>
      <c r="H215" s="375">
        <v>15423995</v>
      </c>
      <c r="I215" s="439">
        <f>111261.75/H215</f>
        <v>7.2135494079192839E-3</v>
      </c>
      <c r="J215" s="378">
        <v>100000</v>
      </c>
      <c r="K215" s="439">
        <f>(111261.75+J215)/H215</f>
        <v>1.3696953999271913E-2</v>
      </c>
      <c r="L215" s="689"/>
    </row>
    <row r="216" spans="2:12" ht="104.25" customHeight="1" thickTop="1" thickBot="1" x14ac:dyDescent="0.25">
      <c r="B216" s="451" t="s">
        <v>340</v>
      </c>
      <c r="C216" s="451" t="s">
        <v>341</v>
      </c>
      <c r="D216" s="451" t="s">
        <v>326</v>
      </c>
      <c r="E216" s="451" t="s">
        <v>502</v>
      </c>
      <c r="F216" s="792" t="s">
        <v>1280</v>
      </c>
      <c r="G216" s="378" t="s">
        <v>471</v>
      </c>
      <c r="H216" s="378">
        <v>10111121</v>
      </c>
      <c r="I216" s="455">
        <f>(7825154.66)/H216</f>
        <v>0.77391563803855179</v>
      </c>
      <c r="J216" s="378">
        <f>2206836</f>
        <v>2206836</v>
      </c>
      <c r="K216" s="439">
        <f>(7825154.66+J216)/H216</f>
        <v>0.99217393007165078</v>
      </c>
      <c r="L216" s="689"/>
    </row>
    <row r="217" spans="2:12" ht="46.5" thickTop="1" thickBot="1" x14ac:dyDescent="0.25">
      <c r="B217" s="451" t="s">
        <v>340</v>
      </c>
      <c r="C217" s="451" t="s">
        <v>341</v>
      </c>
      <c r="D217" s="451" t="s">
        <v>326</v>
      </c>
      <c r="E217" s="451" t="s">
        <v>502</v>
      </c>
      <c r="F217" s="792" t="s">
        <v>1282</v>
      </c>
      <c r="G217" s="378" t="s">
        <v>646</v>
      </c>
      <c r="H217" s="375">
        <v>20249401</v>
      </c>
      <c r="I217" s="439">
        <f>(14384713.31)/H217</f>
        <v>0.71037722597325226</v>
      </c>
      <c r="J217" s="378">
        <f>420000+68629</f>
        <v>488629</v>
      </c>
      <c r="K217" s="439">
        <f>(14384713.31+J217)/H217</f>
        <v>0.73450776692110553</v>
      </c>
      <c r="L217" s="689"/>
    </row>
    <row r="218" spans="2:12" ht="76.5" thickTop="1" thickBot="1" x14ac:dyDescent="0.25">
      <c r="B218" s="451" t="s">
        <v>340</v>
      </c>
      <c r="C218" s="451" t="s">
        <v>341</v>
      </c>
      <c r="D218" s="451" t="s">
        <v>326</v>
      </c>
      <c r="E218" s="451" t="s">
        <v>502</v>
      </c>
      <c r="F218" s="792" t="s">
        <v>1281</v>
      </c>
      <c r="G218" s="378" t="s">
        <v>1240</v>
      </c>
      <c r="H218" s="375">
        <v>53314687</v>
      </c>
      <c r="I218" s="439">
        <f>(1418673.51)/H218</f>
        <v>2.6609431468668288E-2</v>
      </c>
      <c r="J218" s="378">
        <v>200000</v>
      </c>
      <c r="K218" s="439">
        <f>(1418673.51+J218)/H218</f>
        <v>3.0360742997515865E-2</v>
      </c>
      <c r="L218" s="689"/>
    </row>
    <row r="219" spans="2:12" ht="46.5" thickTop="1" thickBot="1" x14ac:dyDescent="0.25">
      <c r="B219" s="451" t="s">
        <v>340</v>
      </c>
      <c r="C219" s="451" t="s">
        <v>341</v>
      </c>
      <c r="D219" s="451" t="s">
        <v>326</v>
      </c>
      <c r="E219" s="451" t="s">
        <v>502</v>
      </c>
      <c r="F219" s="453" t="s">
        <v>1285</v>
      </c>
      <c r="G219" s="375" t="s">
        <v>607</v>
      </c>
      <c r="H219" s="375">
        <v>65017720</v>
      </c>
      <c r="I219" s="439">
        <f>(4855726.3)/H219</f>
        <v>7.4683121770495797E-2</v>
      </c>
      <c r="J219" s="375">
        <f>(5700000+5000000+2000000)</f>
        <v>12700000</v>
      </c>
      <c r="K219" s="439">
        <f>(4855726.3+J219)/H219</f>
        <v>0.27001448681990081</v>
      </c>
      <c r="L219" s="689"/>
    </row>
    <row r="220" spans="2:12" ht="91.5" thickTop="1" thickBot="1" x14ac:dyDescent="0.25">
      <c r="B220" s="454" t="s">
        <v>340</v>
      </c>
      <c r="C220" s="454" t="s">
        <v>341</v>
      </c>
      <c r="D220" s="454" t="s">
        <v>326</v>
      </c>
      <c r="E220" s="454" t="s">
        <v>502</v>
      </c>
      <c r="F220" s="453" t="s">
        <v>1301</v>
      </c>
      <c r="G220" s="378"/>
      <c r="H220" s="378"/>
      <c r="I220" s="455"/>
      <c r="J220" s="378">
        <v>50000</v>
      </c>
      <c r="K220" s="455"/>
      <c r="L220" s="689"/>
    </row>
    <row r="221" spans="2:12" ht="76.5" thickTop="1" thickBot="1" x14ac:dyDescent="0.25">
      <c r="B221" s="454" t="s">
        <v>340</v>
      </c>
      <c r="C221" s="454" t="s">
        <v>341</v>
      </c>
      <c r="D221" s="454" t="s">
        <v>326</v>
      </c>
      <c r="E221" s="454" t="s">
        <v>502</v>
      </c>
      <c r="F221" s="453" t="s">
        <v>1236</v>
      </c>
      <c r="G221" s="378"/>
      <c r="H221" s="378"/>
      <c r="I221" s="455"/>
      <c r="J221" s="378">
        <v>50000</v>
      </c>
      <c r="K221" s="455"/>
      <c r="L221" s="689">
        <v>2000000</v>
      </c>
    </row>
    <row r="222" spans="2:12" ht="102" customHeight="1" thickTop="1" thickBot="1" x14ac:dyDescent="0.25">
      <c r="B222" s="451" t="s">
        <v>340</v>
      </c>
      <c r="C222" s="451" t="s">
        <v>341</v>
      </c>
      <c r="D222" s="451" t="s">
        <v>326</v>
      </c>
      <c r="E222" s="451" t="s">
        <v>502</v>
      </c>
      <c r="F222" s="453" t="s">
        <v>1237</v>
      </c>
      <c r="G222" s="375"/>
      <c r="H222" s="375"/>
      <c r="I222" s="439"/>
      <c r="J222" s="378">
        <v>100000</v>
      </c>
      <c r="K222" s="439"/>
      <c r="L222" s="689"/>
    </row>
    <row r="223" spans="2:12" ht="110.25" customHeight="1" thickTop="1" thickBot="1" x14ac:dyDescent="0.25">
      <c r="B223" s="451" t="s">
        <v>340</v>
      </c>
      <c r="C223" s="451" t="s">
        <v>341</v>
      </c>
      <c r="D223" s="451" t="s">
        <v>326</v>
      </c>
      <c r="E223" s="451" t="s">
        <v>502</v>
      </c>
      <c r="F223" s="453" t="s">
        <v>1238</v>
      </c>
      <c r="G223" s="375"/>
      <c r="H223" s="375"/>
      <c r="I223" s="439"/>
      <c r="J223" s="378">
        <f>(300000)+395970</f>
        <v>695970</v>
      </c>
      <c r="K223" s="439"/>
      <c r="L223" s="689"/>
    </row>
    <row r="224" spans="2:12" ht="110.25" customHeight="1" thickTop="1" thickBot="1" x14ac:dyDescent="0.25">
      <c r="B224" s="451" t="s">
        <v>340</v>
      </c>
      <c r="C224" s="451" t="s">
        <v>341</v>
      </c>
      <c r="D224" s="451" t="s">
        <v>326</v>
      </c>
      <c r="E224" s="454" t="s">
        <v>502</v>
      </c>
      <c r="F224" s="453" t="s">
        <v>1239</v>
      </c>
      <c r="G224" s="375"/>
      <c r="H224" s="375"/>
      <c r="I224" s="439"/>
      <c r="J224" s="378">
        <v>400000</v>
      </c>
      <c r="K224" s="439"/>
      <c r="L224" s="689"/>
    </row>
    <row r="225" spans="1:12" ht="96.75" customHeight="1" thickTop="1" thickBot="1" x14ac:dyDescent="0.25">
      <c r="B225" s="451" t="s">
        <v>340</v>
      </c>
      <c r="C225" s="451" t="s">
        <v>341</v>
      </c>
      <c r="D225" s="451" t="s">
        <v>326</v>
      </c>
      <c r="E225" s="451" t="s">
        <v>502</v>
      </c>
      <c r="F225" s="567" t="s">
        <v>1283</v>
      </c>
      <c r="G225" s="378" t="s">
        <v>607</v>
      </c>
      <c r="H225" s="378">
        <v>37427012</v>
      </c>
      <c r="I225" s="455">
        <f>(17243634.19)/H225</f>
        <v>0.46072697948743546</v>
      </c>
      <c r="J225" s="378">
        <v>370000</v>
      </c>
      <c r="K225" s="455">
        <f>(17243634.19+J225)/H225</f>
        <v>0.47061288755832287</v>
      </c>
      <c r="L225" s="689"/>
    </row>
    <row r="226" spans="1:12" ht="54" customHeight="1" thickTop="1" thickBot="1" x14ac:dyDescent="0.25">
      <c r="B226" s="451" t="s">
        <v>472</v>
      </c>
      <c r="C226" s="451" t="s">
        <v>379</v>
      </c>
      <c r="D226" s="451" t="s">
        <v>187</v>
      </c>
      <c r="E226" s="451" t="s">
        <v>283</v>
      </c>
      <c r="F226" s="792" t="s">
        <v>1276</v>
      </c>
      <c r="G226" s="375" t="s">
        <v>1284</v>
      </c>
      <c r="H226" s="375">
        <v>204203314</v>
      </c>
      <c r="I226" s="455">
        <f>(40567842.39+53857912)/H226</f>
        <v>0.46241048952809843</v>
      </c>
      <c r="J226" s="378">
        <f>((23737852+6343450)+20000000)+60000000</f>
        <v>110081302</v>
      </c>
      <c r="K226" s="455">
        <f>(40567842.39+53857912+J226)/H226</f>
        <v>1.0014874508353964</v>
      </c>
      <c r="L226" s="689">
        <f>(40567842.39+53857912)</f>
        <v>94425754.390000001</v>
      </c>
    </row>
    <row r="227" spans="1:12" ht="46.5" thickTop="1" thickBot="1" x14ac:dyDescent="0.25">
      <c r="B227" s="603" t="s">
        <v>177</v>
      </c>
      <c r="C227" s="603"/>
      <c r="D227" s="603"/>
      <c r="E227" s="604" t="s">
        <v>1089</v>
      </c>
      <c r="F227" s="609"/>
      <c r="G227" s="605"/>
      <c r="H227" s="605"/>
      <c r="I227" s="605"/>
      <c r="J227" s="609">
        <f>J228</f>
        <v>751000</v>
      </c>
      <c r="K227" s="609"/>
      <c r="L227" s="683"/>
    </row>
    <row r="228" spans="1:12" ht="58.5" thickTop="1" thickBot="1" x14ac:dyDescent="0.25">
      <c r="B228" s="606" t="s">
        <v>178</v>
      </c>
      <c r="C228" s="606"/>
      <c r="D228" s="606"/>
      <c r="E228" s="607" t="s">
        <v>1109</v>
      </c>
      <c r="F228" s="610"/>
      <c r="G228" s="610"/>
      <c r="H228" s="610"/>
      <c r="I228" s="610"/>
      <c r="J228" s="610">
        <f>SUM(J229:J231)</f>
        <v>751000</v>
      </c>
      <c r="K228" s="610"/>
      <c r="L228" s="683"/>
    </row>
    <row r="229" spans="1:12" ht="61.5" thickTop="1" thickBot="1" x14ac:dyDescent="0.25">
      <c r="B229" s="373" t="s">
        <v>450</v>
      </c>
      <c r="C229" s="373" t="s">
        <v>257</v>
      </c>
      <c r="D229" s="373" t="s">
        <v>255</v>
      </c>
      <c r="E229" s="373" t="s">
        <v>256</v>
      </c>
      <c r="F229" s="371" t="s">
        <v>581</v>
      </c>
      <c r="G229" s="375"/>
      <c r="H229" s="375"/>
      <c r="I229" s="439"/>
      <c r="J229" s="375">
        <v>140000</v>
      </c>
      <c r="K229" s="439"/>
      <c r="L229" s="683"/>
    </row>
    <row r="230" spans="1:12" ht="76.5" thickTop="1" thickBot="1" x14ac:dyDescent="0.25">
      <c r="B230" s="370" t="s">
        <v>1139</v>
      </c>
      <c r="C230" s="370" t="s">
        <v>1140</v>
      </c>
      <c r="D230" s="370" t="s">
        <v>326</v>
      </c>
      <c r="E230" s="370" t="s">
        <v>1141</v>
      </c>
      <c r="F230" s="371" t="s">
        <v>1142</v>
      </c>
      <c r="G230" s="375" t="s">
        <v>675</v>
      </c>
      <c r="H230" s="375"/>
      <c r="I230" s="439">
        <v>0</v>
      </c>
      <c r="J230" s="578">
        <f>211000-13000</f>
        <v>198000</v>
      </c>
      <c r="K230" s="439">
        <v>1</v>
      </c>
      <c r="L230" s="683"/>
    </row>
    <row r="231" spans="1:12" ht="61.5" thickTop="1" thickBot="1" x14ac:dyDescent="0.25">
      <c r="B231" s="370" t="s">
        <v>1139</v>
      </c>
      <c r="C231" s="370" t="s">
        <v>1140</v>
      </c>
      <c r="D231" s="370" t="s">
        <v>326</v>
      </c>
      <c r="E231" s="370" t="s">
        <v>1141</v>
      </c>
      <c r="F231" s="577" t="s">
        <v>1143</v>
      </c>
      <c r="G231" s="375" t="s">
        <v>675</v>
      </c>
      <c r="H231" s="375"/>
      <c r="I231" s="439">
        <v>0</v>
      </c>
      <c r="J231" s="578">
        <f>400000+13000</f>
        <v>413000</v>
      </c>
      <c r="K231" s="439">
        <v>1</v>
      </c>
      <c r="L231" s="683"/>
    </row>
    <row r="232" spans="1:12" ht="46.5" thickTop="1" thickBot="1" x14ac:dyDescent="0.25">
      <c r="B232" s="603" t="s">
        <v>480</v>
      </c>
      <c r="C232" s="603"/>
      <c r="D232" s="603"/>
      <c r="E232" s="604" t="s">
        <v>482</v>
      </c>
      <c r="F232" s="609"/>
      <c r="G232" s="605"/>
      <c r="H232" s="605"/>
      <c r="I232" s="605"/>
      <c r="J232" s="609">
        <f>J233</f>
        <v>36000</v>
      </c>
      <c r="K232" s="609"/>
    </row>
    <row r="233" spans="1:12" ht="44.25" thickTop="1" thickBot="1" x14ac:dyDescent="0.25">
      <c r="B233" s="606" t="s">
        <v>481</v>
      </c>
      <c r="C233" s="606"/>
      <c r="D233" s="606"/>
      <c r="E233" s="607" t="s">
        <v>483</v>
      </c>
      <c r="F233" s="610"/>
      <c r="G233" s="610"/>
      <c r="H233" s="610"/>
      <c r="I233" s="610"/>
      <c r="J233" s="610">
        <f>J234</f>
        <v>36000</v>
      </c>
      <c r="K233" s="610"/>
    </row>
    <row r="234" spans="1:12" ht="61.5" thickTop="1" thickBot="1" x14ac:dyDescent="0.25">
      <c r="B234" s="373" t="s">
        <v>484</v>
      </c>
      <c r="C234" s="373" t="s">
        <v>257</v>
      </c>
      <c r="D234" s="373" t="s">
        <v>255</v>
      </c>
      <c r="E234" s="373" t="s">
        <v>256</v>
      </c>
      <c r="F234" s="371" t="s">
        <v>581</v>
      </c>
      <c r="G234" s="456"/>
      <c r="H234" s="457"/>
      <c r="I234" s="456"/>
      <c r="J234" s="372">
        <f>(18000)+18000</f>
        <v>36000</v>
      </c>
      <c r="K234" s="372"/>
    </row>
    <row r="235" spans="1:12" ht="31.5" thickTop="1" thickBot="1" x14ac:dyDescent="0.25">
      <c r="A235" s="690"/>
      <c r="B235" s="603" t="s">
        <v>183</v>
      </c>
      <c r="C235" s="603"/>
      <c r="D235" s="603"/>
      <c r="E235" s="604" t="s">
        <v>383</v>
      </c>
      <c r="F235" s="609"/>
      <c r="G235" s="605"/>
      <c r="H235" s="605"/>
      <c r="I235" s="605"/>
      <c r="J235" s="609">
        <f>J236</f>
        <v>1400000</v>
      </c>
      <c r="K235" s="609"/>
    </row>
    <row r="236" spans="1:12" ht="44.25" thickTop="1" thickBot="1" x14ac:dyDescent="0.25">
      <c r="A236" s="690"/>
      <c r="B236" s="606" t="s">
        <v>184</v>
      </c>
      <c r="C236" s="606"/>
      <c r="D236" s="606"/>
      <c r="E236" s="607" t="s">
        <v>384</v>
      </c>
      <c r="F236" s="610"/>
      <c r="G236" s="610"/>
      <c r="H236" s="610"/>
      <c r="I236" s="610"/>
      <c r="J236" s="610">
        <f>SUM(J237:J238)</f>
        <v>1400000</v>
      </c>
      <c r="K236" s="610"/>
    </row>
    <row r="237" spans="1:12" ht="31.5" thickTop="1" thickBot="1" x14ac:dyDescent="0.25">
      <c r="B237" s="373" t="s">
        <v>277</v>
      </c>
      <c r="C237" s="373" t="s">
        <v>278</v>
      </c>
      <c r="D237" s="373" t="s">
        <v>187</v>
      </c>
      <c r="E237" s="373" t="s">
        <v>276</v>
      </c>
      <c r="F237" s="374" t="s">
        <v>61</v>
      </c>
      <c r="G237" s="374"/>
      <c r="H237" s="375"/>
      <c r="I237" s="374"/>
      <c r="J237" s="375">
        <v>400000</v>
      </c>
      <c r="K237" s="375"/>
    </row>
    <row r="238" spans="1:12" ht="91.5" thickTop="1" thickBot="1" x14ac:dyDescent="0.25">
      <c r="B238" s="370" t="s">
        <v>1126</v>
      </c>
      <c r="C238" s="370" t="s">
        <v>392</v>
      </c>
      <c r="D238" s="370" t="s">
        <v>45</v>
      </c>
      <c r="E238" s="370" t="s">
        <v>393</v>
      </c>
      <c r="F238" s="371" t="s">
        <v>1127</v>
      </c>
      <c r="G238" s="374"/>
      <c r="H238" s="375"/>
      <c r="I238" s="374"/>
      <c r="J238" s="375">
        <v>1000000</v>
      </c>
      <c r="K238" s="375"/>
    </row>
    <row r="239" spans="1:12" ht="61.5" thickTop="1" thickBot="1" x14ac:dyDescent="0.25">
      <c r="B239" s="603" t="s">
        <v>181</v>
      </c>
      <c r="C239" s="603"/>
      <c r="D239" s="603"/>
      <c r="E239" s="604" t="s">
        <v>1082</v>
      </c>
      <c r="F239" s="609"/>
      <c r="G239" s="605"/>
      <c r="H239" s="605"/>
      <c r="I239" s="605"/>
      <c r="J239" s="609">
        <f>J240</f>
        <v>64000</v>
      </c>
      <c r="K239" s="609"/>
    </row>
    <row r="240" spans="1:12" ht="58.5" thickTop="1" thickBot="1" x14ac:dyDescent="0.25">
      <c r="B240" s="606" t="s">
        <v>182</v>
      </c>
      <c r="C240" s="606"/>
      <c r="D240" s="606"/>
      <c r="E240" s="607" t="s">
        <v>1083</v>
      </c>
      <c r="F240" s="610"/>
      <c r="G240" s="610"/>
      <c r="H240" s="610"/>
      <c r="I240" s="610"/>
      <c r="J240" s="610">
        <f>J241</f>
        <v>64000</v>
      </c>
      <c r="K240" s="610"/>
    </row>
    <row r="241" spans="1:18" ht="61.5" thickTop="1" thickBot="1" x14ac:dyDescent="0.25">
      <c r="B241" s="373" t="s">
        <v>453</v>
      </c>
      <c r="C241" s="373" t="s">
        <v>257</v>
      </c>
      <c r="D241" s="373" t="s">
        <v>255</v>
      </c>
      <c r="E241" s="373" t="s">
        <v>256</v>
      </c>
      <c r="F241" s="371" t="s">
        <v>581</v>
      </c>
      <c r="G241" s="374"/>
      <c r="H241" s="375"/>
      <c r="I241" s="374"/>
      <c r="J241" s="372">
        <f>(18000)+46000</f>
        <v>64000</v>
      </c>
      <c r="K241" s="375"/>
    </row>
    <row r="242" spans="1:18" ht="46.5" thickTop="1" thickBot="1" x14ac:dyDescent="0.25">
      <c r="B242" s="603" t="s">
        <v>179</v>
      </c>
      <c r="C242" s="603"/>
      <c r="D242" s="603"/>
      <c r="E242" s="604" t="s">
        <v>1091</v>
      </c>
      <c r="F242" s="609"/>
      <c r="G242" s="605"/>
      <c r="H242" s="605"/>
      <c r="I242" s="605"/>
      <c r="J242" s="609">
        <f>J243</f>
        <v>350000</v>
      </c>
      <c r="K242" s="609"/>
    </row>
    <row r="243" spans="1:18" ht="44.25" thickTop="1" thickBot="1" x14ac:dyDescent="0.25">
      <c r="B243" s="606" t="s">
        <v>180</v>
      </c>
      <c r="C243" s="606"/>
      <c r="D243" s="606"/>
      <c r="E243" s="607" t="s">
        <v>1092</v>
      </c>
      <c r="F243" s="610"/>
      <c r="G243" s="610"/>
      <c r="H243" s="610"/>
      <c r="I243" s="610"/>
      <c r="J243" s="610">
        <f>SUM(J244:J247)</f>
        <v>350000</v>
      </c>
      <c r="K243" s="610"/>
    </row>
    <row r="244" spans="1:18" ht="61.5" thickTop="1" thickBot="1" x14ac:dyDescent="0.25">
      <c r="B244" s="373" t="s">
        <v>453</v>
      </c>
      <c r="C244" s="373" t="s">
        <v>257</v>
      </c>
      <c r="D244" s="373" t="s">
        <v>255</v>
      </c>
      <c r="E244" s="373" t="s">
        <v>256</v>
      </c>
      <c r="F244" s="371" t="s">
        <v>581</v>
      </c>
      <c r="G244" s="374"/>
      <c r="H244" s="375"/>
      <c r="I244" s="374"/>
      <c r="J244" s="372">
        <v>100000</v>
      </c>
      <c r="K244" s="375"/>
    </row>
    <row r="245" spans="1:18" ht="31.5" thickTop="1" thickBot="1" x14ac:dyDescent="0.25">
      <c r="B245" s="373" t="s">
        <v>328</v>
      </c>
      <c r="C245" s="373" t="s">
        <v>329</v>
      </c>
      <c r="D245" s="373" t="s">
        <v>330</v>
      </c>
      <c r="E245" s="373" t="s">
        <v>500</v>
      </c>
      <c r="F245" s="452" t="s">
        <v>34</v>
      </c>
      <c r="G245" s="374"/>
      <c r="H245" s="375"/>
      <c r="I245" s="374"/>
      <c r="J245" s="372">
        <v>20000</v>
      </c>
      <c r="K245" s="375"/>
    </row>
    <row r="246" spans="1:18" ht="31.5" thickTop="1" thickBot="1" x14ac:dyDescent="0.25">
      <c r="B246" s="373" t="s">
        <v>328</v>
      </c>
      <c r="C246" s="373" t="s">
        <v>329</v>
      </c>
      <c r="D246" s="373" t="s">
        <v>330</v>
      </c>
      <c r="E246" s="373" t="s">
        <v>500</v>
      </c>
      <c r="F246" s="452" t="s">
        <v>35</v>
      </c>
      <c r="G246" s="374"/>
      <c r="H246" s="375"/>
      <c r="I246" s="374"/>
      <c r="J246" s="372">
        <v>180000</v>
      </c>
      <c r="K246" s="375"/>
    </row>
    <row r="247" spans="1:18" ht="46.5" thickTop="1" thickBot="1" x14ac:dyDescent="0.25">
      <c r="B247" s="373" t="s">
        <v>397</v>
      </c>
      <c r="C247" s="373" t="s">
        <v>398</v>
      </c>
      <c r="D247" s="373" t="s">
        <v>187</v>
      </c>
      <c r="E247" s="373" t="s">
        <v>399</v>
      </c>
      <c r="F247" s="452" t="s">
        <v>345</v>
      </c>
      <c r="G247" s="374"/>
      <c r="H247" s="375"/>
      <c r="I247" s="374"/>
      <c r="J247" s="372">
        <v>50000</v>
      </c>
      <c r="K247" s="375"/>
    </row>
    <row r="248" spans="1:18" ht="34.5" customHeight="1" thickTop="1" thickBot="1" x14ac:dyDescent="0.25">
      <c r="A248" s="682"/>
      <c r="B248" s="254" t="s">
        <v>411</v>
      </c>
      <c r="C248" s="254" t="s">
        <v>411</v>
      </c>
      <c r="D248" s="254" t="s">
        <v>411</v>
      </c>
      <c r="E248" s="264" t="s">
        <v>421</v>
      </c>
      <c r="F248" s="254" t="s">
        <v>411</v>
      </c>
      <c r="G248" s="254" t="s">
        <v>411</v>
      </c>
      <c r="H248" s="254" t="s">
        <v>411</v>
      </c>
      <c r="I248" s="254" t="s">
        <v>411</v>
      </c>
      <c r="J248" s="254">
        <f>J12+J18+J113+J76+J91+J102+J242+J235+J233+J227+J239+J205+J139+J125</f>
        <v>426782849.33999997</v>
      </c>
      <c r="K248" s="254" t="s">
        <v>411</v>
      </c>
      <c r="L248" s="265" t="b">
        <f>J248='d3'!K304</f>
        <v>1</v>
      </c>
    </row>
    <row r="249" spans="1:18" ht="16.5" thickTop="1" x14ac:dyDescent="0.2">
      <c r="B249" s="926" t="s">
        <v>602</v>
      </c>
      <c r="C249" s="927"/>
      <c r="D249" s="927"/>
      <c r="E249" s="927"/>
      <c r="F249" s="927"/>
      <c r="G249" s="927"/>
      <c r="H249" s="927"/>
      <c r="I249" s="927"/>
      <c r="J249" s="927"/>
      <c r="K249" s="927"/>
      <c r="L249" s="928"/>
      <c r="M249" s="928"/>
      <c r="N249" s="928"/>
      <c r="O249" s="928"/>
      <c r="P249" s="928"/>
      <c r="Q249" s="928"/>
      <c r="R249" s="928"/>
    </row>
    <row r="250" spans="1:18" ht="12" customHeight="1" x14ac:dyDescent="0.2">
      <c r="B250" s="929"/>
      <c r="C250" s="929"/>
      <c r="D250" s="929"/>
      <c r="E250" s="929"/>
      <c r="F250" s="929"/>
      <c r="G250" s="929"/>
      <c r="H250" s="929"/>
      <c r="I250" s="929"/>
      <c r="J250" s="929"/>
      <c r="K250" s="929"/>
    </row>
    <row r="251" spans="1:18" ht="26.45" hidden="1" customHeight="1" x14ac:dyDescent="0.2">
      <c r="B251" s="675"/>
      <c r="C251" s="675"/>
      <c r="D251" s="675" t="s">
        <v>615</v>
      </c>
      <c r="E251" s="675"/>
      <c r="F251" s="675"/>
      <c r="G251" s="675"/>
      <c r="H251" s="675"/>
      <c r="I251" s="675"/>
      <c r="J251" s="675" t="s">
        <v>610</v>
      </c>
      <c r="K251" s="675"/>
    </row>
    <row r="252" spans="1:18" ht="15" x14ac:dyDescent="0.25">
      <c r="D252" s="147" t="s">
        <v>1302</v>
      </c>
      <c r="E252" s="147"/>
      <c r="F252" s="147"/>
      <c r="G252" s="147" t="s">
        <v>1303</v>
      </c>
      <c r="H252" s="149"/>
      <c r="I252" s="150"/>
      <c r="J252" s="150"/>
      <c r="K252" s="149"/>
    </row>
    <row r="253" spans="1:18" ht="15" x14ac:dyDescent="0.25">
      <c r="D253" s="147"/>
      <c r="E253" s="790"/>
      <c r="F253" s="801"/>
      <c r="G253" s="149"/>
      <c r="H253" s="691"/>
      <c r="I253" s="691"/>
      <c r="J253" s="691"/>
      <c r="K253" s="691"/>
    </row>
    <row r="254" spans="1:18" ht="16.5" thickTop="1" thickBot="1" x14ac:dyDescent="0.3">
      <c r="D254" s="147" t="s">
        <v>611</v>
      </c>
      <c r="E254" s="790"/>
      <c r="F254" s="801"/>
      <c r="G254" s="149" t="s">
        <v>612</v>
      </c>
      <c r="H254" s="149"/>
      <c r="I254" s="150"/>
      <c r="J254" s="150"/>
      <c r="K254" s="149"/>
    </row>
    <row r="266" spans="7:11" ht="46.5" x14ac:dyDescent="0.2">
      <c r="K266" s="106"/>
    </row>
    <row r="269" spans="7:11" ht="46.5" x14ac:dyDescent="0.2">
      <c r="G269" s="106"/>
      <c r="K269" s="106"/>
    </row>
    <row r="288" spans="12:12" ht="90" x14ac:dyDescent="1.1499999999999999">
      <c r="L288" s="73"/>
    </row>
  </sheetData>
  <mergeCells count="8">
    <mergeCell ref="B249:R249"/>
    <mergeCell ref="B250:K250"/>
    <mergeCell ref="B1:K1"/>
    <mergeCell ref="G2:K2"/>
    <mergeCell ref="B4:K4"/>
    <mergeCell ref="B7:C7"/>
    <mergeCell ref="B8:C8"/>
    <mergeCell ref="B5:K5"/>
  </mergeCells>
  <printOptions horizontalCentered="1"/>
  <pageMargins left="0.82677165354330717" right="0" top="0.31496062992125984" bottom="0.31496062992125984" header="0.23622047244094491" footer="0.19685039370078741"/>
  <pageSetup paperSize="9" scale="63" fitToHeight="0" orientation="landscape" r:id="rId1"/>
  <headerFooter alignWithMargins="0">
    <oddFooter>&amp;R&amp;P</oddFooter>
  </headerFooter>
  <rowBreaks count="6" manualBreakCount="6">
    <brk id="30" min="1" max="10" man="1"/>
    <brk id="39" min="1" max="10" man="1"/>
    <brk id="83" min="1" max="10" man="1"/>
    <brk id="202" min="1" max="10" man="1"/>
    <brk id="233" min="1" max="10" man="1"/>
    <brk id="247" min="1" max="10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259"/>
  <sheetViews>
    <sheetView view="pageBreakPreview" zoomScale="25" zoomScaleNormal="25" zoomScaleSheetLayoutView="25" zoomScalePageLayoutView="10" workbookViewId="0">
      <pane ySplit="14" topLeftCell="A237" activePane="bottomLeft" state="frozen"/>
      <selection activeCell="F175" sqref="F175"/>
      <selection pane="bottomLeft" activeCell="F202" sqref="F202"/>
    </sheetView>
  </sheetViews>
  <sheetFormatPr defaultColWidth="9.140625" defaultRowHeight="12.75" x14ac:dyDescent="0.2"/>
  <cols>
    <col min="1" max="1" width="48" style="1" customWidth="1"/>
    <col min="2" max="2" width="52.5703125" style="1" customWidth="1"/>
    <col min="3" max="3" width="65.7109375" style="1" customWidth="1"/>
    <col min="4" max="4" width="106.28515625" style="1" customWidth="1"/>
    <col min="5" max="5" width="113.85546875" style="5" customWidth="1"/>
    <col min="6" max="6" width="114" style="1" customWidth="1"/>
    <col min="7" max="7" width="55.42578125" style="1" customWidth="1"/>
    <col min="8" max="8" width="63.5703125" style="1" customWidth="1"/>
    <col min="9" max="9" width="62.140625" style="1" customWidth="1"/>
    <col min="10" max="10" width="70.28515625" style="5" customWidth="1"/>
    <col min="11" max="11" width="62.28515625" style="192" customWidth="1"/>
    <col min="12" max="12" width="60.140625" style="192" bestFit="1" customWidth="1"/>
    <col min="13" max="13" width="63" style="192" bestFit="1" customWidth="1"/>
    <col min="14" max="16" width="9.140625" style="192"/>
    <col min="17" max="17" width="70.28515625" style="192" customWidth="1"/>
    <col min="18" max="16384" width="9.140625" style="133"/>
  </cols>
  <sheetData>
    <row r="1" spans="1:17" ht="45.75" x14ac:dyDescent="0.2">
      <c r="D1" s="135"/>
      <c r="E1" s="136"/>
      <c r="F1" s="134"/>
      <c r="G1" s="136"/>
      <c r="H1" s="136"/>
      <c r="I1" s="869" t="s">
        <v>738</v>
      </c>
      <c r="J1" s="869"/>
    </row>
    <row r="2" spans="1:17" ht="45.75" x14ac:dyDescent="0.2">
      <c r="A2" s="135"/>
      <c r="B2" s="135"/>
      <c r="C2" s="135"/>
      <c r="D2" s="135"/>
      <c r="E2" s="136"/>
      <c r="F2" s="134"/>
      <c r="G2" s="136"/>
      <c r="H2" s="136"/>
      <c r="I2" s="869" t="s">
        <v>1293</v>
      </c>
      <c r="J2" s="871"/>
    </row>
    <row r="3" spans="1:17" ht="40.700000000000003" customHeight="1" x14ac:dyDescent="0.2">
      <c r="A3" s="135"/>
      <c r="B3" s="135"/>
      <c r="C3" s="135"/>
      <c r="D3" s="135"/>
      <c r="E3" s="136"/>
      <c r="F3" s="134"/>
      <c r="G3" s="136"/>
      <c r="H3" s="136"/>
      <c r="I3" s="869"/>
      <c r="J3" s="871"/>
    </row>
    <row r="4" spans="1:17" ht="45.75" hidden="1" x14ac:dyDescent="0.2">
      <c r="A4" s="135"/>
      <c r="B4" s="135"/>
      <c r="C4" s="135"/>
      <c r="D4" s="135"/>
      <c r="E4" s="136"/>
      <c r="F4" s="134"/>
      <c r="G4" s="136"/>
      <c r="H4" s="136"/>
      <c r="I4" s="135"/>
      <c r="J4" s="134"/>
    </row>
    <row r="5" spans="1:17" ht="45" x14ac:dyDescent="0.2">
      <c r="A5" s="872" t="s">
        <v>689</v>
      </c>
      <c r="B5" s="872"/>
      <c r="C5" s="872"/>
      <c r="D5" s="872"/>
      <c r="E5" s="872"/>
      <c r="F5" s="872"/>
      <c r="G5" s="872"/>
      <c r="H5" s="872"/>
      <c r="I5" s="872"/>
      <c r="J5" s="872"/>
    </row>
    <row r="6" spans="1:17" s="161" customFormat="1" ht="45" x14ac:dyDescent="0.2">
      <c r="A6" s="872" t="s">
        <v>690</v>
      </c>
      <c r="B6" s="872"/>
      <c r="C6" s="872"/>
      <c r="D6" s="872"/>
      <c r="E6" s="872"/>
      <c r="F6" s="872"/>
      <c r="G6" s="872"/>
      <c r="H6" s="872"/>
      <c r="I6" s="872"/>
      <c r="J6" s="872"/>
      <c r="K6" s="192"/>
      <c r="L6" s="192"/>
      <c r="M6" s="192"/>
      <c r="N6" s="192"/>
      <c r="O6" s="192"/>
      <c r="P6" s="192"/>
      <c r="Q6" s="192"/>
    </row>
    <row r="7" spans="1:17" ht="45" x14ac:dyDescent="0.2">
      <c r="A7" s="136"/>
      <c r="B7" s="136"/>
      <c r="C7" s="136"/>
      <c r="D7" s="136"/>
      <c r="E7" s="136"/>
      <c r="F7" s="136"/>
      <c r="G7" s="136"/>
      <c r="H7" s="136"/>
      <c r="I7" s="136"/>
      <c r="J7" s="136"/>
    </row>
    <row r="8" spans="1:17" ht="45" x14ac:dyDescent="0.2">
      <c r="A8" s="872"/>
      <c r="B8" s="872"/>
      <c r="C8" s="872"/>
      <c r="D8" s="872"/>
      <c r="E8" s="872"/>
      <c r="F8" s="872"/>
      <c r="G8" s="872"/>
      <c r="H8" s="872"/>
      <c r="I8" s="872"/>
      <c r="J8" s="872"/>
    </row>
    <row r="9" spans="1:17" ht="45.75" x14ac:dyDescent="0.65">
      <c r="A9" s="873">
        <v>22564000000</v>
      </c>
      <c r="B9" s="874"/>
      <c r="C9" s="838"/>
      <c r="D9" s="838"/>
      <c r="E9" s="838"/>
      <c r="F9" s="838"/>
      <c r="G9" s="838"/>
      <c r="H9" s="838"/>
      <c r="I9" s="838"/>
      <c r="J9" s="838"/>
    </row>
    <row r="10" spans="1:17" ht="45.75" x14ac:dyDescent="0.2">
      <c r="A10" s="878" t="s">
        <v>538</v>
      </c>
      <c r="B10" s="879"/>
      <c r="C10" s="838"/>
      <c r="D10" s="838"/>
      <c r="E10" s="838"/>
      <c r="F10" s="838"/>
      <c r="G10" s="838"/>
      <c r="H10" s="838"/>
      <c r="I10" s="838"/>
      <c r="J10" s="838"/>
    </row>
    <row r="11" spans="1:17" ht="53.45" customHeight="1" thickBot="1" x14ac:dyDescent="0.25">
      <c r="A11" s="136"/>
      <c r="B11" s="136"/>
      <c r="C11" s="136"/>
      <c r="D11" s="136"/>
      <c r="E11" s="136"/>
      <c r="F11" s="134"/>
      <c r="G11" s="136"/>
      <c r="H11" s="136"/>
      <c r="I11" s="136"/>
      <c r="J11" s="6" t="s">
        <v>434</v>
      </c>
    </row>
    <row r="12" spans="1:17" ht="104.25" customHeight="1" thickTop="1" thickBot="1" x14ac:dyDescent="0.25">
      <c r="A12" s="877" t="s">
        <v>539</v>
      </c>
      <c r="B12" s="877" t="s">
        <v>540</v>
      </c>
      <c r="C12" s="877" t="s">
        <v>420</v>
      </c>
      <c r="D12" s="877" t="s">
        <v>691</v>
      </c>
      <c r="E12" s="877" t="s">
        <v>543</v>
      </c>
      <c r="F12" s="877" t="s">
        <v>544</v>
      </c>
      <c r="G12" s="877" t="s">
        <v>413</v>
      </c>
      <c r="H12" s="877" t="s">
        <v>12</v>
      </c>
      <c r="I12" s="875" t="s">
        <v>57</v>
      </c>
      <c r="J12" s="876"/>
    </row>
    <row r="13" spans="1:17" ht="406.5" customHeight="1" thickTop="1" thickBot="1" x14ac:dyDescent="0.25">
      <c r="A13" s="875"/>
      <c r="B13" s="880"/>
      <c r="C13" s="880"/>
      <c r="D13" s="875"/>
      <c r="E13" s="875"/>
      <c r="F13" s="875"/>
      <c r="G13" s="875"/>
      <c r="H13" s="875"/>
      <c r="I13" s="176" t="s">
        <v>414</v>
      </c>
      <c r="J13" s="176" t="s">
        <v>415</v>
      </c>
    </row>
    <row r="14" spans="1:17" s="2" customFormat="1" ht="46.5" thickTop="1" thickBot="1" x14ac:dyDescent="0.25">
      <c r="A14" s="177" t="s">
        <v>2</v>
      </c>
      <c r="B14" s="177" t="s">
        <v>3</v>
      </c>
      <c r="C14" s="177" t="s">
        <v>14</v>
      </c>
      <c r="D14" s="177" t="s">
        <v>5</v>
      </c>
      <c r="E14" s="177" t="s">
        <v>422</v>
      </c>
      <c r="F14" s="177" t="s">
        <v>423</v>
      </c>
      <c r="G14" s="177" t="s">
        <v>424</v>
      </c>
      <c r="H14" s="177" t="s">
        <v>425</v>
      </c>
      <c r="I14" s="177" t="s">
        <v>426</v>
      </c>
      <c r="J14" s="177" t="s">
        <v>427</v>
      </c>
      <c r="K14" s="195"/>
      <c r="L14" s="195"/>
      <c r="M14" s="195"/>
      <c r="N14" s="195"/>
      <c r="O14" s="195"/>
      <c r="P14" s="195"/>
      <c r="Q14" s="195"/>
    </row>
    <row r="15" spans="1:17" s="2" customFormat="1" ht="148.69999999999999" customHeight="1" thickTop="1" thickBot="1" x14ac:dyDescent="0.25">
      <c r="A15" s="595" t="s">
        <v>165</v>
      </c>
      <c r="B15" s="595"/>
      <c r="C15" s="595"/>
      <c r="D15" s="596" t="s">
        <v>167</v>
      </c>
      <c r="E15" s="597"/>
      <c r="F15" s="598"/>
      <c r="G15" s="598">
        <f>G16</f>
        <v>28936959.169999998</v>
      </c>
      <c r="H15" s="598">
        <f t="shared" ref="H15:J15" si="0">H16</f>
        <v>18967292.59</v>
      </c>
      <c r="I15" s="597">
        <f>I16</f>
        <v>9969666.5800000001</v>
      </c>
      <c r="J15" s="597">
        <f t="shared" si="0"/>
        <v>5314500</v>
      </c>
      <c r="K15" s="237" t="b">
        <f>H16='d3'!F17-'d3'!F19-'d3'!F20+'d7'!H17+'d7'!H18</f>
        <v>1</v>
      </c>
      <c r="L15" s="237" t="b">
        <f>I16='d3'!J17-'d3'!J19-'d3'!J20+'d7'!I17+'d7'!I18</f>
        <v>1</v>
      </c>
      <c r="M15" s="237" t="b">
        <f>J16='d3'!K17-'d3'!K19-'d3'!K20+'d7'!J17+'d7'!J18</f>
        <v>1</v>
      </c>
      <c r="N15" s="195"/>
      <c r="O15" s="195"/>
      <c r="P15" s="195"/>
      <c r="Q15" s="195"/>
    </row>
    <row r="16" spans="1:17" s="2" customFormat="1" ht="157.69999999999999" customHeight="1" thickTop="1" thickBot="1" x14ac:dyDescent="0.25">
      <c r="A16" s="599" t="s">
        <v>166</v>
      </c>
      <c r="B16" s="599"/>
      <c r="C16" s="599"/>
      <c r="D16" s="600" t="s">
        <v>168</v>
      </c>
      <c r="E16" s="601"/>
      <c r="F16" s="601"/>
      <c r="G16" s="601">
        <f>SUM(G17:G36)</f>
        <v>28936959.169999998</v>
      </c>
      <c r="H16" s="601">
        <f>SUM(H17:H36)</f>
        <v>18967292.59</v>
      </c>
      <c r="I16" s="601">
        <f>SUM(I17:I36)</f>
        <v>9969666.5800000001</v>
      </c>
      <c r="J16" s="601">
        <f>SUM(J17:J36)</f>
        <v>5314500</v>
      </c>
      <c r="K16" s="195"/>
      <c r="L16" s="195"/>
      <c r="M16" s="195"/>
      <c r="N16" s="195"/>
      <c r="O16" s="195"/>
      <c r="P16" s="195"/>
      <c r="Q16" s="195"/>
    </row>
    <row r="17" spans="1:17" ht="321.75" thickTop="1" thickBot="1" x14ac:dyDescent="0.25">
      <c r="A17" s="233" t="s">
        <v>253</v>
      </c>
      <c r="B17" s="233" t="s">
        <v>254</v>
      </c>
      <c r="C17" s="233" t="s">
        <v>255</v>
      </c>
      <c r="D17" s="233" t="s">
        <v>252</v>
      </c>
      <c r="E17" s="313" t="s">
        <v>1043</v>
      </c>
      <c r="F17" s="508" t="s">
        <v>1044</v>
      </c>
      <c r="G17" s="234">
        <f t="shared" ref="G17:G24" si="1">H17+I17</f>
        <v>2236000</v>
      </c>
      <c r="H17" s="321"/>
      <c r="I17" s="234">
        <f>(300000+300000+330000+15000)+336000+900000+55000</f>
        <v>2236000</v>
      </c>
      <c r="J17" s="234">
        <f>(300000+300000+330000+15000)+336000+900000+55000</f>
        <v>2236000</v>
      </c>
      <c r="K17" s="226"/>
      <c r="L17" s="237" t="b">
        <f>I17+I18='d3'!J19</f>
        <v>1</v>
      </c>
      <c r="M17" s="237" t="b">
        <f>J17+J18='d3'!K19</f>
        <v>1</v>
      </c>
    </row>
    <row r="18" spans="1:17" s="172" customFormat="1" ht="367.5" thickTop="1" thickBot="1" x14ac:dyDescent="0.25">
      <c r="A18" s="233" t="s">
        <v>253</v>
      </c>
      <c r="B18" s="233" t="s">
        <v>254</v>
      </c>
      <c r="C18" s="233" t="s">
        <v>255</v>
      </c>
      <c r="D18" s="233" t="s">
        <v>252</v>
      </c>
      <c r="E18" s="313" t="s">
        <v>1065</v>
      </c>
      <c r="F18" s="511" t="s">
        <v>1066</v>
      </c>
      <c r="G18" s="234">
        <f t="shared" si="1"/>
        <v>638500</v>
      </c>
      <c r="H18" s="321">
        <v>20000</v>
      </c>
      <c r="I18" s="234">
        <v>618500</v>
      </c>
      <c r="J18" s="234">
        <v>618500</v>
      </c>
      <c r="K18" s="227"/>
      <c r="L18" s="228"/>
      <c r="M18" s="192"/>
      <c r="N18" s="192"/>
      <c r="O18" s="192"/>
      <c r="P18" s="192"/>
      <c r="Q18" s="192"/>
    </row>
    <row r="19" spans="1:17" s="308" customFormat="1" ht="409.6" thickTop="1" thickBot="1" x14ac:dyDescent="0.25">
      <c r="A19" s="314" t="s">
        <v>793</v>
      </c>
      <c r="B19" s="314" t="s">
        <v>391</v>
      </c>
      <c r="C19" s="314" t="s">
        <v>794</v>
      </c>
      <c r="D19" s="314" t="s">
        <v>795</v>
      </c>
      <c r="E19" s="313" t="s">
        <v>1078</v>
      </c>
      <c r="F19" s="534" t="s">
        <v>1079</v>
      </c>
      <c r="G19" s="234">
        <f t="shared" si="1"/>
        <v>49000</v>
      </c>
      <c r="H19" s="321">
        <f>'d3'!E21</f>
        <v>49000</v>
      </c>
      <c r="I19" s="234"/>
      <c r="J19" s="234"/>
      <c r="K19" s="227"/>
      <c r="L19" s="228"/>
      <c r="M19" s="309"/>
      <c r="N19" s="309"/>
      <c r="O19" s="309"/>
      <c r="P19" s="309"/>
      <c r="Q19" s="309"/>
    </row>
    <row r="20" spans="1:17" ht="138.75" thickTop="1" thickBot="1" x14ac:dyDescent="0.25">
      <c r="A20" s="233" t="s">
        <v>268</v>
      </c>
      <c r="B20" s="233" t="s">
        <v>45</v>
      </c>
      <c r="C20" s="233" t="s">
        <v>44</v>
      </c>
      <c r="D20" s="233" t="s">
        <v>269</v>
      </c>
      <c r="E20" s="516" t="s">
        <v>1045</v>
      </c>
      <c r="F20" s="508" t="s">
        <v>1046</v>
      </c>
      <c r="G20" s="234">
        <f t="shared" si="1"/>
        <v>1500000</v>
      </c>
      <c r="H20" s="321">
        <v>1500000</v>
      </c>
      <c r="I20" s="234"/>
      <c r="J20" s="234"/>
      <c r="K20" s="946" t="b">
        <f>H20+H21='d3'!E22</f>
        <v>1</v>
      </c>
      <c r="L20" s="946"/>
      <c r="M20" s="946"/>
    </row>
    <row r="21" spans="1:17" ht="184.5" customHeight="1" thickTop="1" thickBot="1" x14ac:dyDescent="0.25">
      <c r="A21" s="233" t="s">
        <v>268</v>
      </c>
      <c r="B21" s="233" t="s">
        <v>45</v>
      </c>
      <c r="C21" s="233" t="s">
        <v>44</v>
      </c>
      <c r="D21" s="233" t="s">
        <v>269</v>
      </c>
      <c r="E21" s="313" t="s">
        <v>1049</v>
      </c>
      <c r="F21" s="508" t="s">
        <v>1050</v>
      </c>
      <c r="G21" s="234">
        <f t="shared" si="1"/>
        <v>1635750</v>
      </c>
      <c r="H21" s="321">
        <f>(20000+41000+1549750)+25000</f>
        <v>1635750</v>
      </c>
      <c r="I21" s="234"/>
      <c r="J21" s="234"/>
      <c r="K21" s="947"/>
      <c r="L21" s="947"/>
      <c r="M21" s="947"/>
    </row>
    <row r="22" spans="1:17" ht="138.75" thickTop="1" thickBot="1" x14ac:dyDescent="0.25">
      <c r="A22" s="233" t="s">
        <v>259</v>
      </c>
      <c r="B22" s="233" t="s">
        <v>260</v>
      </c>
      <c r="C22" s="233" t="s">
        <v>261</v>
      </c>
      <c r="D22" s="233" t="s">
        <v>258</v>
      </c>
      <c r="E22" s="313" t="s">
        <v>1043</v>
      </c>
      <c r="F22" s="508" t="s">
        <v>1044</v>
      </c>
      <c r="G22" s="234">
        <f t="shared" si="1"/>
        <v>5892400</v>
      </c>
      <c r="H22" s="234">
        <f>'d3'!E25</f>
        <v>4392400</v>
      </c>
      <c r="I22" s="234">
        <f>'d3'!J25</f>
        <v>1500000</v>
      </c>
      <c r="J22" s="234">
        <f>'d3'!K25</f>
        <v>1500000</v>
      </c>
      <c r="K22" s="237" t="b">
        <f>H22='d3'!E25</f>
        <v>1</v>
      </c>
      <c r="L22" s="238" t="b">
        <f>I22='d3'!J25</f>
        <v>1</v>
      </c>
      <c r="M22" s="239" t="b">
        <f>J22='d3'!K25</f>
        <v>1</v>
      </c>
    </row>
    <row r="23" spans="1:17" ht="230.25" thickTop="1" thickBot="1" x14ac:dyDescent="0.25">
      <c r="A23" s="314" t="s">
        <v>321</v>
      </c>
      <c r="B23" s="314" t="s">
        <v>322</v>
      </c>
      <c r="C23" s="314" t="s">
        <v>187</v>
      </c>
      <c r="D23" s="314" t="s">
        <v>478</v>
      </c>
      <c r="E23" s="313" t="s">
        <v>1049</v>
      </c>
      <c r="F23" s="508" t="s">
        <v>1050</v>
      </c>
      <c r="G23" s="234">
        <f t="shared" si="1"/>
        <v>290200</v>
      </c>
      <c r="H23" s="234">
        <f>'d3'!E27</f>
        <v>290200</v>
      </c>
      <c r="I23" s="234">
        <f>'d3'!J27</f>
        <v>0</v>
      </c>
      <c r="J23" s="234">
        <f>'d3'!K27</f>
        <v>0</v>
      </c>
      <c r="K23" s="237" t="b">
        <f>H23='d3'!E27</f>
        <v>1</v>
      </c>
      <c r="L23" s="238" t="b">
        <f>I23='d3'!J27</f>
        <v>1</v>
      </c>
      <c r="M23" s="239" t="b">
        <f>J23='d3'!K27</f>
        <v>1</v>
      </c>
    </row>
    <row r="24" spans="1:17" ht="364.5" customHeight="1" thickTop="1" thickBot="1" x14ac:dyDescent="0.7">
      <c r="A24" s="942" t="s">
        <v>367</v>
      </c>
      <c r="B24" s="942" t="s">
        <v>366</v>
      </c>
      <c r="C24" s="942" t="s">
        <v>187</v>
      </c>
      <c r="D24" s="322" t="s">
        <v>476</v>
      </c>
      <c r="E24" s="942" t="s">
        <v>1049</v>
      </c>
      <c r="F24" s="942" t="s">
        <v>1050</v>
      </c>
      <c r="G24" s="944">
        <f t="shared" si="1"/>
        <v>4655166.58</v>
      </c>
      <c r="H24" s="944">
        <f>'d3'!E29</f>
        <v>0</v>
      </c>
      <c r="I24" s="944">
        <f>'d3'!J29</f>
        <v>4655166.58</v>
      </c>
      <c r="J24" s="944">
        <f>'d3'!K29</f>
        <v>0</v>
      </c>
      <c r="K24" s="237" t="b">
        <f>H24='d3'!E29</f>
        <v>1</v>
      </c>
      <c r="L24" s="238" t="b">
        <f>I24='d3'!J29</f>
        <v>1</v>
      </c>
      <c r="M24" s="239" t="b">
        <f>J24='d3'!K29</f>
        <v>1</v>
      </c>
    </row>
    <row r="25" spans="1:17" ht="184.5" thickTop="1" thickBot="1" x14ac:dyDescent="0.25">
      <c r="A25" s="943"/>
      <c r="B25" s="943"/>
      <c r="C25" s="943"/>
      <c r="D25" s="323" t="s">
        <v>477</v>
      </c>
      <c r="E25" s="943"/>
      <c r="F25" s="943"/>
      <c r="G25" s="945"/>
      <c r="H25" s="945"/>
      <c r="I25" s="945"/>
      <c r="J25" s="945"/>
      <c r="K25" s="79"/>
      <c r="L25" s="79"/>
      <c r="M25" s="79"/>
    </row>
    <row r="26" spans="1:17" s="579" customFormat="1" ht="276" thickTop="1" thickBot="1" x14ac:dyDescent="0.25">
      <c r="A26" s="581" t="s">
        <v>1144</v>
      </c>
      <c r="B26" s="581" t="s">
        <v>278</v>
      </c>
      <c r="C26" s="581" t="s">
        <v>187</v>
      </c>
      <c r="D26" s="581" t="s">
        <v>276</v>
      </c>
      <c r="E26" s="580" t="s">
        <v>485</v>
      </c>
      <c r="F26" s="285" t="s">
        <v>461</v>
      </c>
      <c r="G26" s="234">
        <f>H26+I26</f>
        <v>1600542.59</v>
      </c>
      <c r="H26" s="234">
        <f>'d3'!E31</f>
        <v>1600542.59</v>
      </c>
      <c r="I26" s="234">
        <f>'d3'!J31</f>
        <v>0</v>
      </c>
      <c r="J26" s="234">
        <f>'d3'!K31</f>
        <v>0</v>
      </c>
      <c r="K26" s="79"/>
      <c r="L26" s="79"/>
      <c r="M26" s="79"/>
      <c r="N26" s="583"/>
      <c r="O26" s="583"/>
      <c r="P26" s="583"/>
      <c r="Q26" s="583"/>
    </row>
    <row r="27" spans="1:17" ht="255.75" customHeight="1" thickTop="1" thickBot="1" x14ac:dyDescent="0.25">
      <c r="A27" s="233" t="s">
        <v>262</v>
      </c>
      <c r="B27" s="233" t="s">
        <v>263</v>
      </c>
      <c r="C27" s="233" t="s">
        <v>264</v>
      </c>
      <c r="D27" s="233" t="s">
        <v>265</v>
      </c>
      <c r="E27" s="234" t="s">
        <v>1084</v>
      </c>
      <c r="F27" s="534" t="s">
        <v>1085</v>
      </c>
      <c r="G27" s="234">
        <f>H27+I27</f>
        <v>6359300</v>
      </c>
      <c r="H27" s="234">
        <f>'d3'!E34</f>
        <v>6359300</v>
      </c>
      <c r="I27" s="234">
        <f>'d3'!J34</f>
        <v>0</v>
      </c>
      <c r="J27" s="234">
        <f>'d3'!K34</f>
        <v>0</v>
      </c>
      <c r="K27" s="237" t="b">
        <f>H27='d3'!E34</f>
        <v>1</v>
      </c>
      <c r="L27" s="238" t="b">
        <f>I27='d3'!J34</f>
        <v>1</v>
      </c>
      <c r="M27" s="239" t="b">
        <f>J27='d3'!K34</f>
        <v>1</v>
      </c>
    </row>
    <row r="28" spans="1:17" ht="276" thickTop="1" thickBot="1" x14ac:dyDescent="0.25">
      <c r="A28" s="284" t="s">
        <v>266</v>
      </c>
      <c r="B28" s="284" t="s">
        <v>267</v>
      </c>
      <c r="C28" s="284" t="s">
        <v>45</v>
      </c>
      <c r="D28" s="284" t="s">
        <v>479</v>
      </c>
      <c r="E28" s="313" t="s">
        <v>1049</v>
      </c>
      <c r="F28" s="508" t="s">
        <v>1050</v>
      </c>
      <c r="G28" s="294">
        <f>H28+I28</f>
        <v>300000</v>
      </c>
      <c r="H28" s="325">
        <f>'d3'!E37</f>
        <v>300000</v>
      </c>
      <c r="I28" s="294">
        <f>'d3'!J37</f>
        <v>0</v>
      </c>
      <c r="J28" s="294">
        <f>'d3'!K37</f>
        <v>0</v>
      </c>
      <c r="K28" s="237" t="b">
        <f>H28='d3'!E37</f>
        <v>1</v>
      </c>
      <c r="L28" s="238" t="b">
        <f>I28='d3'!J37</f>
        <v>1</v>
      </c>
      <c r="M28" s="238" t="b">
        <f>J28='d3'!K37</f>
        <v>1</v>
      </c>
    </row>
    <row r="29" spans="1:17" s="189" customFormat="1" ht="230.25" thickTop="1" thickBot="1" x14ac:dyDescent="0.25">
      <c r="A29" s="307" t="s">
        <v>704</v>
      </c>
      <c r="B29" s="307" t="s">
        <v>392</v>
      </c>
      <c r="C29" s="307" t="s">
        <v>45</v>
      </c>
      <c r="D29" s="307" t="s">
        <v>393</v>
      </c>
      <c r="E29" s="313" t="s">
        <v>1049</v>
      </c>
      <c r="F29" s="508" t="s">
        <v>1050</v>
      </c>
      <c r="G29" s="294">
        <f>H29+I29</f>
        <v>120100</v>
      </c>
      <c r="H29" s="325">
        <f>'d3'!E38</f>
        <v>120100</v>
      </c>
      <c r="I29" s="294">
        <f>'d3'!J38</f>
        <v>0</v>
      </c>
      <c r="J29" s="294">
        <f>'d3'!K38</f>
        <v>0</v>
      </c>
      <c r="K29" s="237" t="b">
        <f>H29='d3'!E38</f>
        <v>1</v>
      </c>
      <c r="L29" s="238" t="b">
        <f>I29='d3'!J38</f>
        <v>1</v>
      </c>
      <c r="M29" s="238" t="b">
        <f>J29='d3'!K38</f>
        <v>1</v>
      </c>
      <c r="N29" s="214"/>
      <c r="O29" s="214"/>
      <c r="P29" s="214"/>
      <c r="Q29" s="214"/>
    </row>
    <row r="30" spans="1:17" ht="276" thickTop="1" thickBot="1" x14ac:dyDescent="0.25">
      <c r="A30" s="660" t="s">
        <v>563</v>
      </c>
      <c r="B30" s="660" t="s">
        <v>564</v>
      </c>
      <c r="C30" s="660" t="s">
        <v>45</v>
      </c>
      <c r="D30" s="660" t="s">
        <v>565</v>
      </c>
      <c r="E30" s="657" t="s">
        <v>1263</v>
      </c>
      <c r="F30" s="285" t="s">
        <v>1217</v>
      </c>
      <c r="G30" s="657">
        <f t="shared" ref="G30:G36" si="2">H30+I30</f>
        <v>1680000</v>
      </c>
      <c r="H30" s="657">
        <f>400000+80000+400000+80000+60000+200000+80000</f>
        <v>1300000</v>
      </c>
      <c r="I30" s="657">
        <f>80000+300000</f>
        <v>380000</v>
      </c>
      <c r="J30" s="657">
        <f>80000+300000</f>
        <v>380000</v>
      </c>
      <c r="K30" s="237" t="b">
        <f>H30+H31+H32+H33+H34+H35+H36='d3'!E39</f>
        <v>1</v>
      </c>
      <c r="L30" s="238" t="b">
        <f>I30+I31+I32+I33+I34+I35+I36='d3'!J39</f>
        <v>1</v>
      </c>
      <c r="M30" s="238" t="b">
        <f>J30+J31+J32+J33+J34+J35+J36='d3'!K39</f>
        <v>1</v>
      </c>
    </row>
    <row r="31" spans="1:17" s="656" customFormat="1" ht="409.6" thickTop="1" thickBot="1" x14ac:dyDescent="0.25">
      <c r="A31" s="660" t="s">
        <v>563</v>
      </c>
      <c r="B31" s="660" t="s">
        <v>564</v>
      </c>
      <c r="C31" s="660" t="s">
        <v>45</v>
      </c>
      <c r="D31" s="660" t="s">
        <v>565</v>
      </c>
      <c r="E31" s="657" t="s">
        <v>1218</v>
      </c>
      <c r="F31" s="657" t="s">
        <v>1048</v>
      </c>
      <c r="G31" s="657">
        <f t="shared" si="2"/>
        <v>500000</v>
      </c>
      <c r="H31" s="657">
        <v>500000</v>
      </c>
      <c r="I31" s="657">
        <v>0</v>
      </c>
      <c r="J31" s="657">
        <v>0</v>
      </c>
      <c r="K31" s="226"/>
      <c r="L31" s="229"/>
      <c r="M31" s="230"/>
      <c r="N31" s="665"/>
      <c r="O31" s="665"/>
      <c r="P31" s="665"/>
      <c r="Q31" s="665"/>
    </row>
    <row r="32" spans="1:17" s="656" customFormat="1" ht="367.5" thickTop="1" thickBot="1" x14ac:dyDescent="0.25">
      <c r="A32" s="660" t="s">
        <v>563</v>
      </c>
      <c r="B32" s="660" t="s">
        <v>564</v>
      </c>
      <c r="C32" s="660" t="s">
        <v>45</v>
      </c>
      <c r="D32" s="660" t="s">
        <v>565</v>
      </c>
      <c r="E32" s="657" t="s">
        <v>1219</v>
      </c>
      <c r="F32" s="657" t="s">
        <v>1220</v>
      </c>
      <c r="G32" s="657">
        <f t="shared" si="2"/>
        <v>500000</v>
      </c>
      <c r="H32" s="657">
        <v>500000</v>
      </c>
      <c r="I32" s="657">
        <v>0</v>
      </c>
      <c r="J32" s="657">
        <v>0</v>
      </c>
      <c r="K32" s="226"/>
      <c r="L32" s="229"/>
      <c r="M32" s="230"/>
      <c r="N32" s="665"/>
      <c r="O32" s="665"/>
      <c r="P32" s="665"/>
      <c r="Q32" s="665"/>
    </row>
    <row r="33" spans="1:17" s="656" customFormat="1" ht="230.25" thickTop="1" thickBot="1" x14ac:dyDescent="0.25">
      <c r="A33" s="660" t="s">
        <v>563</v>
      </c>
      <c r="B33" s="660" t="s">
        <v>564</v>
      </c>
      <c r="C33" s="660" t="s">
        <v>45</v>
      </c>
      <c r="D33" s="660" t="s">
        <v>565</v>
      </c>
      <c r="E33" s="708" t="s">
        <v>1256</v>
      </c>
      <c r="F33" s="708" t="s">
        <v>1257</v>
      </c>
      <c r="G33" s="657">
        <f t="shared" si="2"/>
        <v>300000</v>
      </c>
      <c r="H33" s="657">
        <v>300000</v>
      </c>
      <c r="I33" s="657">
        <v>0</v>
      </c>
      <c r="J33" s="657">
        <v>0</v>
      </c>
      <c r="K33" s="226"/>
      <c r="L33" s="229"/>
      <c r="M33" s="230"/>
      <c r="N33" s="665"/>
      <c r="O33" s="665"/>
      <c r="P33" s="665"/>
      <c r="Q33" s="665"/>
    </row>
    <row r="34" spans="1:17" s="656" customFormat="1" ht="409.6" thickTop="1" thickBot="1" x14ac:dyDescent="0.25">
      <c r="A34" s="660" t="s">
        <v>563</v>
      </c>
      <c r="B34" s="660" t="s">
        <v>564</v>
      </c>
      <c r="C34" s="660" t="s">
        <v>45</v>
      </c>
      <c r="D34" s="660" t="s">
        <v>565</v>
      </c>
      <c r="E34" s="708" t="s">
        <v>1258</v>
      </c>
      <c r="F34" s="708" t="s">
        <v>1259</v>
      </c>
      <c r="G34" s="657">
        <f t="shared" si="2"/>
        <v>500000</v>
      </c>
      <c r="H34" s="657">
        <v>0</v>
      </c>
      <c r="I34" s="657">
        <v>500000</v>
      </c>
      <c r="J34" s="657">
        <v>500000</v>
      </c>
      <c r="K34" s="226"/>
      <c r="L34" s="229"/>
      <c r="M34" s="230"/>
      <c r="N34" s="665"/>
      <c r="O34" s="665"/>
      <c r="P34" s="665"/>
      <c r="Q34" s="665"/>
    </row>
    <row r="35" spans="1:17" s="656" customFormat="1" ht="321.75" thickTop="1" thickBot="1" x14ac:dyDescent="0.25">
      <c r="A35" s="660" t="s">
        <v>563</v>
      </c>
      <c r="B35" s="660" t="s">
        <v>564</v>
      </c>
      <c r="C35" s="660" t="s">
        <v>45</v>
      </c>
      <c r="D35" s="660" t="s">
        <v>565</v>
      </c>
      <c r="E35" s="708" t="s">
        <v>1271</v>
      </c>
      <c r="F35" s="708" t="s">
        <v>1260</v>
      </c>
      <c r="G35" s="657">
        <f t="shared" si="2"/>
        <v>80000</v>
      </c>
      <c r="H35" s="657">
        <v>0</v>
      </c>
      <c r="I35" s="657">
        <v>80000</v>
      </c>
      <c r="J35" s="657">
        <v>80000</v>
      </c>
      <c r="K35" s="226"/>
      <c r="L35" s="229"/>
      <c r="M35" s="230"/>
      <c r="N35" s="665"/>
      <c r="O35" s="665"/>
      <c r="P35" s="665"/>
      <c r="Q35" s="665"/>
    </row>
    <row r="36" spans="1:17" s="656" customFormat="1" ht="230.25" thickTop="1" thickBot="1" x14ac:dyDescent="0.25">
      <c r="A36" s="660" t="s">
        <v>563</v>
      </c>
      <c r="B36" s="660" t="s">
        <v>564</v>
      </c>
      <c r="C36" s="660" t="s">
        <v>45</v>
      </c>
      <c r="D36" s="660" t="s">
        <v>565</v>
      </c>
      <c r="E36" s="708" t="s">
        <v>1261</v>
      </c>
      <c r="F36" s="708" t="s">
        <v>1262</v>
      </c>
      <c r="G36" s="657">
        <f t="shared" si="2"/>
        <v>100000</v>
      </c>
      <c r="H36" s="657">
        <v>100000</v>
      </c>
      <c r="I36" s="657">
        <v>0</v>
      </c>
      <c r="J36" s="657">
        <v>0</v>
      </c>
      <c r="K36" s="226"/>
      <c r="L36" s="229"/>
      <c r="M36" s="230"/>
      <c r="N36" s="665"/>
      <c r="O36" s="665"/>
      <c r="P36" s="665"/>
      <c r="Q36" s="665"/>
    </row>
    <row r="37" spans="1:17" ht="136.5" thickTop="1" thickBot="1" x14ac:dyDescent="0.25">
      <c r="A37" s="595" t="s">
        <v>169</v>
      </c>
      <c r="B37" s="595"/>
      <c r="C37" s="595"/>
      <c r="D37" s="596" t="s">
        <v>0</v>
      </c>
      <c r="E37" s="597"/>
      <c r="F37" s="598"/>
      <c r="G37" s="598">
        <f>G38</f>
        <v>1763205299.3800001</v>
      </c>
      <c r="H37" s="598">
        <f t="shared" ref="H37:J37" si="3">H38</f>
        <v>1577334989.1299999</v>
      </c>
      <c r="I37" s="597">
        <f t="shared" si="3"/>
        <v>185870310.25</v>
      </c>
      <c r="J37" s="597">
        <f t="shared" si="3"/>
        <v>41973070.250000007</v>
      </c>
      <c r="K37" s="237" t="b">
        <f>H37='d3'!E41</f>
        <v>1</v>
      </c>
      <c r="L37" s="238" t="b">
        <f>I37='d3'!J41</f>
        <v>1</v>
      </c>
      <c r="M37" s="239" t="b">
        <f>J37='d3'!K40</f>
        <v>1</v>
      </c>
    </row>
    <row r="38" spans="1:17" ht="172.5" customHeight="1" thickTop="1" thickBot="1" x14ac:dyDescent="0.25">
      <c r="A38" s="599" t="s">
        <v>170</v>
      </c>
      <c r="B38" s="599"/>
      <c r="C38" s="599"/>
      <c r="D38" s="600" t="s">
        <v>1</v>
      </c>
      <c r="E38" s="601"/>
      <c r="F38" s="601"/>
      <c r="G38" s="601">
        <f>SUM(G39:G60)</f>
        <v>1763205299.3800001</v>
      </c>
      <c r="H38" s="601">
        <f t="shared" ref="H38:I38" si="4">SUM(H39:H60)</f>
        <v>1577334989.1299999</v>
      </c>
      <c r="I38" s="601">
        <f t="shared" si="4"/>
        <v>185870310.25</v>
      </c>
      <c r="J38" s="601">
        <f>SUM(J39:J60)</f>
        <v>41973070.250000007</v>
      </c>
    </row>
    <row r="39" spans="1:17" ht="230.25" thickTop="1" thickBot="1" x14ac:dyDescent="0.25">
      <c r="A39" s="368" t="s">
        <v>219</v>
      </c>
      <c r="B39" s="368" t="s">
        <v>220</v>
      </c>
      <c r="C39" s="368" t="s">
        <v>222</v>
      </c>
      <c r="D39" s="368" t="s">
        <v>223</v>
      </c>
      <c r="E39" s="175" t="s">
        <v>713</v>
      </c>
      <c r="F39" s="367" t="s">
        <v>442</v>
      </c>
      <c r="G39" s="367">
        <f t="shared" ref="G39:G50" si="5">H39+I39</f>
        <v>535869327.37</v>
      </c>
      <c r="H39" s="367">
        <f>'d3'!E43-H40</f>
        <v>463994912</v>
      </c>
      <c r="I39" s="367">
        <f>'d3'!J43-I40</f>
        <v>71874415.370000005</v>
      </c>
      <c r="J39" s="367">
        <f>'d3'!K43-J40</f>
        <v>7328695.3700000001</v>
      </c>
      <c r="K39" s="237" t="b">
        <f>H39+H40='d3'!E43</f>
        <v>1</v>
      </c>
      <c r="L39" s="238" t="b">
        <f>I39+I40='d3'!J43</f>
        <v>1</v>
      </c>
      <c r="M39" s="238" t="b">
        <f>J39+J40='d3'!K43</f>
        <v>1</v>
      </c>
    </row>
    <row r="40" spans="1:17" s="235" customFormat="1" ht="230.25" thickTop="1" thickBot="1" x14ac:dyDescent="0.25">
      <c r="A40" s="368" t="s">
        <v>219</v>
      </c>
      <c r="B40" s="368" t="s">
        <v>220</v>
      </c>
      <c r="C40" s="368" t="s">
        <v>222</v>
      </c>
      <c r="D40" s="368" t="s">
        <v>223</v>
      </c>
      <c r="E40" s="175" t="s">
        <v>488</v>
      </c>
      <c r="F40" s="285" t="s">
        <v>489</v>
      </c>
      <c r="G40" s="367">
        <f>H40+I40</f>
        <v>590000</v>
      </c>
      <c r="H40" s="367">
        <f>(37683.94+102316.06+90274+29393+150000+101020+33980)</f>
        <v>544667</v>
      </c>
      <c r="I40" s="367">
        <f>(30333+15000)</f>
        <v>45333</v>
      </c>
      <c r="J40" s="367">
        <f>(30333+15000)</f>
        <v>45333</v>
      </c>
      <c r="K40" s="236"/>
      <c r="L40" s="236"/>
      <c r="M40" s="236"/>
      <c r="N40" s="236"/>
      <c r="O40" s="236"/>
      <c r="P40" s="236"/>
      <c r="Q40" s="236"/>
    </row>
    <row r="41" spans="1:17" ht="230.25" thickTop="1" thickBot="1" x14ac:dyDescent="0.25">
      <c r="A41" s="391" t="s">
        <v>815</v>
      </c>
      <c r="B41" s="391" t="s">
        <v>816</v>
      </c>
      <c r="C41" s="391" t="s">
        <v>225</v>
      </c>
      <c r="D41" s="391" t="s">
        <v>817</v>
      </c>
      <c r="E41" s="175" t="s">
        <v>713</v>
      </c>
      <c r="F41" s="392" t="s">
        <v>442</v>
      </c>
      <c r="G41" s="392">
        <f t="shared" si="5"/>
        <v>350749508.02999997</v>
      </c>
      <c r="H41" s="392">
        <f>'d3'!E45-H42-H43</f>
        <v>280571267.13999999</v>
      </c>
      <c r="I41" s="392">
        <f>'d3'!J45-I42-I43</f>
        <v>70178240.890000001</v>
      </c>
      <c r="J41" s="392">
        <f>'d3'!K45-J42-J43</f>
        <v>17621190.890000004</v>
      </c>
      <c r="K41" s="237" t="b">
        <f>H41+H42+H43='d3'!E45</f>
        <v>1</v>
      </c>
      <c r="L41" s="238" t="b">
        <f>I41+I42+I43='d3'!J45</f>
        <v>1</v>
      </c>
      <c r="M41" s="238" t="b">
        <f>J41+J42+J43='d3'!K45</f>
        <v>1</v>
      </c>
    </row>
    <row r="42" spans="1:17" ht="230.25" thickTop="1" thickBot="1" x14ac:dyDescent="0.25">
      <c r="A42" s="391" t="s">
        <v>815</v>
      </c>
      <c r="B42" s="391" t="s">
        <v>816</v>
      </c>
      <c r="C42" s="391" t="s">
        <v>225</v>
      </c>
      <c r="D42" s="391" t="s">
        <v>817</v>
      </c>
      <c r="E42" s="175" t="s">
        <v>714</v>
      </c>
      <c r="F42" s="392" t="s">
        <v>438</v>
      </c>
      <c r="G42" s="392">
        <f t="shared" si="5"/>
        <v>7730217</v>
      </c>
      <c r="H42" s="392">
        <v>7730217</v>
      </c>
      <c r="I42" s="392">
        <v>0</v>
      </c>
      <c r="J42" s="392">
        <v>0</v>
      </c>
      <c r="K42" s="175" t="s">
        <v>685</v>
      </c>
    </row>
    <row r="43" spans="1:17" ht="230.25" thickTop="1" thickBot="1" x14ac:dyDescent="0.25">
      <c r="A43" s="391" t="s">
        <v>815</v>
      </c>
      <c r="B43" s="391" t="s">
        <v>816</v>
      </c>
      <c r="C43" s="391" t="s">
        <v>225</v>
      </c>
      <c r="D43" s="391" t="s">
        <v>817</v>
      </c>
      <c r="E43" s="175" t="s">
        <v>488</v>
      </c>
      <c r="F43" s="285" t="s">
        <v>489</v>
      </c>
      <c r="G43" s="392">
        <f>H43+I43</f>
        <v>150000</v>
      </c>
      <c r="H43" s="392">
        <f>(45200+12350)</f>
        <v>57550</v>
      </c>
      <c r="I43" s="392">
        <f>92450</f>
        <v>92450</v>
      </c>
      <c r="J43" s="392">
        <v>92450</v>
      </c>
    </row>
    <row r="44" spans="1:17" ht="276" thickTop="1" thickBot="1" x14ac:dyDescent="0.25">
      <c r="A44" s="391" t="s">
        <v>825</v>
      </c>
      <c r="B44" s="391" t="s">
        <v>826</v>
      </c>
      <c r="C44" s="391" t="s">
        <v>228</v>
      </c>
      <c r="D44" s="391" t="s">
        <v>546</v>
      </c>
      <c r="E44" s="175" t="s">
        <v>713</v>
      </c>
      <c r="F44" s="392" t="s">
        <v>442</v>
      </c>
      <c r="G44" s="392">
        <f t="shared" si="5"/>
        <v>20085219</v>
      </c>
      <c r="H44" s="392">
        <f>'d3'!E46-H45</f>
        <v>19084178</v>
      </c>
      <c r="I44" s="392">
        <f>'d3'!J46-I45</f>
        <v>1001041</v>
      </c>
      <c r="J44" s="392">
        <f>'d3'!K46-J45</f>
        <v>949141</v>
      </c>
      <c r="K44" s="237" t="b">
        <f>H44+H45='d3'!E46</f>
        <v>1</v>
      </c>
      <c r="L44" s="237" t="b">
        <f>I44+I45='d3'!J46</f>
        <v>1</v>
      </c>
      <c r="M44" s="237" t="b">
        <f>J44+J45='d3'!K46</f>
        <v>1</v>
      </c>
    </row>
    <row r="45" spans="1:17" ht="276" thickTop="1" thickBot="1" x14ac:dyDescent="0.25">
      <c r="A45" s="391" t="s">
        <v>825</v>
      </c>
      <c r="B45" s="391" t="s">
        <v>826</v>
      </c>
      <c r="C45" s="391" t="s">
        <v>228</v>
      </c>
      <c r="D45" s="391" t="s">
        <v>546</v>
      </c>
      <c r="E45" s="175" t="s">
        <v>714</v>
      </c>
      <c r="F45" s="392" t="s">
        <v>438</v>
      </c>
      <c r="G45" s="392">
        <f t="shared" si="5"/>
        <v>2866404</v>
      </c>
      <c r="H45" s="392">
        <v>2866404</v>
      </c>
      <c r="I45" s="392"/>
      <c r="J45" s="392"/>
      <c r="K45" s="175" t="s">
        <v>686</v>
      </c>
    </row>
    <row r="46" spans="1:17" s="393" customFormat="1" ht="230.25" thickTop="1" thickBot="1" x14ac:dyDescent="0.25">
      <c r="A46" s="395" t="s">
        <v>834</v>
      </c>
      <c r="B46" s="395" t="s">
        <v>835</v>
      </c>
      <c r="C46" s="395" t="s">
        <v>225</v>
      </c>
      <c r="D46" s="395" t="s">
        <v>817</v>
      </c>
      <c r="E46" s="175" t="s">
        <v>713</v>
      </c>
      <c r="F46" s="394" t="s">
        <v>442</v>
      </c>
      <c r="G46" s="394">
        <f t="shared" si="5"/>
        <v>608795058</v>
      </c>
      <c r="H46" s="394">
        <f>'d3'!E48</f>
        <v>608795058</v>
      </c>
      <c r="I46" s="394">
        <f>'d3'!J48</f>
        <v>0</v>
      </c>
      <c r="J46" s="394">
        <f>'d3'!K48</f>
        <v>0</v>
      </c>
      <c r="K46" s="402"/>
      <c r="L46" s="396"/>
      <c r="M46" s="396"/>
      <c r="N46" s="396"/>
      <c r="O46" s="396"/>
      <c r="P46" s="396"/>
      <c r="Q46" s="396"/>
    </row>
    <row r="47" spans="1:17" s="640" customFormat="1" ht="230.25" thickTop="1" thickBot="1" x14ac:dyDescent="0.25">
      <c r="A47" s="646" t="s">
        <v>1197</v>
      </c>
      <c r="B47" s="646" t="s">
        <v>1198</v>
      </c>
      <c r="C47" s="646" t="s">
        <v>225</v>
      </c>
      <c r="D47" s="646" t="s">
        <v>1201</v>
      </c>
      <c r="E47" s="175" t="s">
        <v>713</v>
      </c>
      <c r="F47" s="641" t="s">
        <v>442</v>
      </c>
      <c r="G47" s="641">
        <f t="shared" si="5"/>
        <v>6197509.9900000002</v>
      </c>
      <c r="H47" s="641">
        <f>'d3'!E51</f>
        <v>0</v>
      </c>
      <c r="I47" s="641">
        <f>'d3'!J51</f>
        <v>6197509.9900000002</v>
      </c>
      <c r="J47" s="641">
        <f>'d3'!K51</f>
        <v>6197509.9900000002</v>
      </c>
      <c r="K47" s="655"/>
      <c r="L47" s="652"/>
      <c r="M47" s="652"/>
      <c r="N47" s="652"/>
      <c r="O47" s="652"/>
      <c r="P47" s="652"/>
      <c r="Q47" s="652"/>
    </row>
    <row r="48" spans="1:17" ht="230.25" thickTop="1" thickBot="1" x14ac:dyDescent="0.25">
      <c r="A48" s="399" t="s">
        <v>836</v>
      </c>
      <c r="B48" s="399" t="s">
        <v>227</v>
      </c>
      <c r="C48" s="399" t="s">
        <v>202</v>
      </c>
      <c r="D48" s="399" t="s">
        <v>548</v>
      </c>
      <c r="E48" s="175" t="s">
        <v>713</v>
      </c>
      <c r="F48" s="400" t="s">
        <v>442</v>
      </c>
      <c r="G48" s="400">
        <f t="shared" si="5"/>
        <v>42339933</v>
      </c>
      <c r="H48" s="400">
        <f>'d3'!E52</f>
        <v>33802238</v>
      </c>
      <c r="I48" s="400">
        <f>'d3'!J52</f>
        <v>8537695</v>
      </c>
      <c r="J48" s="400">
        <f>'d3'!K52</f>
        <v>2938145</v>
      </c>
    </row>
    <row r="49" spans="1:17" s="398" customFormat="1" ht="230.25" thickTop="1" thickBot="1" x14ac:dyDescent="0.25">
      <c r="A49" s="399" t="s">
        <v>837</v>
      </c>
      <c r="B49" s="399" t="s">
        <v>838</v>
      </c>
      <c r="C49" s="399" t="s">
        <v>230</v>
      </c>
      <c r="D49" s="399" t="s">
        <v>839</v>
      </c>
      <c r="E49" s="175" t="s">
        <v>713</v>
      </c>
      <c r="F49" s="400" t="s">
        <v>442</v>
      </c>
      <c r="G49" s="400">
        <f t="shared" si="5"/>
        <v>120753115.98999999</v>
      </c>
      <c r="H49" s="400">
        <f>'d3'!E54</f>
        <v>98296478.989999995</v>
      </c>
      <c r="I49" s="400">
        <f>'d3'!J54</f>
        <v>22456637</v>
      </c>
      <c r="J49" s="400">
        <f>'d3'!K54</f>
        <v>1728217</v>
      </c>
      <c r="K49" s="401"/>
      <c r="L49" s="401"/>
      <c r="M49" s="401"/>
      <c r="N49" s="401"/>
      <c r="O49" s="401"/>
      <c r="P49" s="401"/>
      <c r="Q49" s="401"/>
    </row>
    <row r="50" spans="1:17" s="398" customFormat="1" ht="230.25" thickTop="1" thickBot="1" x14ac:dyDescent="0.25">
      <c r="A50" s="399" t="s">
        <v>841</v>
      </c>
      <c r="B50" s="399" t="s">
        <v>840</v>
      </c>
      <c r="C50" s="399" t="s">
        <v>230</v>
      </c>
      <c r="D50" s="399" t="s">
        <v>842</v>
      </c>
      <c r="E50" s="175" t="s">
        <v>713</v>
      </c>
      <c r="F50" s="400" t="s">
        <v>442</v>
      </c>
      <c r="G50" s="400">
        <f t="shared" si="5"/>
        <v>17771100</v>
      </c>
      <c r="H50" s="400">
        <f>'d3'!E55</f>
        <v>17771100</v>
      </c>
      <c r="I50" s="400">
        <f>'d3'!J55</f>
        <v>0</v>
      </c>
      <c r="J50" s="400">
        <f>'d3'!K55</f>
        <v>0</v>
      </c>
      <c r="K50" s="401"/>
      <c r="L50" s="401"/>
      <c r="M50" s="401"/>
      <c r="N50" s="401"/>
      <c r="O50" s="401"/>
      <c r="P50" s="401"/>
      <c r="Q50" s="401"/>
    </row>
    <row r="51" spans="1:17" s="398" customFormat="1" ht="230.25" thickTop="1" thickBot="1" x14ac:dyDescent="0.25">
      <c r="A51" s="406" t="s">
        <v>846</v>
      </c>
      <c r="B51" s="406" t="s">
        <v>847</v>
      </c>
      <c r="C51" s="406" t="s">
        <v>231</v>
      </c>
      <c r="D51" s="406" t="s">
        <v>551</v>
      </c>
      <c r="E51" s="175" t="s">
        <v>713</v>
      </c>
      <c r="F51" s="404" t="s">
        <v>442</v>
      </c>
      <c r="G51" s="404">
        <f t="shared" ref="G51" si="6">H51+I51</f>
        <v>28246200</v>
      </c>
      <c r="H51" s="404">
        <f>'d3'!E57</f>
        <v>27831600</v>
      </c>
      <c r="I51" s="404">
        <f>'d3'!J57</f>
        <v>414600</v>
      </c>
      <c r="J51" s="404">
        <f>'d3'!K57</f>
        <v>0</v>
      </c>
      <c r="K51" s="401"/>
      <c r="L51" s="401"/>
      <c r="M51" s="401"/>
      <c r="N51" s="401"/>
      <c r="O51" s="401"/>
      <c r="P51" s="401"/>
      <c r="Q51" s="401"/>
    </row>
    <row r="52" spans="1:17" s="398" customFormat="1" ht="230.25" thickTop="1" thickBot="1" x14ac:dyDescent="0.25">
      <c r="A52" s="406" t="s">
        <v>848</v>
      </c>
      <c r="B52" s="406" t="s">
        <v>849</v>
      </c>
      <c r="C52" s="406" t="s">
        <v>231</v>
      </c>
      <c r="D52" s="406" t="s">
        <v>365</v>
      </c>
      <c r="E52" s="175" t="s">
        <v>713</v>
      </c>
      <c r="F52" s="404" t="s">
        <v>442</v>
      </c>
      <c r="G52" s="404">
        <f>H52+I52</f>
        <v>167420</v>
      </c>
      <c r="H52" s="404">
        <f>'d3'!E58-H53</f>
        <v>167420</v>
      </c>
      <c r="I52" s="404">
        <f>'d3'!J58-I53</f>
        <v>0</v>
      </c>
      <c r="J52" s="404">
        <f>'d3'!K58-J53</f>
        <v>0</v>
      </c>
      <c r="K52" s="415" t="b">
        <f>H52+H53='d3'!E58</f>
        <v>1</v>
      </c>
      <c r="L52" s="416" t="b">
        <f>I52+I53='d3'!J58</f>
        <v>1</v>
      </c>
      <c r="M52" s="416" t="b">
        <f>J52+J53='d3'!K58</f>
        <v>1</v>
      </c>
      <c r="N52" s="401"/>
      <c r="O52" s="401"/>
      <c r="P52" s="401"/>
      <c r="Q52" s="401"/>
    </row>
    <row r="53" spans="1:17" s="398" customFormat="1" ht="230.25" thickTop="1" thickBot="1" x14ac:dyDescent="0.25">
      <c r="A53" s="406" t="s">
        <v>848</v>
      </c>
      <c r="B53" s="406" t="s">
        <v>849</v>
      </c>
      <c r="C53" s="406" t="s">
        <v>231</v>
      </c>
      <c r="D53" s="406" t="s">
        <v>365</v>
      </c>
      <c r="E53" s="175" t="s">
        <v>714</v>
      </c>
      <c r="F53" s="404" t="s">
        <v>438</v>
      </c>
      <c r="G53" s="404">
        <f>H53+I53</f>
        <v>32580</v>
      </c>
      <c r="H53" s="404">
        <v>32580</v>
      </c>
      <c r="I53" s="404"/>
      <c r="J53" s="404"/>
      <c r="K53" s="175" t="s">
        <v>687</v>
      </c>
      <c r="L53" s="401"/>
      <c r="M53" s="401"/>
      <c r="N53" s="401"/>
      <c r="O53" s="401"/>
      <c r="P53" s="401"/>
      <c r="Q53" s="401"/>
    </row>
    <row r="54" spans="1:17" s="398" customFormat="1" ht="230.25" thickTop="1" thickBot="1" x14ac:dyDescent="0.25">
      <c r="A54" s="406" t="s">
        <v>852</v>
      </c>
      <c r="B54" s="406" t="s">
        <v>853</v>
      </c>
      <c r="C54" s="406" t="s">
        <v>231</v>
      </c>
      <c r="D54" s="406" t="s">
        <v>854</v>
      </c>
      <c r="E54" s="175" t="s">
        <v>713</v>
      </c>
      <c r="F54" s="404" t="s">
        <v>442</v>
      </c>
      <c r="G54" s="404">
        <f t="shared" ref="G54:G55" si="7">H54+I54</f>
        <v>1197685</v>
      </c>
      <c r="H54" s="400">
        <f>'d3'!E60</f>
        <v>1147685</v>
      </c>
      <c r="I54" s="400">
        <f>'d3'!J60</f>
        <v>50000</v>
      </c>
      <c r="J54" s="404">
        <f>'d3'!K60</f>
        <v>50000</v>
      </c>
      <c r="K54" s="401"/>
      <c r="L54" s="401"/>
      <c r="M54" s="401"/>
      <c r="N54" s="401"/>
      <c r="O54" s="401"/>
      <c r="P54" s="401"/>
      <c r="Q54" s="401"/>
    </row>
    <row r="55" spans="1:17" s="398" customFormat="1" ht="230.25" thickTop="1" thickBot="1" x14ac:dyDescent="0.25">
      <c r="A55" s="406" t="s">
        <v>855</v>
      </c>
      <c r="B55" s="406" t="s">
        <v>856</v>
      </c>
      <c r="C55" s="406" t="s">
        <v>231</v>
      </c>
      <c r="D55" s="406" t="s">
        <v>857</v>
      </c>
      <c r="E55" s="175" t="s">
        <v>713</v>
      </c>
      <c r="F55" s="404" t="s">
        <v>442</v>
      </c>
      <c r="G55" s="404">
        <f t="shared" si="7"/>
        <v>3886800</v>
      </c>
      <c r="H55" s="404">
        <f>'d3'!E61</f>
        <v>3886800</v>
      </c>
      <c r="I55" s="404">
        <f>'d3'!J61</f>
        <v>0</v>
      </c>
      <c r="J55" s="404">
        <f>'d3'!K61</f>
        <v>0</v>
      </c>
      <c r="K55" s="401"/>
      <c r="L55" s="401"/>
      <c r="M55" s="401"/>
      <c r="N55" s="401"/>
      <c r="O55" s="401"/>
      <c r="P55" s="401"/>
      <c r="Q55" s="401"/>
    </row>
    <row r="56" spans="1:17" s="357" customFormat="1" ht="230.25" thickTop="1" thickBot="1" x14ac:dyDescent="0.25">
      <c r="A56" s="360" t="s">
        <v>822</v>
      </c>
      <c r="B56" s="360" t="s">
        <v>823</v>
      </c>
      <c r="C56" s="360" t="s">
        <v>231</v>
      </c>
      <c r="D56" s="360" t="s">
        <v>824</v>
      </c>
      <c r="E56" s="175" t="s">
        <v>713</v>
      </c>
      <c r="F56" s="358" t="s">
        <v>442</v>
      </c>
      <c r="G56" s="358">
        <f t="shared" ref="G56:G57" si="8">H56+I56</f>
        <v>2110415</v>
      </c>
      <c r="H56" s="358">
        <f>'d3'!E62</f>
        <v>2060415</v>
      </c>
      <c r="I56" s="358">
        <f>'d3'!J62</f>
        <v>50000</v>
      </c>
      <c r="J56" s="358">
        <f>'d3'!K62</f>
        <v>50000</v>
      </c>
      <c r="K56" s="362"/>
      <c r="L56" s="362"/>
      <c r="M56" s="362"/>
      <c r="N56" s="362"/>
      <c r="O56" s="362"/>
      <c r="P56" s="362"/>
      <c r="Q56" s="362"/>
    </row>
    <row r="57" spans="1:17" s="79" customFormat="1" ht="367.5" thickTop="1" thickBot="1" x14ac:dyDescent="0.25">
      <c r="A57" s="406" t="s">
        <v>830</v>
      </c>
      <c r="B57" s="406" t="s">
        <v>831</v>
      </c>
      <c r="C57" s="406" t="s">
        <v>231</v>
      </c>
      <c r="D57" s="406" t="s">
        <v>832</v>
      </c>
      <c r="E57" s="175" t="s">
        <v>713</v>
      </c>
      <c r="F57" s="404" t="s">
        <v>442</v>
      </c>
      <c r="G57" s="404">
        <f t="shared" si="8"/>
        <v>4900000</v>
      </c>
      <c r="H57" s="404">
        <f>'d3'!E64</f>
        <v>2900000</v>
      </c>
      <c r="I57" s="404">
        <f>'d3'!J64</f>
        <v>2000000</v>
      </c>
      <c r="J57" s="404">
        <f>'d3'!K64</f>
        <v>2000000</v>
      </c>
      <c r="K57" s="408"/>
      <c r="L57" s="408"/>
      <c r="M57" s="408"/>
      <c r="N57" s="408"/>
      <c r="O57" s="408"/>
      <c r="P57" s="408"/>
      <c r="Q57" s="408"/>
    </row>
    <row r="58" spans="1:17" s="357" customFormat="1" ht="321.75" thickTop="1" thickBot="1" x14ac:dyDescent="0.25">
      <c r="A58" s="360" t="s">
        <v>819</v>
      </c>
      <c r="B58" s="360" t="s">
        <v>820</v>
      </c>
      <c r="C58" s="360" t="s">
        <v>231</v>
      </c>
      <c r="D58" s="360" t="s">
        <v>821</v>
      </c>
      <c r="E58" s="175" t="s">
        <v>713</v>
      </c>
      <c r="F58" s="358" t="s">
        <v>442</v>
      </c>
      <c r="G58" s="358">
        <f>H58+I58</f>
        <v>7118182</v>
      </c>
      <c r="H58" s="358">
        <f>'d3'!E65</f>
        <v>4721984</v>
      </c>
      <c r="I58" s="358">
        <f>'d3'!J65</f>
        <v>2396198</v>
      </c>
      <c r="J58" s="358">
        <f>'d3'!K65</f>
        <v>2396198</v>
      </c>
      <c r="K58" s="362"/>
      <c r="L58" s="362"/>
      <c r="M58" s="362"/>
      <c r="N58" s="362"/>
      <c r="O58" s="362"/>
      <c r="P58" s="362"/>
      <c r="Q58" s="362"/>
    </row>
    <row r="59" spans="1:17" s="699" customFormat="1" ht="321.75" thickTop="1" thickBot="1" x14ac:dyDescent="0.25">
      <c r="A59" s="701" t="s">
        <v>1244</v>
      </c>
      <c r="B59" s="701" t="s">
        <v>1245</v>
      </c>
      <c r="C59" s="701" t="s">
        <v>231</v>
      </c>
      <c r="D59" s="701" t="s">
        <v>1246</v>
      </c>
      <c r="E59" s="175" t="s">
        <v>713</v>
      </c>
      <c r="F59" s="700" t="s">
        <v>442</v>
      </c>
      <c r="G59" s="700">
        <f>H59+I59</f>
        <v>1648625</v>
      </c>
      <c r="H59" s="700">
        <f>'d3'!E66</f>
        <v>1072435</v>
      </c>
      <c r="I59" s="700">
        <f>'d3'!J66</f>
        <v>576190</v>
      </c>
      <c r="J59" s="700">
        <f>'d3'!K66</f>
        <v>576190</v>
      </c>
      <c r="K59" s="706"/>
      <c r="L59" s="706"/>
      <c r="M59" s="706"/>
      <c r="N59" s="706"/>
      <c r="O59" s="706"/>
      <c r="P59" s="706"/>
      <c r="Q59" s="706"/>
    </row>
    <row r="60" spans="1:17" ht="367.5" hidden="1" thickTop="1" thickBot="1" x14ac:dyDescent="0.25">
      <c r="A60" s="405" t="s">
        <v>464</v>
      </c>
      <c r="B60" s="405" t="s">
        <v>465</v>
      </c>
      <c r="C60" s="405" t="s">
        <v>206</v>
      </c>
      <c r="D60" s="405" t="s">
        <v>463</v>
      </c>
      <c r="E60" s="175" t="s">
        <v>714</v>
      </c>
      <c r="F60" s="404" t="s">
        <v>438</v>
      </c>
      <c r="G60" s="404">
        <f>H60+I60</f>
        <v>0</v>
      </c>
      <c r="H60" s="404">
        <f>'d3'!E68</f>
        <v>0</v>
      </c>
      <c r="I60" s="404">
        <f>'d3'!J68</f>
        <v>0</v>
      </c>
      <c r="J60" s="404">
        <f>'d3'!K68</f>
        <v>0</v>
      </c>
    </row>
    <row r="61" spans="1:17" ht="160.5" customHeight="1" thickTop="1" thickBot="1" x14ac:dyDescent="0.25">
      <c r="A61" s="595" t="s">
        <v>171</v>
      </c>
      <c r="B61" s="595"/>
      <c r="C61" s="595"/>
      <c r="D61" s="596" t="s">
        <v>18</v>
      </c>
      <c r="E61" s="597"/>
      <c r="F61" s="598"/>
      <c r="G61" s="598">
        <f>G62</f>
        <v>87875472</v>
      </c>
      <c r="H61" s="598">
        <f t="shared" ref="H61:J61" si="9">H62</f>
        <v>71621649</v>
      </c>
      <c r="I61" s="597">
        <f t="shared" si="9"/>
        <v>16253823</v>
      </c>
      <c r="J61" s="597">
        <f t="shared" si="9"/>
        <v>16231823</v>
      </c>
      <c r="K61" s="237" t="b">
        <f>H61='d3'!E69-'d3'!P72</f>
        <v>1</v>
      </c>
      <c r="L61" s="238" t="b">
        <f>I61='d3'!J69</f>
        <v>1</v>
      </c>
      <c r="M61" s="238" t="b">
        <f>J61='d3'!K69</f>
        <v>1</v>
      </c>
    </row>
    <row r="62" spans="1:17" ht="172.5" customHeight="1" thickTop="1" thickBot="1" x14ac:dyDescent="0.25">
      <c r="A62" s="599" t="s">
        <v>172</v>
      </c>
      <c r="B62" s="599"/>
      <c r="C62" s="599"/>
      <c r="D62" s="600" t="s">
        <v>38</v>
      </c>
      <c r="E62" s="601"/>
      <c r="F62" s="601"/>
      <c r="G62" s="601">
        <f>SUM(G63:G85)</f>
        <v>87875472</v>
      </c>
      <c r="H62" s="601">
        <f>SUM(H63:H85)</f>
        <v>71621649</v>
      </c>
      <c r="I62" s="601">
        <f>SUM(I63:I85)</f>
        <v>16253823</v>
      </c>
      <c r="J62" s="601">
        <f>SUM(J63:J85)</f>
        <v>16231823</v>
      </c>
    </row>
    <row r="63" spans="1:17" ht="138.75" thickTop="1" thickBot="1" x14ac:dyDescent="0.25">
      <c r="A63" s="284" t="s">
        <v>235</v>
      </c>
      <c r="B63" s="284" t="s">
        <v>232</v>
      </c>
      <c r="C63" s="284" t="s">
        <v>236</v>
      </c>
      <c r="D63" s="284" t="s">
        <v>19</v>
      </c>
      <c r="E63" s="294" t="s">
        <v>470</v>
      </c>
      <c r="F63" s="294" t="s">
        <v>441</v>
      </c>
      <c r="G63" s="936">
        <f>H63+I63</f>
        <v>15249455</v>
      </c>
      <c r="H63" s="936">
        <f>'d3'!E74</f>
        <v>15249455</v>
      </c>
      <c r="I63" s="936">
        <f>'d3'!J74</f>
        <v>0</v>
      </c>
      <c r="J63" s="936">
        <f>'d3'!K74</f>
        <v>0</v>
      </c>
    </row>
    <row r="64" spans="1:17" ht="405.75" customHeight="1" thickTop="1" thickBot="1" x14ac:dyDescent="0.25">
      <c r="A64" s="284" t="s">
        <v>235</v>
      </c>
      <c r="B64" s="284" t="s">
        <v>232</v>
      </c>
      <c r="C64" s="284" t="s">
        <v>236</v>
      </c>
      <c r="D64" s="284" t="s">
        <v>19</v>
      </c>
      <c r="E64" s="625" t="s">
        <v>1063</v>
      </c>
      <c r="F64" s="512" t="s">
        <v>1064</v>
      </c>
      <c r="G64" s="938"/>
      <c r="H64" s="938"/>
      <c r="I64" s="938"/>
      <c r="J64" s="938"/>
    </row>
    <row r="65" spans="1:17" ht="138.75" thickTop="1" thickBot="1" x14ac:dyDescent="0.25">
      <c r="A65" s="284" t="s">
        <v>555</v>
      </c>
      <c r="B65" s="284" t="s">
        <v>558</v>
      </c>
      <c r="C65" s="284" t="s">
        <v>557</v>
      </c>
      <c r="D65" s="284" t="s">
        <v>556</v>
      </c>
      <c r="E65" s="294" t="s">
        <v>470</v>
      </c>
      <c r="F65" s="294" t="s">
        <v>441</v>
      </c>
      <c r="G65" s="936">
        <f>H65+I65</f>
        <v>7638429</v>
      </c>
      <c r="H65" s="936">
        <f>'d3'!E75</f>
        <v>7638429</v>
      </c>
      <c r="I65" s="936">
        <f>'d3'!J75</f>
        <v>0</v>
      </c>
      <c r="J65" s="936">
        <f>'d3'!K75</f>
        <v>0</v>
      </c>
    </row>
    <row r="66" spans="1:17" ht="409.6" thickTop="1" thickBot="1" x14ac:dyDescent="0.25">
      <c r="A66" s="284" t="s">
        <v>555</v>
      </c>
      <c r="B66" s="284" t="s">
        <v>558</v>
      </c>
      <c r="C66" s="284" t="s">
        <v>557</v>
      </c>
      <c r="D66" s="284" t="s">
        <v>556</v>
      </c>
      <c r="E66" s="625" t="s">
        <v>1063</v>
      </c>
      <c r="F66" s="512" t="s">
        <v>1064</v>
      </c>
      <c r="G66" s="938"/>
      <c r="H66" s="938"/>
      <c r="I66" s="938"/>
      <c r="J66" s="938"/>
    </row>
    <row r="67" spans="1:17" ht="138.75" thickTop="1" thickBot="1" x14ac:dyDescent="0.25">
      <c r="A67" s="284" t="s">
        <v>237</v>
      </c>
      <c r="B67" s="284" t="s">
        <v>238</v>
      </c>
      <c r="C67" s="284" t="s">
        <v>239</v>
      </c>
      <c r="D67" s="284" t="s">
        <v>240</v>
      </c>
      <c r="E67" s="294" t="s">
        <v>470</v>
      </c>
      <c r="F67" s="294" t="s">
        <v>441</v>
      </c>
      <c r="G67" s="936">
        <f t="shared" ref="G67:G78" si="10">H67+I67</f>
        <v>5291200</v>
      </c>
      <c r="H67" s="936">
        <f>'d3'!E76</f>
        <v>5291200</v>
      </c>
      <c r="I67" s="936">
        <f>'d3'!J76</f>
        <v>0</v>
      </c>
      <c r="J67" s="936">
        <f>'d3'!K76</f>
        <v>0</v>
      </c>
    </row>
    <row r="68" spans="1:17" ht="409.6" thickTop="1" thickBot="1" x14ac:dyDescent="0.25">
      <c r="A68" s="284" t="s">
        <v>237</v>
      </c>
      <c r="B68" s="284" t="s">
        <v>238</v>
      </c>
      <c r="C68" s="284" t="s">
        <v>239</v>
      </c>
      <c r="D68" s="284" t="s">
        <v>240</v>
      </c>
      <c r="E68" s="625" t="s">
        <v>1063</v>
      </c>
      <c r="F68" s="512" t="s">
        <v>1064</v>
      </c>
      <c r="G68" s="938"/>
      <c r="H68" s="938"/>
      <c r="I68" s="938"/>
      <c r="J68" s="938"/>
    </row>
    <row r="69" spans="1:17" ht="138.75" thickTop="1" thickBot="1" x14ac:dyDescent="0.25">
      <c r="A69" s="284" t="s">
        <v>241</v>
      </c>
      <c r="B69" s="284" t="s">
        <v>242</v>
      </c>
      <c r="C69" s="284" t="s">
        <v>243</v>
      </c>
      <c r="D69" s="284" t="s">
        <v>374</v>
      </c>
      <c r="E69" s="294" t="s">
        <v>470</v>
      </c>
      <c r="F69" s="294" t="s">
        <v>441</v>
      </c>
      <c r="G69" s="936">
        <f t="shared" si="10"/>
        <v>9696090</v>
      </c>
      <c r="H69" s="936">
        <f>'d3'!E77</f>
        <v>9696090</v>
      </c>
      <c r="I69" s="936">
        <f>'d3'!J77</f>
        <v>0</v>
      </c>
      <c r="J69" s="936">
        <f>'d3'!K77</f>
        <v>0</v>
      </c>
    </row>
    <row r="70" spans="1:17" ht="409.6" thickTop="1" thickBot="1" x14ac:dyDescent="0.25">
      <c r="A70" s="284" t="s">
        <v>241</v>
      </c>
      <c r="B70" s="284" t="s">
        <v>242</v>
      </c>
      <c r="C70" s="284" t="s">
        <v>243</v>
      </c>
      <c r="D70" s="284" t="s">
        <v>374</v>
      </c>
      <c r="E70" s="625" t="s">
        <v>1063</v>
      </c>
      <c r="F70" s="512" t="s">
        <v>1064</v>
      </c>
      <c r="G70" s="938"/>
      <c r="H70" s="938"/>
      <c r="I70" s="938"/>
      <c r="J70" s="938"/>
    </row>
    <row r="71" spans="1:17" ht="172.5" customHeight="1" thickTop="1" thickBot="1" x14ac:dyDescent="0.25">
      <c r="A71" s="284" t="s">
        <v>244</v>
      </c>
      <c r="B71" s="284" t="s">
        <v>245</v>
      </c>
      <c r="C71" s="284" t="s">
        <v>246</v>
      </c>
      <c r="D71" s="284" t="s">
        <v>247</v>
      </c>
      <c r="E71" s="294" t="s">
        <v>470</v>
      </c>
      <c r="F71" s="294" t="s">
        <v>441</v>
      </c>
      <c r="G71" s="936">
        <f t="shared" si="10"/>
        <v>5594335</v>
      </c>
      <c r="H71" s="936">
        <f>'d3'!E78-H73</f>
        <v>5594335</v>
      </c>
      <c r="I71" s="936">
        <f>'d3'!J78-I73</f>
        <v>0</v>
      </c>
      <c r="J71" s="936">
        <f>'d3'!K78-J73</f>
        <v>0</v>
      </c>
    </row>
    <row r="72" spans="1:17" ht="409.6" thickTop="1" thickBot="1" x14ac:dyDescent="0.25">
      <c r="A72" s="284" t="s">
        <v>244</v>
      </c>
      <c r="B72" s="284" t="s">
        <v>245</v>
      </c>
      <c r="C72" s="284" t="s">
        <v>246</v>
      </c>
      <c r="D72" s="284" t="s">
        <v>247</v>
      </c>
      <c r="E72" s="625" t="s">
        <v>1063</v>
      </c>
      <c r="F72" s="512" t="s">
        <v>1064</v>
      </c>
      <c r="G72" s="938"/>
      <c r="H72" s="938"/>
      <c r="I72" s="938"/>
      <c r="J72" s="938"/>
    </row>
    <row r="73" spans="1:17" ht="184.5" thickTop="1" thickBot="1" x14ac:dyDescent="0.25">
      <c r="A73" s="284" t="s">
        <v>244</v>
      </c>
      <c r="B73" s="284" t="s">
        <v>245</v>
      </c>
      <c r="C73" s="284" t="s">
        <v>246</v>
      </c>
      <c r="D73" s="284" t="s">
        <v>247</v>
      </c>
      <c r="E73" s="348" t="s">
        <v>1059</v>
      </c>
      <c r="F73" s="511" t="s">
        <v>1060</v>
      </c>
      <c r="G73" s="294">
        <f t="shared" si="10"/>
        <v>1287600</v>
      </c>
      <c r="H73" s="294">
        <v>1287600</v>
      </c>
      <c r="I73" s="294"/>
      <c r="J73" s="294"/>
    </row>
    <row r="74" spans="1:17" ht="184.5" thickTop="1" thickBot="1" x14ac:dyDescent="0.25">
      <c r="A74" s="284" t="s">
        <v>248</v>
      </c>
      <c r="B74" s="284" t="s">
        <v>249</v>
      </c>
      <c r="C74" s="284" t="s">
        <v>375</v>
      </c>
      <c r="D74" s="284" t="s">
        <v>250</v>
      </c>
      <c r="E74" s="294" t="s">
        <v>470</v>
      </c>
      <c r="F74" s="294" t="s">
        <v>441</v>
      </c>
      <c r="G74" s="936">
        <f t="shared" si="10"/>
        <v>11147515</v>
      </c>
      <c r="H74" s="936">
        <f>'d3'!E80</f>
        <v>11147515</v>
      </c>
      <c r="I74" s="936">
        <f>'d3'!J80</f>
        <v>0</v>
      </c>
      <c r="J74" s="936">
        <f>'d3'!K80</f>
        <v>0</v>
      </c>
    </row>
    <row r="75" spans="1:17" ht="409.6" thickTop="1" thickBot="1" x14ac:dyDescent="0.25">
      <c r="A75" s="284" t="s">
        <v>248</v>
      </c>
      <c r="B75" s="284" t="s">
        <v>249</v>
      </c>
      <c r="C75" s="284" t="s">
        <v>375</v>
      </c>
      <c r="D75" s="284" t="s">
        <v>250</v>
      </c>
      <c r="E75" s="625" t="s">
        <v>1063</v>
      </c>
      <c r="F75" s="512" t="s">
        <v>1064</v>
      </c>
      <c r="G75" s="938"/>
      <c r="H75" s="938"/>
      <c r="I75" s="938"/>
      <c r="J75" s="938"/>
    </row>
    <row r="76" spans="1:17" ht="138.75" hidden="1" thickTop="1" thickBot="1" x14ac:dyDescent="0.25">
      <c r="A76" s="284" t="s">
        <v>522</v>
      </c>
      <c r="B76" s="284" t="s">
        <v>523</v>
      </c>
      <c r="C76" s="284" t="s">
        <v>251</v>
      </c>
      <c r="D76" s="284" t="s">
        <v>524</v>
      </c>
      <c r="E76" s="294" t="s">
        <v>470</v>
      </c>
      <c r="F76" s="294" t="s">
        <v>441</v>
      </c>
      <c r="G76" s="936">
        <f t="shared" si="10"/>
        <v>9471600</v>
      </c>
      <c r="H76" s="936">
        <f>'d3'!E82</f>
        <v>9471600</v>
      </c>
      <c r="I76" s="936">
        <f>'d3'!J82</f>
        <v>0</v>
      </c>
      <c r="J76" s="936">
        <f>'d3'!K82</f>
        <v>0</v>
      </c>
    </row>
    <row r="77" spans="1:17" ht="409.6" thickTop="1" thickBot="1" x14ac:dyDescent="0.25">
      <c r="A77" s="284" t="s">
        <v>522</v>
      </c>
      <c r="B77" s="284" t="s">
        <v>523</v>
      </c>
      <c r="C77" s="284" t="s">
        <v>251</v>
      </c>
      <c r="D77" s="284" t="s">
        <v>524</v>
      </c>
      <c r="E77" s="625" t="s">
        <v>1063</v>
      </c>
      <c r="F77" s="512" t="s">
        <v>1064</v>
      </c>
      <c r="G77" s="938"/>
      <c r="H77" s="938"/>
      <c r="I77" s="938"/>
      <c r="J77" s="938"/>
    </row>
    <row r="78" spans="1:17" s="39" customFormat="1" ht="160.5" customHeight="1" thickTop="1" thickBot="1" x14ac:dyDescent="0.25">
      <c r="A78" s="405" t="s">
        <v>349</v>
      </c>
      <c r="B78" s="405" t="s">
        <v>351</v>
      </c>
      <c r="C78" s="405" t="s">
        <v>251</v>
      </c>
      <c r="D78" s="353" t="s">
        <v>347</v>
      </c>
      <c r="E78" s="404" t="s">
        <v>470</v>
      </c>
      <c r="F78" s="404" t="s">
        <v>441</v>
      </c>
      <c r="G78" s="936">
        <f t="shared" si="10"/>
        <v>3251425</v>
      </c>
      <c r="H78" s="936">
        <f>'d3'!E84</f>
        <v>3229425</v>
      </c>
      <c r="I78" s="936">
        <f>'d3'!J84</f>
        <v>22000</v>
      </c>
      <c r="J78" s="936">
        <f>'d3'!K84</f>
        <v>0</v>
      </c>
      <c r="K78" s="199"/>
      <c r="L78" s="199"/>
      <c r="M78" s="199"/>
      <c r="N78" s="199"/>
      <c r="O78" s="199"/>
      <c r="P78" s="199"/>
      <c r="Q78" s="199"/>
    </row>
    <row r="79" spans="1:17" s="39" customFormat="1" ht="409.6" thickTop="1" thickBot="1" x14ac:dyDescent="0.25">
      <c r="A79" s="405" t="s">
        <v>349</v>
      </c>
      <c r="B79" s="405" t="s">
        <v>351</v>
      </c>
      <c r="C79" s="405" t="s">
        <v>251</v>
      </c>
      <c r="D79" s="353" t="s">
        <v>347</v>
      </c>
      <c r="E79" s="625" t="s">
        <v>1063</v>
      </c>
      <c r="F79" s="512" t="s">
        <v>1064</v>
      </c>
      <c r="G79" s="938"/>
      <c r="H79" s="938"/>
      <c r="I79" s="938"/>
      <c r="J79" s="938"/>
      <c r="K79" s="199"/>
      <c r="L79" s="199"/>
      <c r="M79" s="199"/>
      <c r="N79" s="199"/>
      <c r="O79" s="199"/>
      <c r="P79" s="199"/>
      <c r="Q79" s="199"/>
    </row>
    <row r="80" spans="1:17" s="39" customFormat="1" ht="166.7" customHeight="1" thickTop="1" thickBot="1" x14ac:dyDescent="0.25">
      <c r="A80" s="405" t="s">
        <v>350</v>
      </c>
      <c r="B80" s="405" t="s">
        <v>352</v>
      </c>
      <c r="C80" s="405" t="s">
        <v>251</v>
      </c>
      <c r="D80" s="353" t="s">
        <v>348</v>
      </c>
      <c r="E80" s="404" t="s">
        <v>470</v>
      </c>
      <c r="F80" s="404" t="s">
        <v>441</v>
      </c>
      <c r="G80" s="936">
        <f>H80+I80</f>
        <v>3016000</v>
      </c>
      <c r="H80" s="936">
        <f>'d3'!E85</f>
        <v>3016000</v>
      </c>
      <c r="I80" s="936">
        <f>'d3'!J85</f>
        <v>0</v>
      </c>
      <c r="J80" s="936">
        <f>'d3'!K85</f>
        <v>0</v>
      </c>
      <c r="K80" s="199"/>
      <c r="L80" s="199"/>
      <c r="M80" s="199"/>
      <c r="N80" s="199"/>
      <c r="O80" s="199"/>
      <c r="P80" s="199"/>
      <c r="Q80" s="199"/>
    </row>
    <row r="81" spans="1:17" s="39" customFormat="1" ht="409.5" customHeight="1" thickTop="1" thickBot="1" x14ac:dyDescent="0.25">
      <c r="A81" s="405" t="s">
        <v>350</v>
      </c>
      <c r="B81" s="405" t="s">
        <v>352</v>
      </c>
      <c r="C81" s="405" t="s">
        <v>251</v>
      </c>
      <c r="D81" s="353" t="s">
        <v>348</v>
      </c>
      <c r="E81" s="625" t="s">
        <v>1063</v>
      </c>
      <c r="F81" s="512" t="s">
        <v>1064</v>
      </c>
      <c r="G81" s="938"/>
      <c r="H81" s="938"/>
      <c r="I81" s="938"/>
      <c r="J81" s="938"/>
      <c r="K81" s="199"/>
      <c r="L81" s="199"/>
      <c r="M81" s="199"/>
      <c r="N81" s="199"/>
      <c r="O81" s="199"/>
      <c r="P81" s="199"/>
      <c r="Q81" s="199"/>
    </row>
    <row r="82" spans="1:17" s="39" customFormat="1" ht="138.75" thickTop="1" thickBot="1" x14ac:dyDescent="0.25">
      <c r="A82" s="405" t="s">
        <v>469</v>
      </c>
      <c r="B82" s="405" t="s">
        <v>218</v>
      </c>
      <c r="C82" s="405" t="s">
        <v>187</v>
      </c>
      <c r="D82" s="405" t="s">
        <v>36</v>
      </c>
      <c r="E82" s="404" t="s">
        <v>470</v>
      </c>
      <c r="F82" s="404" t="s">
        <v>441</v>
      </c>
      <c r="G82" s="936">
        <f>H82+I82</f>
        <v>15859159</v>
      </c>
      <c r="H82" s="936">
        <v>0</v>
      </c>
      <c r="I82" s="936">
        <f>'d3'!J88-I84</f>
        <v>15859159</v>
      </c>
      <c r="J82" s="936">
        <f>'d3'!K88-J84</f>
        <v>15859159</v>
      </c>
      <c r="K82" s="199"/>
      <c r="L82" s="199"/>
      <c r="M82" s="199"/>
      <c r="N82" s="199"/>
      <c r="O82" s="199"/>
      <c r="P82" s="199"/>
      <c r="Q82" s="199"/>
    </row>
    <row r="83" spans="1:17" s="39" customFormat="1" ht="409.5" customHeight="1" thickTop="1" thickBot="1" x14ac:dyDescent="0.25">
      <c r="A83" s="405" t="s">
        <v>469</v>
      </c>
      <c r="B83" s="405" t="s">
        <v>218</v>
      </c>
      <c r="C83" s="405" t="s">
        <v>187</v>
      </c>
      <c r="D83" s="405" t="s">
        <v>36</v>
      </c>
      <c r="E83" s="625" t="s">
        <v>1063</v>
      </c>
      <c r="F83" s="512" t="s">
        <v>1064</v>
      </c>
      <c r="G83" s="938"/>
      <c r="H83" s="938"/>
      <c r="I83" s="938"/>
      <c r="J83" s="938"/>
      <c r="K83" s="199"/>
      <c r="L83" s="199"/>
      <c r="M83" s="199"/>
      <c r="N83" s="199"/>
      <c r="O83" s="199"/>
      <c r="P83" s="199"/>
      <c r="Q83" s="199"/>
    </row>
    <row r="84" spans="1:17" s="39" customFormat="1" ht="230.25" thickTop="1" thickBot="1" x14ac:dyDescent="0.25">
      <c r="A84" s="405" t="s">
        <v>469</v>
      </c>
      <c r="B84" s="405" t="s">
        <v>218</v>
      </c>
      <c r="C84" s="405" t="s">
        <v>187</v>
      </c>
      <c r="D84" s="405" t="s">
        <v>36</v>
      </c>
      <c r="E84" s="175" t="s">
        <v>488</v>
      </c>
      <c r="F84" s="285" t="s">
        <v>489</v>
      </c>
      <c r="G84" s="404">
        <f>H84+I84</f>
        <v>372664</v>
      </c>
      <c r="H84" s="404">
        <v>0</v>
      </c>
      <c r="I84" s="404">
        <f>(136258+107000+129406)</f>
        <v>372664</v>
      </c>
      <c r="J84" s="404">
        <f>(136258+107000+129406)</f>
        <v>372664</v>
      </c>
      <c r="K84" s="199"/>
      <c r="L84" s="199"/>
      <c r="M84" s="199"/>
      <c r="N84" s="199"/>
      <c r="O84" s="199"/>
      <c r="P84" s="199"/>
      <c r="Q84" s="199"/>
    </row>
    <row r="85" spans="1:17" s="39" customFormat="1" ht="138.75" hidden="1" thickTop="1" thickBot="1" x14ac:dyDescent="0.25">
      <c r="A85" s="190" t="s">
        <v>559</v>
      </c>
      <c r="B85" s="190" t="s">
        <v>392</v>
      </c>
      <c r="C85" s="190" t="s">
        <v>45</v>
      </c>
      <c r="D85" s="190" t="s">
        <v>393</v>
      </c>
      <c r="E85" s="171" t="s">
        <v>470</v>
      </c>
      <c r="F85" s="171" t="s">
        <v>441</v>
      </c>
      <c r="G85" s="171">
        <f>H85+I85</f>
        <v>0</v>
      </c>
      <c r="H85" s="171">
        <f>'d3'!F89</f>
        <v>0</v>
      </c>
      <c r="I85" s="171">
        <f>'d3'!J89</f>
        <v>0</v>
      </c>
      <c r="J85" s="171">
        <f>'d3'!K89</f>
        <v>0</v>
      </c>
      <c r="K85" s="199"/>
      <c r="L85" s="199"/>
      <c r="M85" s="199"/>
      <c r="N85" s="199"/>
      <c r="O85" s="199"/>
      <c r="P85" s="199"/>
      <c r="Q85" s="199"/>
    </row>
    <row r="86" spans="1:17" ht="241.5" customHeight="1" thickTop="1" thickBot="1" x14ac:dyDescent="0.25">
      <c r="A86" s="595" t="s">
        <v>173</v>
      </c>
      <c r="B86" s="595"/>
      <c r="C86" s="595"/>
      <c r="D86" s="596" t="s">
        <v>39</v>
      </c>
      <c r="E86" s="597"/>
      <c r="F86" s="598"/>
      <c r="G86" s="598">
        <f>G87</f>
        <v>172102869</v>
      </c>
      <c r="H86" s="598">
        <f t="shared" ref="H86:J86" si="11">H87</f>
        <v>165837089</v>
      </c>
      <c r="I86" s="597">
        <f t="shared" si="11"/>
        <v>6265780</v>
      </c>
      <c r="J86" s="597">
        <f t="shared" si="11"/>
        <v>5648780</v>
      </c>
      <c r="K86" s="237" t="b">
        <f>H86='d3'!E91-'d3'!E93+H88+H89</f>
        <v>1</v>
      </c>
      <c r="L86" s="238" t="b">
        <f>I86='d3'!J91-'d3'!J93+'d7'!I88+I89</f>
        <v>1</v>
      </c>
      <c r="M86" s="238" t="b">
        <f>J86='d3'!K91-'d3'!K93+'d7'!J88+J89</f>
        <v>1</v>
      </c>
    </row>
    <row r="87" spans="1:17" ht="226.5" thickTop="1" thickBot="1" x14ac:dyDescent="0.25">
      <c r="A87" s="599" t="s">
        <v>174</v>
      </c>
      <c r="B87" s="599"/>
      <c r="C87" s="599"/>
      <c r="D87" s="600" t="s">
        <v>40</v>
      </c>
      <c r="E87" s="601"/>
      <c r="F87" s="601"/>
      <c r="G87" s="601">
        <f>SUM(G88:G116)</f>
        <v>172102869</v>
      </c>
      <c r="H87" s="601">
        <f>SUM(H88:H116)</f>
        <v>165837089</v>
      </c>
      <c r="I87" s="601">
        <f>SUM(I88:I116)</f>
        <v>6265780</v>
      </c>
      <c r="J87" s="601">
        <f>SUM(J88:J116)</f>
        <v>5648780</v>
      </c>
      <c r="L87" s="231"/>
    </row>
    <row r="88" spans="1:17" ht="230.25" thickTop="1" thickBot="1" x14ac:dyDescent="0.25">
      <c r="A88" s="284" t="s">
        <v>446</v>
      </c>
      <c r="B88" s="284" t="s">
        <v>257</v>
      </c>
      <c r="C88" s="284" t="s">
        <v>255</v>
      </c>
      <c r="D88" s="284" t="s">
        <v>256</v>
      </c>
      <c r="E88" s="313" t="s">
        <v>1043</v>
      </c>
      <c r="F88" s="508" t="s">
        <v>1044</v>
      </c>
      <c r="G88" s="294">
        <f t="shared" ref="G88:G114" si="12">H88+I88</f>
        <v>270000</v>
      </c>
      <c r="H88" s="294">
        <v>0</v>
      </c>
      <c r="I88" s="294">
        <v>270000</v>
      </c>
      <c r="J88" s="294">
        <v>270000</v>
      </c>
      <c r="L88" s="231"/>
    </row>
    <row r="89" spans="1:17" s="640" customFormat="1" ht="230.25" thickTop="1" thickBot="1" x14ac:dyDescent="0.25">
      <c r="A89" s="642" t="s">
        <v>446</v>
      </c>
      <c r="B89" s="642" t="s">
        <v>257</v>
      </c>
      <c r="C89" s="642" t="s">
        <v>255</v>
      </c>
      <c r="D89" s="642" t="s">
        <v>256</v>
      </c>
      <c r="E89" s="175" t="s">
        <v>714</v>
      </c>
      <c r="F89" s="641" t="s">
        <v>438</v>
      </c>
      <c r="G89" s="641">
        <f t="shared" si="12"/>
        <v>250000</v>
      </c>
      <c r="H89" s="641">
        <v>0</v>
      </c>
      <c r="I89" s="641">
        <v>250000</v>
      </c>
      <c r="J89" s="641">
        <v>250000</v>
      </c>
      <c r="K89" s="652"/>
      <c r="L89" s="231"/>
      <c r="M89" s="652"/>
      <c r="N89" s="652"/>
      <c r="O89" s="652"/>
      <c r="P89" s="652"/>
      <c r="Q89" s="652"/>
    </row>
    <row r="90" spans="1:17" s="331" customFormat="1" ht="409.6" thickTop="1" thickBot="1" x14ac:dyDescent="0.25">
      <c r="A90" s="338" t="s">
        <v>802</v>
      </c>
      <c r="B90" s="338" t="s">
        <v>391</v>
      </c>
      <c r="C90" s="338" t="s">
        <v>794</v>
      </c>
      <c r="D90" s="338" t="s">
        <v>795</v>
      </c>
      <c r="E90" s="313" t="s">
        <v>1078</v>
      </c>
      <c r="F90" s="534" t="s">
        <v>1079</v>
      </c>
      <c r="G90" s="294">
        <f t="shared" si="12"/>
        <v>10000</v>
      </c>
      <c r="H90" s="294">
        <f>'d3'!E94</f>
        <v>10000</v>
      </c>
      <c r="I90" s="627">
        <f>'d3'!J94</f>
        <v>0</v>
      </c>
      <c r="J90" s="627">
        <f>'d3'!K94</f>
        <v>0</v>
      </c>
      <c r="K90" s="333"/>
      <c r="L90" s="231"/>
      <c r="M90" s="333"/>
      <c r="N90" s="333"/>
      <c r="O90" s="333"/>
      <c r="P90" s="333"/>
      <c r="Q90" s="333"/>
    </row>
    <row r="91" spans="1:17" s="626" customFormat="1" ht="138.75" thickTop="1" thickBot="1" x14ac:dyDescent="0.25">
      <c r="A91" s="632" t="s">
        <v>1160</v>
      </c>
      <c r="B91" s="632" t="s">
        <v>45</v>
      </c>
      <c r="C91" s="632" t="s">
        <v>44</v>
      </c>
      <c r="D91" s="632" t="s">
        <v>269</v>
      </c>
      <c r="E91" s="516" t="s">
        <v>1272</v>
      </c>
      <c r="F91" s="708" t="s">
        <v>1264</v>
      </c>
      <c r="G91" s="627">
        <f t="shared" si="12"/>
        <v>30000</v>
      </c>
      <c r="H91" s="627">
        <f>'d3'!E95</f>
        <v>30000</v>
      </c>
      <c r="I91" s="627">
        <f>'d3'!J95</f>
        <v>0</v>
      </c>
      <c r="J91" s="627">
        <f>'d3'!K95</f>
        <v>0</v>
      </c>
      <c r="K91" s="633"/>
      <c r="L91" s="231"/>
      <c r="M91" s="633"/>
      <c r="N91" s="633"/>
      <c r="O91" s="633"/>
      <c r="P91" s="633"/>
      <c r="Q91" s="633"/>
    </row>
    <row r="92" spans="1:17" s="39" customFormat="1" ht="230.25" thickTop="1" thickBot="1" x14ac:dyDescent="0.25">
      <c r="A92" s="284" t="s">
        <v>290</v>
      </c>
      <c r="B92" s="284" t="s">
        <v>291</v>
      </c>
      <c r="C92" s="284" t="s">
        <v>226</v>
      </c>
      <c r="D92" s="285" t="s">
        <v>292</v>
      </c>
      <c r="E92" s="175" t="s">
        <v>714</v>
      </c>
      <c r="F92" s="294" t="s">
        <v>438</v>
      </c>
      <c r="G92" s="294">
        <f t="shared" si="12"/>
        <v>469000</v>
      </c>
      <c r="H92" s="294">
        <f>'d3'!E98</f>
        <v>270000</v>
      </c>
      <c r="I92" s="294">
        <f>'d3'!J98</f>
        <v>199000</v>
      </c>
      <c r="J92" s="294">
        <f>'d3'!K98</f>
        <v>199000</v>
      </c>
      <c r="K92" s="199"/>
      <c r="L92" s="199"/>
      <c r="M92" s="199"/>
      <c r="N92" s="199"/>
      <c r="O92" s="199"/>
      <c r="P92" s="199"/>
      <c r="Q92" s="199"/>
    </row>
    <row r="93" spans="1:17" s="39" customFormat="1" ht="230.25" thickTop="1" thickBot="1" x14ac:dyDescent="0.25">
      <c r="A93" s="284" t="s">
        <v>293</v>
      </c>
      <c r="B93" s="284" t="s">
        <v>294</v>
      </c>
      <c r="C93" s="284" t="s">
        <v>227</v>
      </c>
      <c r="D93" s="284" t="s">
        <v>6</v>
      </c>
      <c r="E93" s="175" t="s">
        <v>714</v>
      </c>
      <c r="F93" s="294" t="s">
        <v>438</v>
      </c>
      <c r="G93" s="294">
        <f t="shared" si="12"/>
        <v>1350000</v>
      </c>
      <c r="H93" s="294">
        <f>'d3'!E99</f>
        <v>1350000</v>
      </c>
      <c r="I93" s="294">
        <f>'d3'!J99</f>
        <v>0</v>
      </c>
      <c r="J93" s="294">
        <f>'d3'!K99</f>
        <v>0</v>
      </c>
      <c r="K93" s="199"/>
      <c r="L93" s="199"/>
      <c r="M93" s="199"/>
      <c r="N93" s="199"/>
      <c r="O93" s="199"/>
      <c r="P93" s="199"/>
      <c r="Q93" s="199"/>
    </row>
    <row r="94" spans="1:17" s="39" customFormat="1" ht="230.25" thickTop="1" thickBot="1" x14ac:dyDescent="0.25">
      <c r="A94" s="284" t="s">
        <v>296</v>
      </c>
      <c r="B94" s="284" t="s">
        <v>297</v>
      </c>
      <c r="C94" s="284" t="s">
        <v>227</v>
      </c>
      <c r="D94" s="284" t="s">
        <v>7</v>
      </c>
      <c r="E94" s="175" t="s">
        <v>714</v>
      </c>
      <c r="F94" s="294" t="s">
        <v>438</v>
      </c>
      <c r="G94" s="294">
        <f t="shared" si="12"/>
        <v>11250000</v>
      </c>
      <c r="H94" s="294">
        <f>'d3'!E100</f>
        <v>11250000</v>
      </c>
      <c r="I94" s="294">
        <f>'d3'!J100</f>
        <v>0</v>
      </c>
      <c r="J94" s="294">
        <f>'d3'!K100</f>
        <v>0</v>
      </c>
      <c r="K94" s="199"/>
      <c r="L94" s="199"/>
      <c r="M94" s="199"/>
      <c r="N94" s="199"/>
      <c r="O94" s="199"/>
      <c r="P94" s="199"/>
      <c r="Q94" s="199"/>
    </row>
    <row r="95" spans="1:17" s="39" customFormat="1" ht="230.25" thickTop="1" thickBot="1" x14ac:dyDescent="0.25">
      <c r="A95" s="284" t="s">
        <v>298</v>
      </c>
      <c r="B95" s="284" t="s">
        <v>295</v>
      </c>
      <c r="C95" s="284" t="s">
        <v>227</v>
      </c>
      <c r="D95" s="284" t="s">
        <v>8</v>
      </c>
      <c r="E95" s="175" t="s">
        <v>714</v>
      </c>
      <c r="F95" s="294" t="s">
        <v>438</v>
      </c>
      <c r="G95" s="294">
        <f t="shared" si="12"/>
        <v>500000</v>
      </c>
      <c r="H95" s="294">
        <f>'d3'!E101</f>
        <v>500000</v>
      </c>
      <c r="I95" s="294">
        <f>'d3'!J101</f>
        <v>0</v>
      </c>
      <c r="J95" s="294">
        <f>'d3'!K101</f>
        <v>0</v>
      </c>
      <c r="K95" s="199"/>
      <c r="L95" s="199"/>
      <c r="M95" s="199"/>
      <c r="N95" s="199"/>
      <c r="O95" s="199"/>
      <c r="P95" s="199"/>
      <c r="Q95" s="199"/>
    </row>
    <row r="96" spans="1:17" s="39" customFormat="1" ht="230.25" thickTop="1" thickBot="1" x14ac:dyDescent="0.25">
      <c r="A96" s="284" t="s">
        <v>299</v>
      </c>
      <c r="B96" s="284" t="s">
        <v>300</v>
      </c>
      <c r="C96" s="284" t="s">
        <v>227</v>
      </c>
      <c r="D96" s="284" t="s">
        <v>9</v>
      </c>
      <c r="E96" s="175" t="s">
        <v>714</v>
      </c>
      <c r="F96" s="294" t="s">
        <v>438</v>
      </c>
      <c r="G96" s="294">
        <f t="shared" si="12"/>
        <v>74942240</v>
      </c>
      <c r="H96" s="294">
        <f>'d3'!E102</f>
        <v>74942240</v>
      </c>
      <c r="I96" s="294">
        <f>'d3'!J102</f>
        <v>0</v>
      </c>
      <c r="J96" s="294">
        <f>'d3'!K102</f>
        <v>0</v>
      </c>
      <c r="K96" s="199"/>
      <c r="L96" s="199"/>
      <c r="M96" s="199"/>
      <c r="N96" s="199"/>
      <c r="O96" s="199"/>
      <c r="P96" s="199"/>
      <c r="Q96" s="199"/>
    </row>
    <row r="97" spans="1:17" s="39" customFormat="1" ht="230.25" thickTop="1" thickBot="1" x14ac:dyDescent="0.25">
      <c r="A97" s="536" t="s">
        <v>525</v>
      </c>
      <c r="B97" s="536" t="s">
        <v>526</v>
      </c>
      <c r="C97" s="536" t="s">
        <v>227</v>
      </c>
      <c r="D97" s="536" t="s">
        <v>527</v>
      </c>
      <c r="E97" s="175" t="s">
        <v>714</v>
      </c>
      <c r="F97" s="534" t="s">
        <v>438</v>
      </c>
      <c r="G97" s="534">
        <f t="shared" si="12"/>
        <v>206796</v>
      </c>
      <c r="H97" s="534">
        <f>'d3'!E103</f>
        <v>206796</v>
      </c>
      <c r="I97" s="534">
        <f>'d3'!J103</f>
        <v>0</v>
      </c>
      <c r="J97" s="534">
        <f>'d3'!K103</f>
        <v>0</v>
      </c>
      <c r="K97" s="199"/>
      <c r="L97" s="199"/>
      <c r="M97" s="199"/>
      <c r="N97" s="199"/>
      <c r="O97" s="199"/>
      <c r="P97" s="199"/>
      <c r="Q97" s="199"/>
    </row>
    <row r="98" spans="1:17" s="39" customFormat="1" ht="230.25" thickTop="1" thickBot="1" x14ac:dyDescent="0.25">
      <c r="A98" s="628" t="s">
        <v>1161</v>
      </c>
      <c r="B98" s="628" t="s">
        <v>1162</v>
      </c>
      <c r="C98" s="628" t="s">
        <v>227</v>
      </c>
      <c r="D98" s="628" t="s">
        <v>1163</v>
      </c>
      <c r="E98" s="175" t="s">
        <v>714</v>
      </c>
      <c r="F98" s="627" t="s">
        <v>438</v>
      </c>
      <c r="G98" s="627">
        <f t="shared" ref="G98" si="13">H98+I98</f>
        <v>180000</v>
      </c>
      <c r="H98" s="627">
        <f>'d3'!E104</f>
        <v>180000</v>
      </c>
      <c r="I98" s="627">
        <f>'d3'!J104</f>
        <v>0</v>
      </c>
      <c r="J98" s="627">
        <f>'d3'!K104</f>
        <v>0</v>
      </c>
      <c r="K98" s="199"/>
      <c r="L98" s="199"/>
      <c r="M98" s="199"/>
      <c r="N98" s="199"/>
      <c r="O98" s="199"/>
      <c r="P98" s="199"/>
      <c r="Q98" s="199"/>
    </row>
    <row r="99" spans="1:17" s="39" customFormat="1" ht="230.25" thickTop="1" thickBot="1" x14ac:dyDescent="0.25">
      <c r="A99" s="536" t="s">
        <v>528</v>
      </c>
      <c r="B99" s="536" t="s">
        <v>529</v>
      </c>
      <c r="C99" s="536" t="s">
        <v>226</v>
      </c>
      <c r="D99" s="536" t="s">
        <v>530</v>
      </c>
      <c r="E99" s="175" t="s">
        <v>714</v>
      </c>
      <c r="F99" s="534" t="s">
        <v>438</v>
      </c>
      <c r="G99" s="534">
        <f t="shared" si="12"/>
        <v>353047</v>
      </c>
      <c r="H99" s="534">
        <f>'d3'!E105</f>
        <v>353047</v>
      </c>
      <c r="I99" s="534">
        <f>'d3'!J105</f>
        <v>0</v>
      </c>
      <c r="J99" s="534">
        <f>'d3'!K105</f>
        <v>0</v>
      </c>
      <c r="K99" s="199"/>
      <c r="L99" s="199"/>
      <c r="M99" s="199"/>
      <c r="N99" s="199"/>
      <c r="O99" s="199"/>
      <c r="P99" s="199"/>
      <c r="Q99" s="199"/>
    </row>
    <row r="100" spans="1:17" ht="276" thickTop="1" thickBot="1" x14ac:dyDescent="0.25">
      <c r="A100" s="405" t="s">
        <v>288</v>
      </c>
      <c r="B100" s="405" t="s">
        <v>286</v>
      </c>
      <c r="C100" s="405" t="s">
        <v>221</v>
      </c>
      <c r="D100" s="405" t="s">
        <v>17</v>
      </c>
      <c r="E100" s="175" t="s">
        <v>714</v>
      </c>
      <c r="F100" s="404" t="s">
        <v>438</v>
      </c>
      <c r="G100" s="404">
        <f t="shared" si="12"/>
        <v>28239120</v>
      </c>
      <c r="H100" s="404">
        <f>'d3'!E107</f>
        <v>27961120</v>
      </c>
      <c r="I100" s="404">
        <f>'d3'!J107</f>
        <v>278000</v>
      </c>
      <c r="J100" s="404">
        <f>'d3'!K107</f>
        <v>128000</v>
      </c>
    </row>
    <row r="101" spans="1:17" ht="230.25" thickTop="1" thickBot="1" x14ac:dyDescent="0.25">
      <c r="A101" s="405" t="s">
        <v>289</v>
      </c>
      <c r="B101" s="405" t="s">
        <v>287</v>
      </c>
      <c r="C101" s="405" t="s">
        <v>220</v>
      </c>
      <c r="D101" s="405" t="s">
        <v>494</v>
      </c>
      <c r="E101" s="175" t="s">
        <v>714</v>
      </c>
      <c r="F101" s="404" t="s">
        <v>438</v>
      </c>
      <c r="G101" s="404">
        <f t="shared" si="12"/>
        <v>7585530</v>
      </c>
      <c r="H101" s="404">
        <f>'d3'!E108</f>
        <v>7542090</v>
      </c>
      <c r="I101" s="407">
        <f>'d3'!J108</f>
        <v>43440</v>
      </c>
      <c r="J101" s="407">
        <f>'d3'!K108</f>
        <v>43440</v>
      </c>
    </row>
    <row r="102" spans="1:17" ht="409.6" thickTop="1" thickBot="1" x14ac:dyDescent="0.25">
      <c r="A102" s="405" t="s">
        <v>284</v>
      </c>
      <c r="B102" s="405" t="s">
        <v>285</v>
      </c>
      <c r="C102" s="405" t="s">
        <v>220</v>
      </c>
      <c r="D102" s="405" t="s">
        <v>492</v>
      </c>
      <c r="E102" s="175" t="s">
        <v>714</v>
      </c>
      <c r="F102" s="404" t="s">
        <v>438</v>
      </c>
      <c r="G102" s="404">
        <f t="shared" si="12"/>
        <v>2242695</v>
      </c>
      <c r="H102" s="404">
        <f>'d3'!E109</f>
        <v>2242695</v>
      </c>
      <c r="I102" s="404">
        <f>'d3'!J109</f>
        <v>0</v>
      </c>
      <c r="J102" s="404">
        <f>'d3'!K109</f>
        <v>0</v>
      </c>
    </row>
    <row r="103" spans="1:17" ht="276" thickTop="1" thickBot="1" x14ac:dyDescent="0.25">
      <c r="A103" s="405" t="s">
        <v>531</v>
      </c>
      <c r="B103" s="405" t="s">
        <v>532</v>
      </c>
      <c r="C103" s="405" t="s">
        <v>220</v>
      </c>
      <c r="D103" s="405" t="s">
        <v>533</v>
      </c>
      <c r="E103" s="175" t="s">
        <v>714</v>
      </c>
      <c r="F103" s="534" t="s">
        <v>438</v>
      </c>
      <c r="G103" s="404">
        <f t="shared" si="12"/>
        <v>147491</v>
      </c>
      <c r="H103" s="404">
        <f>'d3'!E111</f>
        <v>147491</v>
      </c>
      <c r="I103" s="404">
        <f>'d3'!J111</f>
        <v>0</v>
      </c>
      <c r="J103" s="534">
        <f>'d3'!K111</f>
        <v>0</v>
      </c>
    </row>
    <row r="104" spans="1:17" ht="367.5" thickTop="1" thickBot="1" x14ac:dyDescent="0.25">
      <c r="A104" s="405" t="s">
        <v>377</v>
      </c>
      <c r="B104" s="405" t="s">
        <v>376</v>
      </c>
      <c r="C104" s="405" t="s">
        <v>52</v>
      </c>
      <c r="D104" s="405" t="s">
        <v>493</v>
      </c>
      <c r="E104" s="175" t="s">
        <v>714</v>
      </c>
      <c r="F104" s="404" t="s">
        <v>438</v>
      </c>
      <c r="G104" s="404">
        <f t="shared" si="12"/>
        <v>1046775</v>
      </c>
      <c r="H104" s="404">
        <f>'d3'!E112-H105</f>
        <v>1046775</v>
      </c>
      <c r="I104" s="404">
        <f>'d3'!J112-I105</f>
        <v>0</v>
      </c>
      <c r="J104" s="404">
        <f>'d3'!K112-J105</f>
        <v>0</v>
      </c>
    </row>
    <row r="105" spans="1:17" ht="367.5" thickTop="1" thickBot="1" x14ac:dyDescent="0.25">
      <c r="A105" s="405" t="s">
        <v>377</v>
      </c>
      <c r="B105" s="405" t="s">
        <v>376</v>
      </c>
      <c r="C105" s="405" t="s">
        <v>52</v>
      </c>
      <c r="D105" s="405" t="s">
        <v>493</v>
      </c>
      <c r="E105" s="348" t="s">
        <v>1059</v>
      </c>
      <c r="F105" s="511" t="s">
        <v>1060</v>
      </c>
      <c r="G105" s="404">
        <f t="shared" si="12"/>
        <v>1578650</v>
      </c>
      <c r="H105" s="404">
        <f>(1284230+294420)</f>
        <v>1578650</v>
      </c>
      <c r="I105" s="404">
        <v>0</v>
      </c>
      <c r="J105" s="404">
        <v>0</v>
      </c>
    </row>
    <row r="106" spans="1:17" ht="230.25" thickTop="1" thickBot="1" x14ac:dyDescent="0.25">
      <c r="A106" s="405" t="s">
        <v>353</v>
      </c>
      <c r="B106" s="405" t="s">
        <v>354</v>
      </c>
      <c r="C106" s="405" t="s">
        <v>226</v>
      </c>
      <c r="D106" s="405" t="s">
        <v>809</v>
      </c>
      <c r="E106" s="175" t="s">
        <v>714</v>
      </c>
      <c r="F106" s="404" t="s">
        <v>438</v>
      </c>
      <c r="G106" s="404">
        <f t="shared" si="12"/>
        <v>500000</v>
      </c>
      <c r="H106" s="404">
        <f>'d3'!E114</f>
        <v>500000</v>
      </c>
      <c r="I106" s="404">
        <f>'d3'!J114</f>
        <v>0</v>
      </c>
      <c r="J106" s="404">
        <f>'d3'!K114</f>
        <v>0</v>
      </c>
    </row>
    <row r="107" spans="1:17" ht="184.5" thickTop="1" thickBot="1" x14ac:dyDescent="0.25">
      <c r="A107" s="405" t="s">
        <v>459</v>
      </c>
      <c r="B107" s="405" t="s">
        <v>401</v>
      </c>
      <c r="C107" s="405" t="s">
        <v>402</v>
      </c>
      <c r="D107" s="405" t="s">
        <v>400</v>
      </c>
      <c r="E107" s="348" t="s">
        <v>1265</v>
      </c>
      <c r="F107" s="708" t="s">
        <v>1266</v>
      </c>
      <c r="G107" s="404">
        <f t="shared" si="12"/>
        <v>100040</v>
      </c>
      <c r="H107" s="404">
        <f>'d3'!E116</f>
        <v>100040</v>
      </c>
      <c r="I107" s="404">
        <f>'d3'!J116</f>
        <v>0</v>
      </c>
      <c r="J107" s="404">
        <f>'d3'!K116</f>
        <v>0</v>
      </c>
    </row>
    <row r="108" spans="1:17" ht="230.25" thickTop="1" thickBot="1" x14ac:dyDescent="0.25">
      <c r="A108" s="405" t="s">
        <v>355</v>
      </c>
      <c r="B108" s="405" t="s">
        <v>357</v>
      </c>
      <c r="C108" s="405" t="s">
        <v>212</v>
      </c>
      <c r="D108" s="353" t="s">
        <v>359</v>
      </c>
      <c r="E108" s="175" t="s">
        <v>714</v>
      </c>
      <c r="F108" s="404" t="s">
        <v>438</v>
      </c>
      <c r="G108" s="404">
        <f t="shared" si="12"/>
        <v>7916379</v>
      </c>
      <c r="H108" s="325">
        <f>'d3'!E118-H109</f>
        <v>7771379</v>
      </c>
      <c r="I108" s="404">
        <f>'d3'!J118-I109</f>
        <v>145000</v>
      </c>
      <c r="J108" s="404">
        <f>'d3'!K118-J109</f>
        <v>0</v>
      </c>
    </row>
    <row r="109" spans="1:17" ht="230.25" thickTop="1" thickBot="1" x14ac:dyDescent="0.25">
      <c r="A109" s="405" t="s">
        <v>355</v>
      </c>
      <c r="B109" s="405" t="s">
        <v>357</v>
      </c>
      <c r="C109" s="405" t="s">
        <v>212</v>
      </c>
      <c r="D109" s="353" t="s">
        <v>359</v>
      </c>
      <c r="E109" s="175" t="s">
        <v>488</v>
      </c>
      <c r="F109" s="285" t="s">
        <v>489</v>
      </c>
      <c r="G109" s="404">
        <f>H109+I109</f>
        <v>463983</v>
      </c>
      <c r="H109" s="325">
        <f>(34018+31058+10567)</f>
        <v>75643</v>
      </c>
      <c r="I109" s="404">
        <f>(136399+40788+138259+72894)</f>
        <v>388340</v>
      </c>
      <c r="J109" s="404">
        <f>(136399+40788+138259+72894)</f>
        <v>388340</v>
      </c>
    </row>
    <row r="110" spans="1:17" ht="230.25" thickTop="1" thickBot="1" x14ac:dyDescent="0.25">
      <c r="A110" s="405" t="s">
        <v>356</v>
      </c>
      <c r="B110" s="405" t="s">
        <v>358</v>
      </c>
      <c r="C110" s="405" t="s">
        <v>212</v>
      </c>
      <c r="D110" s="353" t="s">
        <v>360</v>
      </c>
      <c r="E110" s="175" t="s">
        <v>714</v>
      </c>
      <c r="F110" s="404" t="s">
        <v>438</v>
      </c>
      <c r="G110" s="404">
        <f t="shared" si="12"/>
        <v>23292633</v>
      </c>
      <c r="H110" s="404">
        <f>'d3'!E119-H111-H112</f>
        <v>23142633</v>
      </c>
      <c r="I110" s="404">
        <f>'d3'!J119-I111-I112</f>
        <v>150000</v>
      </c>
      <c r="J110" s="404">
        <f>'d3'!K119-J111-J112</f>
        <v>150000</v>
      </c>
    </row>
    <row r="111" spans="1:17" ht="138.75" thickTop="1" thickBot="1" x14ac:dyDescent="0.25">
      <c r="A111" s="405" t="s">
        <v>356</v>
      </c>
      <c r="B111" s="405" t="s">
        <v>358</v>
      </c>
      <c r="C111" s="405" t="s">
        <v>212</v>
      </c>
      <c r="D111" s="353" t="s">
        <v>360</v>
      </c>
      <c r="E111" s="404" t="s">
        <v>1057</v>
      </c>
      <c r="F111" s="404" t="s">
        <v>1058</v>
      </c>
      <c r="G111" s="404">
        <f t="shared" si="12"/>
        <v>700000</v>
      </c>
      <c r="H111" s="404">
        <f>200000+500000</f>
        <v>700000</v>
      </c>
      <c r="I111" s="404">
        <v>0</v>
      </c>
      <c r="J111" s="404">
        <v>0</v>
      </c>
    </row>
    <row r="112" spans="1:17" ht="184.5" thickTop="1" thickBot="1" x14ac:dyDescent="0.25">
      <c r="A112" s="405" t="s">
        <v>356</v>
      </c>
      <c r="B112" s="405" t="s">
        <v>358</v>
      </c>
      <c r="C112" s="405" t="s">
        <v>212</v>
      </c>
      <c r="D112" s="353" t="s">
        <v>360</v>
      </c>
      <c r="E112" s="348" t="s">
        <v>1059</v>
      </c>
      <c r="F112" s="511" t="s">
        <v>1060</v>
      </c>
      <c r="G112" s="404">
        <f t="shared" si="12"/>
        <v>3936490</v>
      </c>
      <c r="H112" s="404">
        <f>3000000+476490+400000+60000</f>
        <v>3936490</v>
      </c>
      <c r="I112" s="404">
        <v>0</v>
      </c>
      <c r="J112" s="404">
        <v>0</v>
      </c>
      <c r="K112" s="232"/>
    </row>
    <row r="113" spans="1:17" ht="184.5" thickTop="1" thickBot="1" x14ac:dyDescent="0.25">
      <c r="A113" s="405" t="s">
        <v>396</v>
      </c>
      <c r="B113" s="405" t="s">
        <v>394</v>
      </c>
      <c r="C113" s="405" t="s">
        <v>368</v>
      </c>
      <c r="D113" s="353" t="s">
        <v>395</v>
      </c>
      <c r="E113" s="348" t="s">
        <v>1059</v>
      </c>
      <c r="F113" s="511" t="s">
        <v>1060</v>
      </c>
      <c r="G113" s="404">
        <f t="shared" si="12"/>
        <v>4000000</v>
      </c>
      <c r="H113" s="404">
        <f>'d3'!E122</f>
        <v>0</v>
      </c>
      <c r="I113" s="404">
        <f>'d3'!J122</f>
        <v>4000000</v>
      </c>
      <c r="J113" s="404">
        <f>'d3'!K122</f>
        <v>4000000</v>
      </c>
    </row>
    <row r="114" spans="1:17" s="640" customFormat="1" ht="230.25" thickTop="1" thickBot="1" x14ac:dyDescent="0.25">
      <c r="A114" s="646" t="s">
        <v>1167</v>
      </c>
      <c r="B114" s="646" t="s">
        <v>1168</v>
      </c>
      <c r="C114" s="646" t="s">
        <v>326</v>
      </c>
      <c r="D114" s="646" t="s">
        <v>1169</v>
      </c>
      <c r="E114" s="175" t="s">
        <v>714</v>
      </c>
      <c r="F114" s="641" t="s">
        <v>438</v>
      </c>
      <c r="G114" s="641">
        <f t="shared" si="12"/>
        <v>220000</v>
      </c>
      <c r="H114" s="651">
        <f>'d3'!E126</f>
        <v>0</v>
      </c>
      <c r="I114" s="651">
        <f>'d3'!J126</f>
        <v>220000</v>
      </c>
      <c r="J114" s="651">
        <f>'d3'!K126</f>
        <v>220000</v>
      </c>
      <c r="K114" s="652"/>
      <c r="L114" s="652"/>
      <c r="M114" s="652"/>
      <c r="N114" s="652"/>
      <c r="O114" s="652"/>
      <c r="P114" s="652"/>
      <c r="Q114" s="652"/>
    </row>
    <row r="115" spans="1:17" ht="409.6" thickTop="1" thickBot="1" x14ac:dyDescent="0.7">
      <c r="A115" s="895" t="s">
        <v>454</v>
      </c>
      <c r="B115" s="895" t="s">
        <v>366</v>
      </c>
      <c r="C115" s="895" t="s">
        <v>187</v>
      </c>
      <c r="D115" s="339" t="s">
        <v>476</v>
      </c>
      <c r="E115" s="895" t="s">
        <v>1049</v>
      </c>
      <c r="F115" s="895" t="s">
        <v>1050</v>
      </c>
      <c r="G115" s="936">
        <f>H115+I115</f>
        <v>322000</v>
      </c>
      <c r="H115" s="936">
        <f>'d3'!E129</f>
        <v>0</v>
      </c>
      <c r="I115" s="936">
        <f>'d3'!J129</f>
        <v>322000</v>
      </c>
      <c r="J115" s="936">
        <f>'d3'!K129</f>
        <v>0</v>
      </c>
    </row>
    <row r="116" spans="1:17" ht="184.5" thickTop="1" thickBot="1" x14ac:dyDescent="0.25">
      <c r="A116" s="896"/>
      <c r="B116" s="896"/>
      <c r="C116" s="896"/>
      <c r="D116" s="343" t="s">
        <v>477</v>
      </c>
      <c r="E116" s="896"/>
      <c r="F116" s="896"/>
      <c r="G116" s="938"/>
      <c r="H116" s="938"/>
      <c r="I116" s="939"/>
      <c r="J116" s="939"/>
      <c r="K116" s="226"/>
      <c r="L116" s="229"/>
      <c r="M116" s="229"/>
    </row>
    <row r="117" spans="1:17" ht="181.5" thickTop="1" thickBot="1" x14ac:dyDescent="0.25">
      <c r="A117" s="595">
        <v>1000000</v>
      </c>
      <c r="B117" s="595"/>
      <c r="C117" s="595"/>
      <c r="D117" s="596" t="s">
        <v>24</v>
      </c>
      <c r="E117" s="597"/>
      <c r="F117" s="598"/>
      <c r="G117" s="598">
        <f>G118</f>
        <v>140559607</v>
      </c>
      <c r="H117" s="598">
        <f t="shared" ref="H117:J117" si="14">H118</f>
        <v>123163207</v>
      </c>
      <c r="I117" s="597">
        <f t="shared" si="14"/>
        <v>17396400</v>
      </c>
      <c r="J117" s="597">
        <f t="shared" si="14"/>
        <v>7566000</v>
      </c>
      <c r="K117" s="237" t="b">
        <f>H117='d3'!E132</f>
        <v>1</v>
      </c>
      <c r="L117" s="238" t="b">
        <f>I117='d3'!J132</f>
        <v>1</v>
      </c>
      <c r="M117" s="238" t="b">
        <f>J117='d3'!K132</f>
        <v>1</v>
      </c>
    </row>
    <row r="118" spans="1:17" ht="181.5" thickTop="1" thickBot="1" x14ac:dyDescent="0.25">
      <c r="A118" s="599">
        <v>1010000</v>
      </c>
      <c r="B118" s="599"/>
      <c r="C118" s="599"/>
      <c r="D118" s="600" t="s">
        <v>41</v>
      </c>
      <c r="E118" s="601"/>
      <c r="F118" s="601"/>
      <c r="G118" s="601">
        <f>SUM(G119:G133)</f>
        <v>140559607</v>
      </c>
      <c r="H118" s="601">
        <f>SUM(H119:H133)</f>
        <v>123163207</v>
      </c>
      <c r="I118" s="601">
        <f>SUM(I119:I133)</f>
        <v>17396400</v>
      </c>
      <c r="J118" s="601">
        <f>SUM(J119:J133)</f>
        <v>7566000</v>
      </c>
    </row>
    <row r="119" spans="1:17" ht="184.5" thickTop="1" thickBot="1" x14ac:dyDescent="0.25">
      <c r="A119" s="405" t="s">
        <v>810</v>
      </c>
      <c r="B119" s="405" t="s">
        <v>811</v>
      </c>
      <c r="C119" s="405" t="s">
        <v>202</v>
      </c>
      <c r="D119" s="405" t="s">
        <v>549</v>
      </c>
      <c r="E119" s="404" t="s">
        <v>1055</v>
      </c>
      <c r="F119" s="511" t="s">
        <v>1056</v>
      </c>
      <c r="G119" s="404">
        <f>H119+I119</f>
        <v>79031685</v>
      </c>
      <c r="H119" s="404">
        <f>'d3'!E134</f>
        <v>68969585</v>
      </c>
      <c r="I119" s="404">
        <f>'d3'!J134</f>
        <v>10062100</v>
      </c>
      <c r="J119" s="404">
        <f>'d3'!K134</f>
        <v>1000000</v>
      </c>
    </row>
    <row r="120" spans="1:17" ht="243" customHeight="1" thickTop="1" thickBot="1" x14ac:dyDescent="0.25">
      <c r="A120" s="405" t="s">
        <v>188</v>
      </c>
      <c r="B120" s="405" t="s">
        <v>189</v>
      </c>
      <c r="C120" s="405" t="s">
        <v>191</v>
      </c>
      <c r="D120" s="405" t="s">
        <v>192</v>
      </c>
      <c r="E120" s="511" t="s">
        <v>1055</v>
      </c>
      <c r="F120" s="511" t="s">
        <v>1056</v>
      </c>
      <c r="G120" s="404">
        <f t="shared" ref="G120:G133" si="15">H120+I120</f>
        <v>1030790</v>
      </c>
      <c r="H120" s="404">
        <f>'d3'!E136</f>
        <v>1030790</v>
      </c>
      <c r="I120" s="404">
        <f>'d3'!J136</f>
        <v>0</v>
      </c>
      <c r="J120" s="404">
        <f>'d3'!K136</f>
        <v>0</v>
      </c>
    </row>
    <row r="121" spans="1:17" ht="184.5" thickTop="1" thickBot="1" x14ac:dyDescent="0.25">
      <c r="A121" s="405" t="s">
        <v>193</v>
      </c>
      <c r="B121" s="405" t="s">
        <v>194</v>
      </c>
      <c r="C121" s="405" t="s">
        <v>195</v>
      </c>
      <c r="D121" s="405" t="s">
        <v>196</v>
      </c>
      <c r="E121" s="511" t="s">
        <v>1055</v>
      </c>
      <c r="F121" s="511" t="s">
        <v>1056</v>
      </c>
      <c r="G121" s="404">
        <f t="shared" si="15"/>
        <v>13740395</v>
      </c>
      <c r="H121" s="404">
        <f>'d3'!E137-H122-H123</f>
        <v>13645395</v>
      </c>
      <c r="I121" s="404">
        <f>'d3'!J137-I122-I123</f>
        <v>95000</v>
      </c>
      <c r="J121" s="404">
        <f>'d3'!K137-J122-J123</f>
        <v>0</v>
      </c>
    </row>
    <row r="122" spans="1:17" ht="230.25" thickTop="1" thickBot="1" x14ac:dyDescent="0.25">
      <c r="A122" s="405" t="s">
        <v>193</v>
      </c>
      <c r="B122" s="405" t="s">
        <v>194</v>
      </c>
      <c r="C122" s="405" t="s">
        <v>195</v>
      </c>
      <c r="D122" s="405" t="s">
        <v>196</v>
      </c>
      <c r="E122" s="175" t="s">
        <v>488</v>
      </c>
      <c r="F122" s="285" t="s">
        <v>489</v>
      </c>
      <c r="G122" s="404">
        <f>H122+I122</f>
        <v>300000</v>
      </c>
      <c r="H122" s="325">
        <f>(56000+55000)</f>
        <v>111000</v>
      </c>
      <c r="I122" s="404">
        <f>(10000+84000+28000+67000)</f>
        <v>189000</v>
      </c>
      <c r="J122" s="404">
        <f>(10000+84000+28000+67000)</f>
        <v>189000</v>
      </c>
    </row>
    <row r="123" spans="1:17" s="584" customFormat="1" ht="276" thickTop="1" thickBot="1" x14ac:dyDescent="0.25">
      <c r="A123" s="590" t="s">
        <v>193</v>
      </c>
      <c r="B123" s="590" t="s">
        <v>194</v>
      </c>
      <c r="C123" s="590" t="s">
        <v>195</v>
      </c>
      <c r="D123" s="590" t="s">
        <v>196</v>
      </c>
      <c r="E123" s="586" t="s">
        <v>1053</v>
      </c>
      <c r="F123" s="589" t="s">
        <v>1054</v>
      </c>
      <c r="G123" s="589">
        <f>H123+I123</f>
        <v>766000</v>
      </c>
      <c r="H123" s="591">
        <v>0</v>
      </c>
      <c r="I123" s="589">
        <v>766000</v>
      </c>
      <c r="J123" s="589">
        <v>766000</v>
      </c>
      <c r="K123" s="593"/>
      <c r="L123" s="593"/>
      <c r="M123" s="593"/>
      <c r="N123" s="593"/>
      <c r="O123" s="593"/>
      <c r="P123" s="593"/>
      <c r="Q123" s="593"/>
    </row>
    <row r="124" spans="1:17" ht="184.5" thickTop="1" thickBot="1" x14ac:dyDescent="0.25">
      <c r="A124" s="405" t="s">
        <v>197</v>
      </c>
      <c r="B124" s="405" t="s">
        <v>198</v>
      </c>
      <c r="C124" s="405" t="s">
        <v>195</v>
      </c>
      <c r="D124" s="405" t="s">
        <v>503</v>
      </c>
      <c r="E124" s="511" t="s">
        <v>1055</v>
      </c>
      <c r="F124" s="511" t="s">
        <v>1056</v>
      </c>
      <c r="G124" s="404">
        <f t="shared" si="15"/>
        <v>7102055</v>
      </c>
      <c r="H124" s="404">
        <f>'d3'!E138</f>
        <v>1856955</v>
      </c>
      <c r="I124" s="404">
        <f>'d3'!J138</f>
        <v>5245100</v>
      </c>
      <c r="J124" s="404">
        <f>'d3'!K138</f>
        <v>5164900</v>
      </c>
    </row>
    <row r="125" spans="1:17" ht="184.5" thickTop="1" thickBot="1" x14ac:dyDescent="0.25">
      <c r="A125" s="405" t="s">
        <v>199</v>
      </c>
      <c r="B125" s="405" t="s">
        <v>190</v>
      </c>
      <c r="C125" s="405" t="s">
        <v>200</v>
      </c>
      <c r="D125" s="405" t="s">
        <v>201</v>
      </c>
      <c r="E125" s="511" t="s">
        <v>1055</v>
      </c>
      <c r="F125" s="511" t="s">
        <v>1056</v>
      </c>
      <c r="G125" s="404">
        <f t="shared" si="15"/>
        <v>13945815</v>
      </c>
      <c r="H125" s="404">
        <f>'d3'!E139-H126</f>
        <v>13468115</v>
      </c>
      <c r="I125" s="404">
        <f>'d3'!J139-I126</f>
        <v>477700</v>
      </c>
      <c r="J125" s="404">
        <f>'d3'!K139-J126</f>
        <v>21600</v>
      </c>
    </row>
    <row r="126" spans="1:17" ht="230.25" thickTop="1" thickBot="1" x14ac:dyDescent="0.25">
      <c r="A126" s="405" t="s">
        <v>199</v>
      </c>
      <c r="B126" s="405" t="s">
        <v>190</v>
      </c>
      <c r="C126" s="405" t="s">
        <v>200</v>
      </c>
      <c r="D126" s="405" t="s">
        <v>201</v>
      </c>
      <c r="E126" s="175" t="s">
        <v>488</v>
      </c>
      <c r="F126" s="285" t="s">
        <v>489</v>
      </c>
      <c r="G126" s="404">
        <f>H126+I126</f>
        <v>149300</v>
      </c>
      <c r="H126" s="325">
        <v>24800</v>
      </c>
      <c r="I126" s="404">
        <v>124500</v>
      </c>
      <c r="J126" s="404">
        <v>124500</v>
      </c>
    </row>
    <row r="127" spans="1:17" ht="184.5" thickTop="1" thickBot="1" x14ac:dyDescent="0.25">
      <c r="A127" s="405" t="s">
        <v>361</v>
      </c>
      <c r="B127" s="405" t="s">
        <v>362</v>
      </c>
      <c r="C127" s="405" t="s">
        <v>203</v>
      </c>
      <c r="D127" s="405" t="s">
        <v>504</v>
      </c>
      <c r="E127" s="511" t="s">
        <v>1055</v>
      </c>
      <c r="F127" s="511" t="s">
        <v>1056</v>
      </c>
      <c r="G127" s="404">
        <f t="shared" si="15"/>
        <v>18515270</v>
      </c>
      <c r="H127" s="404">
        <f>'d3'!E141-H128</f>
        <v>18378270</v>
      </c>
      <c r="I127" s="404">
        <f>'d3'!J141-I128</f>
        <v>137000</v>
      </c>
      <c r="J127" s="404">
        <f>'d3'!K141-J128</f>
        <v>0</v>
      </c>
    </row>
    <row r="128" spans="1:17" ht="199.5" customHeight="1" thickTop="1" thickBot="1" x14ac:dyDescent="0.25">
      <c r="A128" s="405" t="s">
        <v>361</v>
      </c>
      <c r="B128" s="405" t="s">
        <v>362</v>
      </c>
      <c r="C128" s="405" t="s">
        <v>203</v>
      </c>
      <c r="D128" s="405" t="s">
        <v>504</v>
      </c>
      <c r="E128" s="404" t="s">
        <v>728</v>
      </c>
      <c r="F128" s="404" t="s">
        <v>437</v>
      </c>
      <c r="G128" s="404">
        <f t="shared" si="15"/>
        <v>804000</v>
      </c>
      <c r="H128" s="404">
        <v>804000</v>
      </c>
      <c r="I128" s="404">
        <v>0</v>
      </c>
      <c r="J128" s="404">
        <v>0</v>
      </c>
    </row>
    <row r="129" spans="1:17" ht="246" customHeight="1" thickTop="1" thickBot="1" x14ac:dyDescent="0.25">
      <c r="A129" s="405" t="s">
        <v>363</v>
      </c>
      <c r="B129" s="405" t="s">
        <v>364</v>
      </c>
      <c r="C129" s="405" t="s">
        <v>203</v>
      </c>
      <c r="D129" s="405" t="s">
        <v>505</v>
      </c>
      <c r="E129" s="511" t="s">
        <v>1055</v>
      </c>
      <c r="F129" s="511" t="s">
        <v>1056</v>
      </c>
      <c r="G129" s="404">
        <f t="shared" si="15"/>
        <v>3837160</v>
      </c>
      <c r="H129" s="404">
        <f>'d3'!E142-H130-H131</f>
        <v>3837160</v>
      </c>
      <c r="I129" s="404">
        <f>'d3'!J142-I130-I131</f>
        <v>0</v>
      </c>
      <c r="J129" s="404">
        <f>'d3'!K142-J130-J131</f>
        <v>0</v>
      </c>
    </row>
    <row r="130" spans="1:17" ht="178.5" customHeight="1" thickTop="1" thickBot="1" x14ac:dyDescent="0.25">
      <c r="A130" s="405" t="s">
        <v>363</v>
      </c>
      <c r="B130" s="405" t="s">
        <v>364</v>
      </c>
      <c r="C130" s="405" t="s">
        <v>203</v>
      </c>
      <c r="D130" s="405" t="s">
        <v>505</v>
      </c>
      <c r="E130" s="404" t="s">
        <v>728</v>
      </c>
      <c r="F130" s="404" t="s">
        <v>437</v>
      </c>
      <c r="G130" s="404">
        <f t="shared" si="15"/>
        <v>315000</v>
      </c>
      <c r="H130" s="404">
        <v>315000</v>
      </c>
      <c r="I130" s="404">
        <v>0</v>
      </c>
      <c r="J130" s="404">
        <v>0</v>
      </c>
    </row>
    <row r="131" spans="1:17" ht="310.7" customHeight="1" thickTop="1" thickBot="1" x14ac:dyDescent="0.25">
      <c r="A131" s="405" t="s">
        <v>363</v>
      </c>
      <c r="B131" s="405" t="s">
        <v>364</v>
      </c>
      <c r="C131" s="405" t="s">
        <v>203</v>
      </c>
      <c r="D131" s="405" t="s">
        <v>505</v>
      </c>
      <c r="E131" s="512" t="s">
        <v>1053</v>
      </c>
      <c r="F131" s="511" t="s">
        <v>1054</v>
      </c>
      <c r="G131" s="404">
        <f t="shared" si="15"/>
        <v>164000</v>
      </c>
      <c r="H131" s="404">
        <v>164000</v>
      </c>
      <c r="I131" s="404">
        <v>0</v>
      </c>
      <c r="J131" s="404">
        <v>0</v>
      </c>
      <c r="K131" s="156"/>
      <c r="L131" s="156"/>
    </row>
    <row r="132" spans="1:17" s="584" customFormat="1" ht="310.7" customHeight="1" thickTop="1" thickBot="1" x14ac:dyDescent="0.25">
      <c r="A132" s="588" t="s">
        <v>1148</v>
      </c>
      <c r="B132" s="588" t="s">
        <v>218</v>
      </c>
      <c r="C132" s="588" t="s">
        <v>187</v>
      </c>
      <c r="D132" s="588" t="s">
        <v>36</v>
      </c>
      <c r="E132" s="313" t="s">
        <v>1049</v>
      </c>
      <c r="F132" s="589" t="s">
        <v>1050</v>
      </c>
      <c r="G132" s="589">
        <f t="shared" si="15"/>
        <v>300000</v>
      </c>
      <c r="H132" s="589">
        <f>'d3'!E145</f>
        <v>0</v>
      </c>
      <c r="I132" s="589">
        <f>'d3'!J145</f>
        <v>300000</v>
      </c>
      <c r="J132" s="594">
        <f>'d3'!K145</f>
        <v>300000</v>
      </c>
      <c r="K132" s="249"/>
      <c r="L132" s="249"/>
      <c r="M132" s="593"/>
      <c r="N132" s="593"/>
      <c r="O132" s="593"/>
      <c r="P132" s="593"/>
      <c r="Q132" s="593"/>
    </row>
    <row r="133" spans="1:17" s="244" customFormat="1" ht="230.25" thickTop="1" thickBot="1" x14ac:dyDescent="0.25">
      <c r="A133" s="406" t="s">
        <v>727</v>
      </c>
      <c r="B133" s="406" t="s">
        <v>392</v>
      </c>
      <c r="C133" s="406" t="s">
        <v>45</v>
      </c>
      <c r="D133" s="406" t="s">
        <v>393</v>
      </c>
      <c r="E133" s="313" t="s">
        <v>1049</v>
      </c>
      <c r="F133" s="508" t="s">
        <v>1050</v>
      </c>
      <c r="G133" s="404">
        <f t="shared" si="15"/>
        <v>558137</v>
      </c>
      <c r="H133" s="404">
        <f>'d3'!E148</f>
        <v>558137</v>
      </c>
      <c r="I133" s="404">
        <f>'d3'!J148</f>
        <v>0</v>
      </c>
      <c r="J133" s="404">
        <f>'d3'!K148</f>
        <v>0</v>
      </c>
      <c r="K133" s="249"/>
      <c r="L133" s="249"/>
      <c r="M133" s="245"/>
      <c r="N133" s="245"/>
      <c r="O133" s="245"/>
      <c r="P133" s="245"/>
      <c r="Q133" s="245"/>
    </row>
    <row r="134" spans="1:17" ht="163.5" customHeight="1" thickTop="1" thickBot="1" x14ac:dyDescent="0.25">
      <c r="A134" s="595" t="s">
        <v>22</v>
      </c>
      <c r="B134" s="595"/>
      <c r="C134" s="595"/>
      <c r="D134" s="596" t="s">
        <v>23</v>
      </c>
      <c r="E134" s="597"/>
      <c r="F134" s="598"/>
      <c r="G134" s="598">
        <f>G135</f>
        <v>94409711.730000004</v>
      </c>
      <c r="H134" s="598">
        <f t="shared" ref="H134:J134" si="16">H135</f>
        <v>88014266.530000001</v>
      </c>
      <c r="I134" s="597">
        <f t="shared" si="16"/>
        <v>6395445.2000000002</v>
      </c>
      <c r="J134" s="597">
        <f t="shared" si="16"/>
        <v>4267458</v>
      </c>
      <c r="K134" s="237" t="b">
        <f>H134='d3'!E150+'d4'!F12</f>
        <v>1</v>
      </c>
      <c r="L134" s="238" t="b">
        <f>I134='d3'!J149+'d4'!G12</f>
        <v>1</v>
      </c>
      <c r="M134" s="238" t="b">
        <f>J134='d3'!K149+'d4'!H12</f>
        <v>1</v>
      </c>
    </row>
    <row r="135" spans="1:17" ht="175.7" customHeight="1" thickTop="1" thickBot="1" x14ac:dyDescent="0.25">
      <c r="A135" s="599" t="s">
        <v>21</v>
      </c>
      <c r="B135" s="599"/>
      <c r="C135" s="599"/>
      <c r="D135" s="600" t="s">
        <v>37</v>
      </c>
      <c r="E135" s="601"/>
      <c r="F135" s="601"/>
      <c r="G135" s="601">
        <f>SUM(G136:G150)</f>
        <v>94409711.730000004</v>
      </c>
      <c r="H135" s="601">
        <f>SUM(H136:H150)</f>
        <v>88014266.530000001</v>
      </c>
      <c r="I135" s="601">
        <f>SUM(I136:I150)</f>
        <v>6395445.2000000002</v>
      </c>
      <c r="J135" s="601">
        <f>SUM(J136:J150)</f>
        <v>4267458</v>
      </c>
    </row>
    <row r="136" spans="1:17" ht="321.75" thickTop="1" thickBot="1" x14ac:dyDescent="0.25">
      <c r="A136" s="405" t="s">
        <v>204</v>
      </c>
      <c r="B136" s="405" t="s">
        <v>205</v>
      </c>
      <c r="C136" s="405" t="s">
        <v>206</v>
      </c>
      <c r="D136" s="406" t="s">
        <v>812</v>
      </c>
      <c r="E136" s="175" t="s">
        <v>730</v>
      </c>
      <c r="F136" s="404" t="s">
        <v>439</v>
      </c>
      <c r="G136" s="404">
        <f t="shared" ref="G136:G137" si="17">H136+I136</f>
        <v>5303095</v>
      </c>
      <c r="H136" s="325">
        <f>'d3'!E153</f>
        <v>5303095</v>
      </c>
      <c r="I136" s="344">
        <f>'d3'!J153</f>
        <v>0</v>
      </c>
      <c r="J136" s="404">
        <f>'d3'!K153</f>
        <v>0</v>
      </c>
    </row>
    <row r="137" spans="1:17" ht="321.75" thickTop="1" thickBot="1" x14ac:dyDescent="0.25">
      <c r="A137" s="405" t="s">
        <v>210</v>
      </c>
      <c r="B137" s="405" t="s">
        <v>211</v>
      </c>
      <c r="C137" s="405" t="s">
        <v>206</v>
      </c>
      <c r="D137" s="405" t="s">
        <v>10</v>
      </c>
      <c r="E137" s="175" t="s">
        <v>730</v>
      </c>
      <c r="F137" s="404" t="s">
        <v>439</v>
      </c>
      <c r="G137" s="404">
        <f t="shared" si="17"/>
        <v>5494267</v>
      </c>
      <c r="H137" s="325">
        <f>'d3'!E155</f>
        <v>4435310</v>
      </c>
      <c r="I137" s="344">
        <f>'d3'!J155</f>
        <v>1058957</v>
      </c>
      <c r="J137" s="404">
        <f>'d3'!K155</f>
        <v>733957</v>
      </c>
    </row>
    <row r="138" spans="1:17" ht="321.75" thickTop="1" thickBot="1" x14ac:dyDescent="0.25">
      <c r="A138" s="405" t="s">
        <v>380</v>
      </c>
      <c r="B138" s="405" t="s">
        <v>381</v>
      </c>
      <c r="C138" s="405" t="s">
        <v>206</v>
      </c>
      <c r="D138" s="405" t="s">
        <v>382</v>
      </c>
      <c r="E138" s="175" t="s">
        <v>730</v>
      </c>
      <c r="F138" s="404" t="s">
        <v>439</v>
      </c>
      <c r="G138" s="404">
        <f t="shared" ref="G138:G142" si="18">H138+I138</f>
        <v>6782786</v>
      </c>
      <c r="H138" s="325">
        <f>'d3'!E156</f>
        <v>6779786</v>
      </c>
      <c r="I138" s="344">
        <f>'d3'!J156</f>
        <v>3000</v>
      </c>
      <c r="J138" s="404">
        <f>'d3'!K156</f>
        <v>0</v>
      </c>
    </row>
    <row r="139" spans="1:17" ht="321.75" thickTop="1" thickBot="1" x14ac:dyDescent="0.25">
      <c r="A139" s="405" t="s">
        <v>46</v>
      </c>
      <c r="B139" s="405" t="s">
        <v>207</v>
      </c>
      <c r="C139" s="405" t="s">
        <v>216</v>
      </c>
      <c r="D139" s="405" t="s">
        <v>47</v>
      </c>
      <c r="E139" s="175" t="s">
        <v>730</v>
      </c>
      <c r="F139" s="404" t="s">
        <v>439</v>
      </c>
      <c r="G139" s="404">
        <f t="shared" si="18"/>
        <v>12164902</v>
      </c>
      <c r="H139" s="404">
        <f>'d3'!E159</f>
        <v>12164902</v>
      </c>
      <c r="I139" s="344">
        <f>'d3'!J159</f>
        <v>0</v>
      </c>
      <c r="J139" s="404">
        <f>'d3'!K159</f>
        <v>0</v>
      </c>
    </row>
    <row r="140" spans="1:17" ht="321.75" thickTop="1" thickBot="1" x14ac:dyDescent="0.25">
      <c r="A140" s="405" t="s">
        <v>48</v>
      </c>
      <c r="B140" s="405" t="s">
        <v>208</v>
      </c>
      <c r="C140" s="405" t="s">
        <v>216</v>
      </c>
      <c r="D140" s="405" t="s">
        <v>4</v>
      </c>
      <c r="E140" s="175" t="s">
        <v>730</v>
      </c>
      <c r="F140" s="404" t="s">
        <v>439</v>
      </c>
      <c r="G140" s="404">
        <f t="shared" si="18"/>
        <v>1909585</v>
      </c>
      <c r="H140" s="404">
        <f>'d3'!E160</f>
        <v>1909585</v>
      </c>
      <c r="I140" s="344">
        <f>'d3'!J160</f>
        <v>0</v>
      </c>
      <c r="J140" s="404">
        <f>'d3'!K160</f>
        <v>0</v>
      </c>
    </row>
    <row r="141" spans="1:17" ht="321.75" thickTop="1" thickBot="1" x14ac:dyDescent="0.25">
      <c r="A141" s="405" t="s">
        <v>49</v>
      </c>
      <c r="B141" s="405" t="s">
        <v>209</v>
      </c>
      <c r="C141" s="405" t="s">
        <v>216</v>
      </c>
      <c r="D141" s="405" t="s">
        <v>378</v>
      </c>
      <c r="E141" s="175" t="s">
        <v>730</v>
      </c>
      <c r="F141" s="404" t="s">
        <v>439</v>
      </c>
      <c r="G141" s="404">
        <f t="shared" si="18"/>
        <v>60300</v>
      </c>
      <c r="H141" s="404">
        <f>'d3'!E162</f>
        <v>60300</v>
      </c>
      <c r="I141" s="344">
        <f>'d3'!J162</f>
        <v>0</v>
      </c>
      <c r="J141" s="404">
        <f>'d3'!K162</f>
        <v>0</v>
      </c>
    </row>
    <row r="142" spans="1:17" ht="321.75" thickTop="1" thickBot="1" x14ac:dyDescent="0.25">
      <c r="A142" s="405" t="s">
        <v>28</v>
      </c>
      <c r="B142" s="405" t="s">
        <v>213</v>
      </c>
      <c r="C142" s="405" t="s">
        <v>216</v>
      </c>
      <c r="D142" s="405" t="s">
        <v>50</v>
      </c>
      <c r="E142" s="175" t="s">
        <v>730</v>
      </c>
      <c r="F142" s="404" t="s">
        <v>439</v>
      </c>
      <c r="G142" s="404">
        <f t="shared" si="18"/>
        <v>48217630</v>
      </c>
      <c r="H142" s="404">
        <f>'d3'!E164-H143</f>
        <v>44376538</v>
      </c>
      <c r="I142" s="344">
        <f>'d3'!J164-I143</f>
        <v>3841092</v>
      </c>
      <c r="J142" s="404">
        <f>'d3'!K164-J143</f>
        <v>2264847</v>
      </c>
    </row>
    <row r="143" spans="1:17" ht="230.25" thickTop="1" thickBot="1" x14ac:dyDescent="0.25">
      <c r="A143" s="405" t="s">
        <v>28</v>
      </c>
      <c r="B143" s="405" t="s">
        <v>213</v>
      </c>
      <c r="C143" s="405" t="s">
        <v>216</v>
      </c>
      <c r="D143" s="405" t="s">
        <v>50</v>
      </c>
      <c r="E143" s="175" t="s">
        <v>488</v>
      </c>
      <c r="F143" s="285" t="s">
        <v>489</v>
      </c>
      <c r="G143" s="404">
        <f>H143+I143</f>
        <v>414145</v>
      </c>
      <c r="H143" s="325">
        <f>(27100+117565+67500)</f>
        <v>212165</v>
      </c>
      <c r="I143" s="404">
        <f>(91670+32400+77910)</f>
        <v>201980</v>
      </c>
      <c r="J143" s="404">
        <f>(91670+32400+77910)</f>
        <v>201980</v>
      </c>
    </row>
    <row r="144" spans="1:17" ht="321.75" thickTop="1" thickBot="1" x14ac:dyDescent="0.25">
      <c r="A144" s="405" t="s">
        <v>29</v>
      </c>
      <c r="B144" s="405" t="s">
        <v>214</v>
      </c>
      <c r="C144" s="405" t="s">
        <v>216</v>
      </c>
      <c r="D144" s="405" t="s">
        <v>51</v>
      </c>
      <c r="E144" s="175" t="s">
        <v>730</v>
      </c>
      <c r="F144" s="404" t="s">
        <v>439</v>
      </c>
      <c r="G144" s="404">
        <f t="shared" ref="G144:G150" si="19">H144+I144</f>
        <v>8112790</v>
      </c>
      <c r="H144" s="404">
        <f>'d3'!E165</f>
        <v>8097590</v>
      </c>
      <c r="I144" s="344">
        <f>'d3'!J165</f>
        <v>15200</v>
      </c>
      <c r="J144" s="404">
        <f>'d3'!K165</f>
        <v>15200</v>
      </c>
    </row>
    <row r="145" spans="1:17" ht="321.75" thickTop="1" thickBot="1" x14ac:dyDescent="0.25">
      <c r="A145" s="417" t="s">
        <v>30</v>
      </c>
      <c r="B145" s="417" t="s">
        <v>215</v>
      </c>
      <c r="C145" s="417" t="s">
        <v>216</v>
      </c>
      <c r="D145" s="405" t="s">
        <v>31</v>
      </c>
      <c r="E145" s="175" t="s">
        <v>730</v>
      </c>
      <c r="F145" s="404" t="s">
        <v>439</v>
      </c>
      <c r="G145" s="404">
        <f t="shared" si="19"/>
        <v>768820</v>
      </c>
      <c r="H145" s="404">
        <f>'d3'!E167</f>
        <v>768820</v>
      </c>
      <c r="I145" s="344">
        <f>'d3'!J167</f>
        <v>0</v>
      </c>
      <c r="J145" s="404">
        <f>'d3'!K167</f>
        <v>0</v>
      </c>
    </row>
    <row r="146" spans="1:17" ht="321.75" thickTop="1" thickBot="1" x14ac:dyDescent="0.25">
      <c r="A146" s="417" t="s">
        <v>562</v>
      </c>
      <c r="B146" s="417" t="s">
        <v>560</v>
      </c>
      <c r="C146" s="417" t="s">
        <v>216</v>
      </c>
      <c r="D146" s="405" t="s">
        <v>561</v>
      </c>
      <c r="E146" s="175" t="s">
        <v>730</v>
      </c>
      <c r="F146" s="404" t="s">
        <v>439</v>
      </c>
      <c r="G146" s="404">
        <f t="shared" si="19"/>
        <v>1969086</v>
      </c>
      <c r="H146" s="404">
        <f>'d3'!E168</f>
        <v>1969086</v>
      </c>
      <c r="I146" s="344">
        <f>'d3'!J168</f>
        <v>0</v>
      </c>
      <c r="J146" s="344">
        <f>'d3'!K168</f>
        <v>0</v>
      </c>
    </row>
    <row r="147" spans="1:17" ht="321.75" thickTop="1" thickBot="1" x14ac:dyDescent="0.25">
      <c r="A147" s="417" t="s">
        <v>32</v>
      </c>
      <c r="B147" s="417" t="s">
        <v>217</v>
      </c>
      <c r="C147" s="417" t="s">
        <v>216</v>
      </c>
      <c r="D147" s="405" t="s">
        <v>33</v>
      </c>
      <c r="E147" s="175" t="s">
        <v>730</v>
      </c>
      <c r="F147" s="404" t="s">
        <v>439</v>
      </c>
      <c r="G147" s="404">
        <f t="shared" si="19"/>
        <v>1741665</v>
      </c>
      <c r="H147" s="404">
        <f>'d3'!E169</f>
        <v>1711665</v>
      </c>
      <c r="I147" s="344">
        <f>'d3'!J169</f>
        <v>30000</v>
      </c>
      <c r="J147" s="404">
        <f>'d3'!K169</f>
        <v>30000</v>
      </c>
    </row>
    <row r="148" spans="1:17" ht="321.75" thickTop="1" thickBot="1" x14ac:dyDescent="0.25">
      <c r="A148" s="417" t="s">
        <v>370</v>
      </c>
      <c r="B148" s="417" t="s">
        <v>369</v>
      </c>
      <c r="C148" s="417" t="s">
        <v>368</v>
      </c>
      <c r="D148" s="405" t="s">
        <v>813</v>
      </c>
      <c r="E148" s="175" t="s">
        <v>730</v>
      </c>
      <c r="F148" s="404" t="s">
        <v>439</v>
      </c>
      <c r="G148" s="404">
        <f t="shared" si="19"/>
        <v>25424.53</v>
      </c>
      <c r="H148" s="404">
        <f>'d3'!E172</f>
        <v>25424.53</v>
      </c>
      <c r="I148" s="344">
        <f>'d3'!J172</f>
        <v>0</v>
      </c>
      <c r="J148" s="344">
        <f>'d3'!K172</f>
        <v>0</v>
      </c>
    </row>
    <row r="149" spans="1:17" s="295" customFormat="1" ht="321.75" thickTop="1" thickBot="1" x14ac:dyDescent="0.25">
      <c r="A149" s="406" t="s">
        <v>757</v>
      </c>
      <c r="B149" s="406" t="s">
        <v>218</v>
      </c>
      <c r="C149" s="406" t="s">
        <v>187</v>
      </c>
      <c r="D149" s="406" t="s">
        <v>36</v>
      </c>
      <c r="E149" s="175" t="s">
        <v>730</v>
      </c>
      <c r="F149" s="404" t="s">
        <v>439</v>
      </c>
      <c r="G149" s="404">
        <f t="shared" ref="G149" si="20">H149+I149</f>
        <v>1021474</v>
      </c>
      <c r="H149" s="404">
        <f>'d3'!E175</f>
        <v>0</v>
      </c>
      <c r="I149" s="344">
        <f>'d3'!J175</f>
        <v>1021474</v>
      </c>
      <c r="J149" s="344">
        <f>'d3'!K175</f>
        <v>1021474</v>
      </c>
      <c r="K149" s="296"/>
      <c r="L149" s="296"/>
      <c r="M149" s="296"/>
      <c r="N149" s="296"/>
      <c r="O149" s="296"/>
      <c r="P149" s="296"/>
      <c r="Q149" s="296"/>
    </row>
    <row r="150" spans="1:17" ht="321.75" thickTop="1" thickBot="1" x14ac:dyDescent="0.25">
      <c r="A150" s="417" t="s">
        <v>496</v>
      </c>
      <c r="B150" s="417" t="s">
        <v>498</v>
      </c>
      <c r="C150" s="417" t="s">
        <v>52</v>
      </c>
      <c r="D150" s="405" t="s">
        <v>495</v>
      </c>
      <c r="E150" s="175" t="s">
        <v>730</v>
      </c>
      <c r="F150" s="404" t="s">
        <v>439</v>
      </c>
      <c r="G150" s="404">
        <f t="shared" si="19"/>
        <v>423742.2</v>
      </c>
      <c r="H150" s="404">
        <f>'d4'!F17</f>
        <v>200000</v>
      </c>
      <c r="I150" s="344">
        <f>'d4'!G17</f>
        <v>223742.2</v>
      </c>
      <c r="J150" s="344">
        <f>'d4'!H17</f>
        <v>0</v>
      </c>
    </row>
    <row r="151" spans="1:17" s="161" customFormat="1" ht="181.5" thickTop="1" thickBot="1" x14ac:dyDescent="0.25">
      <c r="A151" s="595" t="s">
        <v>175</v>
      </c>
      <c r="B151" s="595"/>
      <c r="C151" s="595"/>
      <c r="D151" s="596" t="s">
        <v>682</v>
      </c>
      <c r="E151" s="597"/>
      <c r="F151" s="598"/>
      <c r="G151" s="598">
        <f>G152</f>
        <v>49146549</v>
      </c>
      <c r="H151" s="598">
        <f t="shared" ref="H151:J151" si="21">H152</f>
        <v>17837300</v>
      </c>
      <c r="I151" s="597">
        <f t="shared" si="21"/>
        <v>31309249</v>
      </c>
      <c r="J151" s="597">
        <f t="shared" si="21"/>
        <v>31119249</v>
      </c>
      <c r="K151" s="237" t="b">
        <f>H151='d3'!E176-'d3'!E179+'d7'!H153</f>
        <v>1</v>
      </c>
      <c r="L151" s="237" t="b">
        <f>I151='d3'!J176-'d3'!J179+I153</f>
        <v>1</v>
      </c>
      <c r="M151" s="237" t="b">
        <f>J151='d3'!K176-'d3'!K179+J153</f>
        <v>1</v>
      </c>
      <c r="N151" s="192"/>
      <c r="O151" s="192"/>
      <c r="P151" s="192"/>
      <c r="Q151" s="192"/>
    </row>
    <row r="152" spans="1:17" s="161" customFormat="1" ht="181.5" thickTop="1" thickBot="1" x14ac:dyDescent="0.25">
      <c r="A152" s="599" t="s">
        <v>176</v>
      </c>
      <c r="B152" s="599"/>
      <c r="C152" s="599"/>
      <c r="D152" s="600" t="s">
        <v>683</v>
      </c>
      <c r="E152" s="601"/>
      <c r="F152" s="601"/>
      <c r="G152" s="601">
        <f>SUM(G153:G166)</f>
        <v>49146549</v>
      </c>
      <c r="H152" s="601">
        <f>SUM(H153:H166)</f>
        <v>17837300</v>
      </c>
      <c r="I152" s="601">
        <f>SUM(I153:I166)</f>
        <v>31309249</v>
      </c>
      <c r="J152" s="601">
        <f>SUM(J153:J166)</f>
        <v>31119249</v>
      </c>
      <c r="K152" s="192"/>
      <c r="L152" s="192"/>
      <c r="M152" s="192"/>
      <c r="N152" s="192"/>
      <c r="O152" s="192"/>
      <c r="P152" s="192"/>
      <c r="Q152" s="192"/>
    </row>
    <row r="153" spans="1:17" s="161" customFormat="1" ht="230.25" thickTop="1" thickBot="1" x14ac:dyDescent="0.25">
      <c r="A153" s="284" t="s">
        <v>452</v>
      </c>
      <c r="B153" s="284" t="s">
        <v>257</v>
      </c>
      <c r="C153" s="284" t="s">
        <v>255</v>
      </c>
      <c r="D153" s="284" t="s">
        <v>256</v>
      </c>
      <c r="E153" s="313" t="s">
        <v>1043</v>
      </c>
      <c r="F153" s="508" t="s">
        <v>1044</v>
      </c>
      <c r="G153" s="294">
        <f t="shared" ref="G153:G190" si="22">H153+I153</f>
        <v>163248</v>
      </c>
      <c r="H153" s="325"/>
      <c r="I153" s="344">
        <f>(36000)+31812+95436</f>
        <v>163248</v>
      </c>
      <c r="J153" s="592">
        <f>(36000)+31812+95436</f>
        <v>163248</v>
      </c>
      <c r="K153" s="192"/>
      <c r="L153" s="192"/>
      <c r="M153" s="192"/>
      <c r="N153" s="192"/>
      <c r="O153" s="192"/>
      <c r="P153" s="192"/>
      <c r="Q153" s="192"/>
    </row>
    <row r="154" spans="1:17" s="326" customFormat="1" ht="409.6" thickTop="1" thickBot="1" x14ac:dyDescent="0.25">
      <c r="A154" s="328" t="s">
        <v>801</v>
      </c>
      <c r="B154" s="328" t="s">
        <v>391</v>
      </c>
      <c r="C154" s="328" t="s">
        <v>794</v>
      </c>
      <c r="D154" s="328" t="s">
        <v>795</v>
      </c>
      <c r="E154" s="313" t="s">
        <v>1078</v>
      </c>
      <c r="F154" s="534" t="s">
        <v>1079</v>
      </c>
      <c r="G154" s="294">
        <f t="shared" si="22"/>
        <v>12000</v>
      </c>
      <c r="H154" s="325">
        <f>'d3'!E180</f>
        <v>12000</v>
      </c>
      <c r="I154" s="344"/>
      <c r="J154" s="344"/>
      <c r="K154" s="330"/>
      <c r="L154" s="330"/>
      <c r="M154" s="330"/>
      <c r="N154" s="330"/>
      <c r="O154" s="330"/>
      <c r="P154" s="330"/>
      <c r="Q154" s="330"/>
    </row>
    <row r="155" spans="1:17" s="161" customFormat="1" ht="276" thickTop="1" thickBot="1" x14ac:dyDescent="0.25">
      <c r="A155" s="940" t="s">
        <v>301</v>
      </c>
      <c r="B155" s="940" t="s">
        <v>302</v>
      </c>
      <c r="C155" s="940" t="s">
        <v>368</v>
      </c>
      <c r="D155" s="940" t="s">
        <v>303</v>
      </c>
      <c r="E155" s="325" t="s">
        <v>719</v>
      </c>
      <c r="F155" s="325" t="s">
        <v>720</v>
      </c>
      <c r="G155" s="404">
        <f t="shared" si="22"/>
        <v>7328440</v>
      </c>
      <c r="H155" s="325">
        <v>350000</v>
      </c>
      <c r="I155" s="344">
        <v>6978440</v>
      </c>
      <c r="J155" s="344">
        <v>6978440</v>
      </c>
      <c r="K155" s="192"/>
      <c r="L155" s="192"/>
      <c r="M155" s="192"/>
      <c r="N155" s="192"/>
      <c r="O155" s="192"/>
      <c r="P155" s="192"/>
      <c r="Q155" s="192"/>
    </row>
    <row r="156" spans="1:17" s="161" customFormat="1" ht="230.25" thickTop="1" thickBot="1" x14ac:dyDescent="0.25">
      <c r="A156" s="948"/>
      <c r="B156" s="948"/>
      <c r="C156" s="948"/>
      <c r="D156" s="948"/>
      <c r="E156" s="285" t="s">
        <v>1278</v>
      </c>
      <c r="F156" s="285" t="s">
        <v>721</v>
      </c>
      <c r="G156" s="404">
        <f t="shared" si="22"/>
        <v>5492100</v>
      </c>
      <c r="H156" s="325">
        <f>'d3'!E183-'d7'!H155</f>
        <v>2125300</v>
      </c>
      <c r="I156" s="344">
        <f>'d3'!J183-'d7'!I155</f>
        <v>3366800</v>
      </c>
      <c r="J156" s="344">
        <f>'d3'!K183-'d7'!J155</f>
        <v>3366800</v>
      </c>
      <c r="K156" s="192"/>
      <c r="L156" s="192"/>
      <c r="M156" s="192"/>
      <c r="N156" s="192"/>
      <c r="O156" s="192"/>
      <c r="P156" s="192"/>
      <c r="Q156" s="192"/>
    </row>
    <row r="157" spans="1:17" s="161" customFormat="1" ht="276" thickTop="1" thickBot="1" x14ac:dyDescent="0.25">
      <c r="A157" s="405" t="s">
        <v>323</v>
      </c>
      <c r="B157" s="405" t="s">
        <v>324</v>
      </c>
      <c r="C157" s="405" t="s">
        <v>304</v>
      </c>
      <c r="D157" s="405" t="s">
        <v>325</v>
      </c>
      <c r="E157" s="325" t="s">
        <v>719</v>
      </c>
      <c r="F157" s="325" t="s">
        <v>720</v>
      </c>
      <c r="G157" s="404">
        <f t="shared" si="22"/>
        <v>5000000</v>
      </c>
      <c r="H157" s="325">
        <f>'d3'!E184</f>
        <v>0</v>
      </c>
      <c r="I157" s="344">
        <f>'d3'!J184</f>
        <v>5000000</v>
      </c>
      <c r="J157" s="344">
        <f>'d3'!K184</f>
        <v>5000000</v>
      </c>
      <c r="K157" s="192"/>
      <c r="L157" s="192"/>
      <c r="M157" s="192"/>
      <c r="N157" s="192"/>
      <c r="O157" s="192"/>
      <c r="P157" s="192"/>
      <c r="Q157" s="192"/>
    </row>
    <row r="158" spans="1:17" s="161" customFormat="1" ht="276" thickTop="1" thickBot="1" x14ac:dyDescent="0.25">
      <c r="A158" s="940" t="s">
        <v>305</v>
      </c>
      <c r="B158" s="940" t="s">
        <v>306</v>
      </c>
      <c r="C158" s="940" t="s">
        <v>304</v>
      </c>
      <c r="D158" s="940" t="s">
        <v>506</v>
      </c>
      <c r="E158" s="325" t="s">
        <v>719</v>
      </c>
      <c r="F158" s="418" t="s">
        <v>720</v>
      </c>
      <c r="G158" s="404">
        <f t="shared" si="22"/>
        <v>13209200</v>
      </c>
      <c r="H158" s="419">
        <f>'d3'!E185-H159</f>
        <v>550000</v>
      </c>
      <c r="I158" s="344">
        <f>'d3'!J185-'d7'!I159</f>
        <v>12659200</v>
      </c>
      <c r="J158" s="344">
        <f>'d3'!K185-'d7'!J159</f>
        <v>12659200</v>
      </c>
      <c r="K158" s="192"/>
      <c r="L158" s="192"/>
      <c r="M158" s="192"/>
      <c r="N158" s="192"/>
      <c r="O158" s="192"/>
      <c r="P158" s="192"/>
      <c r="Q158" s="192"/>
    </row>
    <row r="159" spans="1:17" s="161" customFormat="1" ht="230.25" thickTop="1" thickBot="1" x14ac:dyDescent="0.25">
      <c r="A159" s="941"/>
      <c r="B159" s="941"/>
      <c r="C159" s="941"/>
      <c r="D159" s="941"/>
      <c r="E159" s="348" t="s">
        <v>488</v>
      </c>
      <c r="F159" s="420" t="s">
        <v>489</v>
      </c>
      <c r="G159" s="404">
        <f t="shared" si="22"/>
        <v>461561</v>
      </c>
      <c r="H159" s="419">
        <v>0</v>
      </c>
      <c r="I159" s="344">
        <v>461561</v>
      </c>
      <c r="J159" s="344">
        <v>461561</v>
      </c>
      <c r="K159" s="192"/>
      <c r="L159" s="192"/>
      <c r="M159" s="192"/>
      <c r="N159" s="192"/>
      <c r="O159" s="192"/>
      <c r="P159" s="192"/>
      <c r="Q159" s="192"/>
    </row>
    <row r="160" spans="1:17" s="640" customFormat="1" ht="267" thickTop="1" thickBot="1" x14ac:dyDescent="0.25">
      <c r="A160" s="642" t="s">
        <v>1182</v>
      </c>
      <c r="B160" s="642" t="s">
        <v>319</v>
      </c>
      <c r="C160" s="642" t="s">
        <v>304</v>
      </c>
      <c r="D160" s="642" t="s">
        <v>320</v>
      </c>
      <c r="E160" s="611" t="s">
        <v>719</v>
      </c>
      <c r="F160" s="649" t="s">
        <v>720</v>
      </c>
      <c r="G160" s="641">
        <f t="shared" ref="G160" si="23">H160+I160</f>
        <v>200000</v>
      </c>
      <c r="H160" s="649">
        <f>'d3'!E186</f>
        <v>200000</v>
      </c>
      <c r="I160" s="650">
        <f>'d3'!J186</f>
        <v>0</v>
      </c>
      <c r="J160" s="650">
        <f>'d3'!K186</f>
        <v>0</v>
      </c>
      <c r="K160" s="652"/>
      <c r="L160" s="652"/>
      <c r="M160" s="652"/>
      <c r="N160" s="652"/>
      <c r="O160" s="652"/>
      <c r="P160" s="652"/>
      <c r="Q160" s="652"/>
    </row>
    <row r="161" spans="1:17" s="161" customFormat="1" ht="267" thickTop="1" thickBot="1" x14ac:dyDescent="0.25">
      <c r="A161" s="405" t="s">
        <v>309</v>
      </c>
      <c r="B161" s="405" t="s">
        <v>310</v>
      </c>
      <c r="C161" s="405" t="s">
        <v>304</v>
      </c>
      <c r="D161" s="405" t="s">
        <v>311</v>
      </c>
      <c r="E161" s="611" t="s">
        <v>719</v>
      </c>
      <c r="F161" s="325" t="s">
        <v>720</v>
      </c>
      <c r="G161" s="404">
        <f t="shared" si="22"/>
        <v>14100000</v>
      </c>
      <c r="H161" s="325">
        <f>'d3'!E187</f>
        <v>14100000</v>
      </c>
      <c r="I161" s="344">
        <f>'d3'!J187</f>
        <v>0</v>
      </c>
      <c r="J161" s="344">
        <f>'d3'!K187</f>
        <v>0</v>
      </c>
      <c r="K161" s="192"/>
      <c r="L161" s="192"/>
      <c r="M161" s="192"/>
      <c r="N161" s="192"/>
      <c r="O161" s="192"/>
      <c r="P161" s="192"/>
      <c r="Q161" s="192"/>
    </row>
    <row r="162" spans="1:17" s="161" customFormat="1" ht="409.5" customHeight="1" thickTop="1" thickBot="1" x14ac:dyDescent="0.25">
      <c r="A162" s="940" t="s">
        <v>318</v>
      </c>
      <c r="B162" s="940" t="s">
        <v>233</v>
      </c>
      <c r="C162" s="940" t="s">
        <v>234</v>
      </c>
      <c r="D162" s="940" t="s">
        <v>43</v>
      </c>
      <c r="E162" s="612" t="s">
        <v>722</v>
      </c>
      <c r="F162" s="404" t="s">
        <v>731</v>
      </c>
      <c r="G162" s="936">
        <f>H162+I162</f>
        <v>2600000</v>
      </c>
      <c r="H162" s="936">
        <f>'d3'!E190</f>
        <v>500000</v>
      </c>
      <c r="I162" s="936">
        <f>'d3'!J190</f>
        <v>2100000</v>
      </c>
      <c r="J162" s="936">
        <f>'d3'!K190</f>
        <v>2100000</v>
      </c>
      <c r="K162" s="192"/>
      <c r="L162" s="192"/>
      <c r="M162" s="192"/>
      <c r="N162" s="192"/>
      <c r="O162" s="192"/>
      <c r="P162" s="192"/>
      <c r="Q162" s="192"/>
    </row>
    <row r="163" spans="1:17" s="161" customFormat="1" ht="184.5" thickTop="1" thickBot="1" x14ac:dyDescent="0.25">
      <c r="A163" s="941"/>
      <c r="B163" s="941"/>
      <c r="C163" s="941"/>
      <c r="D163" s="941"/>
      <c r="E163" s="175" t="s">
        <v>723</v>
      </c>
      <c r="F163" s="404" t="s">
        <v>732</v>
      </c>
      <c r="G163" s="937"/>
      <c r="H163" s="937"/>
      <c r="I163" s="937"/>
      <c r="J163" s="937"/>
      <c r="K163" s="192"/>
      <c r="L163" s="192"/>
      <c r="M163" s="192"/>
      <c r="N163" s="192"/>
      <c r="O163" s="192"/>
      <c r="P163" s="192"/>
      <c r="Q163" s="192"/>
    </row>
    <row r="164" spans="1:17" s="614" customFormat="1" ht="267" thickTop="1" thickBot="1" x14ac:dyDescent="0.25">
      <c r="A164" s="621" t="s">
        <v>1151</v>
      </c>
      <c r="B164" s="621" t="s">
        <v>218</v>
      </c>
      <c r="C164" s="621" t="s">
        <v>187</v>
      </c>
      <c r="D164" s="621" t="s">
        <v>36</v>
      </c>
      <c r="E164" s="611" t="s">
        <v>719</v>
      </c>
      <c r="F164" s="622" t="s">
        <v>720</v>
      </c>
      <c r="G164" s="619">
        <f t="shared" si="22"/>
        <v>390000</v>
      </c>
      <c r="H164" s="622">
        <f>'d3'!E191</f>
        <v>0</v>
      </c>
      <c r="I164" s="623">
        <f>'d3'!J191</f>
        <v>390000</v>
      </c>
      <c r="J164" s="623">
        <f>'d3'!K191</f>
        <v>390000</v>
      </c>
      <c r="K164" s="624"/>
      <c r="L164" s="624"/>
      <c r="M164" s="624"/>
      <c r="N164" s="624"/>
      <c r="O164" s="624"/>
      <c r="P164" s="624"/>
      <c r="Q164" s="624"/>
    </row>
    <row r="165" spans="1:17" s="246" customFormat="1" ht="409.6" customHeight="1" thickTop="1" thickBot="1" x14ac:dyDescent="0.7">
      <c r="A165" s="895" t="s">
        <v>455</v>
      </c>
      <c r="B165" s="895" t="s">
        <v>366</v>
      </c>
      <c r="C165" s="895" t="s">
        <v>187</v>
      </c>
      <c r="D165" s="421" t="s">
        <v>476</v>
      </c>
      <c r="E165" s="895" t="s">
        <v>1049</v>
      </c>
      <c r="F165" s="895" t="s">
        <v>1050</v>
      </c>
      <c r="G165" s="936">
        <f t="shared" si="22"/>
        <v>190000</v>
      </c>
      <c r="H165" s="936">
        <f>'d3'!E193</f>
        <v>0</v>
      </c>
      <c r="I165" s="936">
        <f>'d3'!J193</f>
        <v>190000</v>
      </c>
      <c r="J165" s="936">
        <f>'d3'!K193</f>
        <v>0</v>
      </c>
      <c r="K165" s="247"/>
      <c r="L165" s="247"/>
      <c r="M165" s="247"/>
      <c r="N165" s="247"/>
      <c r="O165" s="247"/>
      <c r="P165" s="247"/>
      <c r="Q165" s="247"/>
    </row>
    <row r="166" spans="1:17" s="246" customFormat="1" ht="184.5" thickTop="1" thickBot="1" x14ac:dyDescent="0.25">
      <c r="A166" s="896"/>
      <c r="B166" s="896"/>
      <c r="C166" s="896"/>
      <c r="D166" s="422" t="s">
        <v>477</v>
      </c>
      <c r="E166" s="896"/>
      <c r="F166" s="896"/>
      <c r="G166" s="938"/>
      <c r="H166" s="938"/>
      <c r="I166" s="938"/>
      <c r="J166" s="938"/>
      <c r="K166" s="247"/>
      <c r="L166" s="247"/>
      <c r="M166" s="247"/>
      <c r="N166" s="247"/>
      <c r="O166" s="247"/>
      <c r="P166" s="247"/>
      <c r="Q166" s="247"/>
    </row>
    <row r="167" spans="1:17" s="161" customFormat="1" ht="181.5" thickTop="1" thickBot="1" x14ac:dyDescent="0.25">
      <c r="A167" s="595" t="s">
        <v>647</v>
      </c>
      <c r="B167" s="595"/>
      <c r="C167" s="595"/>
      <c r="D167" s="596" t="s">
        <v>680</v>
      </c>
      <c r="E167" s="597"/>
      <c r="F167" s="598"/>
      <c r="G167" s="598">
        <f>H167+I167</f>
        <v>387655984.61000001</v>
      </c>
      <c r="H167" s="598">
        <f>H168</f>
        <v>242369567</v>
      </c>
      <c r="I167" s="597">
        <f>I168</f>
        <v>145286417.61000001</v>
      </c>
      <c r="J167" s="597">
        <f>J168</f>
        <v>144969402.57999998</v>
      </c>
      <c r="K167" s="237" t="b">
        <f>H167='d3'!E196-'d3'!E198+'d7'!H169</f>
        <v>1</v>
      </c>
      <c r="L167" s="237" t="b">
        <f>I167='d3'!J196-'d3'!J198+'d7'!I169</f>
        <v>1</v>
      </c>
      <c r="M167" s="237" t="b">
        <f>J167='d3'!K196-'d3'!K198+'d7'!J169</f>
        <v>1</v>
      </c>
      <c r="N167" s="192"/>
      <c r="O167" s="192"/>
      <c r="P167" s="192"/>
      <c r="Q167" s="192"/>
    </row>
    <row r="168" spans="1:17" s="161" customFormat="1" ht="207.75" customHeight="1" thickTop="1" thickBot="1" x14ac:dyDescent="0.25">
      <c r="A168" s="599" t="s">
        <v>648</v>
      </c>
      <c r="B168" s="599"/>
      <c r="C168" s="599"/>
      <c r="D168" s="600" t="s">
        <v>681</v>
      </c>
      <c r="E168" s="601"/>
      <c r="F168" s="601"/>
      <c r="G168" s="601">
        <f>SUM(G169:G190)</f>
        <v>387655984.60999995</v>
      </c>
      <c r="H168" s="601">
        <f>SUM(H169:H190)</f>
        <v>242369567</v>
      </c>
      <c r="I168" s="601">
        <f>SUM(I169:I190)</f>
        <v>145286417.61000001</v>
      </c>
      <c r="J168" s="601">
        <f>SUM(J169:J190)</f>
        <v>144969402.57999998</v>
      </c>
      <c r="K168" s="192"/>
      <c r="L168" s="192"/>
      <c r="M168" s="192"/>
      <c r="N168" s="192"/>
      <c r="O168" s="192"/>
      <c r="P168" s="192"/>
      <c r="Q168" s="192"/>
    </row>
    <row r="169" spans="1:17" s="161" customFormat="1" ht="340.5" customHeight="1" thickTop="1" thickBot="1" x14ac:dyDescent="0.25">
      <c r="A169" s="338" t="s">
        <v>649</v>
      </c>
      <c r="B169" s="338" t="s">
        <v>257</v>
      </c>
      <c r="C169" s="338" t="s">
        <v>255</v>
      </c>
      <c r="D169" s="338" t="s">
        <v>252</v>
      </c>
      <c r="E169" s="313" t="s">
        <v>1043</v>
      </c>
      <c r="F169" s="508" t="s">
        <v>1044</v>
      </c>
      <c r="G169" s="341">
        <f t="shared" si="22"/>
        <v>144000</v>
      </c>
      <c r="H169" s="341">
        <v>0</v>
      </c>
      <c r="I169" s="341">
        <v>144000</v>
      </c>
      <c r="J169" s="341">
        <v>144000</v>
      </c>
      <c r="K169" s="192"/>
      <c r="L169" s="192"/>
      <c r="M169" s="192"/>
      <c r="N169" s="192"/>
      <c r="O169" s="192"/>
      <c r="P169" s="192"/>
      <c r="Q169" s="192"/>
    </row>
    <row r="170" spans="1:17" s="331" customFormat="1" ht="409.5" customHeight="1" thickTop="1" thickBot="1" x14ac:dyDescent="0.25">
      <c r="A170" s="332" t="s">
        <v>803</v>
      </c>
      <c r="B170" s="332" t="s">
        <v>391</v>
      </c>
      <c r="C170" s="332" t="s">
        <v>794</v>
      </c>
      <c r="D170" s="332" t="s">
        <v>795</v>
      </c>
      <c r="E170" s="313" t="s">
        <v>1078</v>
      </c>
      <c r="F170" s="534" t="s">
        <v>1079</v>
      </c>
      <c r="G170" s="294">
        <f t="shared" ref="G170" si="24">H170+I170</f>
        <v>8000</v>
      </c>
      <c r="H170" s="325">
        <f>'d3'!E199</f>
        <v>8000</v>
      </c>
      <c r="I170" s="344"/>
      <c r="J170" s="344"/>
      <c r="K170" s="333"/>
      <c r="L170" s="333"/>
      <c r="M170" s="333"/>
      <c r="N170" s="333"/>
      <c r="O170" s="333"/>
      <c r="P170" s="333"/>
      <c r="Q170" s="333"/>
    </row>
    <row r="171" spans="1:17" s="161" customFormat="1" ht="276" thickTop="1" thickBot="1" x14ac:dyDescent="0.25">
      <c r="A171" s="405" t="s">
        <v>650</v>
      </c>
      <c r="B171" s="405" t="s">
        <v>45</v>
      </c>
      <c r="C171" s="405" t="s">
        <v>44</v>
      </c>
      <c r="D171" s="405" t="s">
        <v>269</v>
      </c>
      <c r="E171" s="325" t="s">
        <v>719</v>
      </c>
      <c r="F171" s="325" t="s">
        <v>720</v>
      </c>
      <c r="G171" s="404">
        <f t="shared" si="22"/>
        <v>100000</v>
      </c>
      <c r="H171" s="404">
        <f>'d3'!E200</f>
        <v>100000</v>
      </c>
      <c r="I171" s="404">
        <f>'d3'!J200</f>
        <v>0</v>
      </c>
      <c r="J171" s="404">
        <f>'d3'!K200</f>
        <v>0</v>
      </c>
      <c r="K171" s="192"/>
      <c r="L171" s="192"/>
      <c r="M171" s="192"/>
      <c r="N171" s="192"/>
      <c r="O171" s="192"/>
      <c r="P171" s="192"/>
      <c r="Q171" s="192"/>
    </row>
    <row r="172" spans="1:17" s="161" customFormat="1" ht="276" thickTop="1" thickBot="1" x14ac:dyDescent="0.25">
      <c r="A172" s="405" t="s">
        <v>651</v>
      </c>
      <c r="B172" s="405" t="s">
        <v>406</v>
      </c>
      <c r="C172" s="405" t="s">
        <v>304</v>
      </c>
      <c r="D172" s="405" t="s">
        <v>407</v>
      </c>
      <c r="E172" s="325" t="s">
        <v>719</v>
      </c>
      <c r="F172" s="325" t="s">
        <v>720</v>
      </c>
      <c r="G172" s="404">
        <f t="shared" si="22"/>
        <v>28000000</v>
      </c>
      <c r="H172" s="325">
        <f>'d3'!E203</f>
        <v>28000000</v>
      </c>
      <c r="I172" s="344">
        <f>'d3'!J203</f>
        <v>0</v>
      </c>
      <c r="J172" s="344">
        <f>'d3'!K203</f>
        <v>0</v>
      </c>
      <c r="K172" s="192"/>
      <c r="L172" s="192"/>
      <c r="M172" s="192"/>
      <c r="N172" s="192"/>
      <c r="O172" s="192"/>
      <c r="P172" s="192"/>
      <c r="Q172" s="192"/>
    </row>
    <row r="173" spans="1:17" s="161" customFormat="1" ht="276" thickTop="1" thickBot="1" x14ac:dyDescent="0.25">
      <c r="A173" s="405" t="s">
        <v>652</v>
      </c>
      <c r="B173" s="405" t="s">
        <v>307</v>
      </c>
      <c r="C173" s="405" t="s">
        <v>304</v>
      </c>
      <c r="D173" s="405" t="s">
        <v>308</v>
      </c>
      <c r="E173" s="325" t="s">
        <v>719</v>
      </c>
      <c r="F173" s="325" t="s">
        <v>720</v>
      </c>
      <c r="G173" s="404">
        <f t="shared" si="22"/>
        <v>3751000</v>
      </c>
      <c r="H173" s="325">
        <f>'d3'!E204</f>
        <v>3751000</v>
      </c>
      <c r="I173" s="344">
        <f>'d3'!J204</f>
        <v>0</v>
      </c>
      <c r="J173" s="344">
        <f>'d3'!K204</f>
        <v>0</v>
      </c>
      <c r="K173" s="192"/>
      <c r="L173" s="192"/>
      <c r="M173" s="192"/>
      <c r="N173" s="192"/>
      <c r="O173" s="192"/>
      <c r="P173" s="192"/>
      <c r="Q173" s="192"/>
    </row>
    <row r="174" spans="1:17" s="161" customFormat="1" ht="276" customHeight="1" thickTop="1" thickBot="1" x14ac:dyDescent="0.25">
      <c r="A174" s="895" t="s">
        <v>653</v>
      </c>
      <c r="B174" s="895" t="s">
        <v>319</v>
      </c>
      <c r="C174" s="895" t="s">
        <v>304</v>
      </c>
      <c r="D174" s="895" t="s">
        <v>320</v>
      </c>
      <c r="E174" s="325" t="s">
        <v>719</v>
      </c>
      <c r="F174" s="325" t="s">
        <v>720</v>
      </c>
      <c r="G174" s="885">
        <f t="shared" si="22"/>
        <v>3430000</v>
      </c>
      <c r="H174" s="885">
        <f>'d3'!E205</f>
        <v>3430000</v>
      </c>
      <c r="I174" s="885">
        <f>'d3'!J205</f>
        <v>0</v>
      </c>
      <c r="J174" s="885">
        <f>'d3'!K205</f>
        <v>0</v>
      </c>
      <c r="K174" s="192"/>
      <c r="L174" s="192"/>
      <c r="M174" s="192"/>
      <c r="N174" s="192"/>
      <c r="O174" s="192"/>
      <c r="P174" s="192"/>
      <c r="Q174" s="192"/>
    </row>
    <row r="175" spans="1:17" s="161" customFormat="1" ht="184.5" hidden="1" thickTop="1" thickBot="1" x14ac:dyDescent="0.25">
      <c r="A175" s="895"/>
      <c r="B175" s="895"/>
      <c r="C175" s="895"/>
      <c r="D175" s="895"/>
      <c r="E175" s="513" t="s">
        <v>1070</v>
      </c>
      <c r="F175" s="511" t="s">
        <v>1068</v>
      </c>
      <c r="G175" s="949"/>
      <c r="H175" s="949"/>
      <c r="I175" s="949"/>
      <c r="J175" s="949"/>
      <c r="K175" s="192"/>
      <c r="L175" s="192"/>
      <c r="M175" s="192"/>
      <c r="N175" s="192"/>
      <c r="O175" s="192"/>
      <c r="P175" s="192"/>
      <c r="Q175" s="192"/>
    </row>
    <row r="176" spans="1:17" s="161" customFormat="1" ht="230.25" thickTop="1" thickBot="1" x14ac:dyDescent="0.25">
      <c r="A176" s="940" t="s">
        <v>654</v>
      </c>
      <c r="B176" s="940">
        <v>6030</v>
      </c>
      <c r="C176" s="940" t="s">
        <v>304</v>
      </c>
      <c r="D176" s="940" t="s">
        <v>311</v>
      </c>
      <c r="E176" s="325" t="s">
        <v>724</v>
      </c>
      <c r="F176" s="285" t="s">
        <v>1067</v>
      </c>
      <c r="G176" s="885">
        <f t="shared" si="22"/>
        <v>159788516</v>
      </c>
      <c r="H176" s="885">
        <f>'d3'!E206-H178</f>
        <v>145078368</v>
      </c>
      <c r="I176" s="885">
        <f>'d3'!J206-I178</f>
        <v>14710148</v>
      </c>
      <c r="J176" s="885">
        <f>'d3'!K206-J178</f>
        <v>14710148</v>
      </c>
      <c r="K176" s="192"/>
      <c r="L176" s="192"/>
      <c r="M176" s="192"/>
      <c r="N176" s="192"/>
      <c r="O176" s="192"/>
      <c r="P176" s="192"/>
      <c r="Q176" s="192"/>
    </row>
    <row r="177" spans="1:17" s="161" customFormat="1" ht="276" thickTop="1" thickBot="1" x14ac:dyDescent="0.25">
      <c r="A177" s="948"/>
      <c r="B177" s="948"/>
      <c r="C177" s="948"/>
      <c r="D177" s="948"/>
      <c r="E177" s="325" t="s">
        <v>719</v>
      </c>
      <c r="F177" s="285" t="s">
        <v>720</v>
      </c>
      <c r="G177" s="949">
        <f t="shared" si="22"/>
        <v>0</v>
      </c>
      <c r="H177" s="949"/>
      <c r="I177" s="949"/>
      <c r="J177" s="949"/>
      <c r="K177" s="192"/>
      <c r="L177" s="192"/>
      <c r="M177" s="192"/>
      <c r="N177" s="192"/>
      <c r="O177" s="192"/>
      <c r="P177" s="192"/>
      <c r="Q177" s="192"/>
    </row>
    <row r="178" spans="1:17" s="510" customFormat="1" ht="230.25" thickTop="1" thickBot="1" x14ac:dyDescent="0.25">
      <c r="A178" s="950"/>
      <c r="B178" s="950"/>
      <c r="C178" s="950"/>
      <c r="D178" s="950"/>
      <c r="E178" s="513" t="s">
        <v>1062</v>
      </c>
      <c r="F178" s="511" t="s">
        <v>1061</v>
      </c>
      <c r="G178" s="511">
        <f>H178+I178</f>
        <v>5973255</v>
      </c>
      <c r="H178" s="514">
        <v>5973255</v>
      </c>
      <c r="I178" s="514"/>
      <c r="J178" s="514"/>
      <c r="K178" s="515"/>
      <c r="L178" s="515"/>
      <c r="M178" s="515"/>
      <c r="N178" s="515"/>
      <c r="O178" s="515"/>
      <c r="P178" s="515"/>
      <c r="Q178" s="515"/>
    </row>
    <row r="179" spans="1:17" s="161" customFormat="1" ht="276" thickTop="1" thickBot="1" x14ac:dyDescent="0.25">
      <c r="A179" s="405" t="s">
        <v>655</v>
      </c>
      <c r="B179" s="405" t="s">
        <v>327</v>
      </c>
      <c r="C179" s="405" t="s">
        <v>326</v>
      </c>
      <c r="D179" s="405" t="s">
        <v>509</v>
      </c>
      <c r="E179" s="325" t="s">
        <v>719</v>
      </c>
      <c r="F179" s="325" t="s">
        <v>720</v>
      </c>
      <c r="G179" s="404">
        <f t="shared" si="22"/>
        <v>6280522</v>
      </c>
      <c r="H179" s="325">
        <f>'d3'!E209</f>
        <v>0</v>
      </c>
      <c r="I179" s="344">
        <f>'d3'!J209</f>
        <v>6280522</v>
      </c>
      <c r="J179" s="344">
        <f>'d3'!K209</f>
        <v>6280522</v>
      </c>
      <c r="K179" s="192"/>
      <c r="L179" s="192"/>
      <c r="M179" s="192"/>
      <c r="N179" s="192"/>
      <c r="O179" s="192"/>
      <c r="P179" s="192"/>
      <c r="Q179" s="192"/>
    </row>
    <row r="180" spans="1:17" s="161" customFormat="1" ht="184.5" thickTop="1" thickBot="1" x14ac:dyDescent="0.25">
      <c r="A180" s="895" t="s">
        <v>656</v>
      </c>
      <c r="B180" s="895" t="s">
        <v>315</v>
      </c>
      <c r="C180" s="895" t="s">
        <v>317</v>
      </c>
      <c r="D180" s="895" t="s">
        <v>316</v>
      </c>
      <c r="E180" s="325" t="s">
        <v>1069</v>
      </c>
      <c r="F180" s="325" t="s">
        <v>1086</v>
      </c>
      <c r="G180" s="951">
        <f>H180+I180</f>
        <v>117532594.03</v>
      </c>
      <c r="H180" s="951">
        <f>'d3'!E212</f>
        <v>52868366</v>
      </c>
      <c r="I180" s="952">
        <f>'d3'!J212</f>
        <v>64664228.030000001</v>
      </c>
      <c r="J180" s="952">
        <f>'d3'!K212</f>
        <v>64537213</v>
      </c>
      <c r="K180" s="192"/>
      <c r="L180" s="192"/>
      <c r="M180" s="192"/>
      <c r="N180" s="192"/>
      <c r="O180" s="192"/>
      <c r="P180" s="192"/>
      <c r="Q180" s="192"/>
    </row>
    <row r="181" spans="1:17" s="161" customFormat="1" ht="276" thickTop="1" thickBot="1" x14ac:dyDescent="0.25">
      <c r="A181" s="895"/>
      <c r="B181" s="895"/>
      <c r="C181" s="895"/>
      <c r="D181" s="895"/>
      <c r="E181" s="325" t="s">
        <v>719</v>
      </c>
      <c r="F181" s="325" t="s">
        <v>720</v>
      </c>
      <c r="G181" s="951">
        <f t="shared" si="22"/>
        <v>0</v>
      </c>
      <c r="H181" s="951"/>
      <c r="I181" s="952"/>
      <c r="J181" s="952"/>
      <c r="K181" s="192"/>
      <c r="L181" s="192"/>
      <c r="M181" s="192"/>
      <c r="N181" s="192"/>
      <c r="O181" s="192"/>
      <c r="P181" s="192"/>
      <c r="Q181" s="192"/>
    </row>
    <row r="182" spans="1:17" s="161" customFormat="1" ht="230.25" thickTop="1" thickBot="1" x14ac:dyDescent="0.25">
      <c r="A182" s="895" t="s">
        <v>657</v>
      </c>
      <c r="B182" s="895" t="s">
        <v>233</v>
      </c>
      <c r="C182" s="895" t="s">
        <v>234</v>
      </c>
      <c r="D182" s="895" t="s">
        <v>43</v>
      </c>
      <c r="E182" s="313" t="s">
        <v>1049</v>
      </c>
      <c r="F182" s="508" t="s">
        <v>1050</v>
      </c>
      <c r="G182" s="951">
        <f t="shared" si="22"/>
        <v>18508795.579999998</v>
      </c>
      <c r="H182" s="951">
        <f>'d3'!E214</f>
        <v>0</v>
      </c>
      <c r="I182" s="951">
        <f>'d3'!J214</f>
        <v>18508795.579999998</v>
      </c>
      <c r="J182" s="951">
        <f>'d3'!K214</f>
        <v>18508795.579999998</v>
      </c>
      <c r="K182" s="192"/>
      <c r="L182" s="192"/>
      <c r="M182" s="192"/>
      <c r="N182" s="192"/>
      <c r="O182" s="192"/>
      <c r="P182" s="192"/>
      <c r="Q182" s="192"/>
    </row>
    <row r="183" spans="1:17" s="161" customFormat="1" ht="276" thickTop="1" thickBot="1" x14ac:dyDescent="0.25">
      <c r="A183" s="895"/>
      <c r="B183" s="895"/>
      <c r="C183" s="895"/>
      <c r="D183" s="895"/>
      <c r="E183" s="325" t="s">
        <v>719</v>
      </c>
      <c r="F183" s="325" t="s">
        <v>720</v>
      </c>
      <c r="G183" s="951">
        <f t="shared" si="22"/>
        <v>0</v>
      </c>
      <c r="H183" s="951"/>
      <c r="I183" s="951"/>
      <c r="J183" s="951"/>
      <c r="K183" s="192"/>
      <c r="L183" s="192"/>
      <c r="M183" s="192"/>
      <c r="N183" s="192"/>
      <c r="O183" s="192"/>
      <c r="P183" s="192"/>
      <c r="Q183" s="192"/>
    </row>
    <row r="184" spans="1:17" s="161" customFormat="1" ht="276" customHeight="1" thickTop="1" thickBot="1" x14ac:dyDescent="0.25">
      <c r="A184" s="895" t="s">
        <v>658</v>
      </c>
      <c r="B184" s="895" t="s">
        <v>218</v>
      </c>
      <c r="C184" s="895" t="s">
        <v>187</v>
      </c>
      <c r="D184" s="895" t="s">
        <v>36</v>
      </c>
      <c r="E184" s="325" t="s">
        <v>719</v>
      </c>
      <c r="F184" s="325" t="s">
        <v>720</v>
      </c>
      <c r="G184" s="952">
        <f t="shared" si="22"/>
        <v>40788724</v>
      </c>
      <c r="H184" s="951">
        <f>'d3'!E215</f>
        <v>0</v>
      </c>
      <c r="I184" s="952">
        <f>'d3'!J215</f>
        <v>40788724</v>
      </c>
      <c r="J184" s="952">
        <f>'d3'!K215</f>
        <v>40788724</v>
      </c>
      <c r="K184" s="192"/>
      <c r="L184" s="192"/>
      <c r="M184" s="192"/>
      <c r="N184" s="192"/>
      <c r="O184" s="192"/>
      <c r="P184" s="192"/>
      <c r="Q184" s="192"/>
    </row>
    <row r="185" spans="1:17" s="161" customFormat="1" ht="184.5" thickTop="1" thickBot="1" x14ac:dyDescent="0.25">
      <c r="A185" s="895"/>
      <c r="B185" s="895"/>
      <c r="C185" s="895"/>
      <c r="D185" s="895"/>
      <c r="E185" s="518" t="s">
        <v>1070</v>
      </c>
      <c r="F185" s="517" t="s">
        <v>1068</v>
      </c>
      <c r="G185" s="952">
        <f t="shared" si="22"/>
        <v>0</v>
      </c>
      <c r="H185" s="951"/>
      <c r="I185" s="952"/>
      <c r="J185" s="952"/>
      <c r="K185" s="192"/>
      <c r="L185" s="192"/>
      <c r="M185" s="192"/>
      <c r="N185" s="192"/>
      <c r="O185" s="192"/>
      <c r="P185" s="192"/>
      <c r="Q185" s="192"/>
    </row>
    <row r="186" spans="1:17" s="161" customFormat="1" ht="409.6" customHeight="1" thickTop="1" thickBot="1" x14ac:dyDescent="0.7">
      <c r="A186" s="895" t="s">
        <v>659</v>
      </c>
      <c r="B186" s="895" t="s">
        <v>366</v>
      </c>
      <c r="C186" s="895" t="s">
        <v>187</v>
      </c>
      <c r="D186" s="421" t="s">
        <v>476</v>
      </c>
      <c r="E186" s="895" t="s">
        <v>1049</v>
      </c>
      <c r="F186" s="895" t="s">
        <v>1050</v>
      </c>
      <c r="G186" s="885">
        <f t="shared" si="22"/>
        <v>190000</v>
      </c>
      <c r="H186" s="885">
        <f>'d3'!E217</f>
        <v>0</v>
      </c>
      <c r="I186" s="885">
        <f>'d3'!J217</f>
        <v>190000</v>
      </c>
      <c r="J186" s="885">
        <f>'d3'!K217</f>
        <v>0</v>
      </c>
      <c r="K186" s="192"/>
      <c r="L186" s="192"/>
      <c r="M186" s="192"/>
      <c r="N186" s="192"/>
      <c r="O186" s="192"/>
      <c r="P186" s="192"/>
      <c r="Q186" s="192"/>
    </row>
    <row r="187" spans="1:17" s="161" customFormat="1" ht="184.5" thickTop="1" thickBot="1" x14ac:dyDescent="0.25">
      <c r="A187" s="896"/>
      <c r="B187" s="896"/>
      <c r="C187" s="896"/>
      <c r="D187" s="422" t="s">
        <v>477</v>
      </c>
      <c r="E187" s="896"/>
      <c r="F187" s="896"/>
      <c r="G187" s="896">
        <f t="shared" si="22"/>
        <v>0</v>
      </c>
      <c r="H187" s="896"/>
      <c r="I187" s="896"/>
      <c r="J187" s="896"/>
      <c r="K187" s="192"/>
      <c r="L187" s="192"/>
      <c r="M187" s="192"/>
      <c r="N187" s="192"/>
      <c r="O187" s="192"/>
      <c r="P187" s="192"/>
      <c r="Q187" s="192"/>
    </row>
    <row r="188" spans="1:17" s="161" customFormat="1" ht="409.6" thickTop="1" thickBot="1" x14ac:dyDescent="0.25">
      <c r="A188" s="405" t="s">
        <v>660</v>
      </c>
      <c r="B188" s="405" t="s">
        <v>568</v>
      </c>
      <c r="C188" s="405" t="s">
        <v>272</v>
      </c>
      <c r="D188" s="353" t="s">
        <v>569</v>
      </c>
      <c r="E188" s="509" t="s">
        <v>1047</v>
      </c>
      <c r="F188" s="508" t="s">
        <v>1048</v>
      </c>
      <c r="G188" s="404">
        <f t="shared" si="22"/>
        <v>108400</v>
      </c>
      <c r="H188" s="325">
        <f>'d3'!E221</f>
        <v>108400</v>
      </c>
      <c r="I188" s="344">
        <f>'d3'!J221</f>
        <v>0</v>
      </c>
      <c r="J188" s="344">
        <f>'d3'!K221</f>
        <v>0</v>
      </c>
      <c r="K188" s="192"/>
      <c r="L188" s="192"/>
      <c r="M188" s="192"/>
      <c r="N188" s="192"/>
      <c r="O188" s="192"/>
      <c r="P188" s="192"/>
      <c r="Q188" s="192"/>
    </row>
    <row r="189" spans="1:17" s="161" customFormat="1" ht="409.6" thickTop="1" thickBot="1" x14ac:dyDescent="0.25">
      <c r="A189" s="405" t="s">
        <v>661</v>
      </c>
      <c r="B189" s="405" t="s">
        <v>271</v>
      </c>
      <c r="C189" s="405" t="s">
        <v>272</v>
      </c>
      <c r="D189" s="405" t="s">
        <v>270</v>
      </c>
      <c r="E189" s="513" t="s">
        <v>1047</v>
      </c>
      <c r="F189" s="511" t="s">
        <v>1048</v>
      </c>
      <c r="G189" s="404">
        <f t="shared" si="22"/>
        <v>3052178</v>
      </c>
      <c r="H189" s="325">
        <f>'d3'!E222</f>
        <v>3052178</v>
      </c>
      <c r="I189" s="344">
        <f>'d3'!J222</f>
        <v>0</v>
      </c>
      <c r="J189" s="344">
        <f>'d3'!K222</f>
        <v>0</v>
      </c>
      <c r="K189" s="192"/>
      <c r="L189" s="192"/>
      <c r="M189" s="192"/>
      <c r="N189" s="192"/>
      <c r="O189" s="192"/>
      <c r="P189" s="192"/>
      <c r="Q189" s="192"/>
    </row>
    <row r="190" spans="1:17" s="161" customFormat="1" ht="409.6" hidden="1" thickTop="1" thickBot="1" x14ac:dyDescent="0.25">
      <c r="A190" s="405" t="s">
        <v>662</v>
      </c>
      <c r="B190" s="405" t="s">
        <v>663</v>
      </c>
      <c r="C190" s="405" t="s">
        <v>272</v>
      </c>
      <c r="D190" s="405" t="s">
        <v>664</v>
      </c>
      <c r="E190" s="513" t="s">
        <v>1047</v>
      </c>
      <c r="F190" s="511" t="s">
        <v>1048</v>
      </c>
      <c r="G190" s="404">
        <f t="shared" si="22"/>
        <v>0</v>
      </c>
      <c r="H190" s="325">
        <f>'d3'!E223</f>
        <v>0</v>
      </c>
      <c r="I190" s="344">
        <f>'d3'!J223</f>
        <v>0</v>
      </c>
      <c r="J190" s="344">
        <f>'d3'!K223</f>
        <v>0</v>
      </c>
      <c r="K190" s="192"/>
      <c r="L190" s="192"/>
      <c r="M190" s="192"/>
      <c r="N190" s="192"/>
      <c r="O190" s="192"/>
      <c r="P190" s="192"/>
      <c r="Q190" s="192"/>
    </row>
    <row r="191" spans="1:17" ht="181.5" thickTop="1" thickBot="1" x14ac:dyDescent="0.25">
      <c r="A191" s="595" t="s">
        <v>25</v>
      </c>
      <c r="B191" s="595"/>
      <c r="C191" s="595"/>
      <c r="D191" s="596" t="s">
        <v>1087</v>
      </c>
      <c r="E191" s="597"/>
      <c r="F191" s="598"/>
      <c r="G191" s="598">
        <f>G192</f>
        <v>166605566.50999999</v>
      </c>
      <c r="H191" s="598">
        <f>H192</f>
        <v>155000</v>
      </c>
      <c r="I191" s="597">
        <f>I192</f>
        <v>166450566.50999999</v>
      </c>
      <c r="J191" s="597">
        <f>J192</f>
        <v>166450566.50999999</v>
      </c>
    </row>
    <row r="192" spans="1:17" ht="316.5" customHeight="1" thickTop="1" thickBot="1" x14ac:dyDescent="0.25">
      <c r="A192" s="599" t="s">
        <v>26</v>
      </c>
      <c r="B192" s="599"/>
      <c r="C192" s="599"/>
      <c r="D192" s="600" t="s">
        <v>1088</v>
      </c>
      <c r="E192" s="601"/>
      <c r="F192" s="601"/>
      <c r="G192" s="601">
        <f>SUM(G193:G202)</f>
        <v>166605566.50999999</v>
      </c>
      <c r="H192" s="601">
        <f>SUM(H193:H202)</f>
        <v>155000</v>
      </c>
      <c r="I192" s="601">
        <f>SUM(I193:I202)</f>
        <v>166450566.50999999</v>
      </c>
      <c r="J192" s="601">
        <f>SUM(J193:J202)</f>
        <v>166450566.50999999</v>
      </c>
      <c r="K192" s="237" t="b">
        <f>H192='d3'!E225-'d3'!E227</f>
        <v>1</v>
      </c>
      <c r="L192" s="238" t="b">
        <f>I192='d3'!J225</f>
        <v>1</v>
      </c>
      <c r="M192" s="238" t="b">
        <f>J192='d3'!K225</f>
        <v>1</v>
      </c>
    </row>
    <row r="193" spans="1:17" s="331" customFormat="1" ht="409.5" customHeight="1" thickTop="1" thickBot="1" x14ac:dyDescent="0.25">
      <c r="A193" s="332" t="s">
        <v>804</v>
      </c>
      <c r="B193" s="332" t="s">
        <v>391</v>
      </c>
      <c r="C193" s="332" t="s">
        <v>794</v>
      </c>
      <c r="D193" s="332" t="s">
        <v>795</v>
      </c>
      <c r="E193" s="313" t="s">
        <v>1078</v>
      </c>
      <c r="F193" s="534" t="s">
        <v>1079</v>
      </c>
      <c r="G193" s="294">
        <f t="shared" ref="G193:G194" si="25">H193+I193</f>
        <v>5000</v>
      </c>
      <c r="H193" s="325">
        <f>'d3'!E228</f>
        <v>5000</v>
      </c>
      <c r="I193" s="344"/>
      <c r="J193" s="344"/>
      <c r="K193" s="349"/>
      <c r="L193" s="349"/>
      <c r="M193" s="349"/>
      <c r="N193" s="333"/>
      <c r="O193" s="333"/>
      <c r="P193" s="333"/>
      <c r="Q193" s="333"/>
    </row>
    <row r="194" spans="1:17" s="640" customFormat="1" ht="230.25" thickTop="1" thickBot="1" x14ac:dyDescent="0.25">
      <c r="A194" s="648" t="s">
        <v>1178</v>
      </c>
      <c r="B194" s="648" t="s">
        <v>45</v>
      </c>
      <c r="C194" s="648" t="s">
        <v>44</v>
      </c>
      <c r="D194" s="648" t="s">
        <v>269</v>
      </c>
      <c r="E194" s="313" t="s">
        <v>1049</v>
      </c>
      <c r="F194" s="641" t="s">
        <v>1050</v>
      </c>
      <c r="G194" s="641">
        <f t="shared" si="25"/>
        <v>150000</v>
      </c>
      <c r="H194" s="649">
        <f>'d3'!E229</f>
        <v>150000</v>
      </c>
      <c r="I194" s="650">
        <f>'d3'!J229</f>
        <v>0</v>
      </c>
      <c r="J194" s="650">
        <f>'d3'!K229</f>
        <v>0</v>
      </c>
      <c r="K194" s="349"/>
      <c r="L194" s="349"/>
      <c r="M194" s="349"/>
      <c r="N194" s="652"/>
      <c r="O194" s="652"/>
      <c r="P194" s="652"/>
      <c r="Q194" s="652"/>
    </row>
    <row r="195" spans="1:17" s="79" customFormat="1" ht="321.75" thickTop="1" thickBot="1" x14ac:dyDescent="0.25">
      <c r="A195" s="405" t="s">
        <v>466</v>
      </c>
      <c r="B195" s="405" t="s">
        <v>468</v>
      </c>
      <c r="C195" s="405" t="s">
        <v>216</v>
      </c>
      <c r="D195" s="405" t="s">
        <v>467</v>
      </c>
      <c r="E195" s="313" t="s">
        <v>1049</v>
      </c>
      <c r="F195" s="508" t="s">
        <v>1050</v>
      </c>
      <c r="G195" s="404">
        <f>H195+I195</f>
        <v>17000000</v>
      </c>
      <c r="H195" s="404">
        <f>'d3'!E232</f>
        <v>0</v>
      </c>
      <c r="I195" s="404">
        <f>'d3'!J232</f>
        <v>17000000</v>
      </c>
      <c r="J195" s="404">
        <f>'d3'!K232</f>
        <v>17000000</v>
      </c>
      <c r="K195" s="192"/>
      <c r="L195" s="192"/>
      <c r="M195" s="192"/>
      <c r="N195" s="192"/>
      <c r="O195" s="192"/>
      <c r="P195" s="192"/>
      <c r="Q195" s="192"/>
    </row>
    <row r="196" spans="1:17" s="79" customFormat="1" ht="230.25" thickTop="1" thickBot="1" x14ac:dyDescent="0.25">
      <c r="A196" s="646" t="s">
        <v>1177</v>
      </c>
      <c r="B196" s="646" t="s">
        <v>327</v>
      </c>
      <c r="C196" s="646" t="s">
        <v>326</v>
      </c>
      <c r="D196" s="646" t="s">
        <v>796</v>
      </c>
      <c r="E196" s="516" t="s">
        <v>1049</v>
      </c>
      <c r="F196" s="662" t="s">
        <v>1050</v>
      </c>
      <c r="G196" s="641">
        <f>H196+I196</f>
        <v>36872.51</v>
      </c>
      <c r="H196" s="641">
        <f>'d3'!E235</f>
        <v>0</v>
      </c>
      <c r="I196" s="641">
        <f>'d3'!J235</f>
        <v>36872.51</v>
      </c>
      <c r="J196" s="641">
        <f>'d3'!K235</f>
        <v>36872.51</v>
      </c>
      <c r="K196" s="652"/>
      <c r="L196" s="652"/>
      <c r="M196" s="652"/>
      <c r="N196" s="652"/>
      <c r="O196" s="652"/>
      <c r="P196" s="652"/>
      <c r="Q196" s="652"/>
    </row>
    <row r="197" spans="1:17" s="79" customFormat="1" ht="230.25" thickTop="1" thickBot="1" x14ac:dyDescent="0.25">
      <c r="A197" s="405" t="s">
        <v>336</v>
      </c>
      <c r="B197" s="405" t="s">
        <v>337</v>
      </c>
      <c r="C197" s="405" t="s">
        <v>326</v>
      </c>
      <c r="D197" s="405" t="s">
        <v>797</v>
      </c>
      <c r="E197" s="313" t="s">
        <v>1049</v>
      </c>
      <c r="F197" s="508" t="s">
        <v>1050</v>
      </c>
      <c r="G197" s="404">
        <f>I197</f>
        <v>21770957</v>
      </c>
      <c r="H197" s="404">
        <f>'d3'!E237</f>
        <v>0</v>
      </c>
      <c r="I197" s="404">
        <f>'d3'!J237</f>
        <v>21770957</v>
      </c>
      <c r="J197" s="404">
        <f>I197</f>
        <v>21770957</v>
      </c>
      <c r="K197" s="192"/>
      <c r="L197" s="192"/>
      <c r="M197" s="192"/>
      <c r="N197" s="192"/>
      <c r="O197" s="192"/>
      <c r="P197" s="192"/>
      <c r="Q197" s="192"/>
    </row>
    <row r="198" spans="1:17" s="79" customFormat="1" ht="230.25" thickTop="1" thickBot="1" x14ac:dyDescent="0.25">
      <c r="A198" s="405" t="s">
        <v>566</v>
      </c>
      <c r="B198" s="405" t="s">
        <v>567</v>
      </c>
      <c r="C198" s="405" t="s">
        <v>326</v>
      </c>
      <c r="D198" s="405" t="s">
        <v>798</v>
      </c>
      <c r="E198" s="313" t="s">
        <v>1049</v>
      </c>
      <c r="F198" s="508" t="s">
        <v>1050</v>
      </c>
      <c r="G198" s="404">
        <f>I198</f>
        <v>200000</v>
      </c>
      <c r="H198" s="404">
        <f>'d3'!E238</f>
        <v>0</v>
      </c>
      <c r="I198" s="404">
        <f>'d3'!J238</f>
        <v>200000</v>
      </c>
      <c r="J198" s="404">
        <f>I198</f>
        <v>200000</v>
      </c>
      <c r="K198" s="192"/>
      <c r="L198" s="192"/>
      <c r="M198" s="192"/>
      <c r="N198" s="192"/>
      <c r="O198" s="192"/>
      <c r="P198" s="192"/>
      <c r="Q198" s="192"/>
    </row>
    <row r="199" spans="1:17" s="79" customFormat="1" ht="230.25" thickTop="1" thickBot="1" x14ac:dyDescent="0.25">
      <c r="A199" s="405" t="s">
        <v>338</v>
      </c>
      <c r="B199" s="405" t="s">
        <v>339</v>
      </c>
      <c r="C199" s="405" t="s">
        <v>326</v>
      </c>
      <c r="D199" s="405" t="s">
        <v>799</v>
      </c>
      <c r="E199" s="313" t="s">
        <v>1049</v>
      </c>
      <c r="F199" s="508" t="s">
        <v>1050</v>
      </c>
      <c r="G199" s="404">
        <f t="shared" ref="G199:G201" si="26">I199</f>
        <v>0</v>
      </c>
      <c r="H199" s="404">
        <f>'d3'!E239</f>
        <v>0</v>
      </c>
      <c r="I199" s="404">
        <f>'d3'!J239</f>
        <v>0</v>
      </c>
      <c r="J199" s="404">
        <f>I199</f>
        <v>0</v>
      </c>
      <c r="K199" s="192"/>
      <c r="L199" s="192"/>
      <c r="M199" s="192"/>
      <c r="N199" s="192"/>
      <c r="O199" s="192"/>
      <c r="P199" s="192"/>
      <c r="Q199" s="192"/>
    </row>
    <row r="200" spans="1:17" s="79" customFormat="1" ht="230.25" thickTop="1" thickBot="1" x14ac:dyDescent="0.25">
      <c r="A200" s="405" t="s">
        <v>340</v>
      </c>
      <c r="B200" s="405" t="s">
        <v>341</v>
      </c>
      <c r="C200" s="405" t="s">
        <v>326</v>
      </c>
      <c r="D200" s="405" t="s">
        <v>800</v>
      </c>
      <c r="E200" s="313" t="s">
        <v>1049</v>
      </c>
      <c r="F200" s="508" t="s">
        <v>1050</v>
      </c>
      <c r="G200" s="404">
        <f t="shared" si="26"/>
        <v>16165465</v>
      </c>
      <c r="H200" s="404">
        <f>'d3'!E240-H201</f>
        <v>0</v>
      </c>
      <c r="I200" s="404">
        <f>'d3'!J240-I201</f>
        <v>16165465</v>
      </c>
      <c r="J200" s="696">
        <f>'d3'!K240-J201</f>
        <v>16165465</v>
      </c>
      <c r="K200" s="192"/>
      <c r="L200" s="192"/>
      <c r="M200" s="192"/>
      <c r="N200" s="192"/>
      <c r="O200" s="192"/>
      <c r="P200" s="192"/>
      <c r="Q200" s="192"/>
    </row>
    <row r="201" spans="1:17" s="79" customFormat="1" ht="184.5" thickTop="1" thickBot="1" x14ac:dyDescent="0.25">
      <c r="A201" s="697" t="s">
        <v>340</v>
      </c>
      <c r="B201" s="697" t="s">
        <v>341</v>
      </c>
      <c r="C201" s="697" t="s">
        <v>326</v>
      </c>
      <c r="D201" s="697" t="s">
        <v>800</v>
      </c>
      <c r="E201" s="175" t="s">
        <v>487</v>
      </c>
      <c r="F201" s="285" t="s">
        <v>456</v>
      </c>
      <c r="G201" s="696">
        <f t="shared" si="26"/>
        <v>1195970</v>
      </c>
      <c r="H201" s="696">
        <v>0</v>
      </c>
      <c r="I201" s="696">
        <v>1195970</v>
      </c>
      <c r="J201" s="696">
        <v>1195970</v>
      </c>
      <c r="K201" s="698"/>
      <c r="L201" s="698"/>
      <c r="M201" s="698"/>
      <c r="N201" s="698"/>
      <c r="O201" s="698"/>
      <c r="P201" s="698"/>
      <c r="Q201" s="698"/>
    </row>
    <row r="202" spans="1:17" s="79" customFormat="1" ht="230.25" thickTop="1" thickBot="1" x14ac:dyDescent="0.25">
      <c r="A202" s="405" t="s">
        <v>472</v>
      </c>
      <c r="B202" s="405" t="s">
        <v>379</v>
      </c>
      <c r="C202" s="405" t="s">
        <v>187</v>
      </c>
      <c r="D202" s="405" t="s">
        <v>283</v>
      </c>
      <c r="E202" s="313" t="s">
        <v>1049</v>
      </c>
      <c r="F202" s="508" t="s">
        <v>1050</v>
      </c>
      <c r="G202" s="404">
        <f>H202+I202</f>
        <v>110081302</v>
      </c>
      <c r="H202" s="404">
        <f>'d3'!E241</f>
        <v>0</v>
      </c>
      <c r="I202" s="404">
        <f>'d3'!J241</f>
        <v>110081302</v>
      </c>
      <c r="J202" s="404">
        <f>'d3'!K241</f>
        <v>110081302</v>
      </c>
      <c r="K202" s="192"/>
      <c r="L202" s="192"/>
      <c r="M202" s="192"/>
      <c r="N202" s="192"/>
      <c r="O202" s="192"/>
      <c r="P202" s="192"/>
      <c r="Q202" s="192"/>
    </row>
    <row r="203" spans="1:17" ht="292.7" customHeight="1" thickTop="1" thickBot="1" x14ac:dyDescent="0.25">
      <c r="A203" s="595" t="s">
        <v>177</v>
      </c>
      <c r="B203" s="595"/>
      <c r="C203" s="595"/>
      <c r="D203" s="596" t="s">
        <v>1089</v>
      </c>
      <c r="E203" s="597"/>
      <c r="F203" s="598"/>
      <c r="G203" s="598">
        <f>G204</f>
        <v>744000</v>
      </c>
      <c r="H203" s="598">
        <f t="shared" ref="H203:J203" si="27">H204</f>
        <v>7000</v>
      </c>
      <c r="I203" s="597">
        <f t="shared" si="27"/>
        <v>737000</v>
      </c>
      <c r="J203" s="597">
        <f t="shared" si="27"/>
        <v>737000</v>
      </c>
      <c r="K203" s="237" t="b">
        <f>H203='d3'!E243-'d3'!E245+H205+H207</f>
        <v>1</v>
      </c>
      <c r="L203" s="238" t="b">
        <f>I203='d3'!J243-'d3'!J245+'d7'!I205</f>
        <v>1</v>
      </c>
      <c r="M203" s="238" t="b">
        <f>J203='d3'!K243-'d3'!K245+'d7'!J205</f>
        <v>1</v>
      </c>
    </row>
    <row r="204" spans="1:17" ht="181.5" thickTop="1" thickBot="1" x14ac:dyDescent="0.25">
      <c r="A204" s="599" t="s">
        <v>178</v>
      </c>
      <c r="B204" s="599"/>
      <c r="C204" s="599"/>
      <c r="D204" s="600" t="s">
        <v>1110</v>
      </c>
      <c r="E204" s="601"/>
      <c r="F204" s="601"/>
      <c r="G204" s="601">
        <f>SUM(G205:G207)</f>
        <v>744000</v>
      </c>
      <c r="H204" s="601">
        <f>SUM(H205:H207)</f>
        <v>7000</v>
      </c>
      <c r="I204" s="601">
        <f>SUM(I205:I207)</f>
        <v>737000</v>
      </c>
      <c r="J204" s="601">
        <f>SUM(J205:J207)</f>
        <v>737000</v>
      </c>
    </row>
    <row r="205" spans="1:17" ht="230.25" thickTop="1" thickBot="1" x14ac:dyDescent="0.25">
      <c r="A205" s="284" t="s">
        <v>450</v>
      </c>
      <c r="B205" s="284" t="s">
        <v>257</v>
      </c>
      <c r="C205" s="284" t="s">
        <v>255</v>
      </c>
      <c r="D205" s="284" t="s">
        <v>256</v>
      </c>
      <c r="E205" s="313" t="s">
        <v>1043</v>
      </c>
      <c r="F205" s="508" t="s">
        <v>1044</v>
      </c>
      <c r="G205" s="294">
        <f>H205+I205</f>
        <v>126000</v>
      </c>
      <c r="H205" s="294">
        <v>0</v>
      </c>
      <c r="I205" s="294">
        <f>(100000+26000)</f>
        <v>126000</v>
      </c>
      <c r="J205" s="294">
        <f>(100000+26000)</f>
        <v>126000</v>
      </c>
    </row>
    <row r="206" spans="1:17" s="331" customFormat="1" ht="409.6" thickTop="1" thickBot="1" x14ac:dyDescent="0.25">
      <c r="A206" s="338" t="s">
        <v>805</v>
      </c>
      <c r="B206" s="338" t="s">
        <v>391</v>
      </c>
      <c r="C206" s="338" t="s">
        <v>794</v>
      </c>
      <c r="D206" s="338" t="s">
        <v>795</v>
      </c>
      <c r="E206" s="313" t="s">
        <v>1078</v>
      </c>
      <c r="F206" s="534" t="s">
        <v>1079</v>
      </c>
      <c r="G206" s="294">
        <f t="shared" ref="G206:G207" si="28">H206+I206</f>
        <v>7000</v>
      </c>
      <c r="H206" s="325">
        <f>'d3'!E246</f>
        <v>7000</v>
      </c>
      <c r="I206" s="344"/>
      <c r="J206" s="344"/>
      <c r="K206" s="333"/>
      <c r="L206" s="333"/>
      <c r="M206" s="333"/>
      <c r="N206" s="333"/>
      <c r="O206" s="333"/>
      <c r="P206" s="333"/>
      <c r="Q206" s="333"/>
    </row>
    <row r="207" spans="1:17" s="568" customFormat="1" ht="230.25" thickTop="1" thickBot="1" x14ac:dyDescent="0.25">
      <c r="A207" s="571" t="s">
        <v>1139</v>
      </c>
      <c r="B207" s="571" t="s">
        <v>1140</v>
      </c>
      <c r="C207" s="571" t="s">
        <v>326</v>
      </c>
      <c r="D207" s="571" t="s">
        <v>1141</v>
      </c>
      <c r="E207" s="313" t="s">
        <v>1049</v>
      </c>
      <c r="F207" s="569" t="s">
        <v>1050</v>
      </c>
      <c r="G207" s="569">
        <f t="shared" si="28"/>
        <v>611000</v>
      </c>
      <c r="H207" s="573">
        <f>'d3'!E249</f>
        <v>0</v>
      </c>
      <c r="I207" s="574">
        <f>'d3'!J249</f>
        <v>611000</v>
      </c>
      <c r="J207" s="576">
        <f>'d3'!K249</f>
        <v>611000</v>
      </c>
      <c r="K207" s="575"/>
      <c r="L207" s="575"/>
      <c r="M207" s="575"/>
      <c r="N207" s="575"/>
      <c r="O207" s="575"/>
      <c r="P207" s="575"/>
      <c r="Q207" s="575"/>
    </row>
    <row r="208" spans="1:17" ht="201.75" customHeight="1" thickTop="1" thickBot="1" x14ac:dyDescent="0.25">
      <c r="A208" s="595" t="s">
        <v>480</v>
      </c>
      <c r="B208" s="595"/>
      <c r="C208" s="595"/>
      <c r="D208" s="596" t="s">
        <v>482</v>
      </c>
      <c r="E208" s="597"/>
      <c r="F208" s="598"/>
      <c r="G208" s="598">
        <f>G209</f>
        <v>54546153</v>
      </c>
      <c r="H208" s="598">
        <f t="shared" ref="H208:J208" si="29">H209</f>
        <v>54510153</v>
      </c>
      <c r="I208" s="597">
        <f t="shared" si="29"/>
        <v>36000</v>
      </c>
      <c r="J208" s="597">
        <f t="shared" si="29"/>
        <v>36000</v>
      </c>
    </row>
    <row r="209" spans="1:17" ht="181.5" thickTop="1" thickBot="1" x14ac:dyDescent="0.25">
      <c r="A209" s="599" t="s">
        <v>481</v>
      </c>
      <c r="B209" s="599"/>
      <c r="C209" s="599"/>
      <c r="D209" s="600" t="s">
        <v>483</v>
      </c>
      <c r="E209" s="601"/>
      <c r="F209" s="601"/>
      <c r="G209" s="601">
        <f>SUM(G210:G213)</f>
        <v>54546153</v>
      </c>
      <c r="H209" s="601">
        <f>SUM(H210:H213)</f>
        <v>54510153</v>
      </c>
      <c r="I209" s="601">
        <f>SUM(I210:I213)</f>
        <v>36000</v>
      </c>
      <c r="J209" s="601">
        <f>SUM(J210:J213)</f>
        <v>36000</v>
      </c>
      <c r="K209" s="237" t="b">
        <f>H209='d3'!E251-'d3'!E253+'d7'!H210</f>
        <v>1</v>
      </c>
      <c r="L209" s="238" t="b">
        <f>I209='d3'!J251-'d3'!J253+'d7'!I210</f>
        <v>1</v>
      </c>
      <c r="M209" s="238" t="b">
        <f>J209='d3'!K251-'d3'!K253+'d7'!J210</f>
        <v>1</v>
      </c>
    </row>
    <row r="210" spans="1:17" ht="230.25" thickTop="1" thickBot="1" x14ac:dyDescent="0.25">
      <c r="A210" s="284" t="s">
        <v>484</v>
      </c>
      <c r="B210" s="284" t="s">
        <v>257</v>
      </c>
      <c r="C210" s="284" t="s">
        <v>255</v>
      </c>
      <c r="D210" s="284" t="s">
        <v>256</v>
      </c>
      <c r="E210" s="313" t="s">
        <v>1043</v>
      </c>
      <c r="F210" s="508" t="s">
        <v>1044</v>
      </c>
      <c r="G210" s="294">
        <f>H210+I210</f>
        <v>36000</v>
      </c>
      <c r="H210" s="325"/>
      <c r="I210" s="294">
        <f>(18000)+18000</f>
        <v>36000</v>
      </c>
      <c r="J210" s="589">
        <f>(18000)+18000</f>
        <v>36000</v>
      </c>
    </row>
    <row r="211" spans="1:17" s="331" customFormat="1" ht="409.6" thickTop="1" thickBot="1" x14ac:dyDescent="0.25">
      <c r="A211" s="338" t="s">
        <v>806</v>
      </c>
      <c r="B211" s="338" t="s">
        <v>391</v>
      </c>
      <c r="C211" s="338" t="s">
        <v>794</v>
      </c>
      <c r="D211" s="338" t="s">
        <v>795</v>
      </c>
      <c r="E211" s="313" t="s">
        <v>1078</v>
      </c>
      <c r="F211" s="534" t="s">
        <v>1079</v>
      </c>
      <c r="G211" s="294">
        <f t="shared" ref="G211" si="30">H211+I211</f>
        <v>5080</v>
      </c>
      <c r="H211" s="325">
        <f>'d3'!E254</f>
        <v>5080</v>
      </c>
      <c r="I211" s="344"/>
      <c r="J211" s="344"/>
      <c r="K211" s="333"/>
      <c r="L211" s="333"/>
      <c r="M211" s="333"/>
      <c r="N211" s="333"/>
      <c r="O211" s="333"/>
      <c r="P211" s="333"/>
      <c r="Q211" s="333"/>
    </row>
    <row r="212" spans="1:17" ht="276" hidden="1" thickTop="1" thickBot="1" x14ac:dyDescent="0.25">
      <c r="A212" s="405" t="s">
        <v>508</v>
      </c>
      <c r="B212" s="405" t="s">
        <v>312</v>
      </c>
      <c r="C212" s="405" t="s">
        <v>314</v>
      </c>
      <c r="D212" s="405" t="s">
        <v>313</v>
      </c>
      <c r="E212" s="175" t="s">
        <v>756</v>
      </c>
      <c r="F212" s="404" t="s">
        <v>537</v>
      </c>
      <c r="G212" s="936">
        <f>H212+I212</f>
        <v>54505073</v>
      </c>
      <c r="H212" s="936">
        <f>'d3'!E259</f>
        <v>54505073</v>
      </c>
      <c r="I212" s="936">
        <f>'d3'!J259</f>
        <v>0</v>
      </c>
      <c r="J212" s="936">
        <f>'d3'!K259</f>
        <v>0</v>
      </c>
    </row>
    <row r="213" spans="1:17" ht="184.5" thickTop="1" thickBot="1" x14ac:dyDescent="0.25">
      <c r="A213" s="405" t="s">
        <v>508</v>
      </c>
      <c r="B213" s="405" t="s">
        <v>312</v>
      </c>
      <c r="C213" s="405" t="s">
        <v>314</v>
      </c>
      <c r="D213" s="405" t="s">
        <v>313</v>
      </c>
      <c r="E213" s="348" t="s">
        <v>1221</v>
      </c>
      <c r="F213" s="657" t="s">
        <v>1222</v>
      </c>
      <c r="G213" s="938"/>
      <c r="H213" s="938"/>
      <c r="I213" s="938"/>
      <c r="J213" s="938"/>
    </row>
    <row r="214" spans="1:17" ht="160.5" customHeight="1" thickTop="1" thickBot="1" x14ac:dyDescent="0.25">
      <c r="A214" s="595" t="s">
        <v>183</v>
      </c>
      <c r="B214" s="595"/>
      <c r="C214" s="595"/>
      <c r="D214" s="596" t="s">
        <v>383</v>
      </c>
      <c r="E214" s="597"/>
      <c r="F214" s="598"/>
      <c r="G214" s="598">
        <f>G215</f>
        <v>9886267.4100000001</v>
      </c>
      <c r="H214" s="598">
        <f t="shared" ref="H214:J214" si="31">H215</f>
        <v>8486267.4100000001</v>
      </c>
      <c r="I214" s="597">
        <f t="shared" si="31"/>
        <v>1400000</v>
      </c>
      <c r="J214" s="597">
        <f t="shared" si="31"/>
        <v>1400000</v>
      </c>
      <c r="K214" s="237" t="b">
        <f>H214='d3'!E260</f>
        <v>1</v>
      </c>
      <c r="L214" s="238" t="b">
        <f>I214='d3'!J260</f>
        <v>1</v>
      </c>
      <c r="M214" s="238" t="b">
        <f>J214='d3'!K260</f>
        <v>1</v>
      </c>
    </row>
    <row r="215" spans="1:17" ht="136.5" thickTop="1" thickBot="1" x14ac:dyDescent="0.25">
      <c r="A215" s="599" t="s">
        <v>184</v>
      </c>
      <c r="B215" s="599"/>
      <c r="C215" s="599"/>
      <c r="D215" s="600" t="s">
        <v>384</v>
      </c>
      <c r="E215" s="601"/>
      <c r="F215" s="601"/>
      <c r="G215" s="601">
        <f>SUM(G216:G223)</f>
        <v>9886267.4100000001</v>
      </c>
      <c r="H215" s="601">
        <f t="shared" ref="H215:J215" si="32">SUM(H216:H223)</f>
        <v>8486267.4100000001</v>
      </c>
      <c r="I215" s="601">
        <f t="shared" si="32"/>
        <v>1400000</v>
      </c>
      <c r="J215" s="601">
        <f t="shared" si="32"/>
        <v>1400000</v>
      </c>
    </row>
    <row r="216" spans="1:17" ht="184.5" thickTop="1" thickBot="1" x14ac:dyDescent="0.25">
      <c r="A216" s="405" t="s">
        <v>281</v>
      </c>
      <c r="B216" s="405" t="s">
        <v>282</v>
      </c>
      <c r="C216" s="405" t="s">
        <v>280</v>
      </c>
      <c r="D216" s="405" t="s">
        <v>279</v>
      </c>
      <c r="E216" s="175" t="s">
        <v>486</v>
      </c>
      <c r="F216" s="285" t="s">
        <v>460</v>
      </c>
      <c r="G216" s="325">
        <f>H216+I216</f>
        <v>4672230</v>
      </c>
      <c r="H216" s="404">
        <f>(5468200)-795970</f>
        <v>4672230</v>
      </c>
      <c r="I216" s="404"/>
      <c r="J216" s="404"/>
      <c r="K216" s="237" t="b">
        <f>H216+H217='d3'!E264</f>
        <v>1</v>
      </c>
      <c r="L216" s="238" t="b">
        <f>I216+I217='d3'!J264</f>
        <v>1</v>
      </c>
      <c r="M216" s="238" t="b">
        <f>J216+J217='d3'!K264</f>
        <v>1</v>
      </c>
    </row>
    <row r="217" spans="1:17" ht="184.5" thickTop="1" thickBot="1" x14ac:dyDescent="0.25">
      <c r="A217" s="405" t="s">
        <v>281</v>
      </c>
      <c r="B217" s="405" t="s">
        <v>282</v>
      </c>
      <c r="C217" s="405" t="s">
        <v>280</v>
      </c>
      <c r="D217" s="405" t="s">
        <v>279</v>
      </c>
      <c r="E217" s="175" t="s">
        <v>487</v>
      </c>
      <c r="F217" s="285" t="s">
        <v>456</v>
      </c>
      <c r="G217" s="325">
        <f t="shared" ref="G217:G223" si="33">H217+I217</f>
        <v>120000</v>
      </c>
      <c r="H217" s="404">
        <v>120000</v>
      </c>
      <c r="I217" s="404"/>
      <c r="J217" s="404"/>
      <c r="M217" s="238"/>
    </row>
    <row r="218" spans="1:17" ht="230.25" thickTop="1" thickBot="1" x14ac:dyDescent="0.25">
      <c r="A218" s="405" t="s">
        <v>273</v>
      </c>
      <c r="B218" s="405" t="s">
        <v>275</v>
      </c>
      <c r="C218" s="405" t="s">
        <v>234</v>
      </c>
      <c r="D218" s="405" t="s">
        <v>274</v>
      </c>
      <c r="E218" s="507" t="s">
        <v>1051</v>
      </c>
      <c r="F218" s="508" t="s">
        <v>1052</v>
      </c>
      <c r="G218" s="325">
        <f t="shared" si="33"/>
        <v>745000</v>
      </c>
      <c r="H218" s="404">
        <v>745000</v>
      </c>
      <c r="I218" s="404">
        <v>0</v>
      </c>
      <c r="J218" s="404">
        <v>0</v>
      </c>
      <c r="K218" s="237" t="b">
        <f>H218='d3'!E265</f>
        <v>1</v>
      </c>
      <c r="L218" s="238" t="b">
        <f>I218='d3'!J265</f>
        <v>1</v>
      </c>
      <c r="M218" s="238" t="b">
        <f>J218='d3'!K265</f>
        <v>1</v>
      </c>
    </row>
    <row r="219" spans="1:17" ht="276" thickTop="1" thickBot="1" x14ac:dyDescent="0.25">
      <c r="A219" s="405" t="s">
        <v>277</v>
      </c>
      <c r="B219" s="405" t="s">
        <v>278</v>
      </c>
      <c r="C219" s="405" t="s">
        <v>187</v>
      </c>
      <c r="D219" s="405" t="s">
        <v>276</v>
      </c>
      <c r="E219" s="404" t="s">
        <v>485</v>
      </c>
      <c r="F219" s="285" t="s">
        <v>461</v>
      </c>
      <c r="G219" s="325">
        <f t="shared" si="33"/>
        <v>449037.40999999992</v>
      </c>
      <c r="H219" s="404">
        <f>2049580-1600542.59</f>
        <v>449037.40999999992</v>
      </c>
      <c r="I219" s="404">
        <v>0</v>
      </c>
      <c r="J219" s="404">
        <v>0</v>
      </c>
      <c r="K219" s="237" t="b">
        <f>'d3'!E267=H219+H220+H221+H222</f>
        <v>1</v>
      </c>
      <c r="L219" s="238" t="b">
        <f>'d3'!J267=I219+I220+I221+I222</f>
        <v>1</v>
      </c>
      <c r="M219" s="238" t="b">
        <f>'d3'!K267=J219+J220+J221+J222</f>
        <v>1</v>
      </c>
    </row>
    <row r="220" spans="1:17" ht="184.5" thickTop="1" thickBot="1" x14ac:dyDescent="0.25">
      <c r="A220" s="405" t="s">
        <v>277</v>
      </c>
      <c r="B220" s="405" t="s">
        <v>278</v>
      </c>
      <c r="C220" s="405" t="s">
        <v>187</v>
      </c>
      <c r="D220" s="405" t="s">
        <v>276</v>
      </c>
      <c r="E220" s="404" t="s">
        <v>733</v>
      </c>
      <c r="F220" s="404" t="s">
        <v>734</v>
      </c>
      <c r="G220" s="325">
        <f t="shared" si="33"/>
        <v>1200000</v>
      </c>
      <c r="H220" s="404">
        <v>800000</v>
      </c>
      <c r="I220" s="404">
        <v>400000</v>
      </c>
      <c r="J220" s="404">
        <v>400000</v>
      </c>
      <c r="K220" s="226"/>
      <c r="L220" s="229"/>
      <c r="M220" s="230"/>
    </row>
    <row r="221" spans="1:17" s="656" customFormat="1" ht="230.25" thickTop="1" thickBot="1" x14ac:dyDescent="0.25">
      <c r="A221" s="658" t="s">
        <v>277</v>
      </c>
      <c r="B221" s="658" t="s">
        <v>278</v>
      </c>
      <c r="C221" s="658" t="s">
        <v>187</v>
      </c>
      <c r="D221" s="658" t="s">
        <v>276</v>
      </c>
      <c r="E221" s="516" t="s">
        <v>1269</v>
      </c>
      <c r="F221" s="708" t="s">
        <v>1270</v>
      </c>
      <c r="G221" s="663">
        <f t="shared" si="33"/>
        <v>300000</v>
      </c>
      <c r="H221" s="657">
        <v>300000</v>
      </c>
      <c r="I221" s="657">
        <v>0</v>
      </c>
      <c r="J221" s="657">
        <v>0</v>
      </c>
      <c r="K221" s="226"/>
      <c r="L221" s="229"/>
      <c r="M221" s="230"/>
      <c r="N221" s="665"/>
      <c r="O221" s="665"/>
      <c r="P221" s="665"/>
      <c r="Q221" s="665"/>
    </row>
    <row r="222" spans="1:17" s="670" customFormat="1" ht="230.25" thickTop="1" thickBot="1" x14ac:dyDescent="0.25">
      <c r="A222" s="672" t="s">
        <v>277</v>
      </c>
      <c r="B222" s="672" t="s">
        <v>278</v>
      </c>
      <c r="C222" s="672" t="s">
        <v>187</v>
      </c>
      <c r="D222" s="672" t="s">
        <v>276</v>
      </c>
      <c r="E222" s="313" t="s">
        <v>1049</v>
      </c>
      <c r="F222" s="671" t="s">
        <v>1050</v>
      </c>
      <c r="G222" s="677">
        <f t="shared" si="33"/>
        <v>700000</v>
      </c>
      <c r="H222" s="671">
        <v>700000</v>
      </c>
      <c r="I222" s="671">
        <v>0</v>
      </c>
      <c r="J222" s="671">
        <v>0</v>
      </c>
      <c r="K222" s="226"/>
      <c r="L222" s="229"/>
      <c r="M222" s="230"/>
      <c r="N222" s="678"/>
      <c r="O222" s="678"/>
      <c r="P222" s="678"/>
      <c r="Q222" s="678"/>
    </row>
    <row r="223" spans="1:17" s="550" customFormat="1" ht="230.25" thickTop="1" thickBot="1" x14ac:dyDescent="0.25">
      <c r="A223" s="553" t="s">
        <v>1126</v>
      </c>
      <c r="B223" s="553" t="s">
        <v>392</v>
      </c>
      <c r="C223" s="553" t="s">
        <v>45</v>
      </c>
      <c r="D223" s="553" t="s">
        <v>393</v>
      </c>
      <c r="E223" s="313" t="s">
        <v>1049</v>
      </c>
      <c r="F223" s="554" t="s">
        <v>1050</v>
      </c>
      <c r="G223" s="555">
        <f t="shared" si="33"/>
        <v>1700000</v>
      </c>
      <c r="H223" s="554">
        <f>'d3'!E270</f>
        <v>700000</v>
      </c>
      <c r="I223" s="554">
        <f>'d3'!J270</f>
        <v>1000000</v>
      </c>
      <c r="J223" s="558">
        <f>'d3'!K270</f>
        <v>1000000</v>
      </c>
      <c r="K223" s="226"/>
      <c r="L223" s="229"/>
      <c r="M223" s="230"/>
      <c r="N223" s="556"/>
      <c r="O223" s="556"/>
      <c r="P223" s="556"/>
      <c r="Q223" s="556"/>
    </row>
    <row r="224" spans="1:17" ht="226.5" thickTop="1" thickBot="1" x14ac:dyDescent="0.25">
      <c r="A224" s="595" t="s">
        <v>181</v>
      </c>
      <c r="B224" s="595"/>
      <c r="C224" s="595"/>
      <c r="D224" s="596" t="s">
        <v>1082</v>
      </c>
      <c r="E224" s="597"/>
      <c r="F224" s="598"/>
      <c r="G224" s="598">
        <f>G225</f>
        <v>3254138.96</v>
      </c>
      <c r="H224" s="598">
        <f t="shared" ref="H224:J224" si="34">H225</f>
        <v>5000</v>
      </c>
      <c r="I224" s="597">
        <f t="shared" si="34"/>
        <v>3249138.96</v>
      </c>
      <c r="J224" s="597">
        <f t="shared" si="34"/>
        <v>64000</v>
      </c>
      <c r="K224" s="237" t="b">
        <f>H224='d3'!E272-'d3'!E274+H226</f>
        <v>1</v>
      </c>
      <c r="L224" s="238" t="b">
        <f>I224='d3'!J272-'d3'!J274+'d7'!I226</f>
        <v>1</v>
      </c>
      <c r="M224" s="238" t="b">
        <f>J224='d3'!K272-'d3'!K274+'d7'!J226</f>
        <v>1</v>
      </c>
    </row>
    <row r="225" spans="1:17" ht="181.5" thickTop="1" thickBot="1" x14ac:dyDescent="0.25">
      <c r="A225" s="599" t="s">
        <v>182</v>
      </c>
      <c r="B225" s="599"/>
      <c r="C225" s="599"/>
      <c r="D225" s="600" t="s">
        <v>1083</v>
      </c>
      <c r="E225" s="601"/>
      <c r="F225" s="601"/>
      <c r="G225" s="601">
        <f>SUM(G226:G231)</f>
        <v>3254138.96</v>
      </c>
      <c r="H225" s="601">
        <f>SUM(H226:H231)</f>
        <v>5000</v>
      </c>
      <c r="I225" s="601">
        <f>SUM(I226:I231)</f>
        <v>3249138.96</v>
      </c>
      <c r="J225" s="601">
        <f>SUM(J226:J231)</f>
        <v>64000</v>
      </c>
    </row>
    <row r="226" spans="1:17" s="260" customFormat="1" ht="230.25" thickTop="1" thickBot="1" x14ac:dyDescent="0.25">
      <c r="A226" s="284" t="s">
        <v>453</v>
      </c>
      <c r="B226" s="284" t="s">
        <v>257</v>
      </c>
      <c r="C226" s="284" t="s">
        <v>255</v>
      </c>
      <c r="D226" s="284" t="s">
        <v>256</v>
      </c>
      <c r="E226" s="313" t="s">
        <v>1043</v>
      </c>
      <c r="F226" s="508" t="s">
        <v>1044</v>
      </c>
      <c r="G226" s="294">
        <f>H226+I226</f>
        <v>64000</v>
      </c>
      <c r="H226" s="325"/>
      <c r="I226" s="294">
        <f>(18000)+46000</f>
        <v>64000</v>
      </c>
      <c r="J226" s="589">
        <f>(18000)+46000</f>
        <v>64000</v>
      </c>
      <c r="K226" s="261"/>
      <c r="L226" s="261"/>
      <c r="M226" s="261"/>
      <c r="N226" s="261"/>
      <c r="O226" s="261"/>
      <c r="P226" s="261"/>
      <c r="Q226" s="261"/>
    </row>
    <row r="227" spans="1:17" s="331" customFormat="1" ht="409.6" thickTop="1" thickBot="1" x14ac:dyDescent="0.25">
      <c r="A227" s="338" t="s">
        <v>807</v>
      </c>
      <c r="B227" s="338" t="s">
        <v>391</v>
      </c>
      <c r="C227" s="338" t="s">
        <v>794</v>
      </c>
      <c r="D227" s="338" t="s">
        <v>795</v>
      </c>
      <c r="E227" s="313" t="s">
        <v>1078</v>
      </c>
      <c r="F227" s="534" t="s">
        <v>1079</v>
      </c>
      <c r="G227" s="294">
        <f t="shared" ref="G227" si="35">H227+I227</f>
        <v>5000</v>
      </c>
      <c r="H227" s="325">
        <f>'d3'!E275</f>
        <v>5000</v>
      </c>
      <c r="I227" s="344"/>
      <c r="J227" s="344"/>
      <c r="K227" s="333"/>
      <c r="L227" s="333"/>
      <c r="M227" s="333"/>
      <c r="N227" s="333"/>
      <c r="O227" s="333"/>
      <c r="P227" s="333"/>
      <c r="Q227" s="333"/>
    </row>
    <row r="228" spans="1:17" ht="184.5" thickTop="1" thickBot="1" x14ac:dyDescent="0.25">
      <c r="A228" s="405" t="s">
        <v>331</v>
      </c>
      <c r="B228" s="405" t="s">
        <v>332</v>
      </c>
      <c r="C228" s="405" t="s">
        <v>54</v>
      </c>
      <c r="D228" s="405" t="s">
        <v>55</v>
      </c>
      <c r="E228" s="348" t="s">
        <v>1267</v>
      </c>
      <c r="F228" s="708" t="s">
        <v>1268</v>
      </c>
      <c r="G228" s="325">
        <f t="shared" ref="G228:G231" si="36">H228+I228</f>
        <v>403900</v>
      </c>
      <c r="H228" s="404">
        <f>'d3'!E279</f>
        <v>0</v>
      </c>
      <c r="I228" s="404">
        <f>'d3'!J279</f>
        <v>403900</v>
      </c>
      <c r="J228" s="404">
        <f>'d3'!K279</f>
        <v>0</v>
      </c>
    </row>
    <row r="229" spans="1:17" ht="184.5" thickTop="1" thickBot="1" x14ac:dyDescent="0.25">
      <c r="A229" s="405" t="s">
        <v>511</v>
      </c>
      <c r="B229" s="405" t="s">
        <v>512</v>
      </c>
      <c r="C229" s="405" t="s">
        <v>510</v>
      </c>
      <c r="D229" s="405" t="s">
        <v>513</v>
      </c>
      <c r="E229" s="348" t="s">
        <v>1267</v>
      </c>
      <c r="F229" s="708" t="s">
        <v>1268</v>
      </c>
      <c r="G229" s="325">
        <f t="shared" si="36"/>
        <v>361238.96</v>
      </c>
      <c r="H229" s="404">
        <f>'d3'!E280</f>
        <v>0</v>
      </c>
      <c r="I229" s="404">
        <f>'d3'!J280</f>
        <v>361238.96</v>
      </c>
      <c r="J229" s="404">
        <f>'d3'!K280</f>
        <v>0</v>
      </c>
    </row>
    <row r="230" spans="1:17" ht="184.5" thickTop="1" thickBot="1" x14ac:dyDescent="0.25">
      <c r="A230" s="405" t="s">
        <v>572</v>
      </c>
      <c r="B230" s="405" t="s">
        <v>570</v>
      </c>
      <c r="C230" s="405" t="s">
        <v>573</v>
      </c>
      <c r="D230" s="405" t="s">
        <v>571</v>
      </c>
      <c r="E230" s="348" t="s">
        <v>1267</v>
      </c>
      <c r="F230" s="708" t="s">
        <v>1268</v>
      </c>
      <c r="G230" s="325">
        <f t="shared" si="36"/>
        <v>175000</v>
      </c>
      <c r="H230" s="404">
        <f>'d3'!E281</f>
        <v>0</v>
      </c>
      <c r="I230" s="404">
        <f>'d3'!J281</f>
        <v>175000</v>
      </c>
      <c r="J230" s="404">
        <f>'d3'!K281</f>
        <v>0</v>
      </c>
    </row>
    <row r="231" spans="1:17" ht="184.5" thickTop="1" thickBot="1" x14ac:dyDescent="0.25">
      <c r="A231" s="405" t="s">
        <v>333</v>
      </c>
      <c r="B231" s="405" t="s">
        <v>334</v>
      </c>
      <c r="C231" s="405" t="s">
        <v>56</v>
      </c>
      <c r="D231" s="405" t="s">
        <v>514</v>
      </c>
      <c r="E231" s="348" t="s">
        <v>1267</v>
      </c>
      <c r="F231" s="708" t="s">
        <v>1268</v>
      </c>
      <c r="G231" s="325">
        <f t="shared" si="36"/>
        <v>2245000</v>
      </c>
      <c r="H231" s="404">
        <f>'d3'!E282</f>
        <v>0</v>
      </c>
      <c r="I231" s="404">
        <f>'d3'!J282</f>
        <v>2245000</v>
      </c>
      <c r="J231" s="404">
        <f>'d3'!K282</f>
        <v>0</v>
      </c>
    </row>
    <row r="232" spans="1:17" ht="226.5" thickTop="1" thickBot="1" x14ac:dyDescent="0.25">
      <c r="A232" s="595" t="s">
        <v>179</v>
      </c>
      <c r="B232" s="595"/>
      <c r="C232" s="595"/>
      <c r="D232" s="596" t="s">
        <v>1111</v>
      </c>
      <c r="E232" s="597"/>
      <c r="F232" s="598"/>
      <c r="G232" s="598">
        <f>G233</f>
        <v>350000</v>
      </c>
      <c r="H232" s="598">
        <f t="shared" ref="H232:J232" si="37">H233</f>
        <v>0</v>
      </c>
      <c r="I232" s="597">
        <f t="shared" si="37"/>
        <v>350000</v>
      </c>
      <c r="J232" s="597">
        <f t="shared" si="37"/>
        <v>350000</v>
      </c>
      <c r="K232" s="237" t="b">
        <f>H232='d3'!E284-'d3'!E286+H234</f>
        <v>1</v>
      </c>
      <c r="L232" s="238" t="b">
        <f>I232='d3'!J284-'d3'!J286+I234</f>
        <v>1</v>
      </c>
      <c r="M232" s="238" t="b">
        <f>J232='d3'!K284-'d3'!K286+J234</f>
        <v>1</v>
      </c>
    </row>
    <row r="233" spans="1:17" ht="226.5" thickTop="1" thickBot="1" x14ac:dyDescent="0.25">
      <c r="A233" s="599" t="s">
        <v>180</v>
      </c>
      <c r="B233" s="599"/>
      <c r="C233" s="599"/>
      <c r="D233" s="600" t="s">
        <v>1112</v>
      </c>
      <c r="E233" s="601"/>
      <c r="F233" s="601"/>
      <c r="G233" s="601">
        <f>SUM(G234:G236)</f>
        <v>350000</v>
      </c>
      <c r="H233" s="601">
        <f>SUM(H234:H236)</f>
        <v>0</v>
      </c>
      <c r="I233" s="601">
        <f>SUM(I234:I236)</f>
        <v>350000</v>
      </c>
      <c r="J233" s="601">
        <f>SUM(J234:J236)</f>
        <v>350000</v>
      </c>
    </row>
    <row r="234" spans="1:17" s="584" customFormat="1" ht="230.25" thickTop="1" thickBot="1" x14ac:dyDescent="0.25">
      <c r="A234" s="590" t="s">
        <v>449</v>
      </c>
      <c r="B234" s="590" t="s">
        <v>257</v>
      </c>
      <c r="C234" s="590" t="s">
        <v>255</v>
      </c>
      <c r="D234" s="590" t="s">
        <v>256</v>
      </c>
      <c r="E234" s="313" t="s">
        <v>1043</v>
      </c>
      <c r="F234" s="589" t="s">
        <v>1044</v>
      </c>
      <c r="G234" s="589">
        <f>H234+I234</f>
        <v>100000</v>
      </c>
      <c r="H234" s="591"/>
      <c r="I234" s="589">
        <v>100000</v>
      </c>
      <c r="J234" s="589">
        <v>100000</v>
      </c>
      <c r="K234" s="593"/>
      <c r="L234" s="593"/>
      <c r="M234" s="593"/>
      <c r="N234" s="593"/>
      <c r="O234" s="593"/>
      <c r="P234" s="593"/>
      <c r="Q234" s="593"/>
    </row>
    <row r="235" spans="1:17" ht="230.25" thickTop="1" thickBot="1" x14ac:dyDescent="0.25">
      <c r="A235" s="405" t="s">
        <v>328</v>
      </c>
      <c r="B235" s="405" t="s">
        <v>329</v>
      </c>
      <c r="C235" s="405" t="s">
        <v>330</v>
      </c>
      <c r="D235" s="405" t="s">
        <v>500</v>
      </c>
      <c r="E235" s="313" t="s">
        <v>1049</v>
      </c>
      <c r="F235" s="508" t="s">
        <v>1050</v>
      </c>
      <c r="G235" s="325">
        <f t="shared" ref="G235:G236" si="38">H235+I235</f>
        <v>200000</v>
      </c>
      <c r="H235" s="404">
        <f>'d3'!E289</f>
        <v>0</v>
      </c>
      <c r="I235" s="404">
        <f>'d3'!J289</f>
        <v>200000</v>
      </c>
      <c r="J235" s="404">
        <f>'d3'!K289</f>
        <v>200000</v>
      </c>
    </row>
    <row r="236" spans="1:17" ht="230.25" thickTop="1" thickBot="1" x14ac:dyDescent="0.25">
      <c r="A236" s="405" t="s">
        <v>397</v>
      </c>
      <c r="B236" s="405" t="s">
        <v>398</v>
      </c>
      <c r="C236" s="405" t="s">
        <v>187</v>
      </c>
      <c r="D236" s="405" t="s">
        <v>399</v>
      </c>
      <c r="E236" s="313" t="s">
        <v>1049</v>
      </c>
      <c r="F236" s="508" t="s">
        <v>1050</v>
      </c>
      <c r="G236" s="325">
        <f t="shared" si="38"/>
        <v>50000</v>
      </c>
      <c r="H236" s="404">
        <f>'d3'!E291</f>
        <v>0</v>
      </c>
      <c r="I236" s="404">
        <f>'d3'!J291</f>
        <v>50000</v>
      </c>
      <c r="J236" s="404">
        <f>'d3'!K291</f>
        <v>50000</v>
      </c>
    </row>
    <row r="237" spans="1:17" s="331" customFormat="1" ht="136.5" thickTop="1" thickBot="1" x14ac:dyDescent="0.25">
      <c r="A237" s="595" t="s">
        <v>185</v>
      </c>
      <c r="B237" s="595"/>
      <c r="C237" s="595"/>
      <c r="D237" s="596" t="s">
        <v>27</v>
      </c>
      <c r="E237" s="597"/>
      <c r="F237" s="598"/>
      <c r="G237" s="598">
        <f>G238</f>
        <v>3000</v>
      </c>
      <c r="H237" s="598">
        <f t="shared" ref="H237:J237" si="39">H238</f>
        <v>3000</v>
      </c>
      <c r="I237" s="597">
        <f t="shared" si="39"/>
        <v>0</v>
      </c>
      <c r="J237" s="597">
        <f t="shared" si="39"/>
        <v>0</v>
      </c>
      <c r="K237" s="333"/>
      <c r="L237" s="333"/>
      <c r="M237" s="333"/>
      <c r="N237" s="333"/>
      <c r="O237" s="333"/>
      <c r="P237" s="333"/>
      <c r="Q237" s="333"/>
    </row>
    <row r="238" spans="1:17" s="331" customFormat="1" ht="136.5" thickTop="1" thickBot="1" x14ac:dyDescent="0.25">
      <c r="A238" s="599" t="s">
        <v>186</v>
      </c>
      <c r="B238" s="599"/>
      <c r="C238" s="599"/>
      <c r="D238" s="600" t="s">
        <v>42</v>
      </c>
      <c r="E238" s="601"/>
      <c r="F238" s="601"/>
      <c r="G238" s="601">
        <f>SUM(G239)</f>
        <v>3000</v>
      </c>
      <c r="H238" s="601">
        <f>SUM(H239)</f>
        <v>3000</v>
      </c>
      <c r="I238" s="601">
        <f>SUM(I239)</f>
        <v>0</v>
      </c>
      <c r="J238" s="601">
        <f>SUM(J239)</f>
        <v>0</v>
      </c>
      <c r="K238" s="333"/>
      <c r="L238" s="333"/>
      <c r="M238" s="333"/>
      <c r="N238" s="333"/>
      <c r="O238" s="333"/>
      <c r="P238" s="333"/>
      <c r="Q238" s="333"/>
    </row>
    <row r="239" spans="1:17" s="331" customFormat="1" ht="409.6" thickTop="1" thickBot="1" x14ac:dyDescent="0.25">
      <c r="A239" s="406" t="s">
        <v>808</v>
      </c>
      <c r="B239" s="406" t="s">
        <v>391</v>
      </c>
      <c r="C239" s="406" t="s">
        <v>794</v>
      </c>
      <c r="D239" s="406" t="s">
        <v>795</v>
      </c>
      <c r="E239" s="313" t="s">
        <v>1078</v>
      </c>
      <c r="F239" s="534" t="s">
        <v>1079</v>
      </c>
      <c r="G239" s="404">
        <f t="shared" ref="G239" si="40">H239+I239</f>
        <v>3000</v>
      </c>
      <c r="H239" s="325">
        <f>'d3'!E296</f>
        <v>3000</v>
      </c>
      <c r="I239" s="344"/>
      <c r="J239" s="344"/>
      <c r="K239" s="333"/>
      <c r="L239" s="333"/>
      <c r="M239" s="333"/>
      <c r="N239" s="333"/>
      <c r="O239" s="333"/>
      <c r="P239" s="333"/>
      <c r="Q239" s="333"/>
    </row>
    <row r="240" spans="1:17" ht="81.75" customHeight="1" thickTop="1" thickBot="1" x14ac:dyDescent="1.2">
      <c r="A240" s="251" t="s">
        <v>411</v>
      </c>
      <c r="B240" s="251" t="s">
        <v>411</v>
      </c>
      <c r="C240" s="251" t="s">
        <v>411</v>
      </c>
      <c r="D240" s="252" t="s">
        <v>421</v>
      </c>
      <c r="E240" s="251" t="s">
        <v>411</v>
      </c>
      <c r="F240" s="251" t="s">
        <v>411</v>
      </c>
      <c r="G240" s="253">
        <f>G16+G38+G135+G62+G87+G118+G192+G215+G225+G233+G209+G204+G168+G152+G238</f>
        <v>2959281577.77</v>
      </c>
      <c r="H240" s="253">
        <f>H16+H38+H135+H62+H87+H118+H192+H215+H225+H233+H209+H204+H168+H152+H238</f>
        <v>2368311780.6599998</v>
      </c>
      <c r="I240" s="253">
        <f>I16+I38+I135+I62+I87+I118+I192+I215+I225+I233+I209+I204+I168+I152+I238</f>
        <v>590969797.1099999</v>
      </c>
      <c r="J240" s="253">
        <f>J16+J38+J135+J62+J87+J118+J192+J215+J225+J233+J209+J204+J168+J152+J238</f>
        <v>426127849.33999997</v>
      </c>
      <c r="K240" s="266" t="b">
        <f>G240=H240+I240</f>
        <v>1</v>
      </c>
    </row>
    <row r="241" spans="1:17" ht="31.7" customHeight="1" thickTop="1" x14ac:dyDescent="0.2">
      <c r="A241" s="853" t="s">
        <v>545</v>
      </c>
      <c r="B241" s="854"/>
      <c r="C241" s="854"/>
      <c r="D241" s="854"/>
      <c r="E241" s="854"/>
      <c r="F241" s="854"/>
      <c r="G241" s="854"/>
      <c r="H241" s="854"/>
      <c r="I241" s="854"/>
      <c r="J241" s="854"/>
    </row>
    <row r="242" spans="1:17" ht="31.7" customHeight="1" x14ac:dyDescent="0.2">
      <c r="A242" s="137"/>
      <c r="B242" s="138"/>
      <c r="C242" s="138"/>
      <c r="D242" s="138"/>
      <c r="E242" s="138"/>
      <c r="F242" s="138"/>
      <c r="G242" s="138"/>
      <c r="H242" s="138"/>
      <c r="I242" s="138"/>
      <c r="J242" s="138"/>
    </row>
    <row r="243" spans="1:17" ht="31.7" customHeight="1" x14ac:dyDescent="0.65">
      <c r="A243" s="137"/>
      <c r="B243" s="146"/>
      <c r="C243" s="138"/>
      <c r="D243" s="138"/>
      <c r="E243" s="138"/>
      <c r="F243" s="138"/>
      <c r="G243" s="138"/>
      <c r="H243" s="138"/>
      <c r="I243" s="138"/>
      <c r="J243" s="138"/>
    </row>
    <row r="244" spans="1:17" ht="45" customHeight="1" x14ac:dyDescent="0.65">
      <c r="A244" s="137"/>
      <c r="B244" s="138"/>
      <c r="C244" s="138"/>
      <c r="D244" s="146" t="s">
        <v>1302</v>
      </c>
      <c r="E244" s="146"/>
      <c r="F244" s="146"/>
      <c r="G244" s="146" t="s">
        <v>1303</v>
      </c>
      <c r="H244" s="146"/>
      <c r="I244" s="9"/>
      <c r="J244" s="45"/>
      <c r="K244" s="146"/>
      <c r="L244" s="146"/>
      <c r="M244" s="9"/>
      <c r="N244" s="45"/>
      <c r="O244" s="146"/>
      <c r="P244" s="146"/>
      <c r="Q244" s="9"/>
    </row>
    <row r="245" spans="1:17" ht="61.5" customHeight="1" x14ac:dyDescent="0.65">
      <c r="A245" s="135"/>
      <c r="B245" s="135"/>
      <c r="C245" s="135"/>
      <c r="D245" s="146"/>
      <c r="E245" s="802"/>
      <c r="F245" s="803"/>
      <c r="G245" s="146"/>
      <c r="H245" s="146"/>
      <c r="I245" s="9"/>
      <c r="J245" s="45"/>
      <c r="K245" s="146"/>
      <c r="L245" s="146"/>
      <c r="M245" s="9"/>
      <c r="N245" s="45"/>
      <c r="O245" s="146"/>
      <c r="P245" s="146"/>
      <c r="Q245" s="9"/>
    </row>
    <row r="246" spans="1:17" ht="45.75" x14ac:dyDescent="0.65">
      <c r="D246" s="146" t="s">
        <v>611</v>
      </c>
      <c r="E246" s="802"/>
      <c r="F246" s="803"/>
      <c r="G246" s="146" t="s">
        <v>612</v>
      </c>
      <c r="H246" s="68"/>
      <c r="I246" s="45"/>
      <c r="J246" s="9"/>
      <c r="K246" s="209"/>
      <c r="L246" s="209"/>
      <c r="M246" s="209"/>
      <c r="N246" s="209"/>
      <c r="O246" s="209"/>
      <c r="P246" s="209"/>
      <c r="Q246" s="209"/>
    </row>
    <row r="247" spans="1:17" ht="45.75" x14ac:dyDescent="0.65">
      <c r="D247" s="839"/>
      <c r="E247" s="839"/>
      <c r="F247" s="839"/>
      <c r="G247" s="839"/>
      <c r="H247" s="839"/>
      <c r="I247" s="839"/>
      <c r="J247" s="839"/>
      <c r="K247" s="209"/>
      <c r="L247" s="209"/>
      <c r="M247" s="209"/>
      <c r="N247" s="209"/>
      <c r="O247" s="209"/>
      <c r="P247" s="209"/>
      <c r="Q247" s="209"/>
    </row>
    <row r="248" spans="1:17" x14ac:dyDescent="0.2">
      <c r="E248" s="4"/>
      <c r="F248" s="3"/>
    </row>
    <row r="249" spans="1:17" x14ac:dyDescent="0.2">
      <c r="E249" s="4"/>
      <c r="F249" s="3"/>
    </row>
    <row r="250" spans="1:17" ht="62.25" x14ac:dyDescent="0.8">
      <c r="A250" s="133"/>
      <c r="B250" s="133"/>
      <c r="C250" s="133"/>
      <c r="D250" s="133"/>
      <c r="E250" s="9"/>
      <c r="F250" s="45"/>
      <c r="I250" s="133"/>
      <c r="J250" s="50"/>
    </row>
    <row r="251" spans="1:17" ht="45.75" x14ac:dyDescent="0.2">
      <c r="E251" s="10"/>
      <c r="F251" s="68"/>
    </row>
    <row r="252" spans="1:17" ht="45.75" x14ac:dyDescent="0.2">
      <c r="A252" s="133"/>
      <c r="B252" s="133"/>
      <c r="C252" s="133"/>
      <c r="D252" s="133"/>
      <c r="E252" s="9" t="s">
        <v>618</v>
      </c>
      <c r="F252" s="45"/>
      <c r="I252" s="133"/>
      <c r="J252" s="133"/>
    </row>
    <row r="253" spans="1:17" ht="45.75" x14ac:dyDescent="0.2">
      <c r="E253" s="10"/>
      <c r="F253" s="68"/>
    </row>
    <row r="254" spans="1:17" ht="45.75" x14ac:dyDescent="0.2">
      <c r="E254" s="10" t="s">
        <v>619</v>
      </c>
      <c r="F254" s="68"/>
    </row>
    <row r="255" spans="1:17" ht="45.75" x14ac:dyDescent="0.2">
      <c r="E255" s="10"/>
      <c r="F255" s="68"/>
    </row>
    <row r="256" spans="1:17" ht="45.75" x14ac:dyDescent="0.2">
      <c r="A256" s="133"/>
      <c r="B256" s="133"/>
      <c r="C256" s="133"/>
      <c r="D256" s="133"/>
      <c r="E256" s="10"/>
      <c r="F256" s="68"/>
      <c r="G256" s="133"/>
      <c r="H256" s="133"/>
      <c r="I256" s="133"/>
      <c r="J256" s="133"/>
    </row>
    <row r="257" spans="1:10" ht="45.75" x14ac:dyDescent="0.2">
      <c r="A257" s="133"/>
      <c r="B257" s="133"/>
      <c r="C257" s="133"/>
      <c r="D257" s="133"/>
      <c r="E257" s="10"/>
      <c r="F257" s="68"/>
      <c r="G257" s="133"/>
      <c r="H257" s="133"/>
      <c r="I257" s="133"/>
      <c r="J257" s="133"/>
    </row>
    <row r="258" spans="1:10" ht="45.75" x14ac:dyDescent="0.2">
      <c r="A258" s="133"/>
      <c r="B258" s="133"/>
      <c r="C258" s="133"/>
      <c r="D258" s="133"/>
      <c r="E258" s="10"/>
      <c r="F258" s="68"/>
      <c r="G258" s="133"/>
      <c r="H258" s="133"/>
      <c r="I258" s="133"/>
      <c r="J258" s="133"/>
    </row>
    <row r="259" spans="1:10" ht="45.75" x14ac:dyDescent="0.2">
      <c r="A259" s="133"/>
      <c r="B259" s="133"/>
      <c r="C259" s="133"/>
      <c r="D259" s="133"/>
      <c r="E259" s="10"/>
      <c r="F259" s="68"/>
      <c r="G259" s="133"/>
      <c r="H259" s="133"/>
      <c r="I259" s="133"/>
      <c r="J259" s="133"/>
    </row>
  </sheetData>
  <mergeCells count="158">
    <mergeCell ref="H184:H185"/>
    <mergeCell ref="I184:I185"/>
    <mergeCell ref="J184:J185"/>
    <mergeCell ref="A186:A187"/>
    <mergeCell ref="B186:B187"/>
    <mergeCell ref="C186:C187"/>
    <mergeCell ref="E186:E187"/>
    <mergeCell ref="F186:F187"/>
    <mergeCell ref="H186:H187"/>
    <mergeCell ref="I186:I187"/>
    <mergeCell ref="J186:J187"/>
    <mergeCell ref="A184:A185"/>
    <mergeCell ref="B184:B185"/>
    <mergeCell ref="C184:C185"/>
    <mergeCell ref="D184:D185"/>
    <mergeCell ref="G184:G185"/>
    <mergeCell ref="G186:G187"/>
    <mergeCell ref="A182:A183"/>
    <mergeCell ref="B182:B183"/>
    <mergeCell ref="C182:C183"/>
    <mergeCell ref="D182:D183"/>
    <mergeCell ref="H182:H183"/>
    <mergeCell ref="I182:I183"/>
    <mergeCell ref="J182:J183"/>
    <mergeCell ref="A180:A181"/>
    <mergeCell ref="B180:B181"/>
    <mergeCell ref="C180:C181"/>
    <mergeCell ref="D180:D181"/>
    <mergeCell ref="G180:G181"/>
    <mergeCell ref="G182:G183"/>
    <mergeCell ref="H180:H181"/>
    <mergeCell ref="I180:I181"/>
    <mergeCell ref="J180:J181"/>
    <mergeCell ref="H174:H175"/>
    <mergeCell ref="I174:I175"/>
    <mergeCell ref="J174:J175"/>
    <mergeCell ref="H176:H177"/>
    <mergeCell ref="I176:I177"/>
    <mergeCell ref="J176:J177"/>
    <mergeCell ref="A174:A175"/>
    <mergeCell ref="B174:B175"/>
    <mergeCell ref="C174:C175"/>
    <mergeCell ref="D174:D175"/>
    <mergeCell ref="G174:G175"/>
    <mergeCell ref="G176:G177"/>
    <mergeCell ref="A176:A178"/>
    <mergeCell ref="B176:B178"/>
    <mergeCell ref="C176:C178"/>
    <mergeCell ref="D176:D178"/>
    <mergeCell ref="A155:A156"/>
    <mergeCell ref="B155:B156"/>
    <mergeCell ref="C155:C156"/>
    <mergeCell ref="D155:D156"/>
    <mergeCell ref="A158:A159"/>
    <mergeCell ref="B158:B159"/>
    <mergeCell ref="C158:C159"/>
    <mergeCell ref="D158:D159"/>
    <mergeCell ref="K20:K21"/>
    <mergeCell ref="G63:G64"/>
    <mergeCell ref="H63:H64"/>
    <mergeCell ref="I63:I64"/>
    <mergeCell ref="J63:J64"/>
    <mergeCell ref="G71:G72"/>
    <mergeCell ref="H71:H72"/>
    <mergeCell ref="I71:I72"/>
    <mergeCell ref="J71:J72"/>
    <mergeCell ref="G65:G66"/>
    <mergeCell ref="H65:H66"/>
    <mergeCell ref="I65:I66"/>
    <mergeCell ref="J65:J66"/>
    <mergeCell ref="G67:G68"/>
    <mergeCell ref="H67:H68"/>
    <mergeCell ref="I67:I68"/>
    <mergeCell ref="L20:L21"/>
    <mergeCell ref="M20:M21"/>
    <mergeCell ref="A6:J6"/>
    <mergeCell ref="A9:J9"/>
    <mergeCell ref="A10:J10"/>
    <mergeCell ref="F12:F13"/>
    <mergeCell ref="G12:G13"/>
    <mergeCell ref="A12:A13"/>
    <mergeCell ref="B12:B13"/>
    <mergeCell ref="C12:C13"/>
    <mergeCell ref="D12:D13"/>
    <mergeCell ref="E12:E13"/>
    <mergeCell ref="H12:H13"/>
    <mergeCell ref="I12:J12"/>
    <mergeCell ref="I1:J1"/>
    <mergeCell ref="I2:J2"/>
    <mergeCell ref="I3:J3"/>
    <mergeCell ref="A5:J5"/>
    <mergeCell ref="A8:J8"/>
    <mergeCell ref="A24:A25"/>
    <mergeCell ref="B24:B25"/>
    <mergeCell ref="C24:C25"/>
    <mergeCell ref="E24:E25"/>
    <mergeCell ref="F24:F25"/>
    <mergeCell ref="H24:H25"/>
    <mergeCell ref="I24:I25"/>
    <mergeCell ref="J24:J25"/>
    <mergeCell ref="G24:G25"/>
    <mergeCell ref="J67:J68"/>
    <mergeCell ref="G69:G70"/>
    <mergeCell ref="H69:H70"/>
    <mergeCell ref="I69:I70"/>
    <mergeCell ref="J69:J70"/>
    <mergeCell ref="G78:G79"/>
    <mergeCell ref="H78:H79"/>
    <mergeCell ref="I78:I79"/>
    <mergeCell ref="J78:J79"/>
    <mergeCell ref="G80:G81"/>
    <mergeCell ref="H80:H81"/>
    <mergeCell ref="I80:I81"/>
    <mergeCell ref="J80:J81"/>
    <mergeCell ref="G74:G75"/>
    <mergeCell ref="H74:H75"/>
    <mergeCell ref="I74:I75"/>
    <mergeCell ref="J74:J75"/>
    <mergeCell ref="G76:G77"/>
    <mergeCell ref="H76:H77"/>
    <mergeCell ref="I76:I77"/>
    <mergeCell ref="J76:J77"/>
    <mergeCell ref="D247:J247"/>
    <mergeCell ref="A241:J241"/>
    <mergeCell ref="G212:G213"/>
    <mergeCell ref="H212:H213"/>
    <mergeCell ref="I212:I213"/>
    <mergeCell ref="J212:J213"/>
    <mergeCell ref="G82:G83"/>
    <mergeCell ref="H82:H83"/>
    <mergeCell ref="I82:I83"/>
    <mergeCell ref="J82:J83"/>
    <mergeCell ref="A115:A116"/>
    <mergeCell ref="B115:B116"/>
    <mergeCell ref="C115:C116"/>
    <mergeCell ref="E115:E116"/>
    <mergeCell ref="F115:F116"/>
    <mergeCell ref="G115:G116"/>
    <mergeCell ref="H115:H116"/>
    <mergeCell ref="I115:I116"/>
    <mergeCell ref="J115:J116"/>
    <mergeCell ref="A162:A163"/>
    <mergeCell ref="B162:B163"/>
    <mergeCell ref="C162:C163"/>
    <mergeCell ref="D162:D163"/>
    <mergeCell ref="G162:G163"/>
    <mergeCell ref="H162:H163"/>
    <mergeCell ref="I162:I163"/>
    <mergeCell ref="J162:J163"/>
    <mergeCell ref="A165:A166"/>
    <mergeCell ref="B165:B166"/>
    <mergeCell ref="C165:C166"/>
    <mergeCell ref="E165:E166"/>
    <mergeCell ref="F165:F166"/>
    <mergeCell ref="G165:G166"/>
    <mergeCell ref="H165:H166"/>
    <mergeCell ref="I165:I166"/>
    <mergeCell ref="J165:J166"/>
  </mergeCells>
  <pageMargins left="0.23622047244094491" right="0.27559055118110237" top="0.27559055118110237" bottom="0.15748031496062992" header="0.23622047244094491" footer="0.27559055118110237"/>
  <pageSetup paperSize="9" scale="19" fitToHeight="0" orientation="landscape" r:id="rId1"/>
  <headerFooter alignWithMargins="0">
    <oddFooter>&amp;C&amp;"Times New Roman Cyr,курсив"Сторінка &amp;P з &amp;N</oddFooter>
  </headerFooter>
  <rowBreaks count="6" manualBreakCount="6">
    <brk id="22" min="4" max="9" man="1"/>
    <brk id="38" max="9" man="1"/>
    <brk id="104" max="9" man="1"/>
    <brk id="135" max="9" man="1"/>
    <brk id="187" max="9" man="1"/>
    <brk id="246" max="9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Аркуш6"/>
  <dimension ref="A1:J162"/>
  <sheetViews>
    <sheetView view="pageBreakPreview" topLeftCell="A11" zoomScale="85" zoomScaleNormal="85" zoomScaleSheetLayoutView="85" workbookViewId="0">
      <selection activeCell="G30" sqref="G30"/>
    </sheetView>
  </sheetViews>
  <sheetFormatPr defaultColWidth="9.140625" defaultRowHeight="12.75" x14ac:dyDescent="0.2"/>
  <cols>
    <col min="1" max="1" width="18.140625" style="30" customWidth="1"/>
    <col min="2" max="2" width="108" style="30" customWidth="1"/>
    <col min="3" max="3" width="4" style="30" hidden="1" customWidth="1"/>
    <col min="4" max="4" width="17" style="30" customWidth="1"/>
    <col min="5" max="5" width="14.7109375" style="217" customWidth="1"/>
    <col min="6" max="6" width="21.85546875" style="217" bestFit="1" customWidth="1"/>
    <col min="7" max="7" width="18.85546875" style="30" bestFit="1" customWidth="1"/>
    <col min="8" max="9" width="9.140625" style="30"/>
    <col min="10" max="10" width="52.5703125" style="30" customWidth="1"/>
    <col min="11" max="16384" width="9.140625" style="30"/>
  </cols>
  <sheetData>
    <row r="1" spans="1:9" ht="16.5" customHeight="1" x14ac:dyDescent="0.2">
      <c r="C1" s="833" t="s">
        <v>739</v>
      </c>
      <c r="D1" s="833"/>
      <c r="E1" s="216"/>
      <c r="F1" s="216"/>
    </row>
    <row r="2" spans="1:9" ht="16.5" customHeight="1" x14ac:dyDescent="0.2">
      <c r="C2" s="978" t="s">
        <v>1294</v>
      </c>
      <c r="D2" s="979"/>
      <c r="E2" s="979"/>
      <c r="F2" s="979"/>
    </row>
    <row r="3" spans="1:9" ht="12.75" customHeight="1" x14ac:dyDescent="0.2">
      <c r="C3" s="833" t="s">
        <v>1295</v>
      </c>
      <c r="D3" s="973"/>
    </row>
    <row r="4" spans="1:9" ht="12.75" customHeight="1" x14ac:dyDescent="0.2">
      <c r="C4" s="833"/>
      <c r="D4" s="835"/>
    </row>
    <row r="5" spans="1:9" ht="16.5" x14ac:dyDescent="0.25">
      <c r="A5" s="955" t="s">
        <v>693</v>
      </c>
      <c r="B5" s="955"/>
      <c r="C5" s="955"/>
      <c r="D5" s="835"/>
      <c r="E5" s="980"/>
      <c r="F5" s="981"/>
      <c r="G5" s="981"/>
      <c r="H5" s="981"/>
      <c r="I5" s="838"/>
    </row>
    <row r="6" spans="1:9" s="169" customFormat="1" ht="16.5" x14ac:dyDescent="0.25">
      <c r="A6" s="955" t="s">
        <v>692</v>
      </c>
      <c r="B6" s="955"/>
      <c r="C6" s="955"/>
      <c r="D6" s="835"/>
      <c r="E6" s="218"/>
      <c r="F6" s="219"/>
      <c r="G6" s="167"/>
      <c r="H6" s="167"/>
      <c r="I6" s="168"/>
    </row>
    <row r="7" spans="1:9" ht="16.5" x14ac:dyDescent="0.25">
      <c r="A7" s="956" t="s">
        <v>141</v>
      </c>
      <c r="B7" s="956"/>
      <c r="C7" s="956"/>
      <c r="D7" s="870"/>
      <c r="E7" s="980"/>
      <c r="F7" s="980"/>
      <c r="G7" s="980"/>
      <c r="H7" s="980"/>
      <c r="I7" s="834"/>
    </row>
    <row r="8" spans="1:9" ht="16.5" x14ac:dyDescent="0.2">
      <c r="A8" s="956" t="s">
        <v>626</v>
      </c>
      <c r="B8" s="956"/>
      <c r="C8" s="956"/>
      <c r="D8" s="870"/>
      <c r="E8" s="982"/>
      <c r="F8" s="982"/>
      <c r="G8" s="982"/>
      <c r="H8" s="982"/>
      <c r="I8" s="983"/>
    </row>
    <row r="9" spans="1:9" s="86" customFormat="1" ht="16.5" x14ac:dyDescent="0.2">
      <c r="A9" s="87"/>
      <c r="B9" s="87"/>
      <c r="C9" s="87"/>
      <c r="D9" s="81"/>
      <c r="E9" s="220"/>
      <c r="F9" s="220"/>
      <c r="G9" s="84"/>
      <c r="H9" s="84"/>
      <c r="I9" s="85"/>
    </row>
    <row r="10" spans="1:9" s="86" customFormat="1" ht="16.5" x14ac:dyDescent="0.2">
      <c r="A10" s="92">
        <v>22564000000</v>
      </c>
      <c r="B10" s="91"/>
      <c r="C10" s="87"/>
      <c r="D10" s="81"/>
      <c r="E10" s="220"/>
      <c r="F10" s="220"/>
      <c r="G10" s="84"/>
      <c r="H10" s="84"/>
      <c r="I10" s="85"/>
    </row>
    <row r="11" spans="1:9" s="86" customFormat="1" ht="16.5" x14ac:dyDescent="0.2">
      <c r="A11" s="93" t="s">
        <v>538</v>
      </c>
      <c r="B11" s="90"/>
      <c r="C11" s="87"/>
      <c r="D11" s="81"/>
      <c r="E11" s="220"/>
      <c r="F11" s="220"/>
      <c r="G11" s="84"/>
      <c r="H11" s="84"/>
      <c r="I11" s="85"/>
    </row>
    <row r="12" spans="1:9" ht="17.25" thickBot="1" x14ac:dyDescent="0.25">
      <c r="A12" s="76"/>
      <c r="B12" s="76"/>
      <c r="C12" s="77"/>
      <c r="D12" s="77" t="s">
        <v>434</v>
      </c>
      <c r="E12" s="220"/>
      <c r="F12" s="220"/>
      <c r="G12" s="31"/>
    </row>
    <row r="13" spans="1:9" s="32" customFormat="1" ht="50.25" customHeight="1" thickTop="1" thickBot="1" x14ac:dyDescent="0.25">
      <c r="A13" s="181" t="s">
        <v>142</v>
      </c>
      <c r="B13" s="976" t="s">
        <v>143</v>
      </c>
      <c r="C13" s="975"/>
      <c r="D13" s="975"/>
      <c r="E13" s="221"/>
      <c r="F13" s="221"/>
    </row>
    <row r="14" spans="1:9" s="32" customFormat="1" ht="39.75" customHeight="1" thickTop="1" thickBot="1" x14ac:dyDescent="0.25">
      <c r="A14" s="94" t="s">
        <v>144</v>
      </c>
      <c r="B14" s="953" t="s">
        <v>145</v>
      </c>
      <c r="C14" s="954"/>
      <c r="D14" s="95">
        <v>100</v>
      </c>
      <c r="E14" s="221"/>
      <c r="F14" s="221"/>
    </row>
    <row r="15" spans="1:9" s="32" customFormat="1" ht="40.700000000000003" customHeight="1" thickTop="1" thickBot="1" x14ac:dyDescent="0.25">
      <c r="A15" s="94" t="s">
        <v>146</v>
      </c>
      <c r="B15" s="953" t="s">
        <v>147</v>
      </c>
      <c r="C15" s="954"/>
      <c r="D15" s="95">
        <v>4200000</v>
      </c>
      <c r="E15" s="221"/>
      <c r="F15" s="221"/>
    </row>
    <row r="16" spans="1:9" s="32" customFormat="1" ht="61.5" hidden="1" customHeight="1" thickTop="1" thickBot="1" x14ac:dyDescent="0.25">
      <c r="A16" s="94" t="s">
        <v>148</v>
      </c>
      <c r="B16" s="953" t="s">
        <v>149</v>
      </c>
      <c r="C16" s="954"/>
      <c r="D16" s="95">
        <v>0</v>
      </c>
      <c r="E16" s="221"/>
      <c r="F16" s="221"/>
    </row>
    <row r="17" spans="1:7" s="32" customFormat="1" ht="41.25" customHeight="1" thickTop="1" thickBot="1" x14ac:dyDescent="0.25">
      <c r="A17" s="94" t="s">
        <v>150</v>
      </c>
      <c r="B17" s="953" t="s">
        <v>151</v>
      </c>
      <c r="C17" s="954"/>
      <c r="D17" s="95">
        <v>1100</v>
      </c>
      <c r="E17" s="221"/>
      <c r="F17" s="221"/>
    </row>
    <row r="18" spans="1:7" s="32" customFormat="1" ht="26.45" customHeight="1" thickTop="1" thickBot="1" x14ac:dyDescent="0.25">
      <c r="A18" s="94"/>
      <c r="B18" s="961" t="s">
        <v>152</v>
      </c>
      <c r="C18" s="954"/>
      <c r="D18" s="96">
        <f>SUM(D14:D17)</f>
        <v>4201200</v>
      </c>
      <c r="E18" s="221"/>
      <c r="F18" s="221"/>
    </row>
    <row r="19" spans="1:7" s="32" customFormat="1" ht="26.45" hidden="1" customHeight="1" thickTop="1" thickBot="1" x14ac:dyDescent="0.25">
      <c r="A19" s="94"/>
      <c r="B19" s="961" t="s">
        <v>474</v>
      </c>
      <c r="C19" s="954"/>
      <c r="D19" s="96"/>
      <c r="E19" s="221"/>
      <c r="F19" s="221"/>
    </row>
    <row r="20" spans="1:7" s="32" customFormat="1" ht="26.45" customHeight="1" thickTop="1" thickBot="1" x14ac:dyDescent="0.25">
      <c r="A20" s="108"/>
      <c r="B20" s="961" t="s">
        <v>627</v>
      </c>
      <c r="C20" s="954"/>
      <c r="D20" s="96">
        <v>1155966.58</v>
      </c>
      <c r="E20" s="221"/>
      <c r="F20" s="221"/>
    </row>
    <row r="21" spans="1:7" s="32" customFormat="1" ht="26.45" customHeight="1" thickTop="1" thickBot="1" x14ac:dyDescent="0.25">
      <c r="A21" s="98" t="s">
        <v>411</v>
      </c>
      <c r="B21" s="964" t="s">
        <v>542</v>
      </c>
      <c r="C21" s="977"/>
      <c r="D21" s="97">
        <f>D18+D20</f>
        <v>5357166.58</v>
      </c>
      <c r="E21" s="221"/>
      <c r="F21" s="221"/>
    </row>
    <row r="22" spans="1:7" s="32" customFormat="1" ht="47.25" customHeight="1" thickTop="1" thickBot="1" x14ac:dyDescent="0.25">
      <c r="A22" s="181" t="s">
        <v>142</v>
      </c>
      <c r="B22" s="974" t="s">
        <v>153</v>
      </c>
      <c r="C22" s="975"/>
      <c r="D22" s="975"/>
      <c r="E22" s="221"/>
      <c r="F22" s="221"/>
    </row>
    <row r="23" spans="1:7" s="32" customFormat="1" ht="43.5" customHeight="1" thickTop="1" thickBot="1" x14ac:dyDescent="0.25">
      <c r="A23" s="155" t="s">
        <v>154</v>
      </c>
      <c r="B23" s="953" t="s">
        <v>155</v>
      </c>
      <c r="C23" s="968"/>
      <c r="D23" s="95">
        <v>114000</v>
      </c>
      <c r="E23" s="221"/>
      <c r="F23" s="221"/>
    </row>
    <row r="24" spans="1:7" s="32" customFormat="1" ht="44.45" customHeight="1" thickTop="1" thickBot="1" x14ac:dyDescent="0.25">
      <c r="A24" s="155" t="s">
        <v>156</v>
      </c>
      <c r="B24" s="953" t="s">
        <v>157</v>
      </c>
      <c r="C24" s="968"/>
      <c r="D24" s="95">
        <f>(126000)+18000</f>
        <v>144000</v>
      </c>
      <c r="E24" s="221"/>
      <c r="F24" s="221"/>
    </row>
    <row r="25" spans="1:7" s="32" customFormat="1" ht="44.45" customHeight="1" thickTop="1" thickBot="1" x14ac:dyDescent="0.25">
      <c r="A25" s="155" t="s">
        <v>517</v>
      </c>
      <c r="B25" s="953" t="s">
        <v>440</v>
      </c>
      <c r="C25" s="968"/>
      <c r="D25" s="95">
        <v>322000</v>
      </c>
      <c r="E25" s="221"/>
      <c r="F25" s="221"/>
    </row>
    <row r="26" spans="1:7" s="32" customFormat="1" ht="32.25" customHeight="1" thickTop="1" thickBot="1" x14ac:dyDescent="0.25">
      <c r="A26" s="155" t="s">
        <v>158</v>
      </c>
      <c r="B26" s="953" t="s">
        <v>160</v>
      </c>
      <c r="C26" s="968"/>
      <c r="D26" s="95">
        <v>268330</v>
      </c>
      <c r="E26" s="221"/>
      <c r="F26" s="221"/>
    </row>
    <row r="27" spans="1:7" s="32" customFormat="1" ht="55.5" customHeight="1" thickTop="1" thickBot="1" x14ac:dyDescent="0.25">
      <c r="A27" s="155" t="s">
        <v>159</v>
      </c>
      <c r="B27" s="953" t="s">
        <v>475</v>
      </c>
      <c r="C27" s="968"/>
      <c r="D27" s="95">
        <f>(190000+1753600)+1137966.58</f>
        <v>3081566.58</v>
      </c>
      <c r="E27" s="221"/>
      <c r="F27" s="221"/>
    </row>
    <row r="28" spans="1:7" s="32" customFormat="1" ht="76.5" customHeight="1" thickTop="1" thickBot="1" x14ac:dyDescent="0.25">
      <c r="A28" s="155" t="s">
        <v>161</v>
      </c>
      <c r="B28" s="953" t="s">
        <v>162</v>
      </c>
      <c r="C28" s="968"/>
      <c r="D28" s="95">
        <f>190000</f>
        <v>190000</v>
      </c>
      <c r="E28" s="221"/>
      <c r="F28" s="221"/>
    </row>
    <row r="29" spans="1:7" s="32" customFormat="1" ht="48" customHeight="1" thickTop="1" thickBot="1" x14ac:dyDescent="0.25">
      <c r="A29" s="155" t="s">
        <v>518</v>
      </c>
      <c r="B29" s="953" t="s">
        <v>163</v>
      </c>
      <c r="C29" s="968"/>
      <c r="D29" s="95">
        <v>49000</v>
      </c>
      <c r="E29" s="221"/>
      <c r="F29" s="221"/>
    </row>
    <row r="30" spans="1:7" s="32" customFormat="1" ht="54" customHeight="1" thickTop="1" thickBot="1" x14ac:dyDescent="0.3">
      <c r="A30" s="969" t="s">
        <v>519</v>
      </c>
      <c r="B30" s="966" t="s">
        <v>516</v>
      </c>
      <c r="C30" s="967"/>
      <c r="D30" s="971">
        <v>1188270</v>
      </c>
      <c r="E30" s="221"/>
      <c r="F30" s="221"/>
    </row>
    <row r="31" spans="1:7" s="32" customFormat="1" ht="54" customHeight="1" thickTop="1" thickBot="1" x14ac:dyDescent="0.25">
      <c r="A31" s="970"/>
      <c r="B31" s="962" t="s">
        <v>515</v>
      </c>
      <c r="C31" s="963"/>
      <c r="D31" s="972"/>
      <c r="E31" s="221"/>
      <c r="F31" s="221"/>
    </row>
    <row r="32" spans="1:7" s="32" customFormat="1" ht="27.75" customHeight="1" thickTop="1" thickBot="1" x14ac:dyDescent="0.25">
      <c r="A32" s="98" t="s">
        <v>411</v>
      </c>
      <c r="B32" s="964" t="s">
        <v>542</v>
      </c>
      <c r="C32" s="965"/>
      <c r="D32" s="97">
        <f>SUM(D23:D31)</f>
        <v>5357166.58</v>
      </c>
      <c r="E32" s="268" t="b">
        <f>D21=D32</f>
        <v>1</v>
      </c>
      <c r="F32" s="268" t="b">
        <f>D32='d3'!P217+'d3'!P193+'d3'!P129+'d3'!P29</f>
        <v>1</v>
      </c>
      <c r="G32" s="268" t="b">
        <f>D32='d7'!G186+'d7'!G165+'d7'!G115+'d7'!G24</f>
        <v>1</v>
      </c>
    </row>
    <row r="33" spans="1:6" s="119" customFormat="1" ht="27.75" customHeight="1" thickTop="1" x14ac:dyDescent="0.2">
      <c r="A33" s="115"/>
      <c r="B33" s="116"/>
      <c r="C33" s="117"/>
      <c r="D33" s="118"/>
      <c r="E33" s="222"/>
      <c r="F33" s="222"/>
    </row>
    <row r="34" spans="1:6" ht="19.5" customHeight="1" x14ac:dyDescent="0.65">
      <c r="B34" s="693" t="s">
        <v>1302</v>
      </c>
      <c r="C34" s="693"/>
      <c r="D34" s="693" t="s">
        <v>1303</v>
      </c>
      <c r="E34" s="146"/>
    </row>
    <row r="35" spans="1:6" ht="16.5" x14ac:dyDescent="0.2">
      <c r="B35" s="151"/>
      <c r="C35" s="152"/>
      <c r="D35" s="152"/>
      <c r="E35" s="224"/>
    </row>
    <row r="36" spans="1:6" ht="18.75" x14ac:dyDescent="0.25">
      <c r="A36" s="65" t="s">
        <v>616</v>
      </c>
      <c r="B36" s="693" t="s">
        <v>611</v>
      </c>
      <c r="C36" s="694" t="s">
        <v>612</v>
      </c>
      <c r="D36" s="695" t="s">
        <v>612</v>
      </c>
      <c r="E36" s="223"/>
    </row>
    <row r="37" spans="1:6" ht="18.75" x14ac:dyDescent="0.2">
      <c r="A37" s="65"/>
      <c r="B37" s="65"/>
      <c r="C37" s="65"/>
    </row>
    <row r="38" spans="1:6" ht="18.75" x14ac:dyDescent="0.2">
      <c r="A38" s="960"/>
      <c r="B38" s="960"/>
      <c r="C38" s="64"/>
    </row>
    <row r="44" spans="1:6" ht="16.5" x14ac:dyDescent="0.2">
      <c r="A44" s="959"/>
      <c r="B44" s="33"/>
      <c r="C44" s="34"/>
      <c r="D44" s="35"/>
    </row>
    <row r="45" spans="1:6" ht="16.5" x14ac:dyDescent="0.2">
      <c r="A45" s="959"/>
      <c r="B45" s="36"/>
      <c r="C45" s="34"/>
      <c r="D45" s="35"/>
    </row>
    <row r="46" spans="1:6" ht="16.5" x14ac:dyDescent="0.2">
      <c r="A46" s="959"/>
      <c r="B46" s="37"/>
      <c r="C46" s="34"/>
      <c r="D46" s="35"/>
    </row>
    <row r="47" spans="1:6" ht="16.5" x14ac:dyDescent="0.2">
      <c r="A47" s="959"/>
      <c r="B47" s="33"/>
      <c r="C47" s="34"/>
      <c r="D47" s="35"/>
    </row>
    <row r="48" spans="1:6" ht="16.5" x14ac:dyDescent="0.2">
      <c r="A48" s="959"/>
      <c r="B48" s="33"/>
      <c r="C48" s="34"/>
      <c r="D48" s="35"/>
    </row>
    <row r="79" spans="6:6" x14ac:dyDescent="0.2">
      <c r="F79" s="957"/>
    </row>
    <row r="80" spans="6:6" x14ac:dyDescent="0.2">
      <c r="F80" s="958"/>
    </row>
    <row r="116" spans="6:6" x14ac:dyDescent="0.2">
      <c r="F116" s="217">
        <f>G116+H116</f>
        <v>0</v>
      </c>
    </row>
    <row r="118" spans="6:6" x14ac:dyDescent="0.2">
      <c r="F118" s="217">
        <f t="shared" ref="F118:F128" si="0">G118+H118</f>
        <v>0</v>
      </c>
    </row>
    <row r="119" spans="6:6" x14ac:dyDescent="0.2">
      <c r="F119" s="217">
        <f t="shared" si="0"/>
        <v>0</v>
      </c>
    </row>
    <row r="120" spans="6:6" x14ac:dyDescent="0.2">
      <c r="F120" s="217">
        <f t="shared" si="0"/>
        <v>0</v>
      </c>
    </row>
    <row r="121" spans="6:6" x14ac:dyDescent="0.2">
      <c r="F121" s="217">
        <f t="shared" si="0"/>
        <v>0</v>
      </c>
    </row>
    <row r="122" spans="6:6" x14ac:dyDescent="0.2">
      <c r="F122" s="217">
        <f t="shared" si="0"/>
        <v>0</v>
      </c>
    </row>
    <row r="123" spans="6:6" x14ac:dyDescent="0.2">
      <c r="F123" s="217">
        <f t="shared" si="0"/>
        <v>0</v>
      </c>
    </row>
    <row r="124" spans="6:6" x14ac:dyDescent="0.2">
      <c r="F124" s="217">
        <f t="shared" si="0"/>
        <v>0</v>
      </c>
    </row>
    <row r="125" spans="6:6" x14ac:dyDescent="0.2">
      <c r="F125" s="217">
        <f t="shared" si="0"/>
        <v>0</v>
      </c>
    </row>
    <row r="126" spans="6:6" x14ac:dyDescent="0.2">
      <c r="F126" s="217">
        <f t="shared" si="0"/>
        <v>0</v>
      </c>
    </row>
    <row r="127" spans="6:6" x14ac:dyDescent="0.2">
      <c r="F127" s="217">
        <f t="shared" si="0"/>
        <v>0</v>
      </c>
    </row>
    <row r="128" spans="6:6" x14ac:dyDescent="0.2">
      <c r="F128" s="217">
        <f t="shared" si="0"/>
        <v>0</v>
      </c>
    </row>
    <row r="130" spans="6:9" x14ac:dyDescent="0.2">
      <c r="F130" s="217">
        <f>G131+H131</f>
        <v>0</v>
      </c>
    </row>
    <row r="131" spans="6:9" x14ac:dyDescent="0.2">
      <c r="F131" s="217">
        <f t="shared" ref="F131" si="1">G131+H131</f>
        <v>0</v>
      </c>
    </row>
    <row r="132" spans="6:9" x14ac:dyDescent="0.2">
      <c r="F132" s="217">
        <f>G132+H132</f>
        <v>0</v>
      </c>
    </row>
    <row r="133" spans="6:9" x14ac:dyDescent="0.2">
      <c r="F133" s="217">
        <f>G133+H133</f>
        <v>0</v>
      </c>
    </row>
    <row r="134" spans="6:9" x14ac:dyDescent="0.2">
      <c r="F134" s="217">
        <f>G134+H134</f>
        <v>0</v>
      </c>
    </row>
    <row r="135" spans="6:9" x14ac:dyDescent="0.2">
      <c r="F135" s="217">
        <f>G135+H135</f>
        <v>0</v>
      </c>
    </row>
    <row r="140" spans="6:9" ht="46.5" x14ac:dyDescent="0.2">
      <c r="I140" s="74"/>
    </row>
    <row r="143" spans="6:9" ht="46.5" x14ac:dyDescent="0.2">
      <c r="F143" s="225">
        <f>G143+H143</f>
        <v>0</v>
      </c>
      <c r="I143" s="74"/>
    </row>
    <row r="162" spans="10:10" ht="90" x14ac:dyDescent="0.2">
      <c r="J162" s="72" t="b">
        <f>F162=G162+H162</f>
        <v>1</v>
      </c>
    </row>
  </sheetData>
  <mergeCells count="36">
    <mergeCell ref="C1:D1"/>
    <mergeCell ref="C3:D3"/>
    <mergeCell ref="C4:D4"/>
    <mergeCell ref="B26:C26"/>
    <mergeCell ref="B25:C25"/>
    <mergeCell ref="B24:C24"/>
    <mergeCell ref="B23:C23"/>
    <mergeCell ref="B22:D22"/>
    <mergeCell ref="B13:D13"/>
    <mergeCell ref="B21:C21"/>
    <mergeCell ref="C2:F2"/>
    <mergeCell ref="E5:I5"/>
    <mergeCell ref="E7:I7"/>
    <mergeCell ref="E8:I8"/>
    <mergeCell ref="B17:C17"/>
    <mergeCell ref="A8:D8"/>
    <mergeCell ref="F79:F80"/>
    <mergeCell ref="A44:A48"/>
    <mergeCell ref="A38:B38"/>
    <mergeCell ref="B19:C19"/>
    <mergeCell ref="B18:C18"/>
    <mergeCell ref="B31:C31"/>
    <mergeCell ref="B32:C32"/>
    <mergeCell ref="B30:C30"/>
    <mergeCell ref="B29:C29"/>
    <mergeCell ref="B28:C28"/>
    <mergeCell ref="B27:C27"/>
    <mergeCell ref="A30:A31"/>
    <mergeCell ref="D30:D31"/>
    <mergeCell ref="B20:C20"/>
    <mergeCell ref="B16:C16"/>
    <mergeCell ref="B15:C15"/>
    <mergeCell ref="B14:C14"/>
    <mergeCell ref="A5:D5"/>
    <mergeCell ref="A7:D7"/>
    <mergeCell ref="A6:D6"/>
  </mergeCells>
  <pageMargins left="0.23622047244094491" right="0.31496062992125984" top="0.27559055118110237" bottom="0" header="0.23622047244094491" footer="0.19685039370078741"/>
  <pageSetup paperSize="9" scale="67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177"/>
  <sheetViews>
    <sheetView view="pageBreakPreview" topLeftCell="A16" zoomScale="85" zoomScaleNormal="85" zoomScaleSheetLayoutView="85" workbookViewId="0">
      <selection activeCell="G29" sqref="G29"/>
    </sheetView>
  </sheetViews>
  <sheetFormatPr defaultColWidth="9.140625" defaultRowHeight="12.75" x14ac:dyDescent="0.2"/>
  <cols>
    <col min="1" max="1" width="6.85546875" style="109" customWidth="1"/>
    <col min="2" max="2" width="15.140625" style="109" customWidth="1"/>
    <col min="3" max="3" width="15.28515625" style="109" customWidth="1"/>
    <col min="4" max="4" width="10.85546875" style="109" customWidth="1"/>
    <col min="5" max="5" width="58.140625" style="109" customWidth="1"/>
    <col min="6" max="6" width="15.85546875" style="109" customWidth="1"/>
    <col min="7" max="7" width="9.140625" style="192"/>
    <col min="8" max="10" width="9.140625" style="109"/>
    <col min="11" max="11" width="52.5703125" style="109" customWidth="1"/>
    <col min="12" max="16384" width="9.140625" style="109"/>
  </cols>
  <sheetData>
    <row r="1" spans="1:10" x14ac:dyDescent="0.2">
      <c r="A1" s="40"/>
      <c r="B1" s="40"/>
      <c r="C1" s="40"/>
      <c r="D1" s="40"/>
      <c r="E1" s="40"/>
      <c r="F1" s="40" t="s">
        <v>740</v>
      </c>
    </row>
    <row r="2" spans="1:10" x14ac:dyDescent="0.2">
      <c r="A2" s="40"/>
      <c r="B2" s="40"/>
      <c r="C2" s="40"/>
      <c r="D2" s="40"/>
      <c r="E2" s="40"/>
      <c r="F2" s="40" t="s">
        <v>1296</v>
      </c>
    </row>
    <row r="3" spans="1:10" x14ac:dyDescent="0.2">
      <c r="A3" s="40"/>
      <c r="B3" s="40"/>
      <c r="C3" s="40"/>
      <c r="D3" s="40"/>
      <c r="E3" s="40"/>
      <c r="F3" s="988" t="s">
        <v>1297</v>
      </c>
      <c r="G3" s="989"/>
      <c r="H3" s="989"/>
      <c r="I3" s="989"/>
    </row>
    <row r="4" spans="1:10" ht="15.75" x14ac:dyDescent="0.25">
      <c r="A4" s="990" t="s">
        <v>695</v>
      </c>
      <c r="B4" s="991"/>
      <c r="C4" s="991"/>
      <c r="D4" s="991"/>
      <c r="E4" s="991"/>
      <c r="F4" s="991"/>
    </row>
    <row r="5" spans="1:10" s="161" customFormat="1" ht="15.75" x14ac:dyDescent="0.25">
      <c r="A5" s="990" t="s">
        <v>694</v>
      </c>
      <c r="B5" s="991"/>
      <c r="C5" s="991"/>
      <c r="D5" s="991"/>
      <c r="E5" s="991"/>
      <c r="F5" s="991"/>
      <c r="G5" s="192"/>
    </row>
    <row r="6" spans="1:10" ht="15.75" x14ac:dyDescent="0.25">
      <c r="A6" s="990" t="s">
        <v>1095</v>
      </c>
      <c r="B6" s="991"/>
      <c r="C6" s="991"/>
      <c r="D6" s="991"/>
      <c r="E6" s="991"/>
      <c r="F6" s="991"/>
    </row>
    <row r="7" spans="1:10" ht="15.75" x14ac:dyDescent="0.25">
      <c r="B7" s="539"/>
      <c r="C7" s="990" t="s">
        <v>1094</v>
      </c>
      <c r="D7" s="991"/>
      <c r="E7" s="991"/>
      <c r="F7" s="539"/>
    </row>
    <row r="8" spans="1:10" ht="12.75" customHeight="1" x14ac:dyDescent="0.25">
      <c r="A8" s="540"/>
      <c r="B8" s="540"/>
      <c r="C8" s="540"/>
      <c r="D8" s="540"/>
      <c r="E8" s="540"/>
      <c r="F8" s="540"/>
      <c r="G8" s="540"/>
      <c r="H8" s="540"/>
      <c r="I8" s="540"/>
      <c r="J8" s="540"/>
    </row>
    <row r="9" spans="1:10" x14ac:dyDescent="0.2">
      <c r="A9" s="992">
        <v>22564000000</v>
      </c>
      <c r="B9" s="838"/>
      <c r="C9" s="111"/>
      <c r="D9" s="111"/>
      <c r="E9" s="111"/>
      <c r="F9" s="111"/>
    </row>
    <row r="10" spans="1:10" x14ac:dyDescent="0.2">
      <c r="A10" s="993" t="s">
        <v>538</v>
      </c>
      <c r="B10" s="994"/>
      <c r="C10" s="111"/>
      <c r="D10" s="111"/>
      <c r="E10" s="111"/>
      <c r="F10" s="111"/>
    </row>
    <row r="11" spans="1:10" ht="13.5" thickBot="1" x14ac:dyDescent="0.25">
      <c r="A11" s="110"/>
      <c r="B11" s="110"/>
      <c r="C11" s="111"/>
      <c r="D11" s="111"/>
      <c r="E11" s="111"/>
      <c r="F11" s="111"/>
    </row>
    <row r="12" spans="1:10" ht="48" customHeight="1" thickTop="1" thickBot="1" x14ac:dyDescent="0.25">
      <c r="A12" s="178" t="s">
        <v>342</v>
      </c>
      <c r="B12" s="179" t="s">
        <v>343</v>
      </c>
      <c r="C12" s="179" t="s">
        <v>20</v>
      </c>
      <c r="D12" s="179" t="s">
        <v>16</v>
      </c>
      <c r="E12" s="178" t="s">
        <v>344</v>
      </c>
      <c r="F12" s="180" t="s">
        <v>435</v>
      </c>
    </row>
    <row r="13" spans="1:10" ht="17.25" thickTop="1" thickBot="1" x14ac:dyDescent="0.25">
      <c r="A13" s="185">
        <v>1</v>
      </c>
      <c r="B13" s="505" t="s">
        <v>331</v>
      </c>
      <c r="C13" s="505" t="s">
        <v>332</v>
      </c>
      <c r="D13" s="505" t="s">
        <v>54</v>
      </c>
      <c r="E13" s="505" t="s">
        <v>1129</v>
      </c>
      <c r="F13" s="506">
        <f>100900+50000</f>
        <v>150900</v>
      </c>
    </row>
    <row r="14" spans="1:10" ht="17.25" thickTop="1" thickBot="1" x14ac:dyDescent="0.25">
      <c r="A14" s="185">
        <v>2</v>
      </c>
      <c r="B14" s="505" t="s">
        <v>331</v>
      </c>
      <c r="C14" s="505" t="s">
        <v>332</v>
      </c>
      <c r="D14" s="505" t="s">
        <v>54</v>
      </c>
      <c r="E14" s="505" t="s">
        <v>574</v>
      </c>
      <c r="F14" s="506">
        <f>100000+60000</f>
        <v>160000</v>
      </c>
    </row>
    <row r="15" spans="1:10" ht="64.5" thickTop="1" thickBot="1" x14ac:dyDescent="0.25">
      <c r="A15" s="185">
        <v>3</v>
      </c>
      <c r="B15" s="505" t="s">
        <v>331</v>
      </c>
      <c r="C15" s="505" t="s">
        <v>332</v>
      </c>
      <c r="D15" s="505" t="s">
        <v>54</v>
      </c>
      <c r="E15" s="505" t="s">
        <v>1130</v>
      </c>
      <c r="F15" s="506">
        <v>48000</v>
      </c>
    </row>
    <row r="16" spans="1:10" s="568" customFormat="1" ht="17.25" thickTop="1" thickBot="1" x14ac:dyDescent="0.25">
      <c r="A16" s="185">
        <v>4</v>
      </c>
      <c r="B16" s="505" t="s">
        <v>331</v>
      </c>
      <c r="C16" s="505" t="s">
        <v>332</v>
      </c>
      <c r="D16" s="505" t="s">
        <v>54</v>
      </c>
      <c r="E16" s="505" t="s">
        <v>1131</v>
      </c>
      <c r="F16" s="506">
        <v>45000</v>
      </c>
      <c r="G16" s="575"/>
    </row>
    <row r="17" spans="1:7" s="568" customFormat="1" ht="80.25" thickTop="1" thickBot="1" x14ac:dyDescent="0.25">
      <c r="A17" s="185">
        <v>5</v>
      </c>
      <c r="B17" s="505" t="s">
        <v>511</v>
      </c>
      <c r="C17" s="505" t="s">
        <v>512</v>
      </c>
      <c r="D17" s="505" t="s">
        <v>510</v>
      </c>
      <c r="E17" s="505" t="s">
        <v>638</v>
      </c>
      <c r="F17" s="506">
        <f>70000+45000+196238.96</f>
        <v>311238.95999999996</v>
      </c>
      <c r="G17" s="575"/>
    </row>
    <row r="18" spans="1:7" s="568" customFormat="1" ht="64.5" thickTop="1" thickBot="1" x14ac:dyDescent="0.25">
      <c r="A18" s="185">
        <v>6</v>
      </c>
      <c r="B18" s="505" t="s">
        <v>511</v>
      </c>
      <c r="C18" s="505" t="s">
        <v>512</v>
      </c>
      <c r="D18" s="505" t="s">
        <v>510</v>
      </c>
      <c r="E18" s="505" t="s">
        <v>1132</v>
      </c>
      <c r="F18" s="506">
        <v>50000</v>
      </c>
      <c r="G18" s="575"/>
    </row>
    <row r="19" spans="1:7" s="568" customFormat="1" ht="33" thickTop="1" thickBot="1" x14ac:dyDescent="0.25">
      <c r="A19" s="185">
        <v>7</v>
      </c>
      <c r="B19" s="505" t="s">
        <v>572</v>
      </c>
      <c r="C19" s="505" t="s">
        <v>570</v>
      </c>
      <c r="D19" s="505" t="s">
        <v>573</v>
      </c>
      <c r="E19" s="505" t="s">
        <v>639</v>
      </c>
      <c r="F19" s="506">
        <v>5000</v>
      </c>
      <c r="G19" s="575"/>
    </row>
    <row r="20" spans="1:7" s="568" customFormat="1" ht="33" thickTop="1" thickBot="1" x14ac:dyDescent="0.25">
      <c r="A20" s="185">
        <v>8</v>
      </c>
      <c r="B20" s="505" t="s">
        <v>572</v>
      </c>
      <c r="C20" s="505" t="s">
        <v>570</v>
      </c>
      <c r="D20" s="505" t="s">
        <v>573</v>
      </c>
      <c r="E20" s="505" t="s">
        <v>640</v>
      </c>
      <c r="F20" s="506">
        <v>120000</v>
      </c>
      <c r="G20" s="575"/>
    </row>
    <row r="21" spans="1:7" s="568" customFormat="1" ht="64.5" thickTop="1" thickBot="1" x14ac:dyDescent="0.25">
      <c r="A21" s="185">
        <v>9</v>
      </c>
      <c r="B21" s="505" t="s">
        <v>572</v>
      </c>
      <c r="C21" s="505" t="s">
        <v>570</v>
      </c>
      <c r="D21" s="505" t="s">
        <v>573</v>
      </c>
      <c r="E21" s="505" t="s">
        <v>1133</v>
      </c>
      <c r="F21" s="506">
        <v>50000</v>
      </c>
      <c r="G21" s="575"/>
    </row>
    <row r="22" spans="1:7" s="568" customFormat="1" ht="80.25" thickTop="1" thickBot="1" x14ac:dyDescent="0.25">
      <c r="A22" s="185">
        <v>10</v>
      </c>
      <c r="B22" s="505" t="s">
        <v>333</v>
      </c>
      <c r="C22" s="505" t="s">
        <v>334</v>
      </c>
      <c r="D22" s="505" t="s">
        <v>56</v>
      </c>
      <c r="E22" s="505" t="s">
        <v>436</v>
      </c>
      <c r="F22" s="506">
        <v>92500</v>
      </c>
      <c r="G22" s="575"/>
    </row>
    <row r="23" spans="1:7" s="568" customFormat="1" ht="33" thickTop="1" thickBot="1" x14ac:dyDescent="0.25">
      <c r="A23" s="185">
        <v>11</v>
      </c>
      <c r="B23" s="505" t="s">
        <v>333</v>
      </c>
      <c r="C23" s="505" t="s">
        <v>334</v>
      </c>
      <c r="D23" s="505" t="s">
        <v>56</v>
      </c>
      <c r="E23" s="505" t="s">
        <v>641</v>
      </c>
      <c r="F23" s="506">
        <v>35000</v>
      </c>
      <c r="G23" s="575"/>
    </row>
    <row r="24" spans="1:7" s="568" customFormat="1" ht="48.75" thickTop="1" thickBot="1" x14ac:dyDescent="0.25">
      <c r="A24" s="185">
        <v>12</v>
      </c>
      <c r="B24" s="505" t="s">
        <v>333</v>
      </c>
      <c r="C24" s="505" t="s">
        <v>334</v>
      </c>
      <c r="D24" s="505" t="s">
        <v>56</v>
      </c>
      <c r="E24" s="505" t="s">
        <v>643</v>
      </c>
      <c r="F24" s="506">
        <v>19500</v>
      </c>
      <c r="G24" s="575"/>
    </row>
    <row r="25" spans="1:7" s="568" customFormat="1" ht="33" thickTop="1" thickBot="1" x14ac:dyDescent="0.25">
      <c r="A25" s="185">
        <v>13</v>
      </c>
      <c r="B25" s="505" t="s">
        <v>333</v>
      </c>
      <c r="C25" s="505" t="s">
        <v>334</v>
      </c>
      <c r="D25" s="505" t="s">
        <v>56</v>
      </c>
      <c r="E25" s="505" t="s">
        <v>642</v>
      </c>
      <c r="F25" s="506">
        <f>40000+60000</f>
        <v>100000</v>
      </c>
      <c r="G25" s="575"/>
    </row>
    <row r="26" spans="1:7" s="568" customFormat="1" ht="48.75" thickTop="1" thickBot="1" x14ac:dyDescent="0.25">
      <c r="A26" s="185">
        <v>14</v>
      </c>
      <c r="B26" s="505" t="s">
        <v>333</v>
      </c>
      <c r="C26" s="505" t="s">
        <v>334</v>
      </c>
      <c r="D26" s="505" t="s">
        <v>56</v>
      </c>
      <c r="E26" s="505" t="s">
        <v>1134</v>
      </c>
      <c r="F26" s="506">
        <v>48000</v>
      </c>
      <c r="G26" s="575"/>
    </row>
    <row r="27" spans="1:7" s="568" customFormat="1" ht="33" thickTop="1" thickBot="1" x14ac:dyDescent="0.25">
      <c r="A27" s="185">
        <v>15</v>
      </c>
      <c r="B27" s="505" t="s">
        <v>333</v>
      </c>
      <c r="C27" s="505" t="s">
        <v>334</v>
      </c>
      <c r="D27" s="505" t="s">
        <v>56</v>
      </c>
      <c r="E27" s="505" t="s">
        <v>1135</v>
      </c>
      <c r="F27" s="506">
        <v>50000</v>
      </c>
      <c r="G27" s="575"/>
    </row>
    <row r="28" spans="1:7" s="568" customFormat="1" ht="33" thickTop="1" thickBot="1" x14ac:dyDescent="0.25">
      <c r="A28" s="185">
        <v>16</v>
      </c>
      <c r="B28" s="505" t="s">
        <v>333</v>
      </c>
      <c r="C28" s="505" t="s">
        <v>334</v>
      </c>
      <c r="D28" s="505" t="s">
        <v>56</v>
      </c>
      <c r="E28" s="505" t="s">
        <v>1136</v>
      </c>
      <c r="F28" s="506">
        <v>200000</v>
      </c>
      <c r="G28" s="575"/>
    </row>
    <row r="29" spans="1:7" ht="17.25" thickTop="1" thickBot="1" x14ac:dyDescent="0.25">
      <c r="A29" s="186" t="s">
        <v>411</v>
      </c>
      <c r="B29" s="186" t="s">
        <v>411</v>
      </c>
      <c r="C29" s="186" t="s">
        <v>411</v>
      </c>
      <c r="D29" s="186" t="s">
        <v>411</v>
      </c>
      <c r="E29" s="187" t="s">
        <v>421</v>
      </c>
      <c r="F29" s="188">
        <f>SUM(F13:F28)</f>
        <v>1485138.96</v>
      </c>
      <c r="G29" s="267" t="b">
        <f>F29='d3'!J279+'d3'!J280+'d3'!J281+'d3'!J282-1700000</f>
        <v>1</v>
      </c>
    </row>
    <row r="30" spans="1:7" ht="16.5" thickTop="1" x14ac:dyDescent="0.2">
      <c r="A30" s="43"/>
      <c r="B30" s="43"/>
      <c r="C30" s="43"/>
      <c r="D30" s="43"/>
      <c r="E30" s="43"/>
      <c r="F30" s="44"/>
    </row>
    <row r="31" spans="1:7" s="79" customFormat="1" ht="16.5" x14ac:dyDescent="0.25">
      <c r="A31" s="61"/>
      <c r="B31" s="693" t="s">
        <v>1302</v>
      </c>
      <c r="C31" s="693"/>
      <c r="D31" s="693"/>
      <c r="E31" s="153"/>
      <c r="F31" s="693" t="s">
        <v>1303</v>
      </c>
      <c r="G31" s="192"/>
    </row>
    <row r="32" spans="1:7" ht="27" hidden="1" customHeight="1" x14ac:dyDescent="0.2">
      <c r="A32" s="984" t="s">
        <v>611</v>
      </c>
      <c r="B32" s="985"/>
      <c r="C32" s="985"/>
      <c r="D32" s="985"/>
      <c r="E32" s="61"/>
      <c r="F32" s="63" t="s">
        <v>612</v>
      </c>
    </row>
    <row r="33" spans="1:7" ht="15.75" x14ac:dyDescent="0.2">
      <c r="A33" s="145"/>
      <c r="B33" s="145"/>
      <c r="C33" s="145"/>
      <c r="D33" s="145"/>
      <c r="E33" s="61"/>
      <c r="F33" s="62"/>
    </row>
    <row r="34" spans="1:7" s="142" customFormat="1" ht="15.75" x14ac:dyDescent="0.2">
      <c r="A34" s="145"/>
      <c r="B34" s="145"/>
      <c r="C34" s="145"/>
      <c r="D34" s="145"/>
      <c r="E34" s="61"/>
      <c r="F34" s="62"/>
      <c r="G34" s="192"/>
    </row>
    <row r="35" spans="1:7" s="142" customFormat="1" ht="15.75" x14ac:dyDescent="0.25">
      <c r="A35" s="145"/>
      <c r="B35" s="66" t="s">
        <v>611</v>
      </c>
      <c r="C35" s="153"/>
      <c r="D35" s="145"/>
      <c r="E35" s="61"/>
      <c r="F35" s="153" t="s">
        <v>612</v>
      </c>
      <c r="G35" s="192"/>
    </row>
    <row r="36" spans="1:7" ht="15.75" x14ac:dyDescent="0.25">
      <c r="A36" s="987"/>
      <c r="B36" s="987"/>
      <c r="C36" s="987"/>
      <c r="D36" s="987"/>
      <c r="E36" s="41"/>
      <c r="F36" s="41"/>
    </row>
    <row r="37" spans="1:7" ht="15.75" x14ac:dyDescent="0.2">
      <c r="A37" s="986"/>
      <c r="B37" s="986"/>
      <c r="C37" s="986"/>
      <c r="D37" s="986"/>
      <c r="E37" s="986"/>
      <c r="F37" s="42"/>
    </row>
    <row r="94" spans="7:7" x14ac:dyDescent="0.2">
      <c r="G94" s="958"/>
    </row>
    <row r="95" spans="7:7" x14ac:dyDescent="0.2">
      <c r="G95" s="958"/>
    </row>
    <row r="155" spans="7:10" ht="46.5" x14ac:dyDescent="0.65">
      <c r="J155" s="51"/>
    </row>
    <row r="158" spans="7:10" ht="46.5" x14ac:dyDescent="0.65">
      <c r="G158" s="215"/>
      <c r="J158" s="51"/>
    </row>
    <row r="177" spans="11:11" ht="90" x14ac:dyDescent="1.1499999999999999">
      <c r="K177" s="71" t="b">
        <f>G177=H177+I177</f>
        <v>1</v>
      </c>
    </row>
  </sheetData>
  <mergeCells count="11">
    <mergeCell ref="A32:D32"/>
    <mergeCell ref="A37:E37"/>
    <mergeCell ref="G94:G95"/>
    <mergeCell ref="A36:D36"/>
    <mergeCell ref="F3:I3"/>
    <mergeCell ref="A4:F4"/>
    <mergeCell ref="A6:F6"/>
    <mergeCell ref="A9:B9"/>
    <mergeCell ref="A10:B10"/>
    <mergeCell ref="A5:F5"/>
    <mergeCell ref="C7:E7"/>
  </mergeCells>
  <pageMargins left="0.74803149606299213" right="0.74803149606299213" top="0.98425196850393704" bottom="0.98425196850393704" header="0.51181102362204722" footer="0.51181102362204722"/>
  <pageSetup paperSize="9" scale="7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9</vt:i4>
      </vt:variant>
      <vt:variant>
        <vt:lpstr>Іменовані діапазони</vt:lpstr>
      </vt:variant>
      <vt:variant>
        <vt:i4>12</vt:i4>
      </vt:variant>
    </vt:vector>
  </HeadingPairs>
  <TitlesOfParts>
    <vt:vector size="21" baseType="lpstr">
      <vt:lpstr>d1</vt:lpstr>
      <vt:lpstr>d2</vt:lpstr>
      <vt:lpstr>d3</vt:lpstr>
      <vt:lpstr>d4</vt:lpstr>
      <vt:lpstr>d5</vt:lpstr>
      <vt:lpstr>d6</vt:lpstr>
      <vt:lpstr>d7</vt:lpstr>
      <vt:lpstr>d8</vt:lpstr>
      <vt:lpstr>d9</vt:lpstr>
      <vt:lpstr>'d3'!Заголовки_для_друку</vt:lpstr>
      <vt:lpstr>'d6'!Заголовки_для_друку</vt:lpstr>
      <vt:lpstr>'d7'!Заголовки_для_друку</vt:lpstr>
      <vt:lpstr>'d1'!Область_друку</vt:lpstr>
      <vt:lpstr>'d2'!Область_друку</vt:lpstr>
      <vt:lpstr>'d3'!Область_друку</vt:lpstr>
      <vt:lpstr>'d4'!Область_друку</vt:lpstr>
      <vt:lpstr>'d5'!Область_друку</vt:lpstr>
      <vt:lpstr>'d6'!Область_друку</vt:lpstr>
      <vt:lpstr>'d7'!Область_друку</vt:lpstr>
      <vt:lpstr>'d8'!Область_друку</vt:lpstr>
      <vt:lpstr>'d9'!Область_друку</vt:lpstr>
    </vt:vector>
  </TitlesOfParts>
  <Company>Міське фінуправління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Власюк Олена</dc:creator>
  <cp:lastModifiedBy>Ковтун Денис Леонідович</cp:lastModifiedBy>
  <cp:lastPrinted>2021-05-26T07:40:11Z</cp:lastPrinted>
  <dcterms:created xsi:type="dcterms:W3CDTF">2001-12-03T09:30:42Z</dcterms:created>
  <dcterms:modified xsi:type="dcterms:W3CDTF">2021-05-31T10:39:35Z</dcterms:modified>
</cp:coreProperties>
</file>